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1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2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simon\Documents\models\"/>
    </mc:Choice>
  </mc:AlternateContent>
  <xr:revisionPtr revIDLastSave="0" documentId="13_ncr:1_{5CDB2717-B65A-4430-B506-BD86E878EAC2}" xr6:coauthVersionLast="47" xr6:coauthVersionMax="47" xr10:uidLastSave="{00000000-0000-0000-0000-000000000000}"/>
  <bookViews>
    <workbookView xWindow="7200" yWindow="0" windowWidth="21600" windowHeight="11295" activeTab="3" xr2:uid="{00000000-000D-0000-FFFF-FFFF00000000}"/>
  </bookViews>
  <sheets>
    <sheet name="Main" sheetId="1" r:id="rId1"/>
    <sheet name="Model" sheetId="2" r:id="rId2"/>
    <sheet name="Model-graph" sheetId="3" r:id="rId3"/>
    <sheet name="KPIs" sheetId="6" r:id="rId4"/>
    <sheet name="Catalysts" sheetId="4" r:id="rId5"/>
    <sheet name="DoR" sheetId="5" r:id="rId6"/>
  </sheets>
  <definedNames>
    <definedName name="_xlchart.v1.0" hidden="1">Model!$B$16</definedName>
    <definedName name="_xlchart.v1.1" hidden="1">Model!$B$17</definedName>
    <definedName name="_xlchart.v1.2" hidden="1">Model!$L$16:$X$16</definedName>
    <definedName name="_xlchart.v1.3" hidden="1">Model!$L$17:$X$17</definedName>
    <definedName name="_xlchart.v1.4" hidden="1">Model!$L$2:$X$2</definedName>
    <definedName name="_xlchart.v1.5" hidden="1">Model!$B$3</definedName>
    <definedName name="_xlchart.v1.6" hidden="1">Model!$B$4</definedName>
    <definedName name="_xlchart.v1.7" hidden="1">Model!$L$2:$X$2</definedName>
    <definedName name="_xlchart.v1.8" hidden="1">Model!$L$3:$X$3</definedName>
    <definedName name="_xlchart.v1.9" hidden="1">Model!$L$4:$X$4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6" i="2" l="1"/>
  <c r="Y11" i="2"/>
  <c r="Y13" i="2"/>
  <c r="Y8" i="2"/>
  <c r="Y7" i="2"/>
  <c r="Y6" i="2"/>
  <c r="Y5" i="2"/>
  <c r="S32" i="6"/>
  <c r="S37" i="6" s="1"/>
  <c r="S31" i="6"/>
  <c r="S30" i="6"/>
  <c r="S29" i="6"/>
  <c r="S36" i="6" s="1"/>
  <c r="S28" i="6"/>
  <c r="S27" i="6"/>
  <c r="S35" i="6"/>
  <c r="S23" i="6"/>
  <c r="S22" i="6"/>
  <c r="S21" i="6"/>
  <c r="S18" i="6"/>
  <c r="S17" i="6"/>
  <c r="S16" i="6"/>
  <c r="S15" i="6"/>
  <c r="S14" i="6"/>
  <c r="S13" i="6"/>
  <c r="S11" i="6"/>
  <c r="S10" i="6"/>
  <c r="S9" i="6"/>
  <c r="S6" i="6"/>
  <c r="S5" i="6"/>
  <c r="S4" i="6"/>
  <c r="S3" i="6"/>
  <c r="S2" i="6"/>
  <c r="Y3" i="2"/>
  <c r="Y23" i="2" s="1"/>
  <c r="Y48" i="2"/>
  <c r="Y52" i="2" s="1"/>
  <c r="Z48" i="2"/>
  <c r="Z52" i="2" s="1"/>
  <c r="Z53" i="2" s="1"/>
  <c r="AA48" i="2"/>
  <c r="AA52" i="2" s="1"/>
  <c r="Z43" i="2"/>
  <c r="AA43" i="2"/>
  <c r="AA53" i="2" s="1"/>
  <c r="Y37" i="2"/>
  <c r="Y43" i="2" s="1"/>
  <c r="Z37" i="2"/>
  <c r="AA37" i="2"/>
  <c r="Y29" i="2"/>
  <c r="Z29" i="2"/>
  <c r="AA29" i="2"/>
  <c r="Z25" i="2"/>
  <c r="Z22" i="2"/>
  <c r="Z23" i="2"/>
  <c r="Z18" i="2"/>
  <c r="Z19" i="2"/>
  <c r="Z20" i="2"/>
  <c r="C35" i="1"/>
  <c r="C34" i="1"/>
  <c r="C33" i="1"/>
  <c r="C32" i="1"/>
  <c r="C31" i="1"/>
  <c r="C30" i="1"/>
  <c r="C29" i="1"/>
  <c r="C28" i="1"/>
  <c r="C27" i="1"/>
  <c r="C25" i="1"/>
  <c r="C24" i="1"/>
  <c r="C23" i="1"/>
  <c r="C22" i="1"/>
  <c r="C21" i="1"/>
  <c r="C20" i="1"/>
  <c r="C17" i="1"/>
  <c r="C16" i="1"/>
  <c r="C15" i="1"/>
  <c r="C14" i="1"/>
  <c r="C18" i="1" s="1"/>
  <c r="C13" i="1"/>
  <c r="G29" i="2"/>
  <c r="F29" i="2"/>
  <c r="E29" i="2"/>
  <c r="R29" i="2"/>
  <c r="Q29" i="2"/>
  <c r="P29" i="2"/>
  <c r="O29" i="2"/>
  <c r="N29" i="2"/>
  <c r="M29" i="2"/>
  <c r="L29" i="2"/>
  <c r="W29" i="2"/>
  <c r="V29" i="2"/>
  <c r="U29" i="2"/>
  <c r="T29" i="2"/>
  <c r="S29" i="2"/>
  <c r="X29" i="2"/>
  <c r="C10" i="1"/>
  <c r="C9" i="1"/>
  <c r="G20" i="2"/>
  <c r="F20" i="2"/>
  <c r="E20" i="2"/>
  <c r="E15" i="2"/>
  <c r="M18" i="6"/>
  <c r="Q23" i="6" s="1"/>
  <c r="M17" i="6"/>
  <c r="M16" i="6"/>
  <c r="M14" i="6"/>
  <c r="M15" i="6"/>
  <c r="L15" i="6"/>
  <c r="M13" i="6"/>
  <c r="L13" i="6"/>
  <c r="F15" i="2"/>
  <c r="F11" i="2"/>
  <c r="F8" i="2"/>
  <c r="R16" i="2"/>
  <c r="R15" i="2" s="1"/>
  <c r="Q16" i="2"/>
  <c r="Q15" i="2" s="1"/>
  <c r="R13" i="2"/>
  <c r="R11" i="2"/>
  <c r="R10" i="2"/>
  <c r="R8" i="2"/>
  <c r="R7" i="2"/>
  <c r="R9" i="2" s="1"/>
  <c r="R6" i="2"/>
  <c r="R5" i="2"/>
  <c r="R3" i="2"/>
  <c r="X15" i="2"/>
  <c r="W16" i="2"/>
  <c r="W15" i="2"/>
  <c r="V15" i="2"/>
  <c r="W13" i="2"/>
  <c r="W11" i="2"/>
  <c r="W10" i="2"/>
  <c r="W8" i="2"/>
  <c r="W7" i="2"/>
  <c r="W6" i="2"/>
  <c r="W5" i="2"/>
  <c r="W3" i="2"/>
  <c r="W9" i="2" s="1"/>
  <c r="U15" i="2"/>
  <c r="T15" i="2"/>
  <c r="P15" i="2"/>
  <c r="G15" i="2"/>
  <c r="G14" i="2"/>
  <c r="G11" i="2"/>
  <c r="G8" i="2"/>
  <c r="V16" i="2"/>
  <c r="V13" i="2"/>
  <c r="V11" i="2"/>
  <c r="V10" i="2"/>
  <c r="V8" i="2"/>
  <c r="V7" i="2"/>
  <c r="V23" i="2" s="1"/>
  <c r="V6" i="2"/>
  <c r="V5" i="2"/>
  <c r="V3" i="2"/>
  <c r="L32" i="6"/>
  <c r="L31" i="6"/>
  <c r="L30" i="6"/>
  <c r="L29" i="6"/>
  <c r="L28" i="6"/>
  <c r="K32" i="6"/>
  <c r="K31" i="6"/>
  <c r="K30" i="6"/>
  <c r="K29" i="6"/>
  <c r="K28" i="6"/>
  <c r="K27" i="6"/>
  <c r="P32" i="6"/>
  <c r="P37" i="6" s="1"/>
  <c r="P31" i="6"/>
  <c r="P30" i="6"/>
  <c r="P29" i="6"/>
  <c r="P28" i="6"/>
  <c r="P27" i="6"/>
  <c r="L18" i="6"/>
  <c r="L17" i="6"/>
  <c r="L16" i="6"/>
  <c r="L14" i="6"/>
  <c r="P18" i="6"/>
  <c r="P16" i="6"/>
  <c r="P17" i="6"/>
  <c r="P15" i="6"/>
  <c r="P14" i="6"/>
  <c r="P13" i="6"/>
  <c r="L6" i="6"/>
  <c r="L5" i="6"/>
  <c r="P11" i="6" s="1"/>
  <c r="L4" i="6"/>
  <c r="L3" i="6"/>
  <c r="L2" i="6"/>
  <c r="P6" i="6"/>
  <c r="P5" i="6"/>
  <c r="P4" i="6"/>
  <c r="P3" i="6"/>
  <c r="P2" i="6"/>
  <c r="P9" i="6" s="1"/>
  <c r="Q13" i="2"/>
  <c r="Q11" i="2"/>
  <c r="Q10" i="2"/>
  <c r="Q8" i="2"/>
  <c r="Q7" i="2"/>
  <c r="Q6" i="2"/>
  <c r="Q5" i="2"/>
  <c r="Q3" i="2"/>
  <c r="U11" i="2"/>
  <c r="U10" i="2"/>
  <c r="U16" i="2"/>
  <c r="U13" i="2"/>
  <c r="U6" i="2"/>
  <c r="U8" i="2"/>
  <c r="U7" i="2"/>
  <c r="U5" i="2"/>
  <c r="U3" i="2"/>
  <c r="O32" i="6"/>
  <c r="O31" i="6"/>
  <c r="O30" i="6"/>
  <c r="O29" i="6"/>
  <c r="O28" i="6"/>
  <c r="O27" i="6"/>
  <c r="K18" i="6"/>
  <c r="K17" i="6"/>
  <c r="K16" i="6"/>
  <c r="K15" i="6"/>
  <c r="K14" i="6"/>
  <c r="K13" i="6"/>
  <c r="O18" i="6"/>
  <c r="O17" i="6"/>
  <c r="O16" i="6"/>
  <c r="O15" i="6"/>
  <c r="O14" i="6"/>
  <c r="O13" i="6"/>
  <c r="K6" i="6"/>
  <c r="K5" i="6"/>
  <c r="K4" i="6"/>
  <c r="O10" i="6" s="1"/>
  <c r="K3" i="6"/>
  <c r="K2" i="6"/>
  <c r="O6" i="6"/>
  <c r="O5" i="6"/>
  <c r="O4" i="6"/>
  <c r="O3" i="6"/>
  <c r="O2" i="6"/>
  <c r="S51" i="2"/>
  <c r="S50" i="2"/>
  <c r="S49" i="2"/>
  <c r="S47" i="2"/>
  <c r="S46" i="2"/>
  <c r="S45" i="2"/>
  <c r="S44" i="2"/>
  <c r="S42" i="2"/>
  <c r="S41" i="2"/>
  <c r="S40" i="2"/>
  <c r="S39" i="2"/>
  <c r="S38" i="2"/>
  <c r="S36" i="2"/>
  <c r="S35" i="2"/>
  <c r="S34" i="2"/>
  <c r="S33" i="2"/>
  <c r="S32" i="2"/>
  <c r="S31" i="2"/>
  <c r="S30" i="2"/>
  <c r="W51" i="2"/>
  <c r="W50" i="2"/>
  <c r="W49" i="2"/>
  <c r="W47" i="2"/>
  <c r="W46" i="2"/>
  <c r="W45" i="2"/>
  <c r="W44" i="2"/>
  <c r="W42" i="2"/>
  <c r="W41" i="2"/>
  <c r="W40" i="2"/>
  <c r="W39" i="2"/>
  <c r="W38" i="2"/>
  <c r="W36" i="2"/>
  <c r="W35" i="2"/>
  <c r="W34" i="2"/>
  <c r="W33" i="2"/>
  <c r="W32" i="2"/>
  <c r="W31" i="2"/>
  <c r="W30" i="2"/>
  <c r="D29" i="2"/>
  <c r="C29" i="2"/>
  <c r="X48" i="2"/>
  <c r="X52" i="2"/>
  <c r="X37" i="2"/>
  <c r="X43" i="2" s="1"/>
  <c r="G23" i="2"/>
  <c r="G22" i="2"/>
  <c r="G21" i="2"/>
  <c r="X23" i="2"/>
  <c r="X22" i="2"/>
  <c r="X21" i="2"/>
  <c r="X18" i="2"/>
  <c r="R37" i="6"/>
  <c r="Q37" i="6"/>
  <c r="N37" i="6"/>
  <c r="R36" i="6"/>
  <c r="Q36" i="6"/>
  <c r="N36" i="6"/>
  <c r="R35" i="6"/>
  <c r="Q35" i="6"/>
  <c r="N35" i="6"/>
  <c r="R33" i="6"/>
  <c r="Q33" i="6"/>
  <c r="N33" i="6"/>
  <c r="M33" i="6"/>
  <c r="J33" i="6"/>
  <c r="N23" i="6"/>
  <c r="Q22" i="6"/>
  <c r="N22" i="6"/>
  <c r="Q21" i="6"/>
  <c r="P21" i="6"/>
  <c r="O21" i="6"/>
  <c r="N21" i="6"/>
  <c r="R23" i="6"/>
  <c r="R22" i="6"/>
  <c r="R21" i="6"/>
  <c r="Q11" i="6"/>
  <c r="N11" i="6"/>
  <c r="Q10" i="6"/>
  <c r="P10" i="6"/>
  <c r="N10" i="6"/>
  <c r="Q9" i="6"/>
  <c r="O9" i="6"/>
  <c r="N9" i="6"/>
  <c r="R11" i="6"/>
  <c r="R10" i="6"/>
  <c r="R9" i="6"/>
  <c r="U19" i="6"/>
  <c r="T19" i="6"/>
  <c r="R19" i="6"/>
  <c r="Q19" i="6"/>
  <c r="N19" i="6"/>
  <c r="J19" i="6"/>
  <c r="Q7" i="6"/>
  <c r="N7" i="6"/>
  <c r="M7" i="6"/>
  <c r="J7" i="6"/>
  <c r="U7" i="6"/>
  <c r="T7" i="6"/>
  <c r="R7" i="6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2" i="5"/>
  <c r="I25" i="2"/>
  <c r="N9" i="2"/>
  <c r="N12" i="2" s="1"/>
  <c r="N14" i="2" s="1"/>
  <c r="N16" i="2" s="1"/>
  <c r="M9" i="2"/>
  <c r="M12" i="2" s="1"/>
  <c r="M14" i="2" s="1"/>
  <c r="M16" i="2" s="1"/>
  <c r="O9" i="2"/>
  <c r="O12" i="2" s="1"/>
  <c r="O14" i="2" s="1"/>
  <c r="O16" i="2" s="1"/>
  <c r="P9" i="2"/>
  <c r="P12" i="2" s="1"/>
  <c r="P14" i="2" s="1"/>
  <c r="S9" i="2"/>
  <c r="S12" i="2" s="1"/>
  <c r="S14" i="2" s="1"/>
  <c r="S16" i="2" s="1"/>
  <c r="T9" i="2"/>
  <c r="T12" i="2" s="1"/>
  <c r="T14" i="2" s="1"/>
  <c r="X9" i="2"/>
  <c r="X12" i="2" s="1"/>
  <c r="X14" i="2" s="1"/>
  <c r="L9" i="2"/>
  <c r="L12" i="2" s="1"/>
  <c r="L14" i="2" s="1"/>
  <c r="L16" i="2" s="1"/>
  <c r="H9" i="2"/>
  <c r="H12" i="2" s="1"/>
  <c r="I9" i="2"/>
  <c r="I12" i="2" s="1"/>
  <c r="T23" i="2"/>
  <c r="S23" i="2"/>
  <c r="P23" i="2"/>
  <c r="O23" i="2"/>
  <c r="N23" i="2"/>
  <c r="M23" i="2"/>
  <c r="L23" i="2"/>
  <c r="Y53" i="2" l="1"/>
  <c r="S33" i="6"/>
  <c r="S19" i="6"/>
  <c r="S7" i="6"/>
  <c r="Y22" i="2"/>
  <c r="Y9" i="2"/>
  <c r="Y12" i="2" s="1"/>
  <c r="Y18" i="2"/>
  <c r="M19" i="6"/>
  <c r="R12" i="2"/>
  <c r="R14" i="2" s="1"/>
  <c r="R23" i="2"/>
  <c r="W12" i="2"/>
  <c r="W14" i="2" s="1"/>
  <c r="W23" i="2"/>
  <c r="V9" i="2"/>
  <c r="V12" i="2" s="1"/>
  <c r="V14" i="2" s="1"/>
  <c r="Z21" i="2"/>
  <c r="P36" i="6"/>
  <c r="O37" i="6"/>
  <c r="K33" i="6"/>
  <c r="L27" i="6"/>
  <c r="L33" i="6" s="1"/>
  <c r="P35" i="6"/>
  <c r="P33" i="6"/>
  <c r="P23" i="6"/>
  <c r="L19" i="6"/>
  <c r="P19" i="6"/>
  <c r="P22" i="6"/>
  <c r="L7" i="6"/>
  <c r="P7" i="6"/>
  <c r="Q9" i="2"/>
  <c r="Q12" i="2" s="1"/>
  <c r="Q14" i="2" s="1"/>
  <c r="Q23" i="2"/>
  <c r="U23" i="2"/>
  <c r="U9" i="2"/>
  <c r="U12" i="2" s="1"/>
  <c r="U14" i="2" s="1"/>
  <c r="O36" i="6"/>
  <c r="O33" i="6"/>
  <c r="O35" i="6"/>
  <c r="O23" i="6"/>
  <c r="K19" i="6"/>
  <c r="O19" i="6"/>
  <c r="O22" i="6"/>
  <c r="O11" i="6"/>
  <c r="K7" i="6"/>
  <c r="O7" i="6"/>
  <c r="X53" i="2"/>
  <c r="X25" i="2"/>
  <c r="X20" i="2"/>
  <c r="S20" i="2"/>
  <c r="L20" i="2"/>
  <c r="T20" i="2"/>
  <c r="P20" i="2"/>
  <c r="M20" i="2"/>
  <c r="N20" i="2"/>
  <c r="O20" i="2"/>
  <c r="X19" i="2"/>
  <c r="C8" i="1"/>
  <c r="I31" i="5"/>
  <c r="I30" i="5"/>
  <c r="I29" i="5"/>
  <c r="I28" i="5"/>
  <c r="I26" i="5"/>
  <c r="I25" i="5"/>
  <c r="I24" i="5"/>
  <c r="I23" i="5"/>
  <c r="I22" i="5"/>
  <c r="I21" i="5"/>
  <c r="I20" i="5"/>
  <c r="I19" i="5"/>
  <c r="I65" i="5"/>
  <c r="I64" i="5"/>
  <c r="Y14" i="2" l="1"/>
  <c r="Y20" i="2"/>
  <c r="R20" i="2"/>
  <c r="W20" i="2"/>
  <c r="V20" i="2"/>
  <c r="Q20" i="2"/>
  <c r="U20" i="2"/>
  <c r="I27" i="5"/>
  <c r="H6" i="5"/>
  <c r="H4" i="5"/>
  <c r="I4" i="5" s="1"/>
  <c r="J35" i="5"/>
  <c r="K35" i="5" s="1"/>
  <c r="I44" i="5"/>
  <c r="M58" i="5"/>
  <c r="I58" i="5"/>
  <c r="M57" i="5"/>
  <c r="I57" i="5"/>
  <c r="M56" i="5"/>
  <c r="K56" i="5"/>
  <c r="I56" i="5"/>
  <c r="M55" i="5"/>
  <c r="K55" i="5"/>
  <c r="I55" i="5"/>
  <c r="M54" i="5"/>
  <c r="K54" i="5"/>
  <c r="I54" i="5"/>
  <c r="M53" i="5"/>
  <c r="K53" i="5"/>
  <c r="I53" i="5"/>
  <c r="M52" i="5"/>
  <c r="K52" i="5"/>
  <c r="I52" i="5"/>
  <c r="M51" i="5"/>
  <c r="K51" i="5"/>
  <c r="I51" i="5"/>
  <c r="M50" i="5"/>
  <c r="K50" i="5"/>
  <c r="I50" i="5"/>
  <c r="M49" i="5"/>
  <c r="K49" i="5"/>
  <c r="I49" i="5"/>
  <c r="M48" i="5"/>
  <c r="K48" i="5"/>
  <c r="I48" i="5"/>
  <c r="M47" i="5"/>
  <c r="K47" i="5"/>
  <c r="I47" i="5"/>
  <c r="M46" i="5"/>
  <c r="K46" i="5"/>
  <c r="I46" i="5"/>
  <c r="M45" i="5"/>
  <c r="K45" i="5"/>
  <c r="I45" i="5"/>
  <c r="M44" i="5"/>
  <c r="K44" i="5"/>
  <c r="J41" i="5"/>
  <c r="I41" i="5"/>
  <c r="J40" i="5"/>
  <c r="I40" i="5"/>
  <c r="J39" i="5"/>
  <c r="I39" i="5"/>
  <c r="J36" i="5"/>
  <c r="K36" i="5" s="1"/>
  <c r="L36" i="5" s="1"/>
  <c r="H14" i="5"/>
  <c r="K15" i="5" s="1"/>
  <c r="H13" i="5"/>
  <c r="H12" i="5"/>
  <c r="I12" i="5" s="1"/>
  <c r="H11" i="5"/>
  <c r="H10" i="5"/>
  <c r="H9" i="5"/>
  <c r="H8" i="5"/>
  <c r="I8" i="5" s="1"/>
  <c r="H7" i="5"/>
  <c r="H5" i="5"/>
  <c r="C9" i="2"/>
  <c r="C12" i="2" s="1"/>
  <c r="C14" i="2" s="1"/>
  <c r="D9" i="2"/>
  <c r="D12" i="2" s="1"/>
  <c r="D14" i="2" s="1"/>
  <c r="E9" i="2"/>
  <c r="E12" i="2" s="1"/>
  <c r="E14" i="2" s="1"/>
  <c r="F9" i="2"/>
  <c r="F12" i="2" s="1"/>
  <c r="F14" i="2" s="1"/>
  <c r="G9" i="2"/>
  <c r="G12" i="2" s="1"/>
  <c r="M19" i="2"/>
  <c r="N19" i="2"/>
  <c r="O19" i="2"/>
  <c r="L18" i="2"/>
  <c r="M18" i="2"/>
  <c r="N18" i="2"/>
  <c r="O18" i="2"/>
  <c r="P18" i="2"/>
  <c r="Q18" i="2"/>
  <c r="R18" i="2"/>
  <c r="S18" i="2"/>
  <c r="T18" i="2"/>
  <c r="U18" i="2"/>
  <c r="V18" i="2"/>
  <c r="W18" i="2"/>
  <c r="P21" i="2"/>
  <c r="Q21" i="2"/>
  <c r="R21" i="2"/>
  <c r="S21" i="2"/>
  <c r="T21" i="2"/>
  <c r="U21" i="2"/>
  <c r="V21" i="2"/>
  <c r="W21" i="2"/>
  <c r="Y21" i="2"/>
  <c r="L22" i="2"/>
  <c r="M22" i="2"/>
  <c r="N22" i="2"/>
  <c r="O22" i="2"/>
  <c r="P22" i="2"/>
  <c r="Q22" i="2"/>
  <c r="R22" i="2"/>
  <c r="S22" i="2"/>
  <c r="T22" i="2"/>
  <c r="U22" i="2"/>
  <c r="V22" i="2"/>
  <c r="W22" i="2"/>
  <c r="L37" i="2"/>
  <c r="L43" i="2" s="1"/>
  <c r="M37" i="2"/>
  <c r="M43" i="2" s="1"/>
  <c r="N37" i="2"/>
  <c r="N43" i="2" s="1"/>
  <c r="O37" i="2"/>
  <c r="O43" i="2" s="1"/>
  <c r="P37" i="2"/>
  <c r="P43" i="2" s="1"/>
  <c r="Q37" i="2"/>
  <c r="Q43" i="2" s="1"/>
  <c r="R37" i="2"/>
  <c r="R43" i="2" s="1"/>
  <c r="S37" i="2"/>
  <c r="S43" i="2" s="1"/>
  <c r="T37" i="2"/>
  <c r="T43" i="2" s="1"/>
  <c r="U37" i="2"/>
  <c r="U43" i="2" s="1"/>
  <c r="V37" i="2"/>
  <c r="V43" i="2" s="1"/>
  <c r="W37" i="2"/>
  <c r="W43" i="2" s="1"/>
  <c r="L48" i="2"/>
  <c r="L52" i="2" s="1"/>
  <c r="M48" i="2"/>
  <c r="M52" i="2" s="1"/>
  <c r="N48" i="2"/>
  <c r="N52" i="2" s="1"/>
  <c r="O48" i="2"/>
  <c r="O52" i="2" s="1"/>
  <c r="P48" i="2"/>
  <c r="P52" i="2" s="1"/>
  <c r="Q48" i="2"/>
  <c r="Q52" i="2" s="1"/>
  <c r="R48" i="2"/>
  <c r="R52" i="2" s="1"/>
  <c r="S48" i="2"/>
  <c r="S52" i="2" s="1"/>
  <c r="T48" i="2"/>
  <c r="T52" i="2" s="1"/>
  <c r="U48" i="2"/>
  <c r="U52" i="2" s="1"/>
  <c r="V48" i="2"/>
  <c r="V52" i="2" s="1"/>
  <c r="W48" i="2"/>
  <c r="W52" i="2" s="1"/>
  <c r="C37" i="2"/>
  <c r="C43" i="2" s="1"/>
  <c r="D37" i="2"/>
  <c r="D43" i="2" s="1"/>
  <c r="E37" i="2"/>
  <c r="E43" i="2" s="1"/>
  <c r="I19" i="2"/>
  <c r="H19" i="2"/>
  <c r="I21" i="2"/>
  <c r="Y19" i="2" l="1"/>
  <c r="Y25" i="2"/>
  <c r="O53" i="2"/>
  <c r="W53" i="2"/>
  <c r="T53" i="2"/>
  <c r="L53" i="2"/>
  <c r="U53" i="2"/>
  <c r="V53" i="2"/>
  <c r="N53" i="2"/>
  <c r="M53" i="2"/>
  <c r="S53" i="2"/>
  <c r="R53" i="2"/>
  <c r="Q53" i="2"/>
  <c r="P53" i="2"/>
  <c r="K11" i="5"/>
  <c r="L19" i="2"/>
  <c r="F23" i="2"/>
  <c r="E22" i="2"/>
  <c r="E23" i="2"/>
  <c r="D22" i="2"/>
  <c r="D23" i="2"/>
  <c r="C22" i="2"/>
  <c r="C23" i="2"/>
  <c r="K7" i="5"/>
  <c r="K9" i="5"/>
  <c r="K4" i="5"/>
  <c r="K13" i="5"/>
  <c r="K5" i="5"/>
  <c r="I6" i="5"/>
  <c r="I10" i="5"/>
  <c r="I14" i="5"/>
  <c r="K39" i="5"/>
  <c r="L39" i="5" s="1"/>
  <c r="I34" i="5"/>
  <c r="J6" i="5"/>
  <c r="L6" i="5" s="1"/>
  <c r="J7" i="5"/>
  <c r="L7" i="5" s="1"/>
  <c r="J10" i="5"/>
  <c r="L10" i="5" s="1"/>
  <c r="J11" i="5"/>
  <c r="L11" i="5" s="1"/>
  <c r="K40" i="5"/>
  <c r="L40" i="5" s="1"/>
  <c r="J4" i="5"/>
  <c r="L4" i="5" s="1"/>
  <c r="M4" i="5" s="1"/>
  <c r="J15" i="5"/>
  <c r="L15" i="5" s="1"/>
  <c r="J5" i="5"/>
  <c r="L5" i="5" s="1"/>
  <c r="J34" i="5"/>
  <c r="K34" i="5" s="1"/>
  <c r="L34" i="5" s="1"/>
  <c r="K41" i="5"/>
  <c r="L41" i="5" s="1"/>
  <c r="J9" i="5"/>
  <c r="L9" i="5" s="1"/>
  <c r="I35" i="5"/>
  <c r="L35" i="5" s="1"/>
  <c r="J14" i="5"/>
  <c r="L14" i="5" s="1"/>
  <c r="I5" i="5"/>
  <c r="K6" i="5"/>
  <c r="I9" i="5"/>
  <c r="K10" i="5"/>
  <c r="I13" i="5"/>
  <c r="K14" i="5"/>
  <c r="J13" i="5"/>
  <c r="L13" i="5" s="1"/>
  <c r="J8" i="5"/>
  <c r="L8" i="5" s="1"/>
  <c r="J12" i="5"/>
  <c r="L12" i="5" s="1"/>
  <c r="I7" i="5"/>
  <c r="K8" i="5"/>
  <c r="I11" i="5"/>
  <c r="K12" i="5"/>
  <c r="T19" i="2"/>
  <c r="T25" i="2"/>
  <c r="P19" i="2"/>
  <c r="S19" i="2"/>
  <c r="S25" i="2"/>
  <c r="W25" i="2"/>
  <c r="W19" i="2"/>
  <c r="V25" i="2"/>
  <c r="V19" i="2"/>
  <c r="U19" i="2"/>
  <c r="U25" i="2"/>
  <c r="R25" i="2"/>
  <c r="R19" i="2"/>
  <c r="Q25" i="2"/>
  <c r="Q19" i="2"/>
  <c r="C18" i="2"/>
  <c r="H21" i="2"/>
  <c r="F18" i="2"/>
  <c r="F22" i="2"/>
  <c r="E18" i="2"/>
  <c r="D18" i="2"/>
  <c r="G18" i="2"/>
  <c r="G48" i="2"/>
  <c r="G52" i="2" s="1"/>
  <c r="G37" i="2"/>
  <c r="G43" i="2" s="1"/>
  <c r="E21" i="2"/>
  <c r="F21" i="2"/>
  <c r="D21" i="2"/>
  <c r="D48" i="2"/>
  <c r="D52" i="2" s="1"/>
  <c r="D53" i="2" s="1"/>
  <c r="E48" i="2"/>
  <c r="F37" i="2"/>
  <c r="F43" i="2" s="1"/>
  <c r="G53" i="2" l="1"/>
  <c r="P25" i="2"/>
  <c r="C19" i="1"/>
  <c r="M5" i="5"/>
  <c r="M6" i="5" s="1"/>
  <c r="M7" i="5" s="1"/>
  <c r="M8" i="5" s="1"/>
  <c r="M9" i="5" s="1"/>
  <c r="M10" i="5" s="1"/>
  <c r="M11" i="5" s="1"/>
  <c r="M12" i="5" s="1"/>
  <c r="M13" i="5" s="1"/>
  <c r="M14" i="5" s="1"/>
  <c r="M15" i="5" s="1"/>
  <c r="F48" i="2"/>
  <c r="F52" i="2" s="1"/>
  <c r="F53" i="2" s="1"/>
  <c r="E52" i="2"/>
  <c r="E53" i="2" s="1"/>
  <c r="C48" i="2"/>
  <c r="C52" i="2" s="1"/>
  <c r="C53" i="2" s="1"/>
  <c r="C16" i="2" l="1"/>
  <c r="D19" i="2"/>
  <c r="G25" i="2"/>
  <c r="H25" i="2"/>
  <c r="G19" i="2"/>
  <c r="C19" i="2" l="1"/>
  <c r="D25" i="2"/>
  <c r="E19" i="2"/>
  <c r="F25" i="2"/>
  <c r="E25" i="2"/>
  <c r="D16" i="2"/>
  <c r="F19" i="2"/>
  <c r="C11" i="1" s="1"/>
  <c r="C12" i="1" l="1"/>
  <c r="C2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Simon Burghardt</author>
  </authors>
  <commentList>
    <comment ref="B27" authorId="0" shapeId="0" xr:uid="{A5B32E2F-CDF3-403E-88D7-CEB78829D2A2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=Total Debt / Shareholders Equity
D/E of 2 is considered dangerous (especially when Ops is contracting)
D/E &lt; 1 is good</t>
        </r>
      </text>
    </comment>
    <comment ref="B28" authorId="0" shapeId="0" xr:uid="{FFD5C37B-7B31-413D-8D3F-45EE45D589E3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EBIT (before Interest &amp; D&amp;A) / Interest Expense
ICR of 2 is generally minimum
also Check Credit Rating</t>
        </r>
      </text>
    </comment>
    <comment ref="B29" authorId="0" shapeId="0" xr:uid="{8FE8E5BF-13D8-402B-8070-E0ABB2E991B1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Current Assets / Current Liabilities
Current Assets: Cash + Marketable Sec. + Inventory + AR + Other Rec
Current Liabilities: Short Term Debt + AP + Accrued Expense + Def. Revenue</t>
        </r>
      </text>
    </comment>
    <comment ref="B30" authorId="0" shapeId="0" xr:uid="{54D69E42-35D3-490C-A497-78ABDAACCE20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Cash + Marketable Securities + AR / Current Liabilities or
= Cash + Marketable Securities + AR / AP</t>
        </r>
      </text>
    </comment>
    <comment ref="B31" authorId="0" shapeId="0" xr:uid="{7DEC5B2C-4977-4F57-B24A-CA4FF2DFF0ED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Working Capital = Current Assets - Current Liabilities
&gt;30% very good
15% - 30% satisfactory
0% - 15% unsatisfactory
&lt; 0% critical</t>
        </r>
      </text>
    </comment>
    <comment ref="B32" authorId="0" shapeId="0" xr:uid="{C7CF7851-5FDA-4DD7-9531-B44B5A8A2A9C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BVPS = Stockholders Equity $ - Preffered Stock $ / Average Shares Outstanding
Book Value (Share Capital + Retained Earnings) = Total Assets - Total Liabilities</t>
        </r>
      </text>
    </comment>
    <comment ref="B33" authorId="0" shapeId="0" xr:uid="{A803D22A-1FAC-4EE7-83A6-8FC274E0C949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Net Sales / Average Total Assets
Average Total Assets = (Assets at start of year + Assets end of year) / 2</t>
        </r>
      </text>
    </comment>
    <comment ref="B34" authorId="0" shapeId="0" xr:uid="{BE9EE88E-4163-4D0A-BE61-4D10937BAFB7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Net Income / Total Assets</t>
        </r>
      </text>
    </comment>
    <comment ref="B35" authorId="0" shapeId="0" xr:uid="{4A245704-8FBD-412D-8ACC-9F438C60C482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Net Income / Shareholders Equity $</t>
        </r>
      </text>
    </comment>
    <comment ref="B36" authorId="0" shapeId="0" xr:uid="{07083824-5D79-40A7-83E6-23D30EAF9E8E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Last Annual Free Cash Flow per Share / Current Market Stock Price
P/FCFPS = Current Market Stock Price / Annualized Free Cash Flow per Share
P/E </t>
        </r>
      </text>
    </comment>
  </commentList>
</comments>
</file>

<file path=xl/sharedStrings.xml><?xml version="1.0" encoding="utf-8"?>
<sst xmlns="http://schemas.openxmlformats.org/spreadsheetml/2006/main" count="231" uniqueCount="189">
  <si>
    <t>Price</t>
  </si>
  <si>
    <t>Shares</t>
  </si>
  <si>
    <t>MC</t>
  </si>
  <si>
    <t>CASH</t>
  </si>
  <si>
    <t>DEBT</t>
  </si>
  <si>
    <t>EV</t>
  </si>
  <si>
    <t>Q222</t>
  </si>
  <si>
    <t>Q322</t>
  </si>
  <si>
    <t>Q422</t>
  </si>
  <si>
    <t>Q123</t>
  </si>
  <si>
    <t>Q221</t>
  </si>
  <si>
    <t>Q321</t>
  </si>
  <si>
    <t>Q421</t>
  </si>
  <si>
    <t>Q122</t>
  </si>
  <si>
    <t>FY21</t>
  </si>
  <si>
    <t>FY22</t>
  </si>
  <si>
    <t>FY23</t>
  </si>
  <si>
    <t>Revenue</t>
  </si>
  <si>
    <t>FY20</t>
  </si>
  <si>
    <t>EBITDA</t>
  </si>
  <si>
    <t>Income Tax</t>
  </si>
  <si>
    <t>Net Income</t>
  </si>
  <si>
    <t>EPS</t>
  </si>
  <si>
    <t>Operational Income</t>
  </si>
  <si>
    <t>Cash</t>
  </si>
  <si>
    <t>Other</t>
  </si>
  <si>
    <t>Total Assets</t>
  </si>
  <si>
    <t>Total Liablities</t>
  </si>
  <si>
    <t>Gross Margin</t>
  </si>
  <si>
    <t>Net Margin</t>
  </si>
  <si>
    <t>Revenue y/y</t>
  </si>
  <si>
    <t>FY24</t>
  </si>
  <si>
    <t>Q121</t>
  </si>
  <si>
    <t>FY19</t>
  </si>
  <si>
    <t>Net Income y/y</t>
  </si>
  <si>
    <t>Q223</t>
  </si>
  <si>
    <t>Net CASH</t>
  </si>
  <si>
    <t>Main</t>
  </si>
  <si>
    <t>Net Cash</t>
  </si>
  <si>
    <t>Q323</t>
  </si>
  <si>
    <t>Q423</t>
  </si>
  <si>
    <t>Last Update</t>
  </si>
  <si>
    <t>Management</t>
  </si>
  <si>
    <t>EG1</t>
  </si>
  <si>
    <t>EG2</t>
  </si>
  <si>
    <t>PE1</t>
  </si>
  <si>
    <t>PE2</t>
  </si>
  <si>
    <t>PE0</t>
  </si>
  <si>
    <t>Shareholders</t>
  </si>
  <si>
    <t>% Out</t>
  </si>
  <si>
    <t>Date</t>
  </si>
  <si>
    <t>Close</t>
  </si>
  <si>
    <t>Event</t>
  </si>
  <si>
    <t>Earnings</t>
  </si>
  <si>
    <t>Driving business factors:</t>
  </si>
  <si>
    <t>xxx</t>
  </si>
  <si>
    <t>Insiders</t>
  </si>
  <si>
    <t>Comment</t>
  </si>
  <si>
    <t>Role</t>
  </si>
  <si>
    <t>COGS</t>
  </si>
  <si>
    <t>Current Assets</t>
  </si>
  <si>
    <t>Total Current Liabilities</t>
  </si>
  <si>
    <t>Q124</t>
  </si>
  <si>
    <t>EPS exp.</t>
  </si>
  <si>
    <t>Rev. Exp.</t>
  </si>
  <si>
    <t>Q224</t>
  </si>
  <si>
    <t>FY25</t>
  </si>
  <si>
    <t>PEG1</t>
  </si>
  <si>
    <t>PEG2</t>
  </si>
  <si>
    <t>EBIT</t>
  </si>
  <si>
    <t>EV/EBITDA</t>
  </si>
  <si>
    <t>Notes</t>
  </si>
  <si>
    <t>PP&amp;E</t>
  </si>
  <si>
    <t>Intangible Asset</t>
  </si>
  <si>
    <t>Equity</t>
  </si>
  <si>
    <t>Inventories</t>
  </si>
  <si>
    <t>Interest Rate debt</t>
  </si>
  <si>
    <t>RG1</t>
  </si>
  <si>
    <t>RG2</t>
  </si>
  <si>
    <t>Debt to Equity Ratio</t>
  </si>
  <si>
    <t>Interest Coverage Ratio</t>
  </si>
  <si>
    <t>Current Ratio</t>
  </si>
  <si>
    <t>Quick Ratio</t>
  </si>
  <si>
    <t>WC over Total Assets</t>
  </si>
  <si>
    <t>Book Value per Share</t>
  </si>
  <si>
    <t>Sales to Assets Ratio</t>
  </si>
  <si>
    <t>Returns on Assets</t>
  </si>
  <si>
    <t>ROE</t>
  </si>
  <si>
    <t>FCF Yield</t>
  </si>
  <si>
    <t>w/w</t>
  </si>
  <si>
    <t>Close to Close Weekly returns</t>
  </si>
  <si>
    <t>Intervals</t>
  </si>
  <si>
    <t>Bin</t>
  </si>
  <si>
    <t>Frequency</t>
  </si>
  <si>
    <t>Range</t>
  </si>
  <si>
    <t>Probability</t>
  </si>
  <si>
    <t>Cumulative Percentage</t>
  </si>
  <si>
    <t>More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</si>
  <si>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</si>
  <si>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</si>
  <si>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</si>
  <si>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</si>
  <si>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</si>
  <si>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</si>
  <si>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</si>
  <si>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</si>
  <si>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Minimum</t>
  </si>
  <si>
    <t>Maximum</t>
  </si>
  <si>
    <t>Sum</t>
  </si>
  <si>
    <t>Count</t>
  </si>
  <si>
    <t>Average Returns</t>
  </si>
  <si>
    <t>Frequency %</t>
  </si>
  <si>
    <t>Frequency Adjusted Return</t>
  </si>
  <si>
    <t>Positive Data Points</t>
  </si>
  <si>
    <t>Negative Data Points</t>
  </si>
  <si>
    <t>Zero</t>
  </si>
  <si>
    <t>Std Dev</t>
  </si>
  <si>
    <t>Upper Bound</t>
  </si>
  <si>
    <t>Lower Bound</t>
  </si>
  <si>
    <t>Actual Count</t>
  </si>
  <si>
    <t>Actual % Count</t>
  </si>
  <si>
    <t>Normal % Count</t>
  </si>
  <si>
    <t>Percentiles</t>
  </si>
  <si>
    <t>Stop %</t>
  </si>
  <si>
    <t>Target %</t>
  </si>
  <si>
    <t>Current Price</t>
  </si>
  <si>
    <t>Stop Price</t>
  </si>
  <si>
    <t>Target Price</t>
  </si>
  <si>
    <t>Descriptive Statistics</t>
  </si>
  <si>
    <t>G&amp;A / REV</t>
  </si>
  <si>
    <t>Dr. Oliver Blume</t>
  </si>
  <si>
    <t>Chairman of Executive Board &amp; CEO</t>
  </si>
  <si>
    <t>Mr. Lutz Meschke</t>
  </si>
  <si>
    <t>Deputy Chairman of Executive Board, CFO and Member of the Finance &amp; IT Management Board</t>
  </si>
  <si>
    <t>Mr. Andreas Haffner</t>
  </si>
  <si>
    <t>Member of Executive Board and Head of Human Resources &amp; Social Affairs</t>
  </si>
  <si>
    <t>Mr. Detlev von Platen</t>
  </si>
  <si>
    <t>Head of Sales &amp; Marketing and Member of the Executive Board</t>
  </si>
  <si>
    <t>Mr. Albrecht Reimold</t>
  </si>
  <si>
    <t>Member of Executive Board of Production &amp; Logistics</t>
  </si>
  <si>
    <t>Dr. Michael Steiner</t>
  </si>
  <si>
    <t>Member of the Executive Board for Research &amp; Development</t>
  </si>
  <si>
    <t>Ms. Barbara Frenkel</t>
  </si>
  <si>
    <t>Member of Executive Board of Procurement</t>
  </si>
  <si>
    <t>Mr. Sajjad Khan</t>
  </si>
  <si>
    <t>Head of Car-IT Department &amp; Member of the Executive Board</t>
  </si>
  <si>
    <t>Dr. Sebastian Rudolph</t>
  </si>
  <si>
    <t>Vice President of Communications, Sustainability, &amp; Politics</t>
  </si>
  <si>
    <t>Dividende 2,57%</t>
  </si>
  <si>
    <t>Ex Dividend Date: 10.06.2024</t>
  </si>
  <si>
    <t>Pacer Advisors, Inc.</t>
  </si>
  <si>
    <t>Gleason Group, Inc.</t>
  </si>
  <si>
    <t>Porsche Holding Stuttgart GmbH</t>
  </si>
  <si>
    <t>Porsche Automobil Holding SE</t>
  </si>
  <si>
    <t>Q324</t>
  </si>
  <si>
    <t>Q424</t>
  </si>
  <si>
    <t>Germany</t>
  </si>
  <si>
    <t>Europe without Germany</t>
  </si>
  <si>
    <t>NA</t>
  </si>
  <si>
    <t>China</t>
  </si>
  <si>
    <t>RoW</t>
  </si>
  <si>
    <t>Deliveries</t>
  </si>
  <si>
    <t>Macan</t>
  </si>
  <si>
    <t>Cayenne</t>
  </si>
  <si>
    <t>Panamera</t>
  </si>
  <si>
    <t>Taycan</t>
  </si>
  <si>
    <t>Germany y/y</t>
  </si>
  <si>
    <t>NA y/y</t>
  </si>
  <si>
    <t>China y/y</t>
  </si>
  <si>
    <t>911 y/y</t>
  </si>
  <si>
    <t>Taycan y/y</t>
  </si>
  <si>
    <t>SUVs y/y</t>
  </si>
  <si>
    <t>Sales</t>
  </si>
  <si>
    <t>Distribution Expense</t>
  </si>
  <si>
    <t>Administrative expense</t>
  </si>
  <si>
    <t>Investments</t>
  </si>
  <si>
    <t>Interest net</t>
  </si>
  <si>
    <t>Distribution Exp / REV</t>
  </si>
  <si>
    <t>Admin Exp / REV</t>
  </si>
  <si>
    <t>Tax Rate</t>
  </si>
  <si>
    <t>Financial Service Receivables</t>
  </si>
  <si>
    <t>Tax Receivables</t>
  </si>
  <si>
    <t>Securities</t>
  </si>
  <si>
    <t>Assets held for sale</t>
  </si>
  <si>
    <t>Leased assets</t>
  </si>
  <si>
    <t>Financial liabilities</t>
  </si>
  <si>
    <t>Trade payables</t>
  </si>
  <si>
    <t>Liabilities asset for sale</t>
  </si>
  <si>
    <t>Provisions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</si>
</sst>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%"/>
    <numFmt numFmtId="166" formatCode="0.0000"/>
    <numFmt numFmtId="167" formatCode="0.0%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3F3F76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9B9B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C99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9" fillId="9" borderId="9" applyNumberFormat="0" applyAlignment="0" applyProtection="0"/>
  </cellStyleXfs>
  <cellXfs count="152">
    <xf numFmtId="0" fontId="0" fillId="0" borderId="0" xfId="0"/>
    <xf numFmtId="0" fontId="2" fillId="0" borderId="0" xfId="0" applyFont="1"/>
    <xf numFmtId="2" fontId="2" fillId="0" borderId="0" xfId="0" applyNumberFormat="1" applyFont="1"/>
    <xf numFmtId="9" fontId="0" fillId="0" borderId="0" xfId="1" applyFont="1"/>
    <xf numFmtId="9" fontId="0" fillId="0" borderId="0" xfId="0" applyNumberFormat="1"/>
    <xf numFmtId="0" fontId="0" fillId="0" borderId="1" xfId="0" applyBorder="1"/>
    <xf numFmtId="9" fontId="0" fillId="0" borderId="2" xfId="1" applyFont="1" applyBorder="1"/>
    <xf numFmtId="9" fontId="0" fillId="0" borderId="2" xfId="0" applyNumberFormat="1" applyBorder="1"/>
    <xf numFmtId="0" fontId="4" fillId="0" borderId="0" xfId="2"/>
    <xf numFmtId="0" fontId="5" fillId="0" borderId="0" xfId="0" applyFont="1"/>
    <xf numFmtId="3" fontId="0" fillId="0" borderId="0" xfId="0" applyNumberFormat="1"/>
    <xf numFmtId="3" fontId="2" fillId="0" borderId="0" xfId="0" applyNumberFormat="1" applyFont="1"/>
    <xf numFmtId="14" fontId="0" fillId="0" borderId="0" xfId="0" applyNumberFormat="1"/>
    <xf numFmtId="0" fontId="0" fillId="0" borderId="2" xfId="0" applyBorder="1"/>
    <xf numFmtId="3" fontId="2" fillId="0" borderId="2" xfId="0" applyNumberFormat="1" applyFont="1" applyBorder="1"/>
    <xf numFmtId="3" fontId="0" fillId="0" borderId="2" xfId="0" applyNumberFormat="1" applyBorder="1"/>
    <xf numFmtId="0" fontId="2" fillId="0" borderId="2" xfId="0" applyFont="1" applyBorder="1"/>
    <xf numFmtId="49" fontId="0" fillId="0" borderId="0" xfId="0" applyNumberFormat="1"/>
    <xf numFmtId="2" fontId="0" fillId="0" borderId="0" xfId="0" applyNumberFormat="1"/>
    <xf numFmtId="0" fontId="0" fillId="0" borderId="4" xfId="0" applyBorder="1"/>
    <xf numFmtId="14" fontId="0" fillId="0" borderId="2" xfId="0" applyNumberFormat="1" applyBorder="1"/>
    <xf numFmtId="20" fontId="0" fillId="0" borderId="2" xfId="0" applyNumberFormat="1" applyBorder="1"/>
    <xf numFmtId="0" fontId="0" fillId="0" borderId="5" xfId="0" applyBorder="1"/>
    <xf numFmtId="0" fontId="0" fillId="0" borderId="6" xfId="0" applyBorder="1"/>
    <xf numFmtId="0" fontId="0" fillId="3" borderId="3" xfId="0" applyFill="1" applyBorder="1"/>
    <xf numFmtId="0" fontId="0" fillId="0" borderId="7" xfId="0" applyBorder="1"/>
    <xf numFmtId="0" fontId="0" fillId="3" borderId="7" xfId="0" applyFill="1" applyBorder="1"/>
    <xf numFmtId="0" fontId="0" fillId="3" borderId="4" xfId="0" applyFill="1" applyBorder="1"/>
    <xf numFmtId="0" fontId="0" fillId="0" borderId="0" xfId="0" applyAlignment="1">
      <alignment horizontal="right"/>
    </xf>
    <xf numFmtId="0" fontId="0" fillId="0" borderId="8" xfId="0" applyBorder="1"/>
    <xf numFmtId="0" fontId="0" fillId="2" borderId="3" xfId="0" applyFill="1" applyBorder="1"/>
    <xf numFmtId="0" fontId="0" fillId="2" borderId="7" xfId="0" applyFill="1" applyBorder="1"/>
    <xf numFmtId="0" fontId="0" fillId="2" borderId="4" xfId="0" applyFill="1" applyBorder="1"/>
    <xf numFmtId="0" fontId="0" fillId="4" borderId="0" xfId="0" applyFill="1"/>
    <xf numFmtId="0" fontId="0" fillId="5" borderId="3" xfId="0" applyFill="1" applyBorder="1"/>
    <xf numFmtId="2" fontId="2" fillId="0" borderId="2" xfId="0" applyNumberFormat="1" applyFont="1" applyBorder="1"/>
    <xf numFmtId="164" fontId="0" fillId="0" borderId="2" xfId="0" applyNumberFormat="1" applyBorder="1"/>
    <xf numFmtId="9" fontId="0" fillId="6" borderId="0" xfId="0" applyNumberFormat="1" applyFill="1"/>
    <xf numFmtId="0" fontId="0" fillId="0" borderId="2" xfId="0" applyBorder="1" applyAlignment="1">
      <alignment wrapText="1"/>
    </xf>
    <xf numFmtId="165" fontId="0" fillId="0" borderId="2" xfId="1" applyNumberFormat="1" applyFont="1" applyBorder="1"/>
    <xf numFmtId="9" fontId="0" fillId="0" borderId="0" xfId="1" applyFont="1" applyBorder="1"/>
    <xf numFmtId="3" fontId="5" fillId="0" borderId="0" xfId="0" applyNumberFormat="1" applyFont="1"/>
    <xf numFmtId="0" fontId="5" fillId="0" borderId="2" xfId="0" applyFont="1" applyBorder="1"/>
    <xf numFmtId="3" fontId="5" fillId="6" borderId="0" xfId="0" applyNumberFormat="1" applyFont="1" applyFill="1"/>
    <xf numFmtId="2" fontId="6" fillId="6" borderId="0" xfId="0" applyNumberFormat="1" applyFont="1" applyFill="1"/>
    <xf numFmtId="0" fontId="6" fillId="6" borderId="0" xfId="0" applyFont="1" applyFill="1"/>
    <xf numFmtId="9" fontId="5" fillId="6" borderId="0" xfId="1" applyFont="1" applyFill="1"/>
    <xf numFmtId="9" fontId="5" fillId="6" borderId="0" xfId="0" applyNumberFormat="1" applyFont="1" applyFill="1"/>
    <xf numFmtId="9" fontId="5" fillId="6" borderId="0" xfId="1" applyFont="1" applyFill="1" applyBorder="1"/>
    <xf numFmtId="2" fontId="2" fillId="0" borderId="2" xfId="0" applyNumberFormat="1" applyFont="1" applyBorder="1" applyAlignment="1">
      <alignment horizontal="right"/>
    </xf>
    <xf numFmtId="2" fontId="2" fillId="0" borderId="0" xfId="0" applyNumberFormat="1" applyFont="1" applyAlignment="1">
      <alignment horizontal="right"/>
    </xf>
    <xf numFmtId="2" fontId="5" fillId="0" borderId="0" xfId="0" applyNumberFormat="1" applyFont="1"/>
    <xf numFmtId="2" fontId="0" fillId="0" borderId="2" xfId="0" applyNumberFormat="1" applyBorder="1"/>
    <xf numFmtId="10" fontId="2" fillId="0" borderId="0" xfId="1" applyNumberFormat="1" applyFont="1"/>
    <xf numFmtId="10" fontId="2" fillId="0" borderId="2" xfId="1" applyNumberFormat="1" applyFont="1" applyBorder="1"/>
    <xf numFmtId="2" fontId="2" fillId="3" borderId="2" xfId="0" applyNumberFormat="1" applyFont="1" applyFill="1" applyBorder="1"/>
    <xf numFmtId="2" fontId="6" fillId="3" borderId="0" xfId="0" applyNumberFormat="1" applyFont="1" applyFill="1"/>
    <xf numFmtId="0" fontId="6" fillId="3" borderId="0" xfId="0" applyFont="1" applyFill="1"/>
    <xf numFmtId="9" fontId="5" fillId="0" borderId="0" xfId="1" applyFont="1" applyBorder="1"/>
    <xf numFmtId="3" fontId="6" fillId="6" borderId="0" xfId="0" applyNumberFormat="1" applyFont="1" applyFill="1"/>
    <xf numFmtId="0" fontId="0" fillId="3" borderId="7" xfId="0" applyFill="1" applyBorder="1" applyAlignment="1">
      <alignment horizontal="right"/>
    </xf>
    <xf numFmtId="0" fontId="11" fillId="11" borderId="13" xfId="0" applyFont="1" applyFill="1" applyBorder="1"/>
    <xf numFmtId="0" fontId="11" fillId="11" borderId="14" xfId="0" applyFont="1" applyFill="1" applyBorder="1"/>
    <xf numFmtId="0" fontId="11" fillId="11" borderId="15" xfId="0" applyFont="1" applyFill="1" applyBorder="1"/>
    <xf numFmtId="0" fontId="11" fillId="11" borderId="16" xfId="0" applyFont="1" applyFill="1" applyBorder="1"/>
    <xf numFmtId="0" fontId="12" fillId="11" borderId="17" xfId="0" applyFont="1" applyFill="1" applyBorder="1" applyAlignment="1">
      <alignment horizontal="center"/>
    </xf>
    <xf numFmtId="0" fontId="12" fillId="11" borderId="18" xfId="0" applyFont="1" applyFill="1" applyBorder="1" applyAlignment="1">
      <alignment horizontal="center"/>
    </xf>
    <xf numFmtId="0" fontId="11" fillId="11" borderId="19" xfId="0" applyFont="1" applyFill="1" applyBorder="1"/>
    <xf numFmtId="0" fontId="11" fillId="11" borderId="20" xfId="0" applyFont="1" applyFill="1" applyBorder="1"/>
    <xf numFmtId="166" fontId="11" fillId="11" borderId="21" xfId="0" applyNumberFormat="1" applyFont="1" applyFill="1" applyBorder="1"/>
    <xf numFmtId="166" fontId="11" fillId="11" borderId="22" xfId="0" applyNumberFormat="1" applyFont="1" applyFill="1" applyBorder="1"/>
    <xf numFmtId="0" fontId="11" fillId="11" borderId="22" xfId="0" applyFont="1" applyFill="1" applyBorder="1"/>
    <xf numFmtId="10" fontId="11" fillId="11" borderId="22" xfId="0" applyNumberFormat="1" applyFont="1" applyFill="1" applyBorder="1"/>
    <xf numFmtId="10" fontId="11" fillId="11" borderId="23" xfId="0" applyNumberFormat="1" applyFont="1" applyFill="1" applyBorder="1"/>
    <xf numFmtId="166" fontId="11" fillId="11" borderId="24" xfId="0" applyNumberFormat="1" applyFont="1" applyFill="1" applyBorder="1"/>
    <xf numFmtId="166" fontId="11" fillId="11" borderId="25" xfId="0" applyNumberFormat="1" applyFont="1" applyFill="1" applyBorder="1"/>
    <xf numFmtId="0" fontId="11" fillId="11" borderId="25" xfId="0" applyFont="1" applyFill="1" applyBorder="1"/>
    <xf numFmtId="0" fontId="11" fillId="11" borderId="25" xfId="0" quotePrefix="1" applyFont="1" applyFill="1" applyBorder="1"/>
    <xf numFmtId="10" fontId="11" fillId="11" borderId="25" xfId="0" applyNumberFormat="1" applyFont="1" applyFill="1" applyBorder="1"/>
    <xf numFmtId="10" fontId="11" fillId="11" borderId="26" xfId="0" applyNumberFormat="1" applyFont="1" applyFill="1" applyBorder="1"/>
    <xf numFmtId="0" fontId="11" fillId="11" borderId="27" xfId="0" applyFont="1" applyFill="1" applyBorder="1"/>
    <xf numFmtId="0" fontId="11" fillId="11" borderId="28" xfId="0" applyFont="1" applyFill="1" applyBorder="1"/>
    <xf numFmtId="10" fontId="11" fillId="11" borderId="29" xfId="0" applyNumberFormat="1" applyFont="1" applyFill="1" applyBorder="1"/>
    <xf numFmtId="166" fontId="11" fillId="11" borderId="30" xfId="0" applyNumberFormat="1" applyFont="1" applyFill="1" applyBorder="1"/>
    <xf numFmtId="0" fontId="11" fillId="11" borderId="31" xfId="0" applyFont="1" applyFill="1" applyBorder="1"/>
    <xf numFmtId="166" fontId="11" fillId="11" borderId="34" xfId="0" applyNumberFormat="1" applyFont="1" applyFill="1" applyBorder="1"/>
    <xf numFmtId="166" fontId="11" fillId="11" borderId="13" xfId="0" applyNumberFormat="1" applyFont="1" applyFill="1" applyBorder="1"/>
    <xf numFmtId="0" fontId="0" fillId="11" borderId="35" xfId="0" applyFill="1" applyBorder="1"/>
    <xf numFmtId="166" fontId="11" fillId="11" borderId="36" xfId="0" applyNumberFormat="1" applyFont="1" applyFill="1" applyBorder="1"/>
    <xf numFmtId="166" fontId="11" fillId="11" borderId="37" xfId="0" applyNumberFormat="1" applyFont="1" applyFill="1" applyBorder="1"/>
    <xf numFmtId="0" fontId="13" fillId="11" borderId="22" xfId="0" applyFont="1" applyFill="1" applyBorder="1"/>
    <xf numFmtId="0" fontId="13" fillId="11" borderId="23" xfId="0" applyFont="1" applyFill="1" applyBorder="1"/>
    <xf numFmtId="166" fontId="13" fillId="11" borderId="24" xfId="0" applyNumberFormat="1" applyFont="1" applyFill="1" applyBorder="1"/>
    <xf numFmtId="166" fontId="13" fillId="11" borderId="30" xfId="0" applyNumberFormat="1" applyFont="1" applyFill="1" applyBorder="1"/>
    <xf numFmtId="10" fontId="11" fillId="11" borderId="28" xfId="0" applyNumberFormat="1" applyFont="1" applyFill="1" applyBorder="1"/>
    <xf numFmtId="0" fontId="11" fillId="11" borderId="0" xfId="0" applyFont="1" applyFill="1"/>
    <xf numFmtId="1" fontId="11" fillId="11" borderId="24" xfId="0" applyNumberFormat="1" applyFont="1" applyFill="1" applyBorder="1"/>
    <xf numFmtId="10" fontId="11" fillId="11" borderId="38" xfId="0" applyNumberFormat="1" applyFont="1" applyFill="1" applyBorder="1"/>
    <xf numFmtId="9" fontId="13" fillId="11" borderId="39" xfId="0" applyNumberFormat="1" applyFont="1" applyFill="1" applyBorder="1"/>
    <xf numFmtId="10" fontId="0" fillId="11" borderId="41" xfId="0" applyNumberFormat="1" applyFill="1" applyBorder="1" applyAlignment="1">
      <alignment horizontal="centerContinuous"/>
    </xf>
    <xf numFmtId="9" fontId="13" fillId="11" borderId="42" xfId="0" applyNumberFormat="1" applyFont="1" applyFill="1" applyBorder="1"/>
    <xf numFmtId="10" fontId="0" fillId="11" borderId="40" xfId="0" applyNumberFormat="1" applyFill="1" applyBorder="1" applyAlignment="1">
      <alignment horizontal="centerContinuous"/>
    </xf>
    <xf numFmtId="9" fontId="13" fillId="11" borderId="34" xfId="0" applyNumberFormat="1" applyFont="1" applyFill="1" applyBorder="1"/>
    <xf numFmtId="10" fontId="0" fillId="11" borderId="2" xfId="0" applyNumberFormat="1" applyFill="1" applyBorder="1" applyAlignment="1">
      <alignment horizontal="centerContinuous"/>
    </xf>
    <xf numFmtId="9" fontId="13" fillId="11" borderId="1" xfId="0" applyNumberFormat="1" applyFont="1" applyFill="1" applyBorder="1"/>
    <xf numFmtId="10" fontId="0" fillId="11" borderId="31" xfId="0" applyNumberFormat="1" applyFill="1" applyBorder="1" applyAlignment="1">
      <alignment horizontal="centerContinuous"/>
    </xf>
    <xf numFmtId="9" fontId="13" fillId="11" borderId="13" xfId="0" applyNumberFormat="1" applyFont="1" applyFill="1" applyBorder="1"/>
    <xf numFmtId="10" fontId="0" fillId="11" borderId="35" xfId="0" applyNumberFormat="1" applyFill="1" applyBorder="1" applyAlignment="1">
      <alignment horizontal="centerContinuous"/>
    </xf>
    <xf numFmtId="0" fontId="11" fillId="11" borderId="43" xfId="0" applyFont="1" applyFill="1" applyBorder="1"/>
    <xf numFmtId="9" fontId="13" fillId="11" borderId="43" xfId="0" applyNumberFormat="1" applyFont="1" applyFill="1" applyBorder="1"/>
    <xf numFmtId="10" fontId="0" fillId="11" borderId="15" xfId="0" applyNumberFormat="1" applyFill="1" applyBorder="1" applyAlignment="1">
      <alignment horizontal="centerContinuous"/>
    </xf>
    <xf numFmtId="0" fontId="13" fillId="0" borderId="21" xfId="0" applyFont="1" applyBorder="1"/>
    <xf numFmtId="9" fontId="9" fillId="9" borderId="23" xfId="3" applyNumberFormat="1" applyBorder="1"/>
    <xf numFmtId="0" fontId="13" fillId="0" borderId="27" xfId="0" applyFont="1" applyBorder="1"/>
    <xf numFmtId="9" fontId="9" fillId="9" borderId="29" xfId="3" applyNumberFormat="1" applyBorder="1"/>
    <xf numFmtId="0" fontId="11" fillId="0" borderId="0" xfId="0" applyFont="1"/>
    <xf numFmtId="2" fontId="9" fillId="9" borderId="23" xfId="3" applyNumberFormat="1" applyBorder="1"/>
    <xf numFmtId="0" fontId="13" fillId="0" borderId="24" xfId="0" applyFont="1" applyBorder="1"/>
    <xf numFmtId="2" fontId="0" fillId="0" borderId="26" xfId="0" applyNumberFormat="1" applyBorder="1"/>
    <xf numFmtId="2" fontId="0" fillId="0" borderId="29" xfId="0" applyNumberFormat="1" applyBorder="1"/>
    <xf numFmtId="2" fontId="0" fillId="0" borderId="2" xfId="1" applyNumberFormat="1" applyFont="1" applyBorder="1"/>
    <xf numFmtId="9" fontId="5" fillId="0" borderId="0" xfId="1" applyFont="1" applyFill="1" applyBorder="1"/>
    <xf numFmtId="165" fontId="11" fillId="11" borderId="31" xfId="0" applyNumberFormat="1" applyFont="1" applyFill="1" applyBorder="1"/>
    <xf numFmtId="2" fontId="11" fillId="11" borderId="31" xfId="0" applyNumberFormat="1" applyFont="1" applyFill="1" applyBorder="1"/>
    <xf numFmtId="10" fontId="0" fillId="0" borderId="0" xfId="1" applyNumberFormat="1" applyFont="1"/>
    <xf numFmtId="167" fontId="0" fillId="0" borderId="0" xfId="1" applyNumberFormat="1" applyFont="1" applyAlignment="1">
      <alignment horizontal="right"/>
    </xf>
    <xf numFmtId="167" fontId="0" fillId="0" borderId="1" xfId="1" applyNumberFormat="1" applyFont="1" applyBorder="1" applyAlignment="1">
      <alignment horizontal="right"/>
    </xf>
    <xf numFmtId="0" fontId="0" fillId="0" borderId="0" xfId="0" applyAlignment="1">
      <alignment horizontal="left"/>
    </xf>
    <xf numFmtId="0" fontId="0" fillId="6" borderId="0" xfId="0" applyFill="1"/>
    <xf numFmtId="9" fontId="0" fillId="7" borderId="0" xfId="0" applyNumberFormat="1" applyFill="1"/>
    <xf numFmtId="3" fontId="0" fillId="6" borderId="2" xfId="0" applyNumberFormat="1" applyFill="1" applyBorder="1"/>
    <xf numFmtId="9" fontId="0" fillId="6" borderId="2" xfId="0" applyNumberFormat="1" applyFill="1" applyBorder="1"/>
    <xf numFmtId="9" fontId="0" fillId="7" borderId="0" xfId="1" applyFont="1" applyFill="1"/>
    <xf numFmtId="0" fontId="0" fillId="8" borderId="3" xfId="0" applyFill="1" applyBorder="1" applyAlignment="1">
      <alignment horizontal="center" vertical="center" wrapText="1"/>
    </xf>
    <xf numFmtId="0" fontId="0" fillId="8" borderId="7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10" fillId="10" borderId="10" xfId="0" applyFont="1" applyFill="1" applyBorder="1" applyAlignment="1">
      <alignment horizontal="center"/>
    </xf>
    <xf numFmtId="0" fontId="10" fillId="10" borderId="11" xfId="0" applyFont="1" applyFill="1" applyBorder="1" applyAlignment="1">
      <alignment horizontal="center"/>
    </xf>
    <xf numFmtId="0" fontId="10" fillId="10" borderId="12" xfId="0" applyFont="1" applyFill="1" applyBorder="1" applyAlignment="1">
      <alignment horizontal="center"/>
    </xf>
    <xf numFmtId="166" fontId="11" fillId="11" borderId="32" xfId="0" applyNumberFormat="1" applyFont="1" applyFill="1" applyBorder="1" applyAlignment="1">
      <alignment horizontal="center"/>
    </xf>
    <xf numFmtId="166" fontId="11" fillId="11" borderId="44" xfId="0" applyNumberFormat="1" applyFont="1" applyFill="1" applyBorder="1" applyAlignment="1">
      <alignment horizontal="center"/>
    </xf>
    <xf numFmtId="166" fontId="11" fillId="11" borderId="33" xfId="0" applyNumberFormat="1" applyFont="1" applyFill="1" applyBorder="1" applyAlignment="1">
      <alignment horizontal="center"/>
    </xf>
    <xf numFmtId="166" fontId="11" fillId="11" borderId="45" xfId="0" applyNumberFormat="1" applyFont="1" applyFill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40" xfId="0" applyFont="1" applyBorder="1" applyAlignment="1">
      <alignment horizontal="center"/>
    </xf>
  </cellXfs>
  <cellStyles count="4">
    <cellStyle name="Hyperlink" xfId="2" builtinId="8"/>
    <cellStyle name="Input" xfId="3" builtinId="20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9B9B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Revenue by Quarter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Model!$B$3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1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309-400E-9279-09DE67BBD1C5}"/>
              </c:ext>
            </c:extLst>
          </c:dPt>
          <c:dPt>
            <c:idx val="12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309-400E-9279-09DE67BBD1C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Model!$L$2:$X$2</c:f>
              <c:strCache>
                <c:ptCount val="13"/>
                <c:pt idx="0">
                  <c:v>Q121</c:v>
                </c:pt>
                <c:pt idx="1">
                  <c:v>Q221</c:v>
                </c:pt>
                <c:pt idx="2">
                  <c:v>Q321</c:v>
                </c:pt>
                <c:pt idx="3">
                  <c:v>Q421</c:v>
                </c:pt>
                <c:pt idx="4">
                  <c:v>Q122</c:v>
                </c:pt>
                <c:pt idx="5">
                  <c:v>Q222</c:v>
                </c:pt>
                <c:pt idx="6">
                  <c:v>Q322</c:v>
                </c:pt>
                <c:pt idx="7">
                  <c:v>Q422</c:v>
                </c:pt>
                <c:pt idx="8">
                  <c:v>Q123</c:v>
                </c:pt>
                <c:pt idx="9">
                  <c:v>Q223</c:v>
                </c:pt>
                <c:pt idx="10">
                  <c:v>Q323</c:v>
                </c:pt>
                <c:pt idx="11">
                  <c:v>Q423</c:v>
                </c:pt>
                <c:pt idx="12">
                  <c:v>Q124</c:v>
                </c:pt>
              </c:strCache>
            </c:strRef>
          </c:cat>
          <c:val>
            <c:numRef>
              <c:f>Model!$L$3:$X$3</c:f>
              <c:numCache>
                <c:formatCode>#,##0</c:formatCode>
                <c:ptCount val="13"/>
                <c:pt idx="4">
                  <c:v>8043</c:v>
                </c:pt>
                <c:pt idx="5">
                  <c:v>9879</c:v>
                </c:pt>
                <c:pt idx="6">
                  <c:v>8828</c:v>
                </c:pt>
                <c:pt idx="8">
                  <c:v>10097</c:v>
                </c:pt>
                <c:pt idx="9">
                  <c:v>10334</c:v>
                </c:pt>
                <c:pt idx="10">
                  <c:v>9701</c:v>
                </c:pt>
                <c:pt idx="11">
                  <c:v>10398</c:v>
                </c:pt>
                <c:pt idx="12">
                  <c:v>9011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35-459C-BD1A-99CA96EE3A9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Model!$B$21</c:f>
              <c:strCache>
                <c:ptCount val="1"/>
                <c:pt idx="0">
                  <c:v>Revenue y/y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Model!$L$21:$X$21</c:f>
              <c:numCache>
                <c:formatCode>0%</c:formatCode>
                <c:ptCount val="13"/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0.25537734676115886</c:v>
                </c:pt>
                <c:pt idx="9">
                  <c:v>4.6057293248304543E-2</c:v>
                </c:pt>
                <c:pt idx="10">
                  <c:v>9.8889895786135051E-2</c:v>
                </c:pt>
                <c:pt idx="11">
                  <c:v>0</c:v>
                </c:pt>
                <c:pt idx="12">
                  <c:v>-0.10755670000990392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35-459C-BD1A-99CA96EE3A9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Revenue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Model!$B$3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1CC-452E-9D1B-EA54FE60E683}"/>
              </c:ext>
            </c:extLst>
          </c:dPt>
          <c:dPt>
            <c:idx val="5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FA1-4450-8EE0-3FE2DAE0EFF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Model!$C$2:$I$2</c:f>
              <c:strCache>
                <c:ptCount val="7"/>
                <c:pt idx="0">
                  <c:v>FY19</c:v>
                </c:pt>
                <c:pt idx="1">
                  <c:v>FY20</c:v>
                </c:pt>
                <c:pt idx="2">
                  <c:v>FY21</c:v>
                </c:pt>
                <c:pt idx="3">
                  <c:v>FY22</c:v>
                </c:pt>
                <c:pt idx="4">
                  <c:v>FY23</c:v>
                </c:pt>
                <c:pt idx="5">
                  <c:v>FY24</c:v>
                </c:pt>
                <c:pt idx="6">
                  <c:v>FY25</c:v>
                </c:pt>
              </c:strCache>
            </c:strRef>
          </c:cat>
          <c:val>
            <c:numRef>
              <c:f>Model!$C$3:$I$3</c:f>
              <c:numCache>
                <c:formatCode>#,##0</c:formatCode>
                <c:ptCount val="7"/>
                <c:pt idx="2">
                  <c:v>33138</c:v>
                </c:pt>
                <c:pt idx="3">
                  <c:v>37637</c:v>
                </c:pt>
                <c:pt idx="4">
                  <c:v>40530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AA-4069-ADA9-98E4DBB70A3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8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Model!$B$21</c:f>
              <c:strCache>
                <c:ptCount val="1"/>
                <c:pt idx="0">
                  <c:v>Revenue y/y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Model!$C$21:$I$21</c:f>
              <c:numCache>
                <c:formatCode>0%</c:formatCode>
                <c:ptCount val="7"/>
                <c:pt idx="1">
                  <c:v>0</c:v>
                </c:pt>
                <c:pt idx="2">
                  <c:v>0</c:v>
                </c:pt>
                <c:pt idx="3">
                  <c:v>0.13576558633592861</c:v>
                </c:pt>
                <c:pt idx="4">
                  <c:v>7.6865850094322008E-2</c:v>
                </c:pt>
                <c:pt idx="5">
                  <c:v>8.3888477670861494E-3</c:v>
                </c:pt>
                <c:pt idx="6">
                  <c:v>7.6584291656471848E-2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3AA-4069-ADA9-98E4DBB70A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8589456"/>
        <c:axId val="737536608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737536608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48589456"/>
        <c:crosses val="max"/>
        <c:crossBetween val="between"/>
      </c:valAx>
      <c:catAx>
        <c:axId val="748589456"/>
        <c:scaling>
          <c:orientation val="minMax"/>
        </c:scaling>
        <c:delete val="1"/>
        <c:axPos val="b"/>
        <c:majorTickMark val="out"/>
        <c:minorTickMark val="none"/>
        <c:tickLblPos val="nextTo"/>
        <c:crossAx val="7375366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Net Income by Quarter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Model!$B$14</c:f>
              <c:strCache>
                <c:ptCount val="1"/>
                <c:pt idx="0">
                  <c:v>Net Income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0F4-4607-8C78-36F0EE07B767}"/>
              </c:ext>
            </c:extLst>
          </c:dPt>
          <c:dPt>
            <c:idx val="12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0F4-4607-8C78-36F0EE07B7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Model!$L$2:$X$2</c:f>
              <c:strCache>
                <c:ptCount val="13"/>
                <c:pt idx="0">
                  <c:v>Q121</c:v>
                </c:pt>
                <c:pt idx="1">
                  <c:v>Q221</c:v>
                </c:pt>
                <c:pt idx="2">
                  <c:v>Q321</c:v>
                </c:pt>
                <c:pt idx="3">
                  <c:v>Q421</c:v>
                </c:pt>
                <c:pt idx="4">
                  <c:v>Q122</c:v>
                </c:pt>
                <c:pt idx="5">
                  <c:v>Q222</c:v>
                </c:pt>
                <c:pt idx="6">
                  <c:v>Q322</c:v>
                </c:pt>
                <c:pt idx="7">
                  <c:v>Q422</c:v>
                </c:pt>
                <c:pt idx="8">
                  <c:v>Q123</c:v>
                </c:pt>
                <c:pt idx="9">
                  <c:v>Q223</c:v>
                </c:pt>
                <c:pt idx="10">
                  <c:v>Q323</c:v>
                </c:pt>
                <c:pt idx="11">
                  <c:v>Q423</c:v>
                </c:pt>
                <c:pt idx="12">
                  <c:v>Q124</c:v>
                </c:pt>
              </c:strCache>
            </c:strRef>
          </c:cat>
          <c:val>
            <c:numRef>
              <c:f>Model!$L$14:$X$14</c:f>
              <c:numCache>
                <c:formatCode>#,##0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1011</c:v>
                </c:pt>
                <c:pt idx="5">
                  <c:v>1499</c:v>
                </c:pt>
                <c:pt idx="6">
                  <c:v>1191</c:v>
                </c:pt>
                <c:pt idx="7">
                  <c:v>0</c:v>
                </c:pt>
                <c:pt idx="8">
                  <c:v>1407</c:v>
                </c:pt>
                <c:pt idx="9">
                  <c:v>1360</c:v>
                </c:pt>
                <c:pt idx="10">
                  <c:v>1172</c:v>
                </c:pt>
                <c:pt idx="11">
                  <c:v>1217</c:v>
                </c:pt>
                <c:pt idx="12">
                  <c:v>927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4D-43A5-B5F2-F97D61E0D6C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Model!$B$18</c:f>
              <c:strCache>
                <c:ptCount val="1"/>
                <c:pt idx="0">
                  <c:v>Gross Margin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Model!$L$18:$X$18</c:f>
              <c:numCache>
                <c:formatCode>0%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0.2719134651249534</c:v>
                </c:pt>
                <c:pt idx="5">
                  <c:v>0.29021155987448122</c:v>
                </c:pt>
                <c:pt idx="6">
                  <c:v>0.28738106026280019</c:v>
                </c:pt>
                <c:pt idx="7">
                  <c:v>0</c:v>
                </c:pt>
                <c:pt idx="8">
                  <c:v>0.27899376052292757</c:v>
                </c:pt>
                <c:pt idx="9">
                  <c:v>0.29920650280627059</c:v>
                </c:pt>
                <c:pt idx="10">
                  <c:v>0.27626017936295222</c:v>
                </c:pt>
                <c:pt idx="11">
                  <c:v>0.29015195229851898</c:v>
                </c:pt>
                <c:pt idx="12">
                  <c:v>0.25713017423149487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4D-43A5-B5F2-F97D61E0D6C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Net Income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Model!$B$14</c:f>
              <c:strCache>
                <c:ptCount val="1"/>
                <c:pt idx="0">
                  <c:v>Net Income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Model!$C$2:$I$2</c:f>
              <c:strCache>
                <c:ptCount val="7"/>
                <c:pt idx="0">
                  <c:v>FY19</c:v>
                </c:pt>
                <c:pt idx="1">
                  <c:v>FY20</c:v>
                </c:pt>
                <c:pt idx="2">
                  <c:v>FY21</c:v>
                </c:pt>
                <c:pt idx="3">
                  <c:v>FY22</c:v>
                </c:pt>
                <c:pt idx="4">
                  <c:v>FY23</c:v>
                </c:pt>
                <c:pt idx="5">
                  <c:v>FY24</c:v>
                </c:pt>
                <c:pt idx="6">
                  <c:v>FY25</c:v>
                </c:pt>
              </c:strCache>
            </c:strRef>
          </c:cat>
          <c:val>
            <c:numRef>
              <c:f>Model!$C$14:$I$14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4038</c:v>
                </c:pt>
                <c:pt idx="3">
                  <c:v>4967</c:v>
                </c:pt>
                <c:pt idx="4">
                  <c:v>5156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06-4F07-B7B5-190A418C1FD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Model!$B$25</c:f>
              <c:strCache>
                <c:ptCount val="1"/>
                <c:pt idx="0">
                  <c:v>Net Income y/y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Model!$C$25:$I$25</c:f>
              <c:numCache>
                <c:formatCode>0%</c:formatCode>
                <c:ptCount val="7"/>
                <c:pt idx="1">
                  <c:v>0</c:v>
                </c:pt>
                <c:pt idx="2">
                  <c:v>0</c:v>
                </c:pt>
                <c:pt idx="3">
                  <c:v>0.23006438831104514</c:v>
                </c:pt>
                <c:pt idx="4">
                  <c:v>3.8051137507549848E-2</c:v>
                </c:pt>
                <c:pt idx="5">
                  <c:v>-1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06-4F07-B7B5-190A418C1FD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Cost / REV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9.7122703412073491E-2"/>
          <c:y val="0.12459829594160773"/>
          <c:w val="0.87232174103237092"/>
          <c:h val="0.70470173386291823"/>
        </c:manualLayout>
      </c:layout>
      <c:lineChart>
        <c:grouping val="standard"/>
        <c:varyColors val="0"/>
        <c:ser>
          <c:idx val="1"/>
          <c:order val="0"/>
          <c:tx>
            <c:strRef>
              <c:f>Model!$B$22</c:f>
              <c:strCache>
                <c:ptCount val="1"/>
                <c:pt idx="0">
                  <c:v>Distribution Exp / REV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Model!$L$2:$V$2</c:f>
              <c:strCache>
                <c:ptCount val="11"/>
                <c:pt idx="0">
                  <c:v>Q121</c:v>
                </c:pt>
                <c:pt idx="1">
                  <c:v>Q221</c:v>
                </c:pt>
                <c:pt idx="2">
                  <c:v>Q321</c:v>
                </c:pt>
                <c:pt idx="3">
                  <c:v>Q421</c:v>
                </c:pt>
                <c:pt idx="4">
                  <c:v>Q122</c:v>
                </c:pt>
                <c:pt idx="5">
                  <c:v>Q222</c:v>
                </c:pt>
                <c:pt idx="6">
                  <c:v>Q322</c:v>
                </c:pt>
                <c:pt idx="7">
                  <c:v>Q422</c:v>
                </c:pt>
                <c:pt idx="8">
                  <c:v>Q123</c:v>
                </c:pt>
                <c:pt idx="9">
                  <c:v>Q223</c:v>
                </c:pt>
                <c:pt idx="10">
                  <c:v>Q323</c:v>
                </c:pt>
              </c:strCache>
            </c:strRef>
          </c:cat>
          <c:val>
            <c:numRef>
              <c:f>Model!$L$22:$V$22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5.2840979733930128E-2</c:v>
                </c:pt>
                <c:pt idx="5">
                  <c:v>5.3750379593076221E-2</c:v>
                </c:pt>
                <c:pt idx="6">
                  <c:v>6.196193928409606E-2</c:v>
                </c:pt>
                <c:pt idx="7">
                  <c:v>0</c:v>
                </c:pt>
                <c:pt idx="8">
                  <c:v>5.1599484995543232E-2</c:v>
                </c:pt>
                <c:pt idx="9">
                  <c:v>7.4704857751112838E-2</c:v>
                </c:pt>
                <c:pt idx="10">
                  <c:v>7.3909906195237601E-2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FE-4BEB-944F-3D772460C6A2}"/>
            </c:ext>
          </c:extLst>
        </c:ser>
        <c:ser>
          <c:idx val="0"/>
          <c:order val="1"/>
          <c:tx>
            <c:strRef>
              <c:f>Model!$B$23</c:f>
              <c:strCache>
                <c:ptCount val="1"/>
                <c:pt idx="0">
                  <c:v>Admin Exp / REV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Model!$L$23:$W$23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4.7743379336068634E-2</c:v>
                </c:pt>
                <c:pt idx="5">
                  <c:v>3.8667881364510576E-2</c:v>
                </c:pt>
                <c:pt idx="6">
                  <c:v>4.6669687358405078E-2</c:v>
                </c:pt>
                <c:pt idx="7">
                  <c:v>0</c:v>
                </c:pt>
                <c:pt idx="8">
                  <c:v>5.0411013172229374E-2</c:v>
                </c:pt>
                <c:pt idx="9">
                  <c:v>3.5417069866460225E-2</c:v>
                </c:pt>
                <c:pt idx="10">
                  <c:v>5.1953406865271619E-2</c:v>
                </c:pt>
                <c:pt idx="11">
                  <c:v>3.9238315060588572E-2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AA-4791-8C2B-1B9112E1C867}"/>
            </c:ext>
          </c:extLst>
        </c:ser>
        <c:ser>
          <c:idx val="2"/>
          <c:order val="2"/>
          <c:tx>
            <c:strRef>
              <c:f>Model!$B$24</c:f>
              <c:strCache>
                <c:ptCount val="1"/>
                <c:pt idx="0">
                  <c:v>G&amp;A / REV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Model!$L$24:$W$24</c:f>
              <c:numCache>
                <c:formatCode>0%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AA-4791-8C2B-1B9112E1C86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12211264"/>
        <c:axId val="675465584"/>
      </c:lineChart>
      <c:catAx>
        <c:axId val="61221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75465584"/>
        <c:crosses val="autoZero"/>
        <c:auto val="1"/>
        <c:lblAlgn val="ctr"/>
        <c:lblOffset val="100"/>
        <c:noMultiLvlLbl val="0"/>
      </c:catAx>
      <c:valAx>
        <c:axId val="67546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221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Cost / REV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9.7122703412073491E-2"/>
          <c:y val="0.12459829594160773"/>
          <c:w val="0.87232174103237092"/>
          <c:h val="0.70470173386291823"/>
        </c:manualLayout>
      </c:layout>
      <c:lineChart>
        <c:grouping val="standard"/>
        <c:varyColors val="0"/>
        <c:ser>
          <c:idx val="1"/>
          <c:order val="0"/>
          <c:tx>
            <c:strRef>
              <c:f>Model!$B$22</c:f>
              <c:strCache>
                <c:ptCount val="1"/>
                <c:pt idx="0">
                  <c:v>Distribution Exp / REV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Model!$C$2:$G$2</c:f>
              <c:strCache>
                <c:ptCount val="5"/>
                <c:pt idx="0">
                  <c:v>FY19</c:v>
                </c:pt>
                <c:pt idx="1">
                  <c:v>FY20</c:v>
                </c:pt>
                <c:pt idx="2">
                  <c:v>FY21</c:v>
                </c:pt>
                <c:pt idx="3">
                  <c:v>FY22</c:v>
                </c:pt>
                <c:pt idx="4">
                  <c:v>FY23</c:v>
                </c:pt>
              </c:strCache>
            </c:strRef>
          </c:cat>
          <c:val>
            <c:numRef>
              <c:f>Model!$C$22:$G$22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6.3703301345886892E-2</c:v>
                </c:pt>
                <c:pt idx="3">
                  <c:v>6.2518266599357011E-2</c:v>
                </c:pt>
                <c:pt idx="4">
                  <c:v>7.078707130520602E-2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9C-46D7-BBD0-0EABFCB1E143}"/>
            </c:ext>
          </c:extLst>
        </c:ser>
        <c:ser>
          <c:idx val="0"/>
          <c:order val="1"/>
          <c:tx>
            <c:strRef>
              <c:f>Model!$B$23</c:f>
              <c:strCache>
                <c:ptCount val="1"/>
                <c:pt idx="0">
                  <c:v>Admin Exp / REV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Model!$C$2:$G$2</c:f>
              <c:strCache>
                <c:ptCount val="5"/>
                <c:pt idx="0">
                  <c:v>FY19</c:v>
                </c:pt>
                <c:pt idx="1">
                  <c:v>FY20</c:v>
                </c:pt>
                <c:pt idx="2">
                  <c:v>FY21</c:v>
                </c:pt>
                <c:pt idx="3">
                  <c:v>FY22</c:v>
                </c:pt>
                <c:pt idx="4">
                  <c:v>FY23</c:v>
                </c:pt>
              </c:strCache>
            </c:strRef>
          </c:cat>
          <c:val>
            <c:numRef>
              <c:f>Model!$C$23:$G$23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4.3032168507453679E-2</c:v>
                </c:pt>
                <c:pt idx="3">
                  <c:v>4.3972686452161437E-2</c:v>
                </c:pt>
                <c:pt idx="4">
                  <c:v>4.4090796940537871E-2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9C-46D7-BBD0-0EABFCB1E143}"/>
            </c:ext>
          </c:extLst>
        </c:ser>
        <c:ser>
          <c:idx val="2"/>
          <c:order val="2"/>
          <c:tx>
            <c:strRef>
              <c:f>Model!$B$24</c:f>
              <c:strCache>
                <c:ptCount val="1"/>
                <c:pt idx="0">
                  <c:v>G&amp;A / REV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Model!$C$2:$G$2</c:f>
              <c:strCache>
                <c:ptCount val="5"/>
                <c:pt idx="0">
                  <c:v>FY19</c:v>
                </c:pt>
                <c:pt idx="1">
                  <c:v>FY20</c:v>
                </c:pt>
                <c:pt idx="2">
                  <c:v>FY21</c:v>
                </c:pt>
                <c:pt idx="3">
                  <c:v>FY22</c:v>
                </c:pt>
                <c:pt idx="4">
                  <c:v>FY23</c:v>
                </c:pt>
              </c:strCache>
            </c:strRef>
          </c:cat>
          <c:val>
            <c:numRef>
              <c:f>Model!$C$24:$G$24</c:f>
              <c:numCache>
                <c:formatCode>0%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9C-46D7-BBD0-0EABFCB1E14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12211264"/>
        <c:axId val="675465584"/>
      </c:lineChart>
      <c:catAx>
        <c:axId val="61221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75465584"/>
        <c:crosses val="autoZero"/>
        <c:auto val="1"/>
        <c:lblAlgn val="ctr"/>
        <c:lblOffset val="100"/>
        <c:noMultiLvlLbl val="0"/>
      </c:catAx>
      <c:valAx>
        <c:axId val="67546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221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Stock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Catalysts!$C$1</c:f>
              <c:strCache>
                <c:ptCount val="1"/>
                <c:pt idx="0">
                  <c:v>Close</c:v>
                </c:pt>
              </c:strCache>
            </c:strRef>
          </c:tx>
          <c:spPr>
            <a:ln w="28575" cap="rnd">
              <a:solidFill>
                <a:schemeClr val="tx1">
                  <a:lumMod val="85000"/>
                  <a:lumOff val="1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Catalysts!$B$2:$B$10000</c:f>
              <c:numCache>
                <c:formatCode>m/d/yyyy</c:formatCode>
                <c:ptCount val="9999"/>
                <c:pt idx="0">
                  <c:v>45404</c:v>
                </c:pt>
                <c:pt idx="1">
                  <c:v>45397</c:v>
                </c:pt>
                <c:pt idx="2">
                  <c:v>45390</c:v>
                </c:pt>
                <c:pt idx="3">
                  <c:v>45383</c:v>
                </c:pt>
                <c:pt idx="4">
                  <c:v>45376</c:v>
                </c:pt>
                <c:pt idx="5">
                  <c:v>45369</c:v>
                </c:pt>
                <c:pt idx="6">
                  <c:v>45362</c:v>
                </c:pt>
                <c:pt idx="7">
                  <c:v>45355</c:v>
                </c:pt>
                <c:pt idx="8">
                  <c:v>45348</c:v>
                </c:pt>
                <c:pt idx="9">
                  <c:v>45341</c:v>
                </c:pt>
                <c:pt idx="10">
                  <c:v>45334</c:v>
                </c:pt>
                <c:pt idx="11">
                  <c:v>45327</c:v>
                </c:pt>
                <c:pt idx="12">
                  <c:v>45320</c:v>
                </c:pt>
                <c:pt idx="13">
                  <c:v>45313</c:v>
                </c:pt>
                <c:pt idx="14">
                  <c:v>45306</c:v>
                </c:pt>
                <c:pt idx="15">
                  <c:v>45299</c:v>
                </c:pt>
                <c:pt idx="16">
                  <c:v>45292</c:v>
                </c:pt>
                <c:pt idx="17">
                  <c:v>45285</c:v>
                </c:pt>
                <c:pt idx="18">
                  <c:v>45278</c:v>
                </c:pt>
                <c:pt idx="19">
                  <c:v>45271</c:v>
                </c:pt>
                <c:pt idx="20">
                  <c:v>45264</c:v>
                </c:pt>
                <c:pt idx="21">
                  <c:v>45257</c:v>
                </c:pt>
                <c:pt idx="22">
                  <c:v>45250</c:v>
                </c:pt>
                <c:pt idx="23">
                  <c:v>45243</c:v>
                </c:pt>
                <c:pt idx="24">
                  <c:v>45236</c:v>
                </c:pt>
                <c:pt idx="25">
                  <c:v>45229</c:v>
                </c:pt>
                <c:pt idx="26">
                  <c:v>45222</c:v>
                </c:pt>
                <c:pt idx="27">
                  <c:v>45215</c:v>
                </c:pt>
                <c:pt idx="28">
                  <c:v>45208</c:v>
                </c:pt>
                <c:pt idx="29">
                  <c:v>45201</c:v>
                </c:pt>
                <c:pt idx="30">
                  <c:v>45194</c:v>
                </c:pt>
                <c:pt idx="31">
                  <c:v>45187</c:v>
                </c:pt>
                <c:pt idx="32">
                  <c:v>45180</c:v>
                </c:pt>
                <c:pt idx="33">
                  <c:v>45173</c:v>
                </c:pt>
                <c:pt idx="34">
                  <c:v>45166</c:v>
                </c:pt>
                <c:pt idx="35">
                  <c:v>45159</c:v>
                </c:pt>
                <c:pt idx="36">
                  <c:v>45152</c:v>
                </c:pt>
                <c:pt idx="37">
                  <c:v>45145</c:v>
                </c:pt>
                <c:pt idx="38">
                  <c:v>45138</c:v>
                </c:pt>
                <c:pt idx="39">
                  <c:v>45131</c:v>
                </c:pt>
                <c:pt idx="40">
                  <c:v>45124</c:v>
                </c:pt>
                <c:pt idx="41">
                  <c:v>45117</c:v>
                </c:pt>
                <c:pt idx="42">
                  <c:v>45110</c:v>
                </c:pt>
                <c:pt idx="43">
                  <c:v>45103</c:v>
                </c:pt>
                <c:pt idx="44">
                  <c:v>45096</c:v>
                </c:pt>
                <c:pt idx="45">
                  <c:v>45089</c:v>
                </c:pt>
                <c:pt idx="46">
                  <c:v>45082</c:v>
                </c:pt>
                <c:pt idx="47">
                  <c:v>45075</c:v>
                </c:pt>
                <c:pt idx="48">
                  <c:v>45068</c:v>
                </c:pt>
                <c:pt idx="49">
                  <c:v>45061</c:v>
                </c:pt>
                <c:pt idx="50">
                  <c:v>45054</c:v>
                </c:pt>
                <c:pt idx="51">
                  <c:v>45047</c:v>
                </c:pt>
                <c:pt idx="52">
                  <c:v>45040</c:v>
                </c:pt>
                <c:pt idx="53">
                  <c:v>45033</c:v>
                </c:pt>
                <c:pt idx="54">
                  <c:v>45026</c:v>
                </c:pt>
                <c:pt idx="55">
                  <c:v>45019</c:v>
                </c:pt>
                <c:pt idx="56">
                  <c:v>45012</c:v>
                </c:pt>
                <c:pt idx="57">
                  <c:v>45005</c:v>
                </c:pt>
                <c:pt idx="58">
                  <c:v>44998</c:v>
                </c:pt>
                <c:pt idx="59">
                  <c:v>44991</c:v>
                </c:pt>
                <c:pt idx="60">
                  <c:v>44984</c:v>
                </c:pt>
                <c:pt idx="61">
                  <c:v>44977</c:v>
                </c:pt>
                <c:pt idx="62">
                  <c:v>44970</c:v>
                </c:pt>
                <c:pt idx="63">
                  <c:v>44963</c:v>
                </c:pt>
                <c:pt idx="64">
                  <c:v>44956</c:v>
                </c:pt>
                <c:pt idx="65">
                  <c:v>44949</c:v>
                </c:pt>
                <c:pt idx="66">
                  <c:v>44942</c:v>
                </c:pt>
                <c:pt idx="67">
                  <c:v>44935</c:v>
                </c:pt>
                <c:pt idx="68">
                  <c:v>44928</c:v>
                </c:pt>
                <c:pt idx="69">
                  <c:v>44921</c:v>
                </c:pt>
                <c:pt idx="70">
                  <c:v>44914</c:v>
                </c:pt>
                <c:pt idx="71">
                  <c:v>44907</c:v>
                </c:pt>
                <c:pt idx="72">
                  <c:v>44900</c:v>
                </c:pt>
                <c:pt idx="73">
                  <c:v>44893</c:v>
                </c:pt>
                <c:pt idx="74">
                  <c:v>44886</c:v>
                </c:pt>
                <c:pt idx="75">
                  <c:v>44879</c:v>
                </c:pt>
                <c:pt idx="76">
                  <c:v>44872</c:v>
                </c:pt>
                <c:pt idx="77">
                  <c:v>44865</c:v>
                </c:pt>
                <c:pt idx="78">
                  <c:v>44858</c:v>
                </c:pt>
                <c:pt idx="79">
                  <c:v>44851</c:v>
                </c:pt>
                <c:pt idx="80">
                  <c:v>44844</c:v>
                </c:pt>
                <c:pt idx="81">
                  <c:v>44837</c:v>
                </c:pt>
                <c:pt idx="82">
                  <c:v>44830</c:v>
                </c:pt>
              </c:numCache>
            </c:numRef>
          </c:cat>
          <c:val>
            <c:numRef>
              <c:f>Catalysts!$C$2:$C$10000</c:f>
              <c:numCache>
                <c:formatCode>0.00</c:formatCode>
                <c:ptCount val="9999"/>
                <c:pt idx="0">
                  <c:v>89.800003000000004</c:v>
                </c:pt>
                <c:pt idx="1">
                  <c:v>89.919998000000007</c:v>
                </c:pt>
                <c:pt idx="2">
                  <c:v>92.839995999999999</c:v>
                </c:pt>
                <c:pt idx="3">
                  <c:v>93.099997999999999</c:v>
                </c:pt>
                <c:pt idx="4">
                  <c:v>92.279999000000004</c:v>
                </c:pt>
                <c:pt idx="5">
                  <c:v>93.519997000000004</c:v>
                </c:pt>
                <c:pt idx="6">
                  <c:v>88.360000999999997</c:v>
                </c:pt>
                <c:pt idx="7">
                  <c:v>82.120002999999997</c:v>
                </c:pt>
                <c:pt idx="8">
                  <c:v>86.459998999999996</c:v>
                </c:pt>
                <c:pt idx="9">
                  <c:v>82.660004000000001</c:v>
                </c:pt>
                <c:pt idx="10">
                  <c:v>80.620002999999997</c:v>
                </c:pt>
                <c:pt idx="11">
                  <c:v>80.239998</c:v>
                </c:pt>
                <c:pt idx="12">
                  <c:v>82</c:v>
                </c:pt>
                <c:pt idx="13">
                  <c:v>76.480002999999996</c:v>
                </c:pt>
                <c:pt idx="14">
                  <c:v>73.779999000000004</c:v>
                </c:pt>
                <c:pt idx="15">
                  <c:v>75.5</c:v>
                </c:pt>
                <c:pt idx="16">
                  <c:v>76.699996999999996</c:v>
                </c:pt>
                <c:pt idx="17">
                  <c:v>79.900002000000001</c:v>
                </c:pt>
                <c:pt idx="18">
                  <c:v>80.080001999999993</c:v>
                </c:pt>
                <c:pt idx="19">
                  <c:v>81</c:v>
                </c:pt>
                <c:pt idx="20">
                  <c:v>83.559997999999993</c:v>
                </c:pt>
                <c:pt idx="21">
                  <c:v>83.900002000000001</c:v>
                </c:pt>
                <c:pt idx="22">
                  <c:v>86.099997999999999</c:v>
                </c:pt>
                <c:pt idx="23">
                  <c:v>90.919998000000007</c:v>
                </c:pt>
                <c:pt idx="24">
                  <c:v>87.419998000000007</c:v>
                </c:pt>
                <c:pt idx="25">
                  <c:v>90.139999000000003</c:v>
                </c:pt>
                <c:pt idx="26">
                  <c:v>82.120002999999997</c:v>
                </c:pt>
                <c:pt idx="27">
                  <c:v>89.120002999999997</c:v>
                </c:pt>
                <c:pt idx="28">
                  <c:v>90.599997999999999</c:v>
                </c:pt>
                <c:pt idx="29">
                  <c:v>89.220000999999996</c:v>
                </c:pt>
                <c:pt idx="30">
                  <c:v>89</c:v>
                </c:pt>
                <c:pt idx="31">
                  <c:v>92.959998999999996</c:v>
                </c:pt>
                <c:pt idx="32">
                  <c:v>99.099997999999999</c:v>
                </c:pt>
                <c:pt idx="33">
                  <c:v>101.300003</c:v>
                </c:pt>
                <c:pt idx="34">
                  <c:v>98.160004000000001</c:v>
                </c:pt>
                <c:pt idx="35">
                  <c:v>100.050003</c:v>
                </c:pt>
                <c:pt idx="36">
                  <c:v>102.099998</c:v>
                </c:pt>
                <c:pt idx="37">
                  <c:v>104.699997</c:v>
                </c:pt>
                <c:pt idx="38">
                  <c:v>110.5</c:v>
                </c:pt>
                <c:pt idx="39">
                  <c:v>112.25</c:v>
                </c:pt>
                <c:pt idx="40">
                  <c:v>111.199997</c:v>
                </c:pt>
                <c:pt idx="41">
                  <c:v>114.699997</c:v>
                </c:pt>
                <c:pt idx="42">
                  <c:v>110.349998</c:v>
                </c:pt>
                <c:pt idx="43">
                  <c:v>112.699364</c:v>
                </c:pt>
                <c:pt idx="44">
                  <c:v>107.39877300000001</c:v>
                </c:pt>
                <c:pt idx="45">
                  <c:v>113.591049</c:v>
                </c:pt>
                <c:pt idx="46">
                  <c:v>115.622108</c:v>
                </c:pt>
                <c:pt idx="47">
                  <c:v>116.91010300000001</c:v>
                </c:pt>
                <c:pt idx="48">
                  <c:v>116.86056499999999</c:v>
                </c:pt>
                <c:pt idx="49">
                  <c:v>117.30641199999999</c:v>
                </c:pt>
                <c:pt idx="50">
                  <c:v>113.29381600000001</c:v>
                </c:pt>
                <c:pt idx="51">
                  <c:v>114.383652</c:v>
                </c:pt>
                <c:pt idx="52">
                  <c:v>112.352592</c:v>
                </c:pt>
                <c:pt idx="53">
                  <c:v>113.93781300000001</c:v>
                </c:pt>
                <c:pt idx="54">
                  <c:v>117.801796</c:v>
                </c:pt>
                <c:pt idx="55">
                  <c:v>116.81102799999999</c:v>
                </c:pt>
                <c:pt idx="56">
                  <c:v>116.91010300000001</c:v>
                </c:pt>
                <c:pt idx="57">
                  <c:v>111.36183200000001</c:v>
                </c:pt>
                <c:pt idx="58">
                  <c:v>113.541504</c:v>
                </c:pt>
                <c:pt idx="59">
                  <c:v>113.046127</c:v>
                </c:pt>
                <c:pt idx="60">
                  <c:v>113.640579</c:v>
                </c:pt>
                <c:pt idx="61">
                  <c:v>109.479378</c:v>
                </c:pt>
                <c:pt idx="62">
                  <c:v>113.046127</c:v>
                </c:pt>
                <c:pt idx="63">
                  <c:v>112.451668</c:v>
                </c:pt>
                <c:pt idx="64">
                  <c:v>113.640579</c:v>
                </c:pt>
                <c:pt idx="65">
                  <c:v>104.030182</c:v>
                </c:pt>
                <c:pt idx="66">
                  <c:v>101.751419</c:v>
                </c:pt>
                <c:pt idx="67">
                  <c:v>103.832031</c:v>
                </c:pt>
                <c:pt idx="68">
                  <c:v>94.865616000000003</c:v>
                </c:pt>
                <c:pt idx="69">
                  <c:v>93.874854999999997</c:v>
                </c:pt>
                <c:pt idx="70">
                  <c:v>91.269149999999996</c:v>
                </c:pt>
                <c:pt idx="71">
                  <c:v>92.775101000000006</c:v>
                </c:pt>
                <c:pt idx="72">
                  <c:v>100.463432</c:v>
                </c:pt>
                <c:pt idx="73">
                  <c:v>106.011703</c:v>
                </c:pt>
                <c:pt idx="74">
                  <c:v>106.259399</c:v>
                </c:pt>
                <c:pt idx="75">
                  <c:v>106.061249</c:v>
                </c:pt>
                <c:pt idx="76">
                  <c:v>98.580978000000002</c:v>
                </c:pt>
                <c:pt idx="77">
                  <c:v>99.076363000000001</c:v>
                </c:pt>
                <c:pt idx="78">
                  <c:v>98.997101000000001</c:v>
                </c:pt>
                <c:pt idx="79">
                  <c:v>95.192565999999999</c:v>
                </c:pt>
                <c:pt idx="80">
                  <c:v>86.691817999999998</c:v>
                </c:pt>
                <c:pt idx="81">
                  <c:v>91.269149999999996</c:v>
                </c:pt>
                <c:pt idx="82">
                  <c:v>81.737999000000002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52-461C-BC2D-9CAFEE3BC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3983327"/>
        <c:axId val="737522224"/>
      </c:lineChart>
      <c:dateAx>
        <c:axId val="69398332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37522224"/>
        <c:crosses val="autoZero"/>
        <c:auto val="1"/>
        <c:lblOffset val="100"/>
        <c:baseTimeUnit val="days"/>
      </c:dateAx>
      <c:valAx>
        <c:axId val="73752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93983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DoR!$J$3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DoR!$K$4:$K$15</c:f>
              <c:strCache>
                <c:ptCount val="12"/>
                <c:pt idx="0">
                  <c:v>Less than -12,20%</c:v>
                </c:pt>
                <c:pt idx="1">
                  <c:v>-12,20% to -9,72%</c:v>
                </c:pt>
                <c:pt idx="2">
                  <c:v>-9,72% to -7,24%</c:v>
                </c:pt>
                <c:pt idx="3">
                  <c:v>-7,24% to -4,76%</c:v>
                </c:pt>
                <c:pt idx="4">
                  <c:v>-4,76% to -2,28%</c:v>
                </c:pt>
                <c:pt idx="5">
                  <c:v>-2,28% to 0,20%</c:v>
                </c:pt>
                <c:pt idx="6">
                  <c:v>0,20% to 2,68%</c:v>
                </c:pt>
                <c:pt idx="7">
                  <c:v>2,68% to 5,15%</c:v>
                </c:pt>
                <c:pt idx="8">
                  <c:v>5,15% to 7,63%</c:v>
                </c:pt>
                <c:pt idx="9">
                  <c:v>7,63% to 10,11%</c:v>
                </c:pt>
                <c:pt idx="10">
                  <c:v>10,11% to 12,59%</c:v>
                </c:pt>
                <c:pt idx="11">
                  <c:v>Greater than 12,59%</c:v>
                </c:pt>
              </c:strCache>
            </c:strRef>
          </c:cat>
          <c:val>
            <c:numRef>
              <c:f>DoR!$J$4:$J$15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7</c:v>
                </c:pt>
                <c:pt idx="4">
                  <c:v>10</c:v>
                </c:pt>
                <c:pt idx="5">
                  <c:v>31</c:v>
                </c:pt>
                <c:pt idx="6">
                  <c:v>12</c:v>
                </c:pt>
                <c:pt idx="7">
                  <c:v>11</c:v>
                </c:pt>
                <c:pt idx="8">
                  <c:v>4</c:v>
                </c:pt>
                <c:pt idx="9">
                  <c:v>4</c:v>
                </c:pt>
                <c:pt idx="10">
                  <c:v>1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3C-452E-9D52-EA2888DEE3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1429205823"/>
        <c:axId val="1429206303"/>
      </c:barChart>
      <c:catAx>
        <c:axId val="1429205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29206303"/>
        <c:crosses val="autoZero"/>
        <c:auto val="1"/>
        <c:lblAlgn val="ctr"/>
        <c:lblOffset val="100"/>
        <c:noMultiLvlLbl val="0"/>
      </c:catAx>
      <c:valAx>
        <c:axId val="1429206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29205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_xlchart.v1.4</cx:f>
      </cx:strDim>
      <cx:numDim type="val">
        <cx:f dir="row">_xlchart.v1.3</cx:f>
      </cx:numDim>
    </cx:data>
    <cx:data id="1">
      <cx:strDim type="cat">
        <cx:f dir="row">_xlchart.v1.4</cx:f>
      </cx:strDim>
      <cx:numDim type="val">
        <cx:f dir="row">_xlchart.v1.2</cx:f>
      </cx:numDim>
    </cx:data>
  </cx:chartData>
  <cx:chart>
    <cx:title pos="t" align="ctr" overlay="0">
      <cx:tx>
        <cx:txData>
          <cx:v>Earning Reportings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Earning Reportings</a:t>
          </a:r>
        </a:p>
      </cx:txPr>
    </cx:title>
    <cx:plotArea>
      <cx:plotAreaRegion>
        <cx:series layoutId="boxWhisker" uniqueId="{006F4749-938E-4621-8334-C74E7B83CC40}">
          <cx:tx>
            <cx:txData>
              <cx:f>_xlchart.v1.1</cx:f>
              <cx:v>EPS exp.</cx:v>
            </cx:txData>
          </cx:tx>
          <cx:spPr>
            <a:ln w="19050">
              <a:solidFill>
                <a:schemeClr val="accent1"/>
              </a:solidFill>
            </a:ln>
          </cx:spPr>
          <cx:dataId val="0"/>
          <cx:layoutPr>
            <cx:visibility meanLine="1" meanMarker="1" nonoutliers="0" outliers="1"/>
            <cx:statistics quartileMethod="exclusive"/>
          </cx:layoutPr>
        </cx:series>
        <cx:series layoutId="boxWhisker" uniqueId="{C8A70830-D21B-405F-8F13-72F0AC678416}">
          <cx:tx>
            <cx:txData>
              <cx:f>_xlchart.v1.0</cx:f>
              <cx:v>EPS</cx:v>
            </cx:txData>
          </cx:tx>
          <cx:dataId val="1"/>
          <cx:layoutPr>
            <cx:visibility meanLine="1" meanMarker="1" nonoutliers="0" outliers="1"/>
            <cx:statistics quartileMethod="inclusive"/>
          </cx:layoutPr>
        </cx:series>
      </cx:plotAreaRegion>
      <cx:axis id="0">
        <cx:catScaling gapWidth="1.5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_xlchart.v1.7</cx:f>
      </cx:strDim>
      <cx:numDim type="val">
        <cx:f dir="row">_xlchart.v1.9</cx:f>
      </cx:numDim>
    </cx:data>
    <cx:data id="1">
      <cx:strDim type="cat">
        <cx:f dir="row">_xlchart.v1.7</cx:f>
      </cx:strDim>
      <cx:numDim type="val">
        <cx:f dir="row">_xlchart.v1.8</cx:f>
      </cx:numDim>
    </cx:data>
  </cx:chartData>
  <cx:chart>
    <cx:title pos="t" align="ctr" overlay="0">
      <cx:tx>
        <cx:txData>
          <cx:v>Revenue Reportings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Revenue Reportings</a:t>
          </a:r>
        </a:p>
      </cx:txPr>
    </cx:title>
    <cx:plotArea>
      <cx:plotAreaRegion>
        <cx:series layoutId="boxWhisker" uniqueId="{006F4749-938E-4621-8334-C74E7B83CC40}">
          <cx:tx>
            <cx:txData>
              <cx:f>_xlchart.v1.6</cx:f>
              <cx:v>Rev. Exp.</cx:v>
            </cx:txData>
          </cx:tx>
          <cx:spPr>
            <a:ln w="19050">
              <a:solidFill>
                <a:schemeClr val="accent1"/>
              </a:solidFill>
            </a:ln>
          </cx:spPr>
          <cx:dataId val="0"/>
          <cx:layoutPr>
            <cx:visibility meanLine="0" meanMarker="0" nonoutliers="0" outliers="1"/>
            <cx:statistics quartileMethod="exclusive"/>
          </cx:layoutPr>
        </cx:series>
        <cx:series layoutId="boxWhisker" uniqueId="{C8A70830-D21B-405F-8F13-72F0AC678416}">
          <cx:tx>
            <cx:txData>
              <cx:f>_xlchart.v1.5</cx:f>
              <cx:v>Revenue</cx:v>
            </cx:txData>
          </cx:tx>
          <cx:dataId val="1"/>
          <cx:layoutPr>
            <cx:visibility meanLine="0" meanMarker="1" nonoutliers="0" outliers="1"/>
            <cx:statistics quartileMethod="inclusive"/>
          </cx:layoutPr>
        </cx:series>
      </cx:plotAreaRegion>
      <cx:axis id="0">
        <cx:catScaling gapWidth="1.39999998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.xml"/><Relationship Id="rId3" Type="http://schemas.openxmlformats.org/officeDocument/2006/relationships/chart" Target="../charts/chart3.xml"/><Relationship Id="rId7" Type="http://schemas.microsoft.com/office/2014/relationships/chartEx" Target="../charts/chartEx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microsoft.com/office/2014/relationships/chartEx" Target="../charts/chartEx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209550</xdr:colOff>
      <xdr:row>1</xdr:row>
      <xdr:rowOff>42862</xdr:rowOff>
    </xdr:from>
    <xdr:to>
      <xdr:col>10</xdr:col>
      <xdr:colOff>590550</xdr:colOff>
      <xdr:row>15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424D5D-26F5-0FED-D6A6-811BC639C6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28575</xdr:colOff>
      <xdr:row>1</xdr:row>
      <xdr:rowOff>38100</xdr:rowOff>
    </xdr:from>
    <xdr:to>
      <xdr:col>20</xdr:col>
      <xdr:colOff>19050</xdr:colOff>
      <xdr:row>15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B8860D4-A5CC-43C6-93F1-A9AA6236FC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219075</xdr:colOff>
      <xdr:row>15</xdr:row>
      <xdr:rowOff>152400</xdr:rowOff>
    </xdr:from>
    <xdr:to>
      <xdr:col>10</xdr:col>
      <xdr:colOff>600075</xdr:colOff>
      <xdr:row>30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A244996-57D9-4900-A31C-F45BDAD554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9525</xdr:colOff>
      <xdr:row>15</xdr:row>
      <xdr:rowOff>133350</xdr:rowOff>
    </xdr:from>
    <xdr:to>
      <xdr:col>20</xdr:col>
      <xdr:colOff>47625</xdr:colOff>
      <xdr:row>30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C3312E1-BE90-420D-A470-4B22F9C074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228600</xdr:colOff>
      <xdr:row>30</xdr:row>
      <xdr:rowOff>42862</xdr:rowOff>
    </xdr:from>
    <xdr:to>
      <xdr:col>11</xdr:col>
      <xdr:colOff>0</xdr:colOff>
      <xdr:row>47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F6B5C94-7DE1-FBD4-886C-765E7EB854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209550</xdr:colOff>
      <xdr:row>47</xdr:row>
      <xdr:rowOff>9525</xdr:rowOff>
    </xdr:from>
    <xdr:to>
      <xdr:col>10</xdr:col>
      <xdr:colOff>600075</xdr:colOff>
      <xdr:row>64</xdr:row>
      <xdr:rowOff>61913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428B810E-AE25-4EB3-A89D-55D5F6C2B8F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19150" y="8963025"/>
              <a:ext cx="5876925" cy="32908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28575</xdr:colOff>
      <xdr:row>47</xdr:row>
      <xdr:rowOff>9525</xdr:rowOff>
    </xdr:from>
    <xdr:to>
      <xdr:col>20</xdr:col>
      <xdr:colOff>419100</xdr:colOff>
      <xdr:row>64</xdr:row>
      <xdr:rowOff>61913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EB4346DD-A5D1-47B7-8E01-F88C375FB74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34175" y="8963025"/>
              <a:ext cx="5876925" cy="32908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9525</xdr:colOff>
      <xdr:row>30</xdr:row>
      <xdr:rowOff>57150</xdr:rowOff>
    </xdr:from>
    <xdr:to>
      <xdr:col>20</xdr:col>
      <xdr:colOff>390525</xdr:colOff>
      <xdr:row>47</xdr:row>
      <xdr:rowOff>23813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5AB5FA5-CC68-4269-BD2C-424BEF61D2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371475</xdr:colOff>
      <xdr:row>15</xdr:row>
      <xdr:rowOff>66675</xdr:rowOff>
    </xdr:from>
    <xdr:to>
      <xdr:col>25</xdr:col>
      <xdr:colOff>285750</xdr:colOff>
      <xdr:row>42</xdr:row>
      <xdr:rowOff>80963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BEF4A1E-0131-4908-9D8D-9693A2A12E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66675</xdr:colOff>
      <xdr:row>15</xdr:row>
      <xdr:rowOff>195261</xdr:rowOff>
    </xdr:from>
    <xdr:to>
      <xdr:col>12</xdr:col>
      <xdr:colOff>1438274</xdr:colOff>
      <xdr:row>31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5CA4EB-70F8-44F6-BB23-9B1648AFD9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36"/>
  <sheetViews>
    <sheetView topLeftCell="A7" workbookViewId="0">
      <selection activeCell="C9" sqref="C9"/>
    </sheetView>
  </sheetViews>
  <sheetFormatPr defaultColWidth="9.140625" defaultRowHeight="15" x14ac:dyDescent="0.25"/>
  <cols>
    <col min="2" max="2" width="27.42578125" customWidth="1"/>
    <col min="3" max="3" width="14.140625" customWidth="1"/>
    <col min="4" max="4" width="10.140625" customWidth="1"/>
    <col min="5" max="5" width="37" customWidth="1"/>
    <col min="7" max="7" width="3.140625" customWidth="1"/>
    <col min="8" max="8" width="26.7109375" customWidth="1"/>
    <col min="9" max="9" width="11.28515625" customWidth="1"/>
    <col min="10" max="10" width="9.140625" customWidth="1"/>
    <col min="11" max="11" width="5.28515625" customWidth="1"/>
    <col min="12" max="12" width="29.140625" customWidth="1"/>
    <col min="13" max="13" width="40.140625" customWidth="1"/>
    <col min="14" max="14" width="34.42578125" customWidth="1"/>
  </cols>
  <sheetData>
    <row r="2" spans="2:14" x14ac:dyDescent="0.25">
      <c r="B2" s="34"/>
      <c r="C2" s="19"/>
      <c r="E2" s="24" t="s">
        <v>48</v>
      </c>
      <c r="F2" s="60" t="s">
        <v>49</v>
      </c>
      <c r="G2" s="25"/>
      <c r="H2" s="26" t="s">
        <v>56</v>
      </c>
      <c r="I2" s="26" t="s">
        <v>1</v>
      </c>
      <c r="J2" s="27" t="s">
        <v>49</v>
      </c>
      <c r="L2" s="30" t="s">
        <v>42</v>
      </c>
      <c r="M2" s="31" t="s">
        <v>58</v>
      </c>
      <c r="N2" s="32" t="s">
        <v>57</v>
      </c>
    </row>
    <row r="3" spans="2:14" x14ac:dyDescent="0.25">
      <c r="B3" s="5" t="s">
        <v>41</v>
      </c>
      <c r="C3" s="20">
        <v>45576</v>
      </c>
      <c r="E3" s="5" t="s">
        <v>150</v>
      </c>
      <c r="F3" s="28">
        <v>76868</v>
      </c>
      <c r="I3" s="10"/>
      <c r="J3" s="39"/>
      <c r="L3" s="5" t="s">
        <v>130</v>
      </c>
      <c r="M3" t="s">
        <v>131</v>
      </c>
      <c r="N3" s="38"/>
    </row>
    <row r="4" spans="2:14" x14ac:dyDescent="0.25">
      <c r="B4" s="5"/>
      <c r="C4" s="21">
        <v>0.38263888888888886</v>
      </c>
      <c r="E4" s="5" t="s">
        <v>151</v>
      </c>
      <c r="F4" s="28">
        <v>4490</v>
      </c>
      <c r="I4" s="10"/>
      <c r="J4" s="39"/>
      <c r="L4" s="5" t="s">
        <v>132</v>
      </c>
      <c r="M4" t="s">
        <v>133</v>
      </c>
      <c r="N4" s="13"/>
    </row>
    <row r="5" spans="2:14" x14ac:dyDescent="0.25">
      <c r="B5" s="5"/>
      <c r="C5" s="13"/>
      <c r="E5" s="5" t="s">
        <v>152</v>
      </c>
      <c r="F5" s="125">
        <v>0.754</v>
      </c>
      <c r="I5" s="10"/>
      <c r="J5" s="39"/>
      <c r="L5" s="5" t="s">
        <v>134</v>
      </c>
      <c r="M5" t="s">
        <v>135</v>
      </c>
      <c r="N5" s="13"/>
    </row>
    <row r="6" spans="2:14" x14ac:dyDescent="0.25">
      <c r="B6" s="5" t="s">
        <v>0</v>
      </c>
      <c r="C6" s="13">
        <v>69.38</v>
      </c>
      <c r="E6" s="5" t="s">
        <v>153</v>
      </c>
      <c r="F6" s="125">
        <v>0.125</v>
      </c>
      <c r="I6" s="10"/>
      <c r="J6" s="39"/>
      <c r="L6" s="5" t="s">
        <v>136</v>
      </c>
      <c r="M6" t="s">
        <v>137</v>
      </c>
      <c r="N6" s="13"/>
    </row>
    <row r="7" spans="2:14" x14ac:dyDescent="0.25">
      <c r="B7" s="5" t="s">
        <v>1</v>
      </c>
      <c r="C7" s="15">
        <v>911</v>
      </c>
      <c r="E7" s="126"/>
      <c r="F7" s="125"/>
      <c r="I7" s="10"/>
      <c r="J7" s="39"/>
      <c r="L7" s="5" t="s">
        <v>138</v>
      </c>
      <c r="M7" t="s">
        <v>139</v>
      </c>
      <c r="N7" s="13"/>
    </row>
    <row r="8" spans="2:14" x14ac:dyDescent="0.25">
      <c r="B8" s="5" t="s">
        <v>2</v>
      </c>
      <c r="C8" s="15">
        <f>C6*C7</f>
        <v>63205.179999999993</v>
      </c>
      <c r="E8" s="5"/>
      <c r="F8" s="125"/>
      <c r="I8" s="10"/>
      <c r="J8" s="39"/>
      <c r="L8" s="5" t="s">
        <v>140</v>
      </c>
      <c r="M8" t="s">
        <v>141</v>
      </c>
      <c r="N8" s="13"/>
    </row>
    <row r="9" spans="2:14" x14ac:dyDescent="0.25">
      <c r="B9" s="5" t="s">
        <v>3</v>
      </c>
      <c r="C9" s="15">
        <f>Model!X35+Model!X34</f>
        <v>7846</v>
      </c>
      <c r="E9" s="5"/>
      <c r="F9" s="125"/>
      <c r="I9" s="10"/>
      <c r="J9" s="39"/>
      <c r="L9" s="5" t="s">
        <v>142</v>
      </c>
      <c r="M9" t="s">
        <v>143</v>
      </c>
      <c r="N9" s="13"/>
    </row>
    <row r="10" spans="2:14" x14ac:dyDescent="0.25">
      <c r="B10" s="5" t="s">
        <v>4</v>
      </c>
      <c r="C10" s="15">
        <f>Model!X44+Model!X45</f>
        <v>7908</v>
      </c>
      <c r="E10" s="5"/>
      <c r="F10" s="28"/>
      <c r="I10" s="10"/>
      <c r="J10" s="39"/>
      <c r="L10" s="5" t="s">
        <v>144</v>
      </c>
      <c r="M10" t="s">
        <v>145</v>
      </c>
      <c r="N10" s="13"/>
    </row>
    <row r="11" spans="2:14" x14ac:dyDescent="0.25">
      <c r="B11" s="5" t="s">
        <v>36</v>
      </c>
      <c r="C11" s="15">
        <f>C9-C10</f>
        <v>-62</v>
      </c>
      <c r="E11" s="5"/>
      <c r="F11" s="28"/>
      <c r="I11" s="10"/>
      <c r="J11" s="39"/>
      <c r="L11" s="5" t="s">
        <v>146</v>
      </c>
      <c r="M11" t="s">
        <v>147</v>
      </c>
      <c r="N11" s="13"/>
    </row>
    <row r="12" spans="2:14" x14ac:dyDescent="0.25">
      <c r="B12" s="5" t="s">
        <v>5</v>
      </c>
      <c r="C12" s="15">
        <f>C8-C9+C10</f>
        <v>63267.179999999993</v>
      </c>
      <c r="E12" s="5"/>
      <c r="F12" s="28"/>
      <c r="J12" s="13"/>
      <c r="L12" s="5"/>
      <c r="N12" s="13"/>
    </row>
    <row r="13" spans="2:14" x14ac:dyDescent="0.25">
      <c r="B13" s="5" t="s">
        <v>47</v>
      </c>
      <c r="C13" s="36">
        <f>C6/Model!G16</f>
        <v>12.257950530035334</v>
      </c>
      <c r="E13" s="5"/>
      <c r="J13" s="13"/>
      <c r="L13" s="5"/>
      <c r="N13" s="13"/>
    </row>
    <row r="14" spans="2:14" x14ac:dyDescent="0.25">
      <c r="B14" s="5" t="s">
        <v>45</v>
      </c>
      <c r="C14" s="36">
        <f>C6/Model!H17</f>
        <v>13.190114068441064</v>
      </c>
      <c r="E14" s="22"/>
      <c r="F14" s="29"/>
      <c r="G14" s="29"/>
      <c r="H14" s="29"/>
      <c r="I14" s="29"/>
      <c r="J14" s="23"/>
      <c r="L14" s="22"/>
      <c r="M14" s="29"/>
      <c r="N14" s="23"/>
    </row>
    <row r="15" spans="2:14" x14ac:dyDescent="0.25">
      <c r="B15" s="5" t="s">
        <v>46</v>
      </c>
      <c r="C15" s="36">
        <f>C6/Model!I17</f>
        <v>11.355155482815055</v>
      </c>
    </row>
    <row r="16" spans="2:14" x14ac:dyDescent="0.25">
      <c r="B16" s="5" t="s">
        <v>43</v>
      </c>
      <c r="C16" s="6">
        <f>Model!H17/Model!G16-1</f>
        <v>-7.067137809187285E-2</v>
      </c>
    </row>
    <row r="17" spans="2:14" x14ac:dyDescent="0.25">
      <c r="B17" s="5" t="s">
        <v>44</v>
      </c>
      <c r="C17" s="6">
        <f>Model!I17/Model!H17-1</f>
        <v>0.16159695817490505</v>
      </c>
      <c r="E17" s="33" t="s">
        <v>54</v>
      </c>
      <c r="L17" s="133"/>
      <c r="M17" s="134"/>
      <c r="N17" s="135"/>
    </row>
    <row r="18" spans="2:14" x14ac:dyDescent="0.25">
      <c r="B18" s="5" t="s">
        <v>67</v>
      </c>
      <c r="C18" s="52">
        <f>C14/(C16*100)</f>
        <v>-1.866401140684409</v>
      </c>
      <c r="L18" s="136"/>
      <c r="M18" s="137"/>
      <c r="N18" s="138"/>
    </row>
    <row r="19" spans="2:14" x14ac:dyDescent="0.25">
      <c r="B19" s="5" t="s">
        <v>68</v>
      </c>
      <c r="C19" s="52">
        <f>C15/(C17*100)</f>
        <v>0.7026837392894959</v>
      </c>
      <c r="L19" s="136"/>
      <c r="M19" s="137"/>
      <c r="N19" s="138"/>
    </row>
    <row r="20" spans="2:14" x14ac:dyDescent="0.25">
      <c r="B20" s="5" t="s">
        <v>77</v>
      </c>
      <c r="C20" s="6">
        <f>Model!H4/Model!G3-1</f>
        <v>8.3888477670861494E-3</v>
      </c>
      <c r="L20" s="136"/>
      <c r="M20" s="137"/>
      <c r="N20" s="138"/>
    </row>
    <row r="21" spans="2:14" x14ac:dyDescent="0.25">
      <c r="B21" s="5" t="s">
        <v>78</v>
      </c>
      <c r="C21" s="6">
        <f>Model!I4/Model!H4-1</f>
        <v>7.6584291656471848E-2</v>
      </c>
      <c r="L21" s="136"/>
      <c r="M21" s="137"/>
      <c r="N21" s="138"/>
    </row>
    <row r="22" spans="2:14" x14ac:dyDescent="0.25">
      <c r="B22" s="5" t="s">
        <v>69</v>
      </c>
      <c r="C22" s="15">
        <f>Model!G12+Model!G11</f>
        <v>7473</v>
      </c>
      <c r="L22" s="136"/>
      <c r="M22" s="137"/>
      <c r="N22" s="138"/>
    </row>
    <row r="23" spans="2:14" x14ac:dyDescent="0.25">
      <c r="B23" s="5" t="s">
        <v>19</v>
      </c>
      <c r="C23" s="15">
        <f>Model!G12</f>
        <v>7374</v>
      </c>
      <c r="L23" s="136"/>
      <c r="M23" s="137"/>
      <c r="N23" s="138"/>
    </row>
    <row r="24" spans="2:14" x14ac:dyDescent="0.25">
      <c r="B24" s="5" t="s">
        <v>28</v>
      </c>
      <c r="C24" s="7">
        <f>Model!G18</f>
        <v>0.28635578583765109</v>
      </c>
      <c r="L24" s="136"/>
      <c r="M24" s="137"/>
      <c r="N24" s="138"/>
    </row>
    <row r="25" spans="2:14" x14ac:dyDescent="0.25">
      <c r="B25" s="5" t="s">
        <v>29</v>
      </c>
      <c r="C25" s="7">
        <f>Model!G19</f>
        <v>0.12721440907969406</v>
      </c>
      <c r="L25" s="136"/>
      <c r="M25" s="137"/>
      <c r="N25" s="138"/>
    </row>
    <row r="26" spans="2:14" x14ac:dyDescent="0.25">
      <c r="B26" s="5" t="s">
        <v>70</v>
      </c>
      <c r="C26" s="36">
        <f>C12/C23</f>
        <v>8.579764035801464</v>
      </c>
      <c r="L26" s="136"/>
      <c r="M26" s="137"/>
      <c r="N26" s="138"/>
    </row>
    <row r="27" spans="2:14" x14ac:dyDescent="0.25">
      <c r="B27" s="5" t="s">
        <v>79</v>
      </c>
      <c r="C27" s="120">
        <f>(Model!X44+Model!X45)/Model!X53</f>
        <v>0.35102982954545453</v>
      </c>
      <c r="E27" t="s">
        <v>71</v>
      </c>
      <c r="L27" s="136"/>
      <c r="M27" s="137"/>
      <c r="N27" s="138"/>
    </row>
    <row r="28" spans="2:14" x14ac:dyDescent="0.25">
      <c r="B28" s="5" t="s">
        <v>80</v>
      </c>
      <c r="C28" s="36">
        <f>Model!G9/Model!G11</f>
        <v>73.575757575757578</v>
      </c>
      <c r="E28" t="s">
        <v>148</v>
      </c>
      <c r="L28" s="139"/>
      <c r="M28" s="140"/>
      <c r="N28" s="141"/>
    </row>
    <row r="29" spans="2:14" x14ac:dyDescent="0.25">
      <c r="B29" s="5" t="s">
        <v>81</v>
      </c>
      <c r="C29" s="36">
        <f>Model!X37/Model!X48</f>
        <v>1.461265355393027</v>
      </c>
      <c r="E29" t="s">
        <v>149</v>
      </c>
    </row>
    <row r="30" spans="2:14" x14ac:dyDescent="0.25">
      <c r="B30" s="5" t="s">
        <v>82</v>
      </c>
      <c r="C30" s="36">
        <f>(Model!X35+Model!X34+Model!X31)/Model!X48</f>
        <v>0.67627636157068804</v>
      </c>
    </row>
    <row r="31" spans="2:14" x14ac:dyDescent="0.25">
      <c r="B31" s="5" t="s">
        <v>83</v>
      </c>
      <c r="C31" s="6">
        <f>(Model!X37-Model!X48)/Model!X43</f>
        <v>0.12501202778900372</v>
      </c>
    </row>
    <row r="32" spans="2:14" x14ac:dyDescent="0.25">
      <c r="B32" s="5" t="s">
        <v>84</v>
      </c>
      <c r="C32" s="36">
        <f>(Model!X43-Model!X52)/Main!C7</f>
        <v>24.728869374313941</v>
      </c>
    </row>
    <row r="33" spans="2:3" x14ac:dyDescent="0.25">
      <c r="B33" s="5" t="s">
        <v>85</v>
      </c>
      <c r="C33" s="36">
        <f>Model!X3/Model!X43</f>
        <v>0.17341185073994958</v>
      </c>
    </row>
    <row r="34" spans="2:3" x14ac:dyDescent="0.25">
      <c r="B34" s="5" t="s">
        <v>86</v>
      </c>
      <c r="C34" s="39">
        <f>Model!X14/Model!X43</f>
        <v>1.7839616650308875E-2</v>
      </c>
    </row>
    <row r="35" spans="2:3" x14ac:dyDescent="0.25">
      <c r="B35" s="5" t="s">
        <v>87</v>
      </c>
      <c r="C35" s="39">
        <f>Model!X14/Model!X53</f>
        <v>4.114879261363636E-2</v>
      </c>
    </row>
    <row r="36" spans="2:3" x14ac:dyDescent="0.25">
      <c r="B36" s="22" t="s">
        <v>88</v>
      </c>
      <c r="C36" s="23"/>
    </row>
  </sheetData>
  <mergeCells count="1">
    <mergeCell ref="L17:N28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345E9-1C5F-45F5-BD7C-66FA029FFFF4}">
  <dimension ref="A1:AA74"/>
  <sheetViews>
    <sheetView zoomScaleNormal="100" workbookViewId="0">
      <pane xSplit="2" ySplit="2" topLeftCell="T24" activePane="bottomRight" state="frozen"/>
      <selection pane="topRight" activeCell="B1" sqref="B1"/>
      <selection pane="bottomLeft" activeCell="A3" sqref="A3"/>
      <selection pane="bottomRight" activeCell="Y52" sqref="Y52"/>
    </sheetView>
  </sheetViews>
  <sheetFormatPr defaultColWidth="11.42578125" defaultRowHeight="15" x14ac:dyDescent="0.25"/>
  <cols>
    <col min="1" max="1" width="4.7109375" customWidth="1"/>
    <col min="2" max="2" width="27.28515625" customWidth="1"/>
    <col min="7" max="7" width="11.42578125" style="13"/>
    <col min="25" max="25" width="11.42578125" style="13"/>
  </cols>
  <sheetData>
    <row r="1" spans="1:27" x14ac:dyDescent="0.25">
      <c r="A1" s="8" t="s">
        <v>37</v>
      </c>
    </row>
    <row r="2" spans="1:27" x14ac:dyDescent="0.25">
      <c r="C2" t="s">
        <v>33</v>
      </c>
      <c r="D2" t="s">
        <v>18</v>
      </c>
      <c r="E2" t="s">
        <v>14</v>
      </c>
      <c r="F2" t="s">
        <v>15</v>
      </c>
      <c r="G2" s="13" t="s">
        <v>16</v>
      </c>
      <c r="H2" t="s">
        <v>31</v>
      </c>
      <c r="I2" t="s">
        <v>66</v>
      </c>
      <c r="L2" t="s">
        <v>32</v>
      </c>
      <c r="M2" t="s">
        <v>10</v>
      </c>
      <c r="N2" t="s">
        <v>11</v>
      </c>
      <c r="O2" t="s">
        <v>12</v>
      </c>
      <c r="P2" t="s">
        <v>13</v>
      </c>
      <c r="Q2" t="s">
        <v>6</v>
      </c>
      <c r="R2" t="s">
        <v>7</v>
      </c>
      <c r="S2" t="s">
        <v>8</v>
      </c>
      <c r="T2" t="s">
        <v>9</v>
      </c>
      <c r="U2" t="s">
        <v>35</v>
      </c>
      <c r="V2" t="s">
        <v>39</v>
      </c>
      <c r="W2" t="s">
        <v>40</v>
      </c>
      <c r="X2" t="s">
        <v>62</v>
      </c>
      <c r="Y2" s="13" t="s">
        <v>65</v>
      </c>
      <c r="Z2" t="s">
        <v>154</v>
      </c>
      <c r="AA2" t="s">
        <v>155</v>
      </c>
    </row>
    <row r="3" spans="1:27" x14ac:dyDescent="0.25">
      <c r="B3" t="s">
        <v>17</v>
      </c>
      <c r="C3" s="10"/>
      <c r="D3" s="10"/>
      <c r="E3" s="10">
        <v>33138</v>
      </c>
      <c r="F3" s="10">
        <v>37637</v>
      </c>
      <c r="G3" s="15">
        <v>40530</v>
      </c>
      <c r="H3" s="41"/>
      <c r="I3" s="41"/>
      <c r="L3" s="10"/>
      <c r="M3" s="10"/>
      <c r="N3" s="10"/>
      <c r="O3" s="10"/>
      <c r="P3" s="10">
        <v>8043</v>
      </c>
      <c r="Q3" s="10">
        <f>17922-P3</f>
        <v>9879</v>
      </c>
      <c r="R3" s="10">
        <f>26750-Q3-P3</f>
        <v>8828</v>
      </c>
      <c r="S3" s="10"/>
      <c r="T3" s="10">
        <v>10097</v>
      </c>
      <c r="U3" s="10">
        <f>20431-T3</f>
        <v>10334</v>
      </c>
      <c r="V3" s="10">
        <f>30132-U3-T3</f>
        <v>9701</v>
      </c>
      <c r="W3" s="10">
        <f>G3-V3-U3-T3</f>
        <v>10398</v>
      </c>
      <c r="X3" s="10">
        <v>9011</v>
      </c>
      <c r="Y3" s="15">
        <f>19457-X3</f>
        <v>10446</v>
      </c>
    </row>
    <row r="4" spans="1:27" x14ac:dyDescent="0.25">
      <c r="B4" s="9" t="s">
        <v>64</v>
      </c>
      <c r="C4" s="10"/>
      <c r="D4" s="10"/>
      <c r="E4" s="10"/>
      <c r="F4" s="10"/>
      <c r="G4" s="15"/>
      <c r="H4" s="43">
        <v>40870</v>
      </c>
      <c r="I4" s="43">
        <v>44000</v>
      </c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10"/>
      <c r="X4" s="10"/>
      <c r="Y4" s="130">
        <v>8770</v>
      </c>
      <c r="Z4" s="43">
        <v>10350</v>
      </c>
      <c r="AA4">
        <v>9750</v>
      </c>
    </row>
    <row r="5" spans="1:27" x14ac:dyDescent="0.25">
      <c r="B5" t="s">
        <v>59</v>
      </c>
      <c r="C5" s="10"/>
      <c r="D5" s="10"/>
      <c r="E5" s="10">
        <v>24281</v>
      </c>
      <c r="F5" s="10">
        <v>27089</v>
      </c>
      <c r="G5" s="15">
        <v>28924</v>
      </c>
      <c r="H5" s="10"/>
      <c r="I5" s="10"/>
      <c r="L5" s="10"/>
      <c r="M5" s="10"/>
      <c r="N5" s="10"/>
      <c r="O5" s="10"/>
      <c r="P5" s="10">
        <v>5856</v>
      </c>
      <c r="Q5" s="10">
        <f>12868-P5</f>
        <v>7012</v>
      </c>
      <c r="R5" s="10">
        <f>19159-Q5-P5</f>
        <v>6291</v>
      </c>
      <c r="S5" s="10"/>
      <c r="T5" s="10">
        <v>7280</v>
      </c>
      <c r="U5" s="10">
        <f>14522-T5</f>
        <v>7242</v>
      </c>
      <c r="V5" s="10">
        <f>21543-U5-T5</f>
        <v>7021</v>
      </c>
      <c r="W5" s="10">
        <f>G5-V5-U5-T5</f>
        <v>7381</v>
      </c>
      <c r="X5" s="10">
        <v>6694</v>
      </c>
      <c r="Y5" s="15">
        <f>14251-X5</f>
        <v>7557</v>
      </c>
    </row>
    <row r="6" spans="1:27" x14ac:dyDescent="0.25">
      <c r="B6" t="s">
        <v>173</v>
      </c>
      <c r="C6" s="10"/>
      <c r="D6" s="10"/>
      <c r="E6" s="10">
        <v>2111</v>
      </c>
      <c r="F6" s="10">
        <v>2353</v>
      </c>
      <c r="G6" s="15">
        <v>2869</v>
      </c>
      <c r="H6" s="41"/>
      <c r="I6" s="41"/>
      <c r="L6" s="10"/>
      <c r="M6" s="10"/>
      <c r="N6" s="10"/>
      <c r="O6" s="10"/>
      <c r="P6" s="10">
        <v>425</v>
      </c>
      <c r="Q6" s="10">
        <f>956-P6</f>
        <v>531</v>
      </c>
      <c r="R6" s="10">
        <f>1503-Q6-P6</f>
        <v>547</v>
      </c>
      <c r="S6" s="10"/>
      <c r="T6" s="10">
        <v>521</v>
      </c>
      <c r="U6" s="10">
        <f>1293-T6</f>
        <v>772</v>
      </c>
      <c r="V6" s="10">
        <f>2010-U6-T6</f>
        <v>717</v>
      </c>
      <c r="W6" s="10">
        <f t="shared" ref="W6:W8" si="0">G6-V6-U6-T6</f>
        <v>859</v>
      </c>
      <c r="X6">
        <v>657</v>
      </c>
      <c r="Y6" s="15">
        <f>1379-X6</f>
        <v>722</v>
      </c>
    </row>
    <row r="7" spans="1:27" x14ac:dyDescent="0.25">
      <c r="B7" t="s">
        <v>174</v>
      </c>
      <c r="C7" s="10"/>
      <c r="D7" s="10"/>
      <c r="E7" s="10">
        <v>1426</v>
      </c>
      <c r="F7" s="10">
        <v>1655</v>
      </c>
      <c r="G7" s="15">
        <v>1787</v>
      </c>
      <c r="H7" s="41"/>
      <c r="I7" s="41"/>
      <c r="L7" s="10"/>
      <c r="M7" s="10"/>
      <c r="N7" s="10"/>
      <c r="O7" s="10"/>
      <c r="P7" s="10">
        <v>384</v>
      </c>
      <c r="Q7" s="10">
        <f>766-P7</f>
        <v>382</v>
      </c>
      <c r="R7" s="10">
        <f>1178-Q7-P7</f>
        <v>412</v>
      </c>
      <c r="S7" s="10"/>
      <c r="T7" s="10">
        <v>509</v>
      </c>
      <c r="U7" s="10">
        <f>875-T7</f>
        <v>366</v>
      </c>
      <c r="V7" s="10">
        <f>1379-U7-T7</f>
        <v>504</v>
      </c>
      <c r="W7" s="10">
        <f t="shared" si="0"/>
        <v>408</v>
      </c>
      <c r="X7">
        <v>462</v>
      </c>
      <c r="Y7" s="15">
        <f>952-X7</f>
        <v>490</v>
      </c>
    </row>
    <row r="8" spans="1:27" x14ac:dyDescent="0.25">
      <c r="B8" t="s">
        <v>25</v>
      </c>
      <c r="C8" s="10"/>
      <c r="D8" s="10"/>
      <c r="E8" s="10">
        <v>6</v>
      </c>
      <c r="F8" s="10">
        <f>-1894+1662</f>
        <v>-232</v>
      </c>
      <c r="G8" s="15">
        <f>-1496+1162</f>
        <v>-334</v>
      </c>
      <c r="H8" s="10"/>
      <c r="I8" s="10"/>
      <c r="L8" s="10"/>
      <c r="M8" s="10"/>
      <c r="N8" s="10"/>
      <c r="O8" s="10"/>
      <c r="P8" s="10">
        <v>-89</v>
      </c>
      <c r="Q8" s="10">
        <f>-149-P8</f>
        <v>-60</v>
      </c>
      <c r="R8" s="10">
        <f>-140-Q8-P8</f>
        <v>9</v>
      </c>
      <c r="S8" s="10"/>
      <c r="T8" s="10">
        <v>-53</v>
      </c>
      <c r="U8" s="10">
        <f>-111-T8</f>
        <v>-58</v>
      </c>
      <c r="V8" s="10">
        <f>-301-U8-T8</f>
        <v>-190</v>
      </c>
      <c r="W8" s="10">
        <f t="shared" si="0"/>
        <v>-33</v>
      </c>
      <c r="X8">
        <v>-84</v>
      </c>
      <c r="Y8" s="15">
        <f>-187-X8</f>
        <v>-103</v>
      </c>
    </row>
    <row r="9" spans="1:27" s="1" customFormat="1" x14ac:dyDescent="0.25">
      <c r="B9" s="1" t="s">
        <v>23</v>
      </c>
      <c r="C9" s="11">
        <f t="shared" ref="C9:I9" si="1">C3-SUM(C5:C8)</f>
        <v>0</v>
      </c>
      <c r="D9" s="11">
        <f t="shared" si="1"/>
        <v>0</v>
      </c>
      <c r="E9" s="11">
        <f t="shared" si="1"/>
        <v>5314</v>
      </c>
      <c r="F9" s="11">
        <f t="shared" si="1"/>
        <v>6772</v>
      </c>
      <c r="G9" s="14">
        <f t="shared" si="1"/>
        <v>7284</v>
      </c>
      <c r="H9" s="11">
        <f t="shared" si="1"/>
        <v>0</v>
      </c>
      <c r="I9" s="11">
        <f t="shared" si="1"/>
        <v>0</v>
      </c>
      <c r="J9" s="11"/>
      <c r="K9" s="11"/>
      <c r="L9" s="11">
        <f t="shared" ref="L9:Y9" si="2">L3-SUM(L5:L8)</f>
        <v>0</v>
      </c>
      <c r="M9" s="11">
        <f t="shared" si="2"/>
        <v>0</v>
      </c>
      <c r="N9" s="11">
        <f t="shared" si="2"/>
        <v>0</v>
      </c>
      <c r="O9" s="11">
        <f t="shared" si="2"/>
        <v>0</v>
      </c>
      <c r="P9" s="11">
        <f t="shared" si="2"/>
        <v>1467</v>
      </c>
      <c r="Q9" s="11">
        <f t="shared" si="2"/>
        <v>2014</v>
      </c>
      <c r="R9" s="11">
        <f t="shared" si="2"/>
        <v>1569</v>
      </c>
      <c r="S9" s="11">
        <f t="shared" si="2"/>
        <v>0</v>
      </c>
      <c r="T9" s="11">
        <f t="shared" si="2"/>
        <v>1840</v>
      </c>
      <c r="U9" s="11">
        <f t="shared" si="2"/>
        <v>2012</v>
      </c>
      <c r="V9" s="11">
        <f t="shared" si="2"/>
        <v>1649</v>
      </c>
      <c r="W9" s="11">
        <f t="shared" si="2"/>
        <v>1783</v>
      </c>
      <c r="X9" s="11">
        <f t="shared" si="2"/>
        <v>1282</v>
      </c>
      <c r="Y9" s="14">
        <f t="shared" si="2"/>
        <v>1780</v>
      </c>
    </row>
    <row r="10" spans="1:27" x14ac:dyDescent="0.25">
      <c r="B10" t="s">
        <v>175</v>
      </c>
      <c r="C10" s="10"/>
      <c r="D10" s="10"/>
      <c r="E10" s="10"/>
      <c r="F10" s="10">
        <v>-7</v>
      </c>
      <c r="G10" s="15">
        <v>-9</v>
      </c>
      <c r="H10" s="41"/>
      <c r="I10" s="41"/>
      <c r="L10" s="10"/>
      <c r="M10" s="10"/>
      <c r="N10" s="10"/>
      <c r="O10" s="10"/>
      <c r="P10" s="10">
        <v>-10</v>
      </c>
      <c r="Q10" s="10">
        <f>-12-P10</f>
        <v>-2</v>
      </c>
      <c r="R10" s="10">
        <f>17-Q10-P10</f>
        <v>29</v>
      </c>
      <c r="S10" s="10"/>
      <c r="T10" s="10">
        <v>-5</v>
      </c>
      <c r="U10" s="10">
        <f>-7-T10</f>
        <v>-2</v>
      </c>
      <c r="V10" s="10">
        <f>-6-U10-T10</f>
        <v>1</v>
      </c>
      <c r="W10" s="10">
        <f t="shared" ref="W10:W11" si="3">G10-V10-U10-T10</f>
        <v>-3</v>
      </c>
      <c r="X10">
        <v>-7</v>
      </c>
      <c r="Y10" s="15"/>
    </row>
    <row r="11" spans="1:27" x14ac:dyDescent="0.25">
      <c r="B11" t="s">
        <v>176</v>
      </c>
      <c r="C11" s="10"/>
      <c r="D11" s="10"/>
      <c r="E11" s="10">
        <v>415</v>
      </c>
      <c r="F11" s="10">
        <f>461-105-40</f>
        <v>316</v>
      </c>
      <c r="G11" s="15">
        <f>264-184+19</f>
        <v>99</v>
      </c>
      <c r="H11" s="41"/>
      <c r="I11" s="41"/>
      <c r="L11" s="10"/>
      <c r="M11" s="10"/>
      <c r="N11" s="10"/>
      <c r="O11" s="10"/>
      <c r="P11" s="10">
        <v>54</v>
      </c>
      <c r="Q11" s="10">
        <f>202-P11</f>
        <v>148</v>
      </c>
      <c r="R11" s="10">
        <f>249-Q11-P11</f>
        <v>47</v>
      </c>
      <c r="S11" s="10"/>
      <c r="T11" s="10">
        <v>150</v>
      </c>
      <c r="U11" s="10">
        <f>137-T11</f>
        <v>-13</v>
      </c>
      <c r="V11" s="10">
        <f>149-U11-T11</f>
        <v>12</v>
      </c>
      <c r="W11" s="10">
        <f t="shared" si="3"/>
        <v>-50</v>
      </c>
      <c r="X11">
        <v>58</v>
      </c>
      <c r="Y11" s="15">
        <f>33-X11</f>
        <v>-25</v>
      </c>
    </row>
    <row r="12" spans="1:27" s="1" customFormat="1" x14ac:dyDescent="0.25">
      <c r="B12" s="1" t="s">
        <v>19</v>
      </c>
      <c r="C12" s="11">
        <f t="shared" ref="C12:I12" si="4">C9+SUM(C10:C11)</f>
        <v>0</v>
      </c>
      <c r="D12" s="11">
        <f t="shared" si="4"/>
        <v>0</v>
      </c>
      <c r="E12" s="11">
        <f t="shared" si="4"/>
        <v>5729</v>
      </c>
      <c r="F12" s="11">
        <f t="shared" si="4"/>
        <v>7081</v>
      </c>
      <c r="G12" s="14">
        <f t="shared" si="4"/>
        <v>7374</v>
      </c>
      <c r="H12" s="11">
        <f t="shared" si="4"/>
        <v>0</v>
      </c>
      <c r="I12" s="11">
        <f t="shared" si="4"/>
        <v>0</v>
      </c>
      <c r="L12" s="11">
        <f t="shared" ref="L12:Y12" si="5">L9+SUM(L10:L11)</f>
        <v>0</v>
      </c>
      <c r="M12" s="11">
        <f t="shared" si="5"/>
        <v>0</v>
      </c>
      <c r="N12" s="11">
        <f t="shared" si="5"/>
        <v>0</v>
      </c>
      <c r="O12" s="11">
        <f t="shared" si="5"/>
        <v>0</v>
      </c>
      <c r="P12" s="11">
        <f t="shared" si="5"/>
        <v>1511</v>
      </c>
      <c r="Q12" s="11">
        <f t="shared" si="5"/>
        <v>2160</v>
      </c>
      <c r="R12" s="11">
        <f t="shared" si="5"/>
        <v>1645</v>
      </c>
      <c r="S12" s="11">
        <f t="shared" si="5"/>
        <v>0</v>
      </c>
      <c r="T12" s="11">
        <f t="shared" si="5"/>
        <v>1985</v>
      </c>
      <c r="U12" s="11">
        <f t="shared" si="5"/>
        <v>1997</v>
      </c>
      <c r="V12" s="11">
        <f t="shared" si="5"/>
        <v>1662</v>
      </c>
      <c r="W12" s="11">
        <f t="shared" si="5"/>
        <v>1730</v>
      </c>
      <c r="X12" s="11">
        <f t="shared" si="5"/>
        <v>1333</v>
      </c>
      <c r="Y12" s="14">
        <f t="shared" si="5"/>
        <v>1755</v>
      </c>
    </row>
    <row r="13" spans="1:27" x14ac:dyDescent="0.25">
      <c r="B13" t="s">
        <v>20</v>
      </c>
      <c r="C13" s="10"/>
      <c r="D13" s="10"/>
      <c r="E13" s="10">
        <v>1691</v>
      </c>
      <c r="F13" s="10">
        <v>2114</v>
      </c>
      <c r="G13" s="15">
        <v>2218</v>
      </c>
      <c r="H13" s="41"/>
      <c r="I13" s="41"/>
      <c r="L13" s="10"/>
      <c r="M13" s="10"/>
      <c r="N13" s="10"/>
      <c r="O13" s="10"/>
      <c r="P13" s="10">
        <v>500</v>
      </c>
      <c r="Q13" s="10">
        <f>1161-P13</f>
        <v>661</v>
      </c>
      <c r="R13" s="10">
        <f>1615-Q13-P13</f>
        <v>454</v>
      </c>
      <c r="S13" s="10"/>
      <c r="T13" s="10">
        <v>578</v>
      </c>
      <c r="U13" s="10">
        <f>1215-T13</f>
        <v>637</v>
      </c>
      <c r="V13" s="10">
        <f>1705-U13-T13</f>
        <v>490</v>
      </c>
      <c r="W13" s="10">
        <f>G13-V13-U13-T13</f>
        <v>513</v>
      </c>
      <c r="X13">
        <v>406</v>
      </c>
      <c r="Y13" s="15">
        <f>942-X13</f>
        <v>536</v>
      </c>
    </row>
    <row r="14" spans="1:27" s="1" customFormat="1" x14ac:dyDescent="0.25">
      <c r="B14" s="1" t="s">
        <v>21</v>
      </c>
      <c r="C14" s="11">
        <f>C12-SUM(C13:C13)</f>
        <v>0</v>
      </c>
      <c r="D14" s="11">
        <f>D12-SUM(D13:D13)</f>
        <v>0</v>
      </c>
      <c r="E14" s="11">
        <f>E12-SUM(E13:E13)</f>
        <v>4038</v>
      </c>
      <c r="F14" s="11">
        <f>F12-SUM(F13:F13)</f>
        <v>4967</v>
      </c>
      <c r="G14" s="14">
        <f>G12-SUM(G13:G13)</f>
        <v>5156</v>
      </c>
      <c r="H14" s="59"/>
      <c r="I14" s="59"/>
      <c r="L14" s="11">
        <f t="shared" ref="L14:Y14" si="6">L12-SUM(L13:L13)</f>
        <v>0</v>
      </c>
      <c r="M14" s="11">
        <f t="shared" si="6"/>
        <v>0</v>
      </c>
      <c r="N14" s="11">
        <f t="shared" si="6"/>
        <v>0</v>
      </c>
      <c r="O14" s="11">
        <f t="shared" si="6"/>
        <v>0</v>
      </c>
      <c r="P14" s="11">
        <f t="shared" si="6"/>
        <v>1011</v>
      </c>
      <c r="Q14" s="11">
        <f t="shared" si="6"/>
        <v>1499</v>
      </c>
      <c r="R14" s="11">
        <f t="shared" si="6"/>
        <v>1191</v>
      </c>
      <c r="S14" s="11">
        <f t="shared" si="6"/>
        <v>0</v>
      </c>
      <c r="T14" s="11">
        <f t="shared" si="6"/>
        <v>1407</v>
      </c>
      <c r="U14" s="11">
        <f t="shared" si="6"/>
        <v>1360</v>
      </c>
      <c r="V14" s="11">
        <f t="shared" si="6"/>
        <v>1172</v>
      </c>
      <c r="W14" s="11">
        <f t="shared" si="6"/>
        <v>1217</v>
      </c>
      <c r="X14" s="11">
        <f t="shared" si="6"/>
        <v>927</v>
      </c>
      <c r="Y14" s="14">
        <f t="shared" si="6"/>
        <v>1219</v>
      </c>
    </row>
    <row r="15" spans="1:27" x14ac:dyDescent="0.25">
      <c r="B15" t="s">
        <v>1</v>
      </c>
      <c r="C15" s="10"/>
      <c r="D15" s="10"/>
      <c r="E15" s="10">
        <f>E14/E16</f>
        <v>911.51241534988719</v>
      </c>
      <c r="F15" s="10">
        <f>F14/F16</f>
        <v>913.05147058823525</v>
      </c>
      <c r="G15" s="15">
        <f>G14/G16</f>
        <v>910.95406360424022</v>
      </c>
      <c r="H15" s="41"/>
      <c r="I15" s="41"/>
      <c r="L15" s="10"/>
      <c r="M15" s="10"/>
      <c r="N15" s="10"/>
      <c r="O15" s="10"/>
      <c r="P15" s="10">
        <f>P14/P16</f>
        <v>919.09090909090901</v>
      </c>
      <c r="Q15" s="10">
        <f>Q14/Q16</f>
        <v>914.02439024390242</v>
      </c>
      <c r="R15" s="10">
        <f>R14/R16</f>
        <v>902.27272727272771</v>
      </c>
      <c r="S15" s="10"/>
      <c r="T15" s="10">
        <f t="shared" ref="T15:V15" si="7">T14/T16</f>
        <v>907.74193548387098</v>
      </c>
      <c r="U15" s="10">
        <f t="shared" si="7"/>
        <v>918.91891891891908</v>
      </c>
      <c r="V15" s="10">
        <f t="shared" si="7"/>
        <v>908.52713178294528</v>
      </c>
      <c r="W15" s="10">
        <f>W14/W16</f>
        <v>908.20895522388082</v>
      </c>
      <c r="X15" s="10">
        <f>X14/X16</f>
        <v>917.82178217821786</v>
      </c>
      <c r="Y15" s="15">
        <v>911</v>
      </c>
    </row>
    <row r="16" spans="1:27" s="1" customFormat="1" x14ac:dyDescent="0.25">
      <c r="B16" s="1" t="s">
        <v>22</v>
      </c>
      <c r="C16" s="2" t="e">
        <f>C14/C15</f>
        <v>#DIV/0!</v>
      </c>
      <c r="D16" s="2" t="e">
        <f>D14/D15</f>
        <v>#DIV/0!</v>
      </c>
      <c r="E16" s="2">
        <v>4.43</v>
      </c>
      <c r="F16" s="2">
        <v>5.44</v>
      </c>
      <c r="G16" s="55">
        <v>5.66</v>
      </c>
      <c r="H16" s="56"/>
      <c r="I16" s="57"/>
      <c r="L16" s="50" t="e">
        <f t="shared" ref="L16:S16" si="8">L14/L15</f>
        <v>#DIV/0!</v>
      </c>
      <c r="M16" s="50" t="e">
        <f t="shared" si="8"/>
        <v>#DIV/0!</v>
      </c>
      <c r="N16" s="50" t="e">
        <f t="shared" si="8"/>
        <v>#DIV/0!</v>
      </c>
      <c r="O16" s="50" t="e">
        <f t="shared" si="8"/>
        <v>#DIV/0!</v>
      </c>
      <c r="P16" s="50">
        <v>1.1000000000000001</v>
      </c>
      <c r="Q16" s="50">
        <f>2.74-P16</f>
        <v>1.6400000000000001</v>
      </c>
      <c r="R16" s="50">
        <f>4.06-Q16-P16</f>
        <v>1.3199999999999994</v>
      </c>
      <c r="S16" s="50" t="e">
        <f t="shared" si="8"/>
        <v>#DIV/0!</v>
      </c>
      <c r="T16" s="50">
        <v>1.55</v>
      </c>
      <c r="U16" s="50">
        <f>3.03-T16</f>
        <v>1.4799999999999998</v>
      </c>
      <c r="V16" s="50">
        <f>4.32-U16-T16</f>
        <v>1.2900000000000007</v>
      </c>
      <c r="W16" s="50">
        <f>G16-V16-U16-T16</f>
        <v>1.3399999999999996</v>
      </c>
      <c r="X16" s="50">
        <v>1.01</v>
      </c>
      <c r="Y16" s="49">
        <f>Y14/Y15</f>
        <v>1.3380900109769485</v>
      </c>
    </row>
    <row r="17" spans="2:27" s="1" customFormat="1" x14ac:dyDescent="0.25">
      <c r="B17" s="9" t="s">
        <v>63</v>
      </c>
      <c r="C17" s="2"/>
      <c r="D17" s="2"/>
      <c r="E17" s="2"/>
      <c r="F17" s="2"/>
      <c r="G17" s="35"/>
      <c r="H17" s="44">
        <v>5.26</v>
      </c>
      <c r="I17" s="45">
        <v>6.11</v>
      </c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0"/>
      <c r="X17" s="50"/>
      <c r="Y17" s="49">
        <v>0.94</v>
      </c>
      <c r="Z17" s="1">
        <v>1.2</v>
      </c>
      <c r="AA17" s="1">
        <v>1.08</v>
      </c>
    </row>
    <row r="18" spans="2:27" s="1" customFormat="1" x14ac:dyDescent="0.25">
      <c r="B18" t="s">
        <v>28</v>
      </c>
      <c r="C18" s="3" t="e">
        <f>1-C5/C3</f>
        <v>#DIV/0!</v>
      </c>
      <c r="D18" s="3" t="e">
        <f>1-D5/D3</f>
        <v>#DIV/0!</v>
      </c>
      <c r="E18" s="3">
        <f>1-E5/E3</f>
        <v>0.26727623875912854</v>
      </c>
      <c r="F18" s="3">
        <f>1-F5/F3</f>
        <v>0.28025613093498414</v>
      </c>
      <c r="G18" s="6">
        <f>1-G5/G3</f>
        <v>0.28635578583765109</v>
      </c>
      <c r="H18" s="46"/>
      <c r="I18" s="46"/>
      <c r="L18" s="3" t="e">
        <f t="shared" ref="L18:X18" si="9">1-L5/L3</f>
        <v>#DIV/0!</v>
      </c>
      <c r="M18" s="3" t="e">
        <f t="shared" si="9"/>
        <v>#DIV/0!</v>
      </c>
      <c r="N18" s="3" t="e">
        <f t="shared" si="9"/>
        <v>#DIV/0!</v>
      </c>
      <c r="O18" s="3" t="e">
        <f t="shared" si="9"/>
        <v>#DIV/0!</v>
      </c>
      <c r="P18" s="3">
        <f t="shared" si="9"/>
        <v>0.2719134651249534</v>
      </c>
      <c r="Q18" s="3">
        <f t="shared" si="9"/>
        <v>0.29021155987448122</v>
      </c>
      <c r="R18" s="3">
        <f t="shared" si="9"/>
        <v>0.28738106026280019</v>
      </c>
      <c r="S18" s="3" t="e">
        <f t="shared" si="9"/>
        <v>#DIV/0!</v>
      </c>
      <c r="T18" s="3">
        <f t="shared" si="9"/>
        <v>0.27899376052292757</v>
      </c>
      <c r="U18" s="3">
        <f t="shared" si="9"/>
        <v>0.29920650280627059</v>
      </c>
      <c r="V18" s="3">
        <f t="shared" si="9"/>
        <v>0.27626017936295222</v>
      </c>
      <c r="W18" s="40">
        <f t="shared" si="9"/>
        <v>0.29015195229851898</v>
      </c>
      <c r="X18" s="40">
        <f t="shared" si="9"/>
        <v>0.25713017423149487</v>
      </c>
      <c r="Y18" s="6">
        <f t="shared" ref="Y18:Z18" si="10">1-Y5/Y3</f>
        <v>0.27656519241815047</v>
      </c>
      <c r="Z18" s="40" t="e">
        <f t="shared" si="10"/>
        <v>#DIV/0!</v>
      </c>
    </row>
    <row r="19" spans="2:27" x14ac:dyDescent="0.25">
      <c r="B19" t="s">
        <v>29</v>
      </c>
      <c r="C19" s="4" t="e">
        <f>C14/C3</f>
        <v>#DIV/0!</v>
      </c>
      <c r="D19" s="4" t="e">
        <f>D14/D3</f>
        <v>#DIV/0!</v>
      </c>
      <c r="E19" s="4">
        <f>E14/E3</f>
        <v>0.12185406481984429</v>
      </c>
      <c r="F19" s="4">
        <f>F14/F3</f>
        <v>0.13197119855461381</v>
      </c>
      <c r="G19" s="7">
        <f>G14/G3</f>
        <v>0.12721440907969406</v>
      </c>
      <c r="H19" s="47">
        <f>H14/H4</f>
        <v>0</v>
      </c>
      <c r="I19" s="47">
        <f>I14/I4</f>
        <v>0</v>
      </c>
      <c r="L19" s="4" t="e">
        <f t="shared" ref="L19:X19" si="11">L14/L3</f>
        <v>#DIV/0!</v>
      </c>
      <c r="M19" s="4" t="e">
        <f t="shared" si="11"/>
        <v>#DIV/0!</v>
      </c>
      <c r="N19" s="4" t="e">
        <f t="shared" si="11"/>
        <v>#DIV/0!</v>
      </c>
      <c r="O19" s="4" t="e">
        <f t="shared" si="11"/>
        <v>#DIV/0!</v>
      </c>
      <c r="P19" s="4">
        <f t="shared" si="11"/>
        <v>0.12569936590824318</v>
      </c>
      <c r="Q19" s="4">
        <f t="shared" si="11"/>
        <v>0.15173600566858994</v>
      </c>
      <c r="R19" s="4">
        <f t="shared" si="11"/>
        <v>0.13491164476665157</v>
      </c>
      <c r="S19" s="4" t="e">
        <f t="shared" si="11"/>
        <v>#DIV/0!</v>
      </c>
      <c r="T19" s="4">
        <f t="shared" si="11"/>
        <v>0.13934832128354957</v>
      </c>
      <c r="U19" s="4">
        <f t="shared" si="11"/>
        <v>0.13160441261854075</v>
      </c>
      <c r="V19" s="4">
        <f t="shared" si="11"/>
        <v>0.12081228739305226</v>
      </c>
      <c r="W19" s="4">
        <f t="shared" si="11"/>
        <v>0.11704173879592229</v>
      </c>
      <c r="X19" s="4">
        <f t="shared" si="11"/>
        <v>0.10287426478748196</v>
      </c>
      <c r="Y19" s="7">
        <f t="shared" ref="Y19:Z19" si="12">Y14/Y3</f>
        <v>0.11669538579360521</v>
      </c>
      <c r="Z19" s="4" t="e">
        <f t="shared" si="12"/>
        <v>#DIV/0!</v>
      </c>
    </row>
    <row r="20" spans="2:27" x14ac:dyDescent="0.25">
      <c r="B20" t="s">
        <v>179</v>
      </c>
      <c r="C20" s="4"/>
      <c r="D20" s="4"/>
      <c r="E20" s="4">
        <f>E13/E12</f>
        <v>0.29516495025309825</v>
      </c>
      <c r="F20" s="4">
        <f>F13/F12</f>
        <v>0.29854540319163958</v>
      </c>
      <c r="G20" s="7">
        <f>G13/G12</f>
        <v>0.30078654732845134</v>
      </c>
      <c r="H20" s="47"/>
      <c r="I20" s="47"/>
      <c r="L20" s="4" t="e">
        <f t="shared" ref="L20:W20" si="13">L13/L12</f>
        <v>#DIV/0!</v>
      </c>
      <c r="M20" s="4" t="e">
        <f t="shared" si="13"/>
        <v>#DIV/0!</v>
      </c>
      <c r="N20" s="4" t="e">
        <f t="shared" si="13"/>
        <v>#DIV/0!</v>
      </c>
      <c r="O20" s="4" t="e">
        <f t="shared" si="13"/>
        <v>#DIV/0!</v>
      </c>
      <c r="P20" s="4">
        <f t="shared" si="13"/>
        <v>0.33090668431502318</v>
      </c>
      <c r="Q20" s="4">
        <f t="shared" si="13"/>
        <v>0.30601851851851852</v>
      </c>
      <c r="R20" s="4">
        <f t="shared" si="13"/>
        <v>0.27598784194528875</v>
      </c>
      <c r="S20" s="4" t="e">
        <f t="shared" si="13"/>
        <v>#DIV/0!</v>
      </c>
      <c r="T20" s="4">
        <f t="shared" si="13"/>
        <v>0.29118387909319898</v>
      </c>
      <c r="U20" s="4">
        <f t="shared" si="13"/>
        <v>0.3189784677015523</v>
      </c>
      <c r="V20" s="4">
        <f t="shared" si="13"/>
        <v>0.29482551143200963</v>
      </c>
      <c r="W20" s="4">
        <f t="shared" si="13"/>
        <v>0.29653179190751444</v>
      </c>
      <c r="X20" s="4">
        <f>X13/X12</f>
        <v>0.30457614403600902</v>
      </c>
      <c r="Y20" s="7">
        <f t="shared" ref="Y20:Z20" si="14">Y13/Y12</f>
        <v>0.3054131054131054</v>
      </c>
      <c r="Z20" s="4" t="e">
        <f t="shared" si="14"/>
        <v>#DIV/0!</v>
      </c>
    </row>
    <row r="21" spans="2:27" x14ac:dyDescent="0.25">
      <c r="B21" t="s">
        <v>30</v>
      </c>
      <c r="C21" s="3"/>
      <c r="D21" s="3" t="e">
        <f>D3/C3-1</f>
        <v>#DIV/0!</v>
      </c>
      <c r="E21" s="3" t="e">
        <f>E3/D3-1</f>
        <v>#DIV/0!</v>
      </c>
      <c r="F21" s="40">
        <f>F3/E3-1</f>
        <v>0.13576558633592861</v>
      </c>
      <c r="G21" s="6">
        <f>G3/F3-1</f>
        <v>7.6865850094322008E-2</v>
      </c>
      <c r="H21" s="48">
        <f>H4/G3-1</f>
        <v>8.3888477670861494E-3</v>
      </c>
      <c r="I21" s="48">
        <f>I4/H4-1</f>
        <v>7.6584291656471848E-2</v>
      </c>
      <c r="L21" s="4"/>
      <c r="M21" s="4"/>
      <c r="N21" s="4"/>
      <c r="O21" s="4"/>
      <c r="P21" s="4" t="e">
        <f t="shared" ref="P21:X21" si="15">P3/L3-1</f>
        <v>#DIV/0!</v>
      </c>
      <c r="Q21" s="4" t="e">
        <f t="shared" si="15"/>
        <v>#DIV/0!</v>
      </c>
      <c r="R21" s="4" t="e">
        <f t="shared" si="15"/>
        <v>#DIV/0!</v>
      </c>
      <c r="S21" s="4" t="e">
        <f t="shared" si="15"/>
        <v>#DIV/0!</v>
      </c>
      <c r="T21" s="4">
        <f t="shared" si="15"/>
        <v>0.25537734676115886</v>
      </c>
      <c r="U21" s="4">
        <f t="shared" si="15"/>
        <v>4.6057293248304543E-2</v>
      </c>
      <c r="V21" s="4">
        <f t="shared" si="15"/>
        <v>9.8889895786135051E-2</v>
      </c>
      <c r="W21" s="4" t="e">
        <f t="shared" si="15"/>
        <v>#DIV/0!</v>
      </c>
      <c r="X21" s="129">
        <f t="shared" si="15"/>
        <v>-0.10755670000990392</v>
      </c>
      <c r="Y21" s="131">
        <f>Y4/U3-1</f>
        <v>-0.15134507451132184</v>
      </c>
      <c r="Z21" s="37">
        <f>Z4/V3-1</f>
        <v>6.6900319554685117E-2</v>
      </c>
    </row>
    <row r="22" spans="2:27" x14ac:dyDescent="0.25">
      <c r="B22" t="s">
        <v>177</v>
      </c>
      <c r="C22" s="4" t="e">
        <f>C6/C3</f>
        <v>#DIV/0!</v>
      </c>
      <c r="D22" s="4" t="e">
        <f>D6/D3</f>
        <v>#DIV/0!</v>
      </c>
      <c r="E22" s="4">
        <f>E6/E3</f>
        <v>6.3703301345886892E-2</v>
      </c>
      <c r="F22" s="4">
        <f>F6/F3</f>
        <v>6.2518266599357011E-2</v>
      </c>
      <c r="G22" s="7">
        <f>G6/G3</f>
        <v>7.078707130520602E-2</v>
      </c>
      <c r="H22" s="121"/>
      <c r="I22" s="121"/>
      <c r="L22" s="4" t="e">
        <f t="shared" ref="L22:X22" si="16">L6/L3</f>
        <v>#DIV/0!</v>
      </c>
      <c r="M22" s="4" t="e">
        <f t="shared" si="16"/>
        <v>#DIV/0!</v>
      </c>
      <c r="N22" s="4" t="e">
        <f t="shared" si="16"/>
        <v>#DIV/0!</v>
      </c>
      <c r="O22" s="4" t="e">
        <f t="shared" si="16"/>
        <v>#DIV/0!</v>
      </c>
      <c r="P22" s="4">
        <f t="shared" si="16"/>
        <v>5.2840979733930128E-2</v>
      </c>
      <c r="Q22" s="4">
        <f t="shared" si="16"/>
        <v>5.3750379593076221E-2</v>
      </c>
      <c r="R22" s="4">
        <f t="shared" si="16"/>
        <v>6.196193928409606E-2</v>
      </c>
      <c r="S22" s="4" t="e">
        <f t="shared" si="16"/>
        <v>#DIV/0!</v>
      </c>
      <c r="T22" s="4">
        <f t="shared" si="16"/>
        <v>5.1599484995543232E-2</v>
      </c>
      <c r="U22" s="4">
        <f t="shared" si="16"/>
        <v>7.4704857751112838E-2</v>
      </c>
      <c r="V22" s="4">
        <f t="shared" si="16"/>
        <v>7.3909906195237601E-2</v>
      </c>
      <c r="W22" s="4">
        <f t="shared" si="16"/>
        <v>8.2612040777072515E-2</v>
      </c>
      <c r="X22" s="4">
        <f t="shared" si="16"/>
        <v>7.2910886694040611E-2</v>
      </c>
      <c r="Y22" s="7">
        <f t="shared" ref="Y22:Z22" si="17">Y6/Y3</f>
        <v>6.9117365498755509E-2</v>
      </c>
      <c r="Z22" s="4" t="e">
        <f t="shared" si="17"/>
        <v>#DIV/0!</v>
      </c>
    </row>
    <row r="23" spans="2:27" x14ac:dyDescent="0.25">
      <c r="B23" t="s">
        <v>178</v>
      </c>
      <c r="C23" s="4" t="e">
        <f>C7/C3</f>
        <v>#DIV/0!</v>
      </c>
      <c r="D23" s="4" t="e">
        <f>D7/D3</f>
        <v>#DIV/0!</v>
      </c>
      <c r="E23" s="4">
        <f>E7/E3</f>
        <v>4.3032168507453679E-2</v>
      </c>
      <c r="F23" s="4">
        <f>F7/F3</f>
        <v>4.3972686452161437E-2</v>
      </c>
      <c r="G23" s="7">
        <f>G7/G3</f>
        <v>4.4090796940537871E-2</v>
      </c>
      <c r="H23" s="121"/>
      <c r="I23" s="121"/>
      <c r="L23" s="4" t="e">
        <f t="shared" ref="L23:X23" si="18">L7/L3</f>
        <v>#DIV/0!</v>
      </c>
      <c r="M23" s="4" t="e">
        <f t="shared" si="18"/>
        <v>#DIV/0!</v>
      </c>
      <c r="N23" s="4" t="e">
        <f t="shared" si="18"/>
        <v>#DIV/0!</v>
      </c>
      <c r="O23" s="4" t="e">
        <f t="shared" si="18"/>
        <v>#DIV/0!</v>
      </c>
      <c r="P23" s="4">
        <f t="shared" si="18"/>
        <v>4.7743379336068634E-2</v>
      </c>
      <c r="Q23" s="4">
        <f t="shared" si="18"/>
        <v>3.8667881364510576E-2</v>
      </c>
      <c r="R23" s="4">
        <f t="shared" si="18"/>
        <v>4.6669687358405078E-2</v>
      </c>
      <c r="S23" s="4" t="e">
        <f t="shared" si="18"/>
        <v>#DIV/0!</v>
      </c>
      <c r="T23" s="4">
        <f t="shared" si="18"/>
        <v>5.0411013172229374E-2</v>
      </c>
      <c r="U23" s="4">
        <f t="shared" si="18"/>
        <v>3.5417069866460225E-2</v>
      </c>
      <c r="V23" s="4">
        <f t="shared" si="18"/>
        <v>5.1953406865271619E-2</v>
      </c>
      <c r="W23" s="4">
        <f t="shared" si="18"/>
        <v>3.9238315060588572E-2</v>
      </c>
      <c r="X23" s="4">
        <f t="shared" si="18"/>
        <v>5.1270669182110755E-2</v>
      </c>
      <c r="Y23" s="7">
        <f t="shared" ref="Y23:Z23" si="19">Y7/Y3</f>
        <v>4.6907907332950409E-2</v>
      </c>
      <c r="Z23" s="4" t="e">
        <f t="shared" si="19"/>
        <v>#DIV/0!</v>
      </c>
    </row>
    <row r="24" spans="2:27" x14ac:dyDescent="0.25">
      <c r="B24" t="s">
        <v>129</v>
      </c>
      <c r="C24" s="4"/>
      <c r="D24" s="4"/>
      <c r="E24" s="4"/>
      <c r="F24" s="4"/>
      <c r="G24" s="7"/>
      <c r="H24" s="121"/>
      <c r="I24" s="121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</row>
    <row r="25" spans="2:27" x14ac:dyDescent="0.25">
      <c r="B25" t="s">
        <v>34</v>
      </c>
      <c r="C25" s="3"/>
      <c r="D25" s="3" t="e">
        <f>-(D14/C14-1)</f>
        <v>#DIV/0!</v>
      </c>
      <c r="E25" s="3" t="e">
        <f>-(E14/D14-1)</f>
        <v>#DIV/0!</v>
      </c>
      <c r="F25" s="40">
        <f>F14/E14-1</f>
        <v>0.23006438831104514</v>
      </c>
      <c r="G25" s="6">
        <f>G14/F14-1</f>
        <v>3.8051137507549848E-2</v>
      </c>
      <c r="H25" s="58">
        <f>H16/G16-1</f>
        <v>-1</v>
      </c>
      <c r="I25" s="58" t="e">
        <f>I16/H16-1</f>
        <v>#DIV/0!</v>
      </c>
      <c r="L25" s="4"/>
      <c r="M25" s="4"/>
      <c r="N25" s="4"/>
      <c r="O25" s="4"/>
      <c r="P25" s="4" t="e">
        <f t="shared" ref="P25:X25" si="20">P14/L14-1</f>
        <v>#DIV/0!</v>
      </c>
      <c r="Q25" s="4" t="e">
        <f t="shared" si="20"/>
        <v>#DIV/0!</v>
      </c>
      <c r="R25" s="4" t="e">
        <f t="shared" si="20"/>
        <v>#DIV/0!</v>
      </c>
      <c r="S25" s="4" t="e">
        <f t="shared" si="20"/>
        <v>#DIV/0!</v>
      </c>
      <c r="T25" s="4">
        <f t="shared" si="20"/>
        <v>0.39169139465875369</v>
      </c>
      <c r="U25" s="4">
        <f t="shared" si="20"/>
        <v>-9.2728485657104787E-2</v>
      </c>
      <c r="V25" s="4">
        <f t="shared" si="20"/>
        <v>-1.5952980688497043E-2</v>
      </c>
      <c r="W25" s="4" t="e">
        <f t="shared" si="20"/>
        <v>#DIV/0!</v>
      </c>
      <c r="X25" s="129">
        <f t="shared" si="20"/>
        <v>-0.34115138592750538</v>
      </c>
      <c r="Y25" s="7">
        <f t="shared" ref="Y25" si="21">Y14/U14-1</f>
        <v>-0.10367647058823526</v>
      </c>
      <c r="Z25" s="4">
        <f t="shared" ref="Z25" si="22">Z14/V14-1</f>
        <v>-1</v>
      </c>
    </row>
    <row r="29" spans="2:27" s="1" customFormat="1" x14ac:dyDescent="0.25">
      <c r="B29" s="1" t="s">
        <v>38</v>
      </c>
      <c r="C29" s="11">
        <f t="shared" ref="C29:D29" si="23">C35+C34-C44</f>
        <v>0</v>
      </c>
      <c r="D29" s="11">
        <f t="shared" si="23"/>
        <v>0</v>
      </c>
      <c r="E29" s="11">
        <f t="shared" ref="E29:G29" si="24">E35+E34-E44-E45</f>
        <v>93</v>
      </c>
      <c r="F29" s="11">
        <f t="shared" si="24"/>
        <v>-849</v>
      </c>
      <c r="G29" s="14">
        <f t="shared" si="24"/>
        <v>276</v>
      </c>
      <c r="L29" s="11">
        <f t="shared" ref="L29:R29" si="25">L35+L34-L44-L45</f>
        <v>0</v>
      </c>
      <c r="M29" s="11">
        <f t="shared" si="25"/>
        <v>0</v>
      </c>
      <c r="N29" s="11">
        <f t="shared" si="25"/>
        <v>0</v>
      </c>
      <c r="O29" s="11">
        <f t="shared" si="25"/>
        <v>0</v>
      </c>
      <c r="P29" s="11">
        <f t="shared" si="25"/>
        <v>0</v>
      </c>
      <c r="Q29" s="11">
        <f t="shared" si="25"/>
        <v>0</v>
      </c>
      <c r="R29" s="11">
        <f t="shared" si="25"/>
        <v>0</v>
      </c>
      <c r="S29" s="11">
        <f t="shared" ref="S29:W29" si="26">S35+S34-S44-S45</f>
        <v>-849</v>
      </c>
      <c r="T29" s="11">
        <f t="shared" si="26"/>
        <v>-2660</v>
      </c>
      <c r="U29" s="11">
        <f t="shared" si="26"/>
        <v>-4228</v>
      </c>
      <c r="V29" s="11">
        <f t="shared" si="26"/>
        <v>-3733</v>
      </c>
      <c r="W29" s="11">
        <f t="shared" si="26"/>
        <v>276</v>
      </c>
      <c r="X29" s="11">
        <f>X35+X34-X44-X45</f>
        <v>-62</v>
      </c>
      <c r="Y29" s="14">
        <f t="shared" ref="Y29:AA29" si="27">Y35+Y34-Y44-Y45</f>
        <v>-1470</v>
      </c>
      <c r="Z29" s="11">
        <f t="shared" si="27"/>
        <v>0</v>
      </c>
      <c r="AA29" s="11">
        <f t="shared" si="27"/>
        <v>0</v>
      </c>
    </row>
    <row r="30" spans="2:27" x14ac:dyDescent="0.25">
      <c r="B30" t="s">
        <v>75</v>
      </c>
      <c r="C30" s="10"/>
      <c r="D30" s="10"/>
      <c r="E30" s="10">
        <v>4517</v>
      </c>
      <c r="F30" s="10">
        <v>5504</v>
      </c>
      <c r="G30" s="15">
        <v>5947</v>
      </c>
      <c r="L30" s="10"/>
      <c r="M30" s="10"/>
      <c r="N30" s="10"/>
      <c r="O30" s="10"/>
      <c r="P30" s="10"/>
      <c r="Q30" s="10"/>
      <c r="R30" s="10"/>
      <c r="S30" s="10">
        <f>F30</f>
        <v>5504</v>
      </c>
      <c r="T30" s="10">
        <v>6213</v>
      </c>
      <c r="U30" s="10">
        <v>6501</v>
      </c>
      <c r="V30" s="10">
        <v>6108</v>
      </c>
      <c r="W30" s="10">
        <f>G30</f>
        <v>5947</v>
      </c>
      <c r="X30" s="10">
        <v>6531</v>
      </c>
      <c r="Y30" s="15">
        <v>6791</v>
      </c>
      <c r="Z30" s="10"/>
      <c r="AA30" s="10"/>
    </row>
    <row r="31" spans="2:27" x14ac:dyDescent="0.25">
      <c r="B31" t="s">
        <v>180</v>
      </c>
      <c r="C31" s="10"/>
      <c r="D31" s="10"/>
      <c r="E31" s="10">
        <v>1081</v>
      </c>
      <c r="F31" s="10">
        <v>1538</v>
      </c>
      <c r="G31" s="15">
        <v>1669</v>
      </c>
      <c r="L31" s="10"/>
      <c r="M31" s="10"/>
      <c r="N31" s="10"/>
      <c r="O31" s="10"/>
      <c r="P31" s="10"/>
      <c r="Q31" s="10"/>
      <c r="R31" s="10"/>
      <c r="S31" s="10">
        <f t="shared" ref="S31:S36" si="28">F31</f>
        <v>1538</v>
      </c>
      <c r="T31" s="10">
        <v>1518</v>
      </c>
      <c r="U31" s="10">
        <v>1551</v>
      </c>
      <c r="V31" s="10">
        <v>1608</v>
      </c>
      <c r="W31" s="10">
        <f t="shared" ref="W31:W36" si="29">G31</f>
        <v>1669</v>
      </c>
      <c r="X31" s="10">
        <v>1678</v>
      </c>
      <c r="Y31" s="15">
        <v>1701</v>
      </c>
      <c r="Z31" s="10"/>
      <c r="AA31" s="10"/>
    </row>
    <row r="32" spans="2:27" x14ac:dyDescent="0.25">
      <c r="B32" t="s">
        <v>25</v>
      </c>
      <c r="C32" s="10"/>
      <c r="D32" s="10"/>
      <c r="E32" s="10">
        <v>7131</v>
      </c>
      <c r="F32" s="10">
        <v>7480</v>
      </c>
      <c r="G32" s="15">
        <v>4537</v>
      </c>
      <c r="L32" s="10"/>
      <c r="M32" s="10"/>
      <c r="N32" s="10"/>
      <c r="O32" s="10"/>
      <c r="P32" s="10"/>
      <c r="Q32" s="10"/>
      <c r="R32" s="10"/>
      <c r="S32" s="10">
        <f t="shared" si="28"/>
        <v>7480</v>
      </c>
      <c r="T32" s="10">
        <v>6157</v>
      </c>
      <c r="U32" s="10">
        <v>8206</v>
      </c>
      <c r="V32" s="10">
        <v>8192</v>
      </c>
      <c r="W32" s="10">
        <f t="shared" si="29"/>
        <v>4537</v>
      </c>
      <c r="X32" s="10">
        <v>4168</v>
      </c>
      <c r="Y32" s="15">
        <v>4344</v>
      </c>
      <c r="Z32" s="10"/>
      <c r="AA32" s="10"/>
    </row>
    <row r="33" spans="2:27" x14ac:dyDescent="0.25">
      <c r="B33" t="s">
        <v>181</v>
      </c>
      <c r="C33" s="10"/>
      <c r="D33" s="10"/>
      <c r="E33" s="10">
        <v>155</v>
      </c>
      <c r="F33" s="10">
        <v>87</v>
      </c>
      <c r="G33" s="15">
        <v>235</v>
      </c>
      <c r="L33" s="10"/>
      <c r="M33" s="10"/>
      <c r="N33" s="10"/>
      <c r="O33" s="10"/>
      <c r="P33" s="10"/>
      <c r="Q33" s="10"/>
      <c r="R33" s="10"/>
      <c r="S33" s="10">
        <f t="shared" si="28"/>
        <v>87</v>
      </c>
      <c r="T33" s="10">
        <v>72</v>
      </c>
      <c r="U33" s="10">
        <v>116</v>
      </c>
      <c r="V33" s="10">
        <v>122</v>
      </c>
      <c r="W33" s="10">
        <f t="shared" si="29"/>
        <v>235</v>
      </c>
      <c r="X33" s="10">
        <v>350</v>
      </c>
      <c r="Y33" s="15">
        <v>292</v>
      </c>
      <c r="Z33" s="10"/>
      <c r="AA33" s="10"/>
    </row>
    <row r="34" spans="2:27" x14ac:dyDescent="0.25">
      <c r="B34" t="s">
        <v>182</v>
      </c>
      <c r="C34" s="10"/>
      <c r="D34" s="10"/>
      <c r="E34" s="10">
        <v>982</v>
      </c>
      <c r="F34" s="10">
        <v>1795</v>
      </c>
      <c r="G34" s="15">
        <v>1826</v>
      </c>
      <c r="L34" s="10"/>
      <c r="M34" s="10"/>
      <c r="N34" s="10"/>
      <c r="O34" s="10"/>
      <c r="P34" s="10"/>
      <c r="Q34" s="10"/>
      <c r="R34" s="10"/>
      <c r="S34" s="10">
        <f t="shared" si="28"/>
        <v>1795</v>
      </c>
      <c r="T34" s="10">
        <v>1987</v>
      </c>
      <c r="U34" s="10">
        <v>1788</v>
      </c>
      <c r="V34" s="10">
        <v>1777</v>
      </c>
      <c r="W34" s="10">
        <f t="shared" si="29"/>
        <v>1826</v>
      </c>
      <c r="X34" s="10">
        <v>1682</v>
      </c>
      <c r="Y34" s="15">
        <v>1895</v>
      </c>
      <c r="Z34" s="10"/>
      <c r="AA34" s="10"/>
    </row>
    <row r="35" spans="2:27" x14ac:dyDescent="0.25">
      <c r="B35" t="s">
        <v>24</v>
      </c>
      <c r="C35" s="10"/>
      <c r="D35" s="10"/>
      <c r="E35" s="10">
        <v>4686</v>
      </c>
      <c r="F35" s="10">
        <v>3719</v>
      </c>
      <c r="G35" s="15">
        <v>5820</v>
      </c>
      <c r="L35" s="10"/>
      <c r="M35" s="10"/>
      <c r="N35" s="10"/>
      <c r="O35" s="10"/>
      <c r="P35" s="10"/>
      <c r="Q35" s="10"/>
      <c r="R35" s="10"/>
      <c r="S35" s="10">
        <f t="shared" si="28"/>
        <v>3719</v>
      </c>
      <c r="T35" s="10">
        <v>2097</v>
      </c>
      <c r="U35" s="10">
        <v>1646</v>
      </c>
      <c r="V35" s="10">
        <v>2093</v>
      </c>
      <c r="W35" s="10">
        <f t="shared" si="29"/>
        <v>5820</v>
      </c>
      <c r="X35" s="10">
        <v>6164</v>
      </c>
      <c r="Y35" s="15">
        <v>4590</v>
      </c>
      <c r="Z35" s="10"/>
      <c r="AA35" s="10"/>
    </row>
    <row r="36" spans="2:27" x14ac:dyDescent="0.25">
      <c r="B36" t="s">
        <v>183</v>
      </c>
      <c r="C36" s="10"/>
      <c r="D36" s="10"/>
      <c r="E36" s="10">
        <v>0</v>
      </c>
      <c r="F36" s="10">
        <v>31</v>
      </c>
      <c r="G36" s="15">
        <v>6</v>
      </c>
      <c r="L36" s="10"/>
      <c r="M36" s="10"/>
      <c r="N36" s="10"/>
      <c r="O36" s="10"/>
      <c r="P36" s="10"/>
      <c r="Q36" s="10"/>
      <c r="R36" s="10"/>
      <c r="S36" s="10">
        <f t="shared" si="28"/>
        <v>31</v>
      </c>
      <c r="T36" s="10">
        <v>25</v>
      </c>
      <c r="U36" s="10">
        <v>17</v>
      </c>
      <c r="V36" s="10">
        <v>13</v>
      </c>
      <c r="W36" s="10">
        <f t="shared" si="29"/>
        <v>6</v>
      </c>
      <c r="X36" s="10">
        <v>6</v>
      </c>
      <c r="Y36" s="15">
        <v>6</v>
      </c>
      <c r="Z36" s="10"/>
      <c r="AA36" s="10"/>
    </row>
    <row r="37" spans="2:27" s="1" customFormat="1" x14ac:dyDescent="0.25">
      <c r="B37" s="1" t="s">
        <v>60</v>
      </c>
      <c r="C37" s="11">
        <f t="shared" ref="C37:D37" si="30">SUM(C30:C36)</f>
        <v>0</v>
      </c>
      <c r="D37" s="11">
        <f t="shared" si="30"/>
        <v>0</v>
      </c>
      <c r="E37" s="11">
        <f>SUM(E30:E36)</f>
        <v>18552</v>
      </c>
      <c r="F37" s="11">
        <f t="shared" ref="F37:G37" si="31">SUM(F30:F36)</f>
        <v>20154</v>
      </c>
      <c r="G37" s="14">
        <f t="shared" si="31"/>
        <v>20040</v>
      </c>
      <c r="L37" s="11">
        <f t="shared" ref="L37:AA37" si="32">SUM(L30:L36)</f>
        <v>0</v>
      </c>
      <c r="M37" s="11">
        <f t="shared" si="32"/>
        <v>0</v>
      </c>
      <c r="N37" s="11">
        <f t="shared" si="32"/>
        <v>0</v>
      </c>
      <c r="O37" s="11">
        <f t="shared" si="32"/>
        <v>0</v>
      </c>
      <c r="P37" s="11">
        <f t="shared" si="32"/>
        <v>0</v>
      </c>
      <c r="Q37" s="11">
        <f t="shared" si="32"/>
        <v>0</v>
      </c>
      <c r="R37" s="11">
        <f t="shared" si="32"/>
        <v>0</v>
      </c>
      <c r="S37" s="11">
        <f t="shared" si="32"/>
        <v>20154</v>
      </c>
      <c r="T37" s="11">
        <f t="shared" si="32"/>
        <v>18069</v>
      </c>
      <c r="U37" s="11">
        <f t="shared" si="32"/>
        <v>19825</v>
      </c>
      <c r="V37" s="11">
        <f t="shared" si="32"/>
        <v>19913</v>
      </c>
      <c r="W37" s="11">
        <f t="shared" si="32"/>
        <v>20040</v>
      </c>
      <c r="X37" s="11">
        <f t="shared" si="32"/>
        <v>20579</v>
      </c>
      <c r="Y37" s="14">
        <f t="shared" si="32"/>
        <v>19619</v>
      </c>
      <c r="Z37" s="11">
        <f t="shared" si="32"/>
        <v>0</v>
      </c>
      <c r="AA37" s="11">
        <f t="shared" si="32"/>
        <v>0</v>
      </c>
    </row>
    <row r="38" spans="2:27" x14ac:dyDescent="0.25">
      <c r="B38" t="s">
        <v>73</v>
      </c>
      <c r="C38" s="10"/>
      <c r="D38" s="10"/>
      <c r="E38" s="10">
        <v>6190</v>
      </c>
      <c r="F38" s="10">
        <v>7473</v>
      </c>
      <c r="G38" s="15">
        <v>8554</v>
      </c>
      <c r="L38" s="10"/>
      <c r="M38" s="10"/>
      <c r="N38" s="10"/>
      <c r="O38" s="10"/>
      <c r="P38" s="10"/>
      <c r="Q38" s="10"/>
      <c r="R38" s="10"/>
      <c r="S38" s="10">
        <f t="shared" ref="S38:S42" si="33">F38</f>
        <v>7473</v>
      </c>
      <c r="T38" s="10">
        <v>7790</v>
      </c>
      <c r="U38" s="10">
        <v>8188</v>
      </c>
      <c r="V38" s="10">
        <v>8359</v>
      </c>
      <c r="W38" s="10">
        <f t="shared" ref="W38:W42" si="34">G38</f>
        <v>8554</v>
      </c>
      <c r="X38" s="10">
        <v>9041</v>
      </c>
      <c r="Y38" s="15">
        <v>9110</v>
      </c>
      <c r="Z38" s="10"/>
      <c r="AA38" s="10"/>
    </row>
    <row r="39" spans="2:27" x14ac:dyDescent="0.25">
      <c r="B39" t="s">
        <v>72</v>
      </c>
      <c r="C39" s="10"/>
      <c r="D39" s="10"/>
      <c r="E39" s="10">
        <v>8763</v>
      </c>
      <c r="F39" s="10">
        <v>8924</v>
      </c>
      <c r="G39" s="15">
        <v>9394</v>
      </c>
      <c r="L39" s="10"/>
      <c r="M39" s="10"/>
      <c r="N39" s="10"/>
      <c r="O39" s="10"/>
      <c r="P39" s="10"/>
      <c r="Q39" s="10"/>
      <c r="R39" s="10"/>
      <c r="S39" s="10">
        <f t="shared" si="33"/>
        <v>8924</v>
      </c>
      <c r="T39" s="10">
        <v>8894</v>
      </c>
      <c r="U39" s="10">
        <v>9118</v>
      </c>
      <c r="V39" s="10">
        <v>9179</v>
      </c>
      <c r="W39" s="10">
        <f t="shared" si="34"/>
        <v>9394</v>
      </c>
      <c r="X39" s="10">
        <v>9454</v>
      </c>
      <c r="Y39" s="15">
        <v>9570</v>
      </c>
      <c r="Z39" s="10"/>
      <c r="AA39" s="10"/>
    </row>
    <row r="40" spans="2:27" x14ac:dyDescent="0.25">
      <c r="B40" t="s">
        <v>184</v>
      </c>
      <c r="C40" s="10"/>
      <c r="D40" s="10"/>
      <c r="E40" s="10">
        <v>3954</v>
      </c>
      <c r="F40" s="10">
        <v>3854</v>
      </c>
      <c r="G40" s="15">
        <v>4190</v>
      </c>
      <c r="L40" s="10"/>
      <c r="M40" s="10"/>
      <c r="N40" s="10"/>
      <c r="O40" s="10"/>
      <c r="P40" s="10"/>
      <c r="Q40" s="10"/>
      <c r="R40" s="10"/>
      <c r="S40" s="10">
        <f t="shared" si="33"/>
        <v>3854</v>
      </c>
      <c r="T40" s="10">
        <v>3885</v>
      </c>
      <c r="U40" s="10">
        <v>4031</v>
      </c>
      <c r="V40" s="10">
        <v>4253</v>
      </c>
      <c r="W40" s="10">
        <f t="shared" si="34"/>
        <v>4190</v>
      </c>
      <c r="X40" s="10">
        <v>4260</v>
      </c>
      <c r="Y40" s="15">
        <v>4491</v>
      </c>
      <c r="Z40" s="10"/>
      <c r="AA40" s="10"/>
    </row>
    <row r="41" spans="2:27" x14ac:dyDescent="0.25">
      <c r="B41" t="s">
        <v>180</v>
      </c>
      <c r="C41" s="10"/>
      <c r="D41" s="10"/>
      <c r="E41" s="10">
        <v>3461</v>
      </c>
      <c r="F41" s="10">
        <v>4382</v>
      </c>
      <c r="G41" s="15">
        <v>4676</v>
      </c>
      <c r="L41" s="10"/>
      <c r="M41" s="10"/>
      <c r="N41" s="10"/>
      <c r="O41" s="10"/>
      <c r="P41" s="10"/>
      <c r="Q41" s="10"/>
      <c r="R41" s="10"/>
      <c r="S41" s="10">
        <f t="shared" si="33"/>
        <v>4382</v>
      </c>
      <c r="T41" s="10">
        <v>4421</v>
      </c>
      <c r="U41" s="10">
        <v>4489</v>
      </c>
      <c r="V41" s="10">
        <v>4701</v>
      </c>
      <c r="W41" s="10">
        <f t="shared" si="34"/>
        <v>4676</v>
      </c>
      <c r="X41" s="10">
        <v>4728</v>
      </c>
      <c r="Y41" s="15">
        <v>4744</v>
      </c>
      <c r="Z41" s="10"/>
      <c r="AA41" s="10"/>
    </row>
    <row r="42" spans="2:27" x14ac:dyDescent="0.25">
      <c r="B42" t="s">
        <v>74</v>
      </c>
      <c r="C42" s="10"/>
      <c r="D42" s="10"/>
      <c r="E42" s="10">
        <v>10462</v>
      </c>
      <c r="F42" s="10">
        <v>2855</v>
      </c>
      <c r="G42" s="15">
        <v>3592</v>
      </c>
      <c r="L42" s="10"/>
      <c r="M42" s="10"/>
      <c r="N42" s="10"/>
      <c r="O42" s="10"/>
      <c r="P42" s="10"/>
      <c r="Q42" s="10"/>
      <c r="R42" s="10"/>
      <c r="S42" s="10">
        <f t="shared" si="33"/>
        <v>2855</v>
      </c>
      <c r="T42" s="10">
        <v>3031</v>
      </c>
      <c r="U42" s="10">
        <v>3474</v>
      </c>
      <c r="V42" s="10">
        <v>3412</v>
      </c>
      <c r="W42" s="10">
        <f t="shared" si="34"/>
        <v>3592</v>
      </c>
      <c r="X42" s="10">
        <v>3901</v>
      </c>
      <c r="Y42" s="15">
        <v>3934</v>
      </c>
      <c r="Z42" s="10"/>
      <c r="AA42" s="10"/>
    </row>
    <row r="43" spans="2:27" x14ac:dyDescent="0.25">
      <c r="B43" s="1" t="s">
        <v>26</v>
      </c>
      <c r="C43" s="11">
        <f>SUM(C37:C42)</f>
        <v>0</v>
      </c>
      <c r="D43" s="11">
        <f>SUM(D37:D42)</f>
        <v>0</v>
      </c>
      <c r="E43" s="11">
        <f>SUM(E37:E42)</f>
        <v>51382</v>
      </c>
      <c r="F43" s="11">
        <f>SUM(F37:F42)</f>
        <v>47642</v>
      </c>
      <c r="G43" s="14">
        <f>SUM(G37:G42)</f>
        <v>50446</v>
      </c>
      <c r="L43" s="11">
        <f t="shared" ref="L43:X43" si="35">SUM(L37:L42)</f>
        <v>0</v>
      </c>
      <c r="M43" s="11">
        <f t="shared" si="35"/>
        <v>0</v>
      </c>
      <c r="N43" s="11">
        <f t="shared" si="35"/>
        <v>0</v>
      </c>
      <c r="O43" s="11">
        <f t="shared" si="35"/>
        <v>0</v>
      </c>
      <c r="P43" s="11">
        <f t="shared" si="35"/>
        <v>0</v>
      </c>
      <c r="Q43" s="11">
        <f t="shared" si="35"/>
        <v>0</v>
      </c>
      <c r="R43" s="11">
        <f t="shared" si="35"/>
        <v>0</v>
      </c>
      <c r="S43" s="11">
        <f t="shared" si="35"/>
        <v>47642</v>
      </c>
      <c r="T43" s="11">
        <f t="shared" si="35"/>
        <v>46090</v>
      </c>
      <c r="U43" s="11">
        <f t="shared" si="35"/>
        <v>49125</v>
      </c>
      <c r="V43" s="11">
        <f t="shared" si="35"/>
        <v>49817</v>
      </c>
      <c r="W43" s="11">
        <f t="shared" si="35"/>
        <v>50446</v>
      </c>
      <c r="X43" s="11">
        <f t="shared" si="35"/>
        <v>51963</v>
      </c>
      <c r="Y43" s="14">
        <f t="shared" ref="Y43" si="36">SUM(Y37:Y42)</f>
        <v>51468</v>
      </c>
      <c r="Z43" s="11">
        <f t="shared" ref="Z43" si="37">SUM(Z37:Z42)</f>
        <v>0</v>
      </c>
      <c r="AA43" s="11">
        <f t="shared" ref="AA43" si="38">SUM(AA37:AA42)</f>
        <v>0</v>
      </c>
    </row>
    <row r="44" spans="2:27" x14ac:dyDescent="0.25">
      <c r="B44" t="s">
        <v>185</v>
      </c>
      <c r="C44" s="10"/>
      <c r="D44" s="10"/>
      <c r="E44" s="10">
        <v>3128</v>
      </c>
      <c r="F44" s="10">
        <v>3464</v>
      </c>
      <c r="G44" s="15">
        <v>3880</v>
      </c>
      <c r="L44" s="10"/>
      <c r="M44" s="10"/>
      <c r="N44" s="10"/>
      <c r="O44" s="10"/>
      <c r="P44" s="10"/>
      <c r="Q44" s="10"/>
      <c r="R44" s="10"/>
      <c r="S44" s="10">
        <f t="shared" ref="S44:S47" si="39">F44</f>
        <v>3464</v>
      </c>
      <c r="T44" s="10">
        <v>3256</v>
      </c>
      <c r="U44" s="10">
        <v>3315</v>
      </c>
      <c r="V44" s="10">
        <v>3681</v>
      </c>
      <c r="W44" s="10">
        <f t="shared" ref="W44:W47" si="40">G44</f>
        <v>3880</v>
      </c>
      <c r="X44" s="10">
        <v>3971</v>
      </c>
      <c r="Y44" s="15">
        <v>4072</v>
      </c>
      <c r="Z44" s="10"/>
      <c r="AA44" s="10"/>
    </row>
    <row r="45" spans="2:27" x14ac:dyDescent="0.25">
      <c r="B45" t="s">
        <v>186</v>
      </c>
      <c r="C45" s="10"/>
      <c r="D45" s="10"/>
      <c r="E45" s="10">
        <v>2447</v>
      </c>
      <c r="F45" s="10">
        <v>2899</v>
      </c>
      <c r="G45" s="15">
        <v>3490</v>
      </c>
      <c r="L45" s="10"/>
      <c r="M45" s="10"/>
      <c r="N45" s="10"/>
      <c r="O45" s="10"/>
      <c r="P45" s="10"/>
      <c r="Q45" s="10"/>
      <c r="R45" s="10"/>
      <c r="S45" s="10">
        <f t="shared" si="39"/>
        <v>2899</v>
      </c>
      <c r="T45" s="10">
        <v>3488</v>
      </c>
      <c r="U45" s="10">
        <v>4347</v>
      </c>
      <c r="V45" s="10">
        <v>3922</v>
      </c>
      <c r="W45" s="10">
        <f t="shared" si="40"/>
        <v>3490</v>
      </c>
      <c r="X45" s="10">
        <v>3937</v>
      </c>
      <c r="Y45" s="15">
        <v>3883</v>
      </c>
      <c r="Z45" s="10"/>
      <c r="AA45" s="10"/>
    </row>
    <row r="46" spans="2:27" x14ac:dyDescent="0.25">
      <c r="B46" t="s">
        <v>25</v>
      </c>
      <c r="C46" s="10"/>
      <c r="D46" s="10"/>
      <c r="E46" s="10">
        <v>7505</v>
      </c>
      <c r="F46" s="10">
        <v>10204</v>
      </c>
      <c r="G46" s="15">
        <v>6192</v>
      </c>
      <c r="L46" s="10"/>
      <c r="M46" s="10"/>
      <c r="N46" s="10"/>
      <c r="O46" s="10"/>
      <c r="P46" s="10"/>
      <c r="Q46" s="10"/>
      <c r="R46" s="10"/>
      <c r="S46" s="10">
        <f t="shared" si="39"/>
        <v>10204</v>
      </c>
      <c r="T46" s="10">
        <v>6553</v>
      </c>
      <c r="U46" s="10">
        <v>7152</v>
      </c>
      <c r="V46" s="10">
        <v>6564</v>
      </c>
      <c r="W46" s="10">
        <f t="shared" si="40"/>
        <v>6192</v>
      </c>
      <c r="X46" s="10">
        <v>6170</v>
      </c>
      <c r="Y46" s="15">
        <v>6426</v>
      </c>
      <c r="Z46" s="10"/>
      <c r="AA46" s="10"/>
    </row>
    <row r="47" spans="2:27" x14ac:dyDescent="0.25">
      <c r="B47" t="s">
        <v>187</v>
      </c>
      <c r="C47" s="10"/>
      <c r="D47" s="10"/>
      <c r="E47" s="10">
        <v>0</v>
      </c>
      <c r="F47" s="10">
        <v>12</v>
      </c>
      <c r="G47" s="15">
        <v>5</v>
      </c>
      <c r="L47" s="10"/>
      <c r="M47" s="10"/>
      <c r="N47" s="10"/>
      <c r="O47" s="10"/>
      <c r="P47" s="10"/>
      <c r="Q47" s="10"/>
      <c r="R47" s="10"/>
      <c r="S47" s="10">
        <f t="shared" si="39"/>
        <v>12</v>
      </c>
      <c r="T47" s="10">
        <v>11</v>
      </c>
      <c r="U47" s="10">
        <v>5</v>
      </c>
      <c r="V47" s="10">
        <v>5</v>
      </c>
      <c r="W47" s="10">
        <f t="shared" si="40"/>
        <v>5</v>
      </c>
      <c r="X47" s="10">
        <v>5</v>
      </c>
      <c r="Y47" s="15">
        <v>6</v>
      </c>
      <c r="Z47" s="10"/>
      <c r="AA47" s="10"/>
    </row>
    <row r="48" spans="2:27" s="1" customFormat="1" x14ac:dyDescent="0.25">
      <c r="B48" s="1" t="s">
        <v>61</v>
      </c>
      <c r="C48" s="11">
        <f>SUM(C44:C47)</f>
        <v>0</v>
      </c>
      <c r="D48" s="11">
        <f>SUM(D44:D47)</f>
        <v>0</v>
      </c>
      <c r="E48" s="11">
        <f>SUM(E44:E47)</f>
        <v>13080</v>
      </c>
      <c r="F48" s="11">
        <f>SUM(F44:F47)</f>
        <v>16579</v>
      </c>
      <c r="G48" s="14">
        <f>SUM(G44:G47)</f>
        <v>13567</v>
      </c>
      <c r="L48" s="11">
        <f t="shared" ref="L48:X48" si="41">SUM(L44:L47)</f>
        <v>0</v>
      </c>
      <c r="M48" s="11">
        <f t="shared" si="41"/>
        <v>0</v>
      </c>
      <c r="N48" s="11">
        <f t="shared" si="41"/>
        <v>0</v>
      </c>
      <c r="O48" s="11">
        <f t="shared" si="41"/>
        <v>0</v>
      </c>
      <c r="P48" s="11">
        <f t="shared" si="41"/>
        <v>0</v>
      </c>
      <c r="Q48" s="11">
        <f t="shared" si="41"/>
        <v>0</v>
      </c>
      <c r="R48" s="11">
        <f t="shared" si="41"/>
        <v>0</v>
      </c>
      <c r="S48" s="11">
        <f t="shared" si="41"/>
        <v>16579</v>
      </c>
      <c r="T48" s="11">
        <f t="shared" si="41"/>
        <v>13308</v>
      </c>
      <c r="U48" s="11">
        <f t="shared" si="41"/>
        <v>14819</v>
      </c>
      <c r="V48" s="11">
        <f t="shared" si="41"/>
        <v>14172</v>
      </c>
      <c r="W48" s="11">
        <f t="shared" si="41"/>
        <v>13567</v>
      </c>
      <c r="X48" s="11">
        <f t="shared" si="41"/>
        <v>14083</v>
      </c>
      <c r="Y48" s="14">
        <f t="shared" ref="Y48" si="42">SUM(Y44:Y47)</f>
        <v>14387</v>
      </c>
      <c r="Z48" s="11">
        <f t="shared" ref="Z48" si="43">SUM(Z44:Z47)</f>
        <v>0</v>
      </c>
      <c r="AA48" s="11">
        <f t="shared" ref="AA48" si="44">SUM(AA44:AA47)</f>
        <v>0</v>
      </c>
    </row>
    <row r="49" spans="2:27" x14ac:dyDescent="0.25">
      <c r="B49" t="s">
        <v>188</v>
      </c>
      <c r="C49" s="10"/>
      <c r="D49" s="10"/>
      <c r="E49" s="10">
        <v>5525</v>
      </c>
      <c r="F49" s="10">
        <v>3668</v>
      </c>
      <c r="G49" s="15">
        <v>4315</v>
      </c>
      <c r="L49" s="10"/>
      <c r="M49" s="10"/>
      <c r="N49" s="10"/>
      <c r="O49" s="10"/>
      <c r="P49" s="10"/>
      <c r="Q49" s="10"/>
      <c r="R49" s="10"/>
      <c r="S49" s="10">
        <f t="shared" ref="S49:S51" si="45">F49</f>
        <v>3668</v>
      </c>
      <c r="T49" s="10">
        <v>3725</v>
      </c>
      <c r="U49" s="10">
        <v>3877</v>
      </c>
      <c r="V49" s="10">
        <v>3482</v>
      </c>
      <c r="W49" s="10">
        <f t="shared" ref="W49:W51" si="46">G49</f>
        <v>4315</v>
      </c>
      <c r="X49" s="10">
        <v>4287</v>
      </c>
      <c r="Y49" s="15">
        <v>4187</v>
      </c>
      <c r="Z49" s="10"/>
      <c r="AA49" s="10"/>
    </row>
    <row r="50" spans="2:27" x14ac:dyDescent="0.25">
      <c r="B50" t="s">
        <v>185</v>
      </c>
      <c r="C50" s="10"/>
      <c r="D50" s="10"/>
      <c r="E50" s="10">
        <v>6599</v>
      </c>
      <c r="F50" s="10">
        <v>6762</v>
      </c>
      <c r="G50" s="15">
        <v>6537</v>
      </c>
      <c r="L50" s="10"/>
      <c r="M50" s="10"/>
      <c r="N50" s="10"/>
      <c r="O50" s="10"/>
      <c r="P50" s="10"/>
      <c r="Q50" s="10"/>
      <c r="R50" s="10"/>
      <c r="S50" s="10">
        <f t="shared" si="45"/>
        <v>6762</v>
      </c>
      <c r="T50" s="10">
        <v>6126</v>
      </c>
      <c r="U50" s="10">
        <v>6296</v>
      </c>
      <c r="V50" s="10">
        <v>6762</v>
      </c>
      <c r="W50" s="10">
        <f t="shared" si="46"/>
        <v>6537</v>
      </c>
      <c r="X50" s="10">
        <v>6546</v>
      </c>
      <c r="Y50" s="15">
        <v>6525</v>
      </c>
      <c r="Z50" s="10"/>
      <c r="AA50" s="10"/>
    </row>
    <row r="51" spans="2:27" x14ac:dyDescent="0.25">
      <c r="B51" t="s">
        <v>25</v>
      </c>
      <c r="C51" s="10"/>
      <c r="D51" s="10"/>
      <c r="E51" s="10">
        <v>3244</v>
      </c>
      <c r="F51" s="10">
        <v>4633</v>
      </c>
      <c r="G51" s="15">
        <v>4360</v>
      </c>
      <c r="L51" s="10"/>
      <c r="M51" s="10"/>
      <c r="N51" s="10"/>
      <c r="O51" s="10"/>
      <c r="P51" s="10"/>
      <c r="Q51" s="10"/>
      <c r="R51" s="10"/>
      <c r="S51" s="10">
        <f t="shared" si="45"/>
        <v>4633</v>
      </c>
      <c r="T51" s="10">
        <v>4331</v>
      </c>
      <c r="U51" s="10">
        <v>4700</v>
      </c>
      <c r="V51" s="10">
        <v>4633</v>
      </c>
      <c r="W51" s="10">
        <f t="shared" si="46"/>
        <v>4360</v>
      </c>
      <c r="X51" s="10">
        <v>4519</v>
      </c>
      <c r="Y51" s="15">
        <v>4596</v>
      </c>
      <c r="Z51" s="10"/>
      <c r="AA51" s="10"/>
    </row>
    <row r="52" spans="2:27" x14ac:dyDescent="0.25">
      <c r="B52" s="1" t="s">
        <v>27</v>
      </c>
      <c r="C52" s="11">
        <f>SUM(C48:C51)</f>
        <v>0</v>
      </c>
      <c r="D52" s="11">
        <f>SUM(D48:D51)</f>
        <v>0</v>
      </c>
      <c r="E52" s="11">
        <f>SUM(E48:E51)</f>
        <v>28448</v>
      </c>
      <c r="F52" s="11">
        <f>SUM(F48:F51)</f>
        <v>31642</v>
      </c>
      <c r="G52" s="14">
        <f>SUM(G48:G51)</f>
        <v>28779</v>
      </c>
      <c r="L52" s="11">
        <f t="shared" ref="L52:X52" si="47">SUM(L48:L51)</f>
        <v>0</v>
      </c>
      <c r="M52" s="11">
        <f t="shared" si="47"/>
        <v>0</v>
      </c>
      <c r="N52" s="11">
        <f t="shared" si="47"/>
        <v>0</v>
      </c>
      <c r="O52" s="11">
        <f t="shared" si="47"/>
        <v>0</v>
      </c>
      <c r="P52" s="11">
        <f t="shared" si="47"/>
        <v>0</v>
      </c>
      <c r="Q52" s="11">
        <f t="shared" si="47"/>
        <v>0</v>
      </c>
      <c r="R52" s="11">
        <f t="shared" si="47"/>
        <v>0</v>
      </c>
      <c r="S52" s="11">
        <f t="shared" si="47"/>
        <v>31642</v>
      </c>
      <c r="T52" s="11">
        <f t="shared" si="47"/>
        <v>27490</v>
      </c>
      <c r="U52" s="11">
        <f t="shared" si="47"/>
        <v>29692</v>
      </c>
      <c r="V52" s="11">
        <f t="shared" si="47"/>
        <v>29049</v>
      </c>
      <c r="W52" s="11">
        <f t="shared" si="47"/>
        <v>28779</v>
      </c>
      <c r="X52" s="11">
        <f t="shared" si="47"/>
        <v>29435</v>
      </c>
      <c r="Y52" s="14">
        <f t="shared" ref="Y52" si="48">SUM(Y48:Y51)</f>
        <v>29695</v>
      </c>
      <c r="Z52" s="11">
        <f t="shared" ref="Z52" si="49">SUM(Z48:Z51)</f>
        <v>0</v>
      </c>
      <c r="AA52" s="11">
        <f t="shared" ref="AA52" si="50">SUM(AA48:AA51)</f>
        <v>0</v>
      </c>
    </row>
    <row r="53" spans="2:27" x14ac:dyDescent="0.25">
      <c r="B53" t="s">
        <v>74</v>
      </c>
      <c r="C53" s="10">
        <f>C43-C52</f>
        <v>0</v>
      </c>
      <c r="D53" s="10">
        <f>D43-D52</f>
        <v>0</v>
      </c>
      <c r="E53" s="10">
        <f>E43-E52</f>
        <v>22934</v>
      </c>
      <c r="F53" s="10">
        <f>F43-F52</f>
        <v>16000</v>
      </c>
      <c r="G53" s="15">
        <f>G43-G52</f>
        <v>21667</v>
      </c>
      <c r="L53" s="10">
        <f t="shared" ref="L53:X53" si="51">L43-L52</f>
        <v>0</v>
      </c>
      <c r="M53" s="10">
        <f t="shared" si="51"/>
        <v>0</v>
      </c>
      <c r="N53" s="10">
        <f t="shared" si="51"/>
        <v>0</v>
      </c>
      <c r="O53" s="10">
        <f t="shared" si="51"/>
        <v>0</v>
      </c>
      <c r="P53" s="10">
        <f t="shared" si="51"/>
        <v>0</v>
      </c>
      <c r="Q53" s="10">
        <f t="shared" si="51"/>
        <v>0</v>
      </c>
      <c r="R53" s="10">
        <f t="shared" si="51"/>
        <v>0</v>
      </c>
      <c r="S53" s="10">
        <f t="shared" si="51"/>
        <v>16000</v>
      </c>
      <c r="T53" s="10">
        <f t="shared" si="51"/>
        <v>18600</v>
      </c>
      <c r="U53" s="10">
        <f t="shared" si="51"/>
        <v>19433</v>
      </c>
      <c r="V53" s="10">
        <f t="shared" si="51"/>
        <v>20768</v>
      </c>
      <c r="W53" s="10">
        <f t="shared" si="51"/>
        <v>21667</v>
      </c>
      <c r="X53" s="10">
        <f t="shared" si="51"/>
        <v>22528</v>
      </c>
      <c r="Y53" s="15">
        <f t="shared" ref="Y53" si="52">Y43-Y52</f>
        <v>21773</v>
      </c>
      <c r="Z53" s="10">
        <f t="shared" ref="Z53" si="53">Z43-Z52</f>
        <v>0</v>
      </c>
      <c r="AA53" s="10">
        <f t="shared" ref="AA53" si="54">AA43-AA52</f>
        <v>0</v>
      </c>
    </row>
    <row r="55" spans="2:27" s="1" customFormat="1" x14ac:dyDescent="0.25">
      <c r="B55" s="1" t="s">
        <v>76</v>
      </c>
      <c r="C55" s="53"/>
      <c r="D55" s="53"/>
      <c r="E55" s="53"/>
      <c r="F55" s="53"/>
      <c r="G55" s="54"/>
      <c r="Y55" s="16"/>
    </row>
    <row r="73" spans="7:25" s="9" customFormat="1" x14ac:dyDescent="0.25">
      <c r="G73" s="42"/>
      <c r="Y73" s="42"/>
    </row>
    <row r="74" spans="7:25" s="1" customFormat="1" x14ac:dyDescent="0.25">
      <c r="G74" s="16"/>
      <c r="Y74" s="16"/>
    </row>
  </sheetData>
  <phoneticPr fontId="3" type="noConversion"/>
  <hyperlinks>
    <hyperlink ref="A1" location="Main!A1" display="Main" xr:uid="{A5C06EBA-D952-421E-93A2-3BF49E6344BF}"/>
  </hyperlinks>
  <pageMargins left="0.7" right="0.7" top="0.78740157499999996" bottom="0.78740157499999996" header="0.3" footer="0.3"/>
  <pageSetup paperSize="9" orientation="portrait" r:id="rId1"/>
  <ignoredErrors>
    <ignoredError sqref="C48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E03BE-2423-4BDB-9A98-002F9CED8953}">
  <dimension ref="A1"/>
  <sheetViews>
    <sheetView workbookViewId="0">
      <selection activeCell="V16" sqref="V16"/>
    </sheetView>
  </sheetViews>
  <sheetFormatPr defaultRowHeight="15" x14ac:dyDescent="0.25"/>
  <sheetData>
    <row r="1" spans="1:1" x14ac:dyDescent="0.25">
      <c r="A1" s="8" t="s">
        <v>37</v>
      </c>
    </row>
  </sheetData>
  <hyperlinks>
    <hyperlink ref="A1" location="Main!A1" display="Main" xr:uid="{58C3B527-2D5B-414E-8D16-78915C434B11}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F5735-5460-414D-B5FC-C83DFBD00ECA}">
  <dimension ref="A1:U37"/>
  <sheetViews>
    <sheetView tabSelected="1" workbookViewId="0">
      <pane xSplit="1" ySplit="1" topLeftCell="R8" activePane="bottomRight" state="frozen"/>
      <selection pane="topRight" activeCell="B1" sqref="B1"/>
      <selection pane="bottomLeft" activeCell="A2" sqref="A2"/>
      <selection pane="bottomRight" activeCell="R23" sqref="R23"/>
    </sheetView>
  </sheetViews>
  <sheetFormatPr defaultRowHeight="15" x14ac:dyDescent="0.25"/>
  <cols>
    <col min="1" max="1" width="23.5703125" bestFit="1" customWidth="1"/>
  </cols>
  <sheetData>
    <row r="1" spans="1:21" x14ac:dyDescent="0.25">
      <c r="B1">
        <v>2020</v>
      </c>
      <c r="C1">
        <v>2021</v>
      </c>
      <c r="D1">
        <v>2022</v>
      </c>
      <c r="E1">
        <v>2023</v>
      </c>
      <c r="F1">
        <v>2024</v>
      </c>
      <c r="J1" t="s">
        <v>13</v>
      </c>
      <c r="K1" t="s">
        <v>6</v>
      </c>
      <c r="L1" t="s">
        <v>7</v>
      </c>
      <c r="M1" t="s">
        <v>8</v>
      </c>
      <c r="N1" t="s">
        <v>9</v>
      </c>
      <c r="O1" t="s">
        <v>35</v>
      </c>
      <c r="P1" t="s">
        <v>39</v>
      </c>
      <c r="Q1" t="s">
        <v>40</v>
      </c>
      <c r="R1" t="s">
        <v>62</v>
      </c>
      <c r="S1" t="s">
        <v>65</v>
      </c>
      <c r="T1" t="s">
        <v>154</v>
      </c>
      <c r="U1" t="s">
        <v>155</v>
      </c>
    </row>
    <row r="2" spans="1:21" x14ac:dyDescent="0.25">
      <c r="A2" t="s">
        <v>156</v>
      </c>
      <c r="B2" s="10"/>
      <c r="C2" s="10"/>
      <c r="D2" s="10"/>
      <c r="E2" s="10"/>
      <c r="F2" s="10"/>
      <c r="G2" s="10"/>
      <c r="H2" s="10"/>
      <c r="I2" s="10"/>
      <c r="J2" s="10">
        <v>6925</v>
      </c>
      <c r="K2" s="10">
        <f>13785-J2</f>
        <v>6860</v>
      </c>
      <c r="L2" s="10">
        <f>20850-K2-J2</f>
        <v>7065</v>
      </c>
      <c r="M2" s="10"/>
      <c r="N2" s="10">
        <v>8247</v>
      </c>
      <c r="O2" s="10">
        <f>17118-N2</f>
        <v>8871</v>
      </c>
      <c r="P2" s="10">
        <f>24814-O2-N2</f>
        <v>7696</v>
      </c>
      <c r="Q2" s="10"/>
      <c r="R2" s="10">
        <v>11274</v>
      </c>
      <c r="S2" s="10">
        <f>20811-R2</f>
        <v>9537</v>
      </c>
      <c r="T2" s="10"/>
      <c r="U2" s="10"/>
    </row>
    <row r="3" spans="1:21" x14ac:dyDescent="0.25">
      <c r="A3" t="s">
        <v>157</v>
      </c>
      <c r="B3" s="10"/>
      <c r="C3" s="10"/>
      <c r="D3" s="10"/>
      <c r="E3" s="10"/>
      <c r="F3" s="10"/>
      <c r="G3" s="10"/>
      <c r="H3" s="10"/>
      <c r="I3" s="10"/>
      <c r="J3" s="10">
        <v>16186</v>
      </c>
      <c r="K3" s="10">
        <f>29833-J3</f>
        <v>13647</v>
      </c>
      <c r="L3" s="10">
        <f>42204-K3-J3</f>
        <v>12371</v>
      </c>
      <c r="M3" s="10"/>
      <c r="N3" s="10">
        <v>18420</v>
      </c>
      <c r="O3" s="10">
        <f>36574-N3</f>
        <v>18154</v>
      </c>
      <c r="P3" s="10">
        <f>51742-O3-N3</f>
        <v>15168</v>
      </c>
      <c r="Q3" s="10"/>
      <c r="R3" s="10">
        <v>20044</v>
      </c>
      <c r="S3" s="10">
        <f>38611-R3</f>
        <v>18567</v>
      </c>
      <c r="T3" s="10"/>
      <c r="U3" s="10"/>
    </row>
    <row r="4" spans="1:21" x14ac:dyDescent="0.25">
      <c r="A4" t="s">
        <v>158</v>
      </c>
      <c r="B4" s="10"/>
      <c r="C4" s="10"/>
      <c r="D4" s="10"/>
      <c r="E4" s="10"/>
      <c r="F4" s="10"/>
      <c r="G4" s="10"/>
      <c r="H4" s="10"/>
      <c r="I4" s="10"/>
      <c r="J4" s="10">
        <v>15167</v>
      </c>
      <c r="K4" s="10">
        <f>37605-J4</f>
        <v>22438</v>
      </c>
      <c r="L4" s="10">
        <f>56357-K4-J4</f>
        <v>18752</v>
      </c>
      <c r="M4" s="10"/>
      <c r="N4" s="10">
        <v>19651</v>
      </c>
      <c r="O4" s="10">
        <f>41937-N4</f>
        <v>22286</v>
      </c>
      <c r="P4" s="10">
        <f>64487-O4-N4</f>
        <v>22550</v>
      </c>
      <c r="Q4" s="10"/>
      <c r="R4" s="10">
        <v>15087</v>
      </c>
      <c r="S4" s="10">
        <f>39558-R4</f>
        <v>24471</v>
      </c>
      <c r="T4" s="10"/>
      <c r="U4" s="10"/>
    </row>
    <row r="5" spans="1:21" x14ac:dyDescent="0.25">
      <c r="A5" t="s">
        <v>159</v>
      </c>
      <c r="B5" s="10"/>
      <c r="C5" s="10"/>
      <c r="D5" s="10"/>
      <c r="E5" s="10"/>
      <c r="F5" s="10"/>
      <c r="G5" s="10"/>
      <c r="H5" s="10"/>
      <c r="I5" s="10"/>
      <c r="J5" s="10">
        <v>17685</v>
      </c>
      <c r="K5" s="10">
        <f>40681-J5</f>
        <v>22996</v>
      </c>
      <c r="L5" s="10">
        <f>68766-K5-J5</f>
        <v>28085</v>
      </c>
      <c r="M5" s="10"/>
      <c r="N5" s="10">
        <v>21365</v>
      </c>
      <c r="O5" s="10">
        <f>43832-N5</f>
        <v>22467</v>
      </c>
      <c r="P5" s="10">
        <f>60748-O5-N5</f>
        <v>16916</v>
      </c>
      <c r="Q5" s="10"/>
      <c r="R5" s="10">
        <v>16340</v>
      </c>
      <c r="S5" s="10">
        <f>29551-R5</f>
        <v>13211</v>
      </c>
      <c r="T5" s="10"/>
      <c r="U5" s="10"/>
    </row>
    <row r="6" spans="1:21" x14ac:dyDescent="0.25">
      <c r="A6" t="s">
        <v>160</v>
      </c>
      <c r="B6" s="10"/>
      <c r="C6" s="10"/>
      <c r="D6" s="10"/>
      <c r="E6" s="10"/>
      <c r="F6" s="10"/>
      <c r="G6" s="10"/>
      <c r="H6" s="10"/>
      <c r="I6" s="10"/>
      <c r="J6" s="10">
        <v>12463</v>
      </c>
      <c r="K6" s="10">
        <f>23956-J6</f>
        <v>11493</v>
      </c>
      <c r="L6" s="10">
        <f>33335-K6-J6</f>
        <v>9379</v>
      </c>
      <c r="M6" s="10"/>
      <c r="N6" s="10">
        <v>13084</v>
      </c>
      <c r="O6" s="10">
        <f>27893-N6</f>
        <v>14809</v>
      </c>
      <c r="P6" s="10">
        <f>40931-O6-N6</f>
        <v>13038</v>
      </c>
      <c r="Q6" s="10"/>
      <c r="R6" s="10">
        <v>14895</v>
      </c>
      <c r="S6" s="10">
        <f>27414-R6</f>
        <v>12519</v>
      </c>
      <c r="T6" s="10"/>
      <c r="U6" s="10"/>
    </row>
    <row r="7" spans="1:21" s="1" customFormat="1" x14ac:dyDescent="0.25">
      <c r="A7" s="1" t="s">
        <v>161</v>
      </c>
      <c r="B7" s="11"/>
      <c r="C7" s="11"/>
      <c r="D7" s="11"/>
      <c r="E7" s="11"/>
      <c r="F7" s="11"/>
      <c r="G7" s="11"/>
      <c r="H7" s="11"/>
      <c r="I7" s="11"/>
      <c r="J7" s="11">
        <f t="shared" ref="J7:Q7" si="0">SUM(J2:J6)</f>
        <v>68426</v>
      </c>
      <c r="K7" s="11">
        <f t="shared" si="0"/>
        <v>77434</v>
      </c>
      <c r="L7" s="11">
        <f t="shared" si="0"/>
        <v>75652</v>
      </c>
      <c r="M7" s="11">
        <f t="shared" si="0"/>
        <v>0</v>
      </c>
      <c r="N7" s="11">
        <f t="shared" si="0"/>
        <v>80767</v>
      </c>
      <c r="O7" s="11">
        <f t="shared" si="0"/>
        <v>86587</v>
      </c>
      <c r="P7" s="11">
        <f t="shared" si="0"/>
        <v>75368</v>
      </c>
      <c r="Q7" s="11">
        <f t="shared" si="0"/>
        <v>0</v>
      </c>
      <c r="R7" s="11">
        <f>SUM(R2:R6)</f>
        <v>77640</v>
      </c>
      <c r="S7" s="11">
        <f>SUM(S2:S6)</f>
        <v>78305</v>
      </c>
      <c r="T7" s="11">
        <f>SUM(T2:T6)</f>
        <v>0</v>
      </c>
      <c r="U7" s="11">
        <f>SUM(U2:U6)</f>
        <v>0</v>
      </c>
    </row>
    <row r="8" spans="1:21" x14ac:dyDescent="0.25"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</row>
    <row r="9" spans="1:21" x14ac:dyDescent="0.25">
      <c r="A9" t="s">
        <v>166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3">
        <f t="shared" ref="N9:Q9" si="1">N2/J2-1</f>
        <v>0.19090252707581223</v>
      </c>
      <c r="O9" s="3">
        <f t="shared" si="1"/>
        <v>0.29314868804664718</v>
      </c>
      <c r="P9" s="3">
        <f t="shared" si="1"/>
        <v>8.9313517338994952E-2</v>
      </c>
      <c r="Q9" s="3" t="e">
        <f t="shared" si="1"/>
        <v>#DIV/0!</v>
      </c>
      <c r="R9" s="3">
        <f>R2/N2-1</f>
        <v>0.36704256093124776</v>
      </c>
      <c r="S9" s="3">
        <f>S2/O2-1</f>
        <v>7.507609063239773E-2</v>
      </c>
      <c r="T9" s="10"/>
      <c r="U9" s="10"/>
    </row>
    <row r="10" spans="1:21" x14ac:dyDescent="0.25">
      <c r="A10" t="s">
        <v>167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3">
        <f t="shared" ref="N10:Q10" si="2">N4/J4-1</f>
        <v>0.29564185402518617</v>
      </c>
      <c r="O10" s="3">
        <f t="shared" si="2"/>
        <v>-6.7742223014528591E-3</v>
      </c>
      <c r="P10" s="3">
        <f t="shared" si="2"/>
        <v>0.2025383959044369</v>
      </c>
      <c r="Q10" s="3" t="e">
        <f t="shared" si="2"/>
        <v>#DIV/0!</v>
      </c>
      <c r="R10" s="3">
        <f>R4/N4-1</f>
        <v>-0.23225281156175259</v>
      </c>
      <c r="S10" s="3">
        <f>S4/O4-1</f>
        <v>9.8043614825450875E-2</v>
      </c>
      <c r="T10" s="10"/>
      <c r="U10" s="10"/>
    </row>
    <row r="11" spans="1:21" x14ac:dyDescent="0.25">
      <c r="A11" t="s">
        <v>168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3">
        <f t="shared" ref="N11:Q11" si="3">N5/J5-1</f>
        <v>0.20808594854396389</v>
      </c>
      <c r="O11" s="3">
        <f t="shared" si="3"/>
        <v>-2.300400069577313E-2</v>
      </c>
      <c r="P11" s="3">
        <f t="shared" si="3"/>
        <v>-0.39768559729392916</v>
      </c>
      <c r="Q11" s="3" t="e">
        <f t="shared" si="3"/>
        <v>#DIV/0!</v>
      </c>
      <c r="R11" s="132">
        <f>R5/N5-1</f>
        <v>-0.23519775333489357</v>
      </c>
      <c r="S11" s="132">
        <f>S5/O5-1</f>
        <v>-0.41198201807094847</v>
      </c>
      <c r="T11" s="10"/>
      <c r="U11" s="10"/>
    </row>
    <row r="12" spans="1:21" x14ac:dyDescent="0.25"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</row>
    <row r="13" spans="1:21" x14ac:dyDescent="0.25">
      <c r="A13" s="127">
        <v>911</v>
      </c>
      <c r="B13" s="10"/>
      <c r="C13" s="10"/>
      <c r="D13" s="10"/>
      <c r="E13" s="10"/>
      <c r="F13" s="10"/>
      <c r="G13" s="10"/>
      <c r="H13" s="10"/>
      <c r="I13" s="10"/>
      <c r="J13" s="10">
        <v>9327</v>
      </c>
      <c r="K13" s="10">
        <f>21616-J13</f>
        <v>12289</v>
      </c>
      <c r="L13" s="10">
        <f>30611-K13-J13</f>
        <v>8995</v>
      </c>
      <c r="M13" s="10">
        <f>40400-L13-K13-J13</f>
        <v>9789</v>
      </c>
      <c r="N13" s="10">
        <v>11063</v>
      </c>
      <c r="O13" s="10">
        <f>26124-N13</f>
        <v>15061</v>
      </c>
      <c r="P13" s="10">
        <f>38789-O13-N13</f>
        <v>12665</v>
      </c>
      <c r="Q13" s="10"/>
      <c r="R13" s="10">
        <v>12892</v>
      </c>
      <c r="S13" s="10">
        <f>28212-R13</f>
        <v>15320</v>
      </c>
      <c r="T13" s="10"/>
      <c r="U13" s="10"/>
    </row>
    <row r="14" spans="1:21" x14ac:dyDescent="0.25">
      <c r="A14" s="127">
        <v>718</v>
      </c>
      <c r="B14" s="10"/>
      <c r="C14" s="10"/>
      <c r="D14" s="10"/>
      <c r="E14" s="10"/>
      <c r="F14" s="10"/>
      <c r="G14" s="10"/>
      <c r="H14" s="10"/>
      <c r="I14" s="10"/>
      <c r="J14" s="10">
        <v>4536</v>
      </c>
      <c r="K14" s="10">
        <f>9777-J14</f>
        <v>5241</v>
      </c>
      <c r="L14" s="10">
        <f>14003-K14-J14</f>
        <v>4226</v>
      </c>
      <c r="M14" s="10">
        <f>18200-L14-K14-J14</f>
        <v>4197</v>
      </c>
      <c r="N14" s="10">
        <v>4806</v>
      </c>
      <c r="O14" s="10">
        <f>11035-N14</f>
        <v>6229</v>
      </c>
      <c r="P14" s="10">
        <f>16458-O14-N14</f>
        <v>5423</v>
      </c>
      <c r="Q14" s="10"/>
      <c r="R14" s="10">
        <v>5772</v>
      </c>
      <c r="S14" s="10">
        <f>11886-R14</f>
        <v>6114</v>
      </c>
      <c r="T14" s="10"/>
      <c r="U14" s="10"/>
    </row>
    <row r="15" spans="1:21" x14ac:dyDescent="0.25">
      <c r="A15" t="s">
        <v>162</v>
      </c>
      <c r="B15" s="10"/>
      <c r="C15" s="10"/>
      <c r="D15" s="10"/>
      <c r="E15" s="10"/>
      <c r="F15" s="10"/>
      <c r="G15" s="10"/>
      <c r="H15" s="10"/>
      <c r="I15" s="10"/>
      <c r="J15" s="10">
        <v>18329</v>
      </c>
      <c r="K15" s="10">
        <f>38039-J15</f>
        <v>19710</v>
      </c>
      <c r="L15" s="10">
        <f>59604-K15-J15</f>
        <v>21565</v>
      </c>
      <c r="M15" s="10">
        <f>86700-L15-K15-J15</f>
        <v>27096</v>
      </c>
      <c r="N15" s="10">
        <v>23880</v>
      </c>
      <c r="O15" s="10">
        <f>47755-N15</f>
        <v>23875</v>
      </c>
      <c r="P15" s="10">
        <f>68354-O15-N15</f>
        <v>20599</v>
      </c>
      <c r="Q15" s="10"/>
      <c r="R15" s="10">
        <v>20576</v>
      </c>
      <c r="S15" s="10">
        <f>39167-R15</f>
        <v>18591</v>
      </c>
      <c r="T15" s="10"/>
      <c r="U15" s="10"/>
    </row>
    <row r="16" spans="1:21" x14ac:dyDescent="0.25">
      <c r="A16" t="s">
        <v>163</v>
      </c>
      <c r="B16" s="10"/>
      <c r="C16" s="10"/>
      <c r="D16" s="10"/>
      <c r="E16" s="10"/>
      <c r="F16" s="10"/>
      <c r="G16" s="10"/>
      <c r="H16" s="10"/>
      <c r="I16" s="10"/>
      <c r="J16" s="10">
        <v>19029</v>
      </c>
      <c r="K16" s="10">
        <f>41947-J16</f>
        <v>22918</v>
      </c>
      <c r="L16" s="10">
        <f>66769-K16-J16</f>
        <v>24822</v>
      </c>
      <c r="M16" s="10">
        <f>95600-L16-K16-J16</f>
        <v>28831</v>
      </c>
      <c r="N16" s="10">
        <v>23387</v>
      </c>
      <c r="O16" s="10">
        <f>46884-N16</f>
        <v>23497</v>
      </c>
      <c r="P16" s="10">
        <f>64457-O16-N16</f>
        <v>17573</v>
      </c>
      <c r="Q16" s="10"/>
      <c r="R16" s="10">
        <v>28025</v>
      </c>
      <c r="S16" s="10">
        <f>54587-R16</f>
        <v>26562</v>
      </c>
      <c r="T16" s="10"/>
      <c r="U16" s="10"/>
    </row>
    <row r="17" spans="1:21" x14ac:dyDescent="0.25">
      <c r="A17" t="s">
        <v>164</v>
      </c>
      <c r="B17" s="10"/>
      <c r="C17" s="10"/>
      <c r="D17" s="10"/>
      <c r="E17" s="10"/>
      <c r="F17" s="10"/>
      <c r="G17" s="10"/>
      <c r="H17" s="10"/>
      <c r="I17" s="10"/>
      <c r="J17" s="10">
        <v>7735</v>
      </c>
      <c r="K17" s="10">
        <f>15604-J17</f>
        <v>7869</v>
      </c>
      <c r="L17" s="10">
        <f>25452-K17-J17</f>
        <v>9848</v>
      </c>
      <c r="M17" s="10">
        <f>34100-L17-K17-J17</f>
        <v>8648</v>
      </c>
      <c r="N17" s="10">
        <v>8479</v>
      </c>
      <c r="O17" s="10">
        <f>17565-N17</f>
        <v>9086</v>
      </c>
      <c r="P17" s="10">
        <f>26779-O17-N17</f>
        <v>9214</v>
      </c>
      <c r="Q17" s="10"/>
      <c r="R17" s="10">
        <v>6139</v>
      </c>
      <c r="S17" s="10">
        <f>13255-R17</f>
        <v>7116</v>
      </c>
      <c r="T17" s="10"/>
      <c r="U17" s="10"/>
    </row>
    <row r="18" spans="1:21" x14ac:dyDescent="0.25">
      <c r="A18" t="s">
        <v>165</v>
      </c>
      <c r="B18" s="10"/>
      <c r="C18" s="10"/>
      <c r="D18" s="10"/>
      <c r="E18" s="10"/>
      <c r="F18" s="10"/>
      <c r="G18" s="10"/>
      <c r="H18" s="10"/>
      <c r="I18" s="10"/>
      <c r="J18" s="10">
        <v>9470</v>
      </c>
      <c r="K18" s="10">
        <f>18877-J18</f>
        <v>9407</v>
      </c>
      <c r="L18" s="10">
        <f>25073-K18-J18</f>
        <v>6196</v>
      </c>
      <c r="M18" s="10">
        <f>34800-L18-K18-J18</f>
        <v>9727</v>
      </c>
      <c r="N18" s="10">
        <v>9152</v>
      </c>
      <c r="O18" s="10">
        <f>17991-N18</f>
        <v>8839</v>
      </c>
      <c r="P18" s="10">
        <f>27885-O18-N18</f>
        <v>9894</v>
      </c>
      <c r="Q18" s="10"/>
      <c r="R18" s="10">
        <v>4236</v>
      </c>
      <c r="S18" s="10">
        <f>8838-R18</f>
        <v>4602</v>
      </c>
      <c r="T18" s="10"/>
      <c r="U18" s="10"/>
    </row>
    <row r="19" spans="1:21" s="1" customFormat="1" x14ac:dyDescent="0.25">
      <c r="A19" s="1" t="s">
        <v>161</v>
      </c>
      <c r="B19" s="11"/>
      <c r="C19" s="11"/>
      <c r="D19" s="11"/>
      <c r="E19" s="11"/>
      <c r="F19" s="11"/>
      <c r="G19" s="11"/>
      <c r="H19" s="11"/>
      <c r="I19" s="11"/>
      <c r="J19" s="11">
        <f>SUM(J13:J18)</f>
        <v>68426</v>
      </c>
      <c r="K19" s="11">
        <f t="shared" ref="K19:U19" si="4">SUM(K13:K18)</f>
        <v>77434</v>
      </c>
      <c r="L19" s="11">
        <f t="shared" si="4"/>
        <v>75652</v>
      </c>
      <c r="M19" s="11">
        <f t="shared" si="4"/>
        <v>88288</v>
      </c>
      <c r="N19" s="11">
        <f t="shared" si="4"/>
        <v>80767</v>
      </c>
      <c r="O19" s="11">
        <f t="shared" si="4"/>
        <v>86587</v>
      </c>
      <c r="P19" s="11">
        <f t="shared" si="4"/>
        <v>75368</v>
      </c>
      <c r="Q19" s="11">
        <f t="shared" si="4"/>
        <v>0</v>
      </c>
      <c r="R19" s="11">
        <f t="shared" si="4"/>
        <v>77640</v>
      </c>
      <c r="S19" s="11">
        <f t="shared" si="4"/>
        <v>78305</v>
      </c>
      <c r="T19" s="11">
        <f t="shared" si="4"/>
        <v>0</v>
      </c>
      <c r="U19" s="11">
        <f t="shared" si="4"/>
        <v>0</v>
      </c>
    </row>
    <row r="21" spans="1:21" x14ac:dyDescent="0.25">
      <c r="A21" t="s">
        <v>169</v>
      </c>
      <c r="N21" s="3">
        <f t="shared" ref="N21:Q21" si="5">N13/J13-1</f>
        <v>0.18612629998927854</v>
      </c>
      <c r="O21" s="3">
        <f t="shared" si="5"/>
        <v>0.2255675807632842</v>
      </c>
      <c r="P21" s="3">
        <f t="shared" si="5"/>
        <v>0.40800444691495286</v>
      </c>
      <c r="Q21" s="3">
        <f t="shared" si="5"/>
        <v>-1</v>
      </c>
      <c r="R21" s="3">
        <f>R13/N13-1</f>
        <v>0.16532586097803481</v>
      </c>
      <c r="S21" s="3">
        <f>S13/O13-1</f>
        <v>1.7196733284642551E-2</v>
      </c>
    </row>
    <row r="22" spans="1:21" x14ac:dyDescent="0.25">
      <c r="A22" t="s">
        <v>171</v>
      </c>
      <c r="N22" s="3">
        <f t="shared" ref="N22:Q22" si="6">((N15+N16)/(J15+J16))-1</f>
        <v>0.26524439209807804</v>
      </c>
      <c r="O22" s="3">
        <f t="shared" si="6"/>
        <v>0.11128835507178381</v>
      </c>
      <c r="P22" s="3">
        <f t="shared" si="6"/>
        <v>-0.17709703149589329</v>
      </c>
      <c r="Q22" s="3">
        <f t="shared" si="6"/>
        <v>-1</v>
      </c>
      <c r="R22" s="3">
        <f>((R15+R16)/(N15+N16))-1</f>
        <v>2.822265005183322E-2</v>
      </c>
      <c r="S22" s="132">
        <f>((S15+S16)/(O15+O16))-1</f>
        <v>-4.6842016380984508E-2</v>
      </c>
    </row>
    <row r="23" spans="1:21" x14ac:dyDescent="0.25">
      <c r="A23" t="s">
        <v>170</v>
      </c>
      <c r="N23" s="3">
        <f t="shared" ref="N23:Q23" si="7">N18/J18-1</f>
        <v>-3.3579725448785624E-2</v>
      </c>
      <c r="O23" s="3">
        <f t="shared" si="7"/>
        <v>-6.0380567662379092E-2</v>
      </c>
      <c r="P23" s="3">
        <f t="shared" si="7"/>
        <v>0.59683666881859265</v>
      </c>
      <c r="Q23" s="3">
        <f t="shared" si="7"/>
        <v>-1</v>
      </c>
      <c r="R23" s="3">
        <f>R18/N18-1</f>
        <v>-0.53715034965034958</v>
      </c>
      <c r="S23" s="132">
        <f>S18/O18-1</f>
        <v>-0.47935286797149002</v>
      </c>
    </row>
    <row r="26" spans="1:21" x14ac:dyDescent="0.25">
      <c r="A26" s="128" t="s">
        <v>172</v>
      </c>
    </row>
    <row r="27" spans="1:21" x14ac:dyDescent="0.25">
      <c r="A27" s="127">
        <v>911</v>
      </c>
      <c r="B27" s="10"/>
      <c r="C27" s="10"/>
      <c r="D27" s="10"/>
      <c r="E27" s="10"/>
      <c r="F27" s="10"/>
      <c r="G27" s="10"/>
      <c r="H27" s="10"/>
      <c r="I27" s="10"/>
      <c r="J27" s="10">
        <v>9788</v>
      </c>
      <c r="K27" s="10">
        <f>21489-J27</f>
        <v>11701</v>
      </c>
      <c r="L27" s="10">
        <f>30588-K27-J27</f>
        <v>9099</v>
      </c>
      <c r="M27" s="10"/>
      <c r="N27" s="10">
        <v>12835</v>
      </c>
      <c r="O27" s="10">
        <f>27856-N27</f>
        <v>15021</v>
      </c>
      <c r="P27" s="10">
        <f>39816-O27-N27</f>
        <v>11960</v>
      </c>
      <c r="Q27" s="10"/>
      <c r="R27" s="10">
        <v>12919</v>
      </c>
      <c r="S27" s="10">
        <f>26346-R27</f>
        <v>13427</v>
      </c>
    </row>
    <row r="28" spans="1:21" x14ac:dyDescent="0.25">
      <c r="A28" s="127">
        <v>718</v>
      </c>
      <c r="B28" s="10"/>
      <c r="C28" s="10"/>
      <c r="D28" s="10"/>
      <c r="E28" s="10"/>
      <c r="F28" s="10"/>
      <c r="G28" s="10"/>
      <c r="H28" s="10"/>
      <c r="I28" s="10"/>
      <c r="J28" s="10">
        <v>4641</v>
      </c>
      <c r="K28" s="10">
        <f>10091-J28</f>
        <v>5450</v>
      </c>
      <c r="L28" s="10">
        <f>13940-K28-J28</f>
        <v>3849</v>
      </c>
      <c r="M28" s="10"/>
      <c r="N28" s="10">
        <v>5561</v>
      </c>
      <c r="O28" s="10">
        <f>11703-N28</f>
        <v>6142</v>
      </c>
      <c r="P28" s="10">
        <f>16874-O28-N28</f>
        <v>5171</v>
      </c>
      <c r="Q28" s="10"/>
      <c r="R28" s="10">
        <v>6002</v>
      </c>
      <c r="S28" s="10">
        <f>11955-R28</f>
        <v>5953</v>
      </c>
    </row>
    <row r="29" spans="1:21" x14ac:dyDescent="0.25">
      <c r="A29" t="s">
        <v>162</v>
      </c>
      <c r="B29" s="10"/>
      <c r="C29" s="10"/>
      <c r="D29" s="10"/>
      <c r="E29" s="10"/>
      <c r="F29" s="10"/>
      <c r="G29" s="10"/>
      <c r="H29" s="10"/>
      <c r="I29" s="10"/>
      <c r="J29" s="10">
        <v>17781</v>
      </c>
      <c r="K29" s="10">
        <f>39386-J29</f>
        <v>21605</v>
      </c>
      <c r="L29" s="10">
        <f>62678-K29-J29</f>
        <v>23292</v>
      </c>
      <c r="M29" s="10"/>
      <c r="N29" s="10">
        <v>24387</v>
      </c>
      <c r="O29" s="10">
        <f>46842-N29</f>
        <v>22455</v>
      </c>
      <c r="P29" s="10">
        <f>67353-O29-N29</f>
        <v>20511</v>
      </c>
      <c r="Q29" s="10"/>
      <c r="R29" s="10">
        <v>19323</v>
      </c>
      <c r="S29" s="10">
        <f>36600-R29</f>
        <v>17277</v>
      </c>
    </row>
    <row r="30" spans="1:21" x14ac:dyDescent="0.25">
      <c r="A30" t="s">
        <v>163</v>
      </c>
      <c r="B30" s="10"/>
      <c r="C30" s="10"/>
      <c r="D30" s="10"/>
      <c r="E30" s="10"/>
      <c r="F30" s="10"/>
      <c r="G30" s="10"/>
      <c r="H30" s="10"/>
      <c r="I30" s="10"/>
      <c r="J30" s="10">
        <v>18161</v>
      </c>
      <c r="K30" s="10">
        <f>44600-J30</f>
        <v>26439</v>
      </c>
      <c r="L30" s="10">
        <f>66996-K30-J30</f>
        <v>22396</v>
      </c>
      <c r="M30" s="10"/>
      <c r="N30" s="10">
        <v>23707</v>
      </c>
      <c r="O30" s="10">
        <f>46399-N30</f>
        <v>22692</v>
      </c>
      <c r="P30" s="10">
        <f>69461-O30-N30</f>
        <v>23062</v>
      </c>
      <c r="Q30" s="10"/>
      <c r="R30" s="10">
        <v>23987</v>
      </c>
      <c r="S30" s="10">
        <f>52769-R30</f>
        <v>28782</v>
      </c>
    </row>
    <row r="31" spans="1:21" x14ac:dyDescent="0.25">
      <c r="A31" t="s">
        <v>164</v>
      </c>
      <c r="B31" s="10"/>
      <c r="C31" s="10"/>
      <c r="D31" s="10"/>
      <c r="E31" s="10"/>
      <c r="F31" s="10"/>
      <c r="G31" s="10"/>
      <c r="H31" s="10"/>
      <c r="I31" s="10"/>
      <c r="J31" s="10">
        <v>6949</v>
      </c>
      <c r="K31" s="10">
        <f>15528-J31</f>
        <v>8579</v>
      </c>
      <c r="L31" s="10">
        <f>24639-K31-J31</f>
        <v>9111</v>
      </c>
      <c r="M31" s="10"/>
      <c r="N31" s="10">
        <v>9652</v>
      </c>
      <c r="O31" s="10">
        <f>18993-N31</f>
        <v>9341</v>
      </c>
      <c r="P31" s="10">
        <f>27484-O31-N31</f>
        <v>8491</v>
      </c>
      <c r="Q31" s="10"/>
      <c r="R31" s="10">
        <v>4101</v>
      </c>
      <c r="S31" s="10">
        <f>15092-R31</f>
        <v>10991</v>
      </c>
    </row>
    <row r="32" spans="1:21" x14ac:dyDescent="0.25">
      <c r="A32" t="s">
        <v>165</v>
      </c>
      <c r="B32" s="10"/>
      <c r="C32" s="10"/>
      <c r="D32" s="10"/>
      <c r="E32" s="10"/>
      <c r="F32" s="10"/>
      <c r="G32" s="10"/>
      <c r="H32" s="10"/>
      <c r="I32" s="10"/>
      <c r="J32" s="10">
        <v>8281</v>
      </c>
      <c r="K32" s="10">
        <f>17474-J32</f>
        <v>9193</v>
      </c>
      <c r="L32" s="10">
        <f>21745-K32-J32</f>
        <v>4271</v>
      </c>
      <c r="M32" s="10"/>
      <c r="N32" s="10">
        <v>8595</v>
      </c>
      <c r="O32" s="10">
        <f>19009-N32</f>
        <v>10414</v>
      </c>
      <c r="P32" s="10">
        <f>29204-O32-N32</f>
        <v>10195</v>
      </c>
      <c r="Q32" s="10"/>
      <c r="R32" s="10">
        <v>4273</v>
      </c>
      <c r="S32" s="10">
        <f>9182-R32</f>
        <v>4909</v>
      </c>
    </row>
    <row r="33" spans="1:19" x14ac:dyDescent="0.25">
      <c r="A33" s="1" t="s">
        <v>172</v>
      </c>
      <c r="B33" s="11"/>
      <c r="C33" s="11"/>
      <c r="D33" s="11"/>
      <c r="E33" s="11"/>
      <c r="F33" s="11"/>
      <c r="G33" s="11"/>
      <c r="H33" s="11"/>
      <c r="I33" s="11"/>
      <c r="J33" s="11">
        <f>SUM(J27:J32)</f>
        <v>65601</v>
      </c>
      <c r="K33" s="11">
        <f t="shared" ref="K33" si="8">SUM(K27:K32)</f>
        <v>82967</v>
      </c>
      <c r="L33" s="11">
        <f t="shared" ref="L33" si="9">SUM(L27:L32)</f>
        <v>72018</v>
      </c>
      <c r="M33" s="11">
        <f t="shared" ref="M33" si="10">SUM(M27:M32)</f>
        <v>0</v>
      </c>
      <c r="N33" s="11">
        <f t="shared" ref="N33" si="11">SUM(N27:N32)</f>
        <v>84737</v>
      </c>
      <c r="O33" s="11">
        <f t="shared" ref="O33" si="12">SUM(O27:O32)</f>
        <v>86065</v>
      </c>
      <c r="P33" s="11">
        <f t="shared" ref="P33" si="13">SUM(P27:P32)</f>
        <v>79390</v>
      </c>
      <c r="Q33" s="11">
        <f t="shared" ref="Q33" si="14">SUM(Q27:Q32)</f>
        <v>0</v>
      </c>
      <c r="R33" s="11">
        <f t="shared" ref="R33" si="15">SUM(R27:R32)</f>
        <v>70605</v>
      </c>
      <c r="S33" s="11">
        <f t="shared" ref="S33" si="16">SUM(S27:S32)</f>
        <v>81339</v>
      </c>
    </row>
    <row r="35" spans="1:19" x14ac:dyDescent="0.25">
      <c r="A35" t="s">
        <v>169</v>
      </c>
      <c r="N35" s="3">
        <f t="shared" ref="N35" si="17">N27/J27-1</f>
        <v>0.31129955046996316</v>
      </c>
      <c r="O35" s="3">
        <f t="shared" ref="O35" si="18">O27/K27-1</f>
        <v>0.28373643278352279</v>
      </c>
      <c r="P35" s="3">
        <f t="shared" ref="P35" si="19">P27/L27-1</f>
        <v>0.31443015716012757</v>
      </c>
      <c r="Q35" s="3" t="e">
        <f t="shared" ref="Q35" si="20">Q27/M27-1</f>
        <v>#DIV/0!</v>
      </c>
      <c r="R35" s="3">
        <f>R27/N27-1</f>
        <v>6.5446045968056143E-3</v>
      </c>
      <c r="S35" s="3">
        <f>S27/O27-1</f>
        <v>-0.10611810132481192</v>
      </c>
    </row>
    <row r="36" spans="1:19" x14ac:dyDescent="0.25">
      <c r="A36" t="s">
        <v>171</v>
      </c>
      <c r="N36" s="3">
        <f t="shared" ref="N36" si="21">((N29+N30)/(J29+J30))-1</f>
        <v>0.3381002726615101</v>
      </c>
      <c r="O36" s="3">
        <f t="shared" ref="O36" si="22">((O29+O30)/(K29+K30))-1</f>
        <v>-6.0298892681708405E-2</v>
      </c>
      <c r="P36" s="3">
        <f t="shared" ref="P36" si="23">((P29+P30)/(L29+L30))-1</f>
        <v>-4.6292243039747882E-2</v>
      </c>
      <c r="Q36" s="3" t="e">
        <f t="shared" ref="Q36" si="24">((Q29+Q30)/(M29+M30))-1</f>
        <v>#DIV/0!</v>
      </c>
      <c r="R36" s="3">
        <f>((R29+R30)/(N29+N30))-1</f>
        <v>-9.9471867592631047E-2</v>
      </c>
      <c r="S36" s="3">
        <f>((S29+S30)/(O29+O30))-1</f>
        <v>2.0200677785899401E-2</v>
      </c>
    </row>
    <row r="37" spans="1:19" x14ac:dyDescent="0.25">
      <c r="A37" t="s">
        <v>170</v>
      </c>
      <c r="N37" s="3">
        <f t="shared" ref="N37" si="25">N32/J32-1</f>
        <v>3.79181258302137E-2</v>
      </c>
      <c r="O37" s="3">
        <f t="shared" ref="O37" si="26">O32/K32-1</f>
        <v>0.13281844881975413</v>
      </c>
      <c r="P37" s="3">
        <f t="shared" ref="P37" si="27">P32/L32-1</f>
        <v>1.3870287988761416</v>
      </c>
      <c r="Q37" s="3" t="e">
        <f t="shared" ref="Q37" si="28">Q32/M32-1</f>
        <v>#DIV/0!</v>
      </c>
      <c r="R37" s="132">
        <f>R32/N32-1</f>
        <v>-0.50285049447353114</v>
      </c>
      <c r="S37" s="132">
        <f>S32/O32-1</f>
        <v>-0.5286153255233339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EC602-D7CA-409B-9962-CCABA92C723B}">
  <dimension ref="A1:M2067"/>
  <sheetViews>
    <sheetView workbookViewId="0">
      <selection activeCell="J15" sqref="J15"/>
    </sheetView>
  </sheetViews>
  <sheetFormatPr defaultRowHeight="15" x14ac:dyDescent="0.25"/>
  <cols>
    <col min="1" max="1" width="5.28515625" customWidth="1"/>
    <col min="2" max="2" width="11.7109375" customWidth="1"/>
    <col min="3" max="3" width="9.42578125" customWidth="1"/>
    <col min="5" max="5" width="12.140625" customWidth="1"/>
    <col min="6" max="6" width="17.28515625" customWidth="1"/>
    <col min="11" max="11" width="10.140625" bestFit="1" customWidth="1"/>
    <col min="13" max="13" width="12.42578125" customWidth="1"/>
    <col min="20" max="20" width="10.140625" customWidth="1"/>
  </cols>
  <sheetData>
    <row r="1" spans="1:13" x14ac:dyDescent="0.25">
      <c r="A1" s="8" t="s">
        <v>37</v>
      </c>
      <c r="B1" t="s">
        <v>50</v>
      </c>
      <c r="C1" s="17" t="s">
        <v>51</v>
      </c>
    </row>
    <row r="2" spans="1:13" x14ac:dyDescent="0.25">
      <c r="B2" s="12">
        <v>45404</v>
      </c>
      <c r="C2" s="18">
        <v>89.800003000000004</v>
      </c>
      <c r="E2" t="s">
        <v>50</v>
      </c>
      <c r="F2" t="s">
        <v>52</v>
      </c>
      <c r="M2" t="s">
        <v>53</v>
      </c>
    </row>
    <row r="3" spans="1:13" x14ac:dyDescent="0.25">
      <c r="B3" s="12">
        <v>45397</v>
      </c>
      <c r="C3" s="18">
        <v>89.919998000000007</v>
      </c>
      <c r="E3" s="12">
        <v>45328</v>
      </c>
      <c r="F3" t="s">
        <v>55</v>
      </c>
      <c r="M3" s="12"/>
    </row>
    <row r="4" spans="1:13" x14ac:dyDescent="0.25">
      <c r="B4" s="12">
        <v>45390</v>
      </c>
      <c r="C4" s="18">
        <v>92.839995999999999</v>
      </c>
      <c r="E4" s="12">
        <v>45302</v>
      </c>
      <c r="F4" t="s">
        <v>55</v>
      </c>
      <c r="M4" s="12"/>
    </row>
    <row r="5" spans="1:13" x14ac:dyDescent="0.25">
      <c r="B5" s="12">
        <v>45383</v>
      </c>
      <c r="C5" s="18">
        <v>93.099997999999999</v>
      </c>
      <c r="M5" s="12"/>
    </row>
    <row r="6" spans="1:13" x14ac:dyDescent="0.25">
      <c r="B6" s="12">
        <v>45376</v>
      </c>
      <c r="C6" s="18">
        <v>92.279999000000004</v>
      </c>
      <c r="M6" s="12"/>
    </row>
    <row r="7" spans="1:13" x14ac:dyDescent="0.25">
      <c r="B7" s="12">
        <v>45369</v>
      </c>
      <c r="C7" s="18">
        <v>93.519997000000004</v>
      </c>
      <c r="M7" s="12"/>
    </row>
    <row r="8" spans="1:13" x14ac:dyDescent="0.25">
      <c r="B8" s="12">
        <v>45362</v>
      </c>
      <c r="C8" s="18">
        <v>88.360000999999997</v>
      </c>
      <c r="M8" s="12"/>
    </row>
    <row r="9" spans="1:13" x14ac:dyDescent="0.25">
      <c r="B9" s="12">
        <v>45355</v>
      </c>
      <c r="C9" s="18">
        <v>82.120002999999997</v>
      </c>
      <c r="M9" s="12"/>
    </row>
    <row r="10" spans="1:13" x14ac:dyDescent="0.25">
      <c r="B10" s="12">
        <v>45348</v>
      </c>
      <c r="C10" s="18">
        <v>86.459998999999996</v>
      </c>
      <c r="M10" s="12"/>
    </row>
    <row r="11" spans="1:13" x14ac:dyDescent="0.25">
      <c r="B11" s="12">
        <v>45341</v>
      </c>
      <c r="C11" s="18">
        <v>82.660004000000001</v>
      </c>
      <c r="M11" s="12"/>
    </row>
    <row r="12" spans="1:13" x14ac:dyDescent="0.25">
      <c r="B12" s="12">
        <v>45334</v>
      </c>
      <c r="C12" s="18">
        <v>80.620002999999997</v>
      </c>
      <c r="M12" s="12"/>
    </row>
    <row r="13" spans="1:13" x14ac:dyDescent="0.25">
      <c r="B13" s="12">
        <v>45327</v>
      </c>
      <c r="C13" s="18">
        <v>80.239998</v>
      </c>
    </row>
    <row r="14" spans="1:13" x14ac:dyDescent="0.25">
      <c r="B14" s="12">
        <v>45320</v>
      </c>
      <c r="C14" s="18">
        <v>82</v>
      </c>
    </row>
    <row r="15" spans="1:13" x14ac:dyDescent="0.25">
      <c r="B15" s="12">
        <v>45313</v>
      </c>
      <c r="C15" s="18">
        <v>76.480002999999996</v>
      </c>
    </row>
    <row r="16" spans="1:13" x14ac:dyDescent="0.25">
      <c r="B16" s="12">
        <v>45306</v>
      </c>
      <c r="C16" s="18">
        <v>73.779999000000004</v>
      </c>
    </row>
    <row r="17" spans="2:3" x14ac:dyDescent="0.25">
      <c r="B17" s="12">
        <v>45299</v>
      </c>
      <c r="C17" s="18">
        <v>75.5</v>
      </c>
    </row>
    <row r="18" spans="2:3" x14ac:dyDescent="0.25">
      <c r="B18" s="12">
        <v>45292</v>
      </c>
      <c r="C18" s="18">
        <v>76.699996999999996</v>
      </c>
    </row>
    <row r="19" spans="2:3" x14ac:dyDescent="0.25">
      <c r="B19" s="12">
        <v>45285</v>
      </c>
      <c r="C19" s="18">
        <v>79.900002000000001</v>
      </c>
    </row>
    <row r="20" spans="2:3" x14ac:dyDescent="0.25">
      <c r="B20" s="12">
        <v>45278</v>
      </c>
      <c r="C20" s="18">
        <v>80.080001999999993</v>
      </c>
    </row>
    <row r="21" spans="2:3" x14ac:dyDescent="0.25">
      <c r="B21" s="12">
        <v>45271</v>
      </c>
      <c r="C21" s="18">
        <v>81</v>
      </c>
    </row>
    <row r="22" spans="2:3" x14ac:dyDescent="0.25">
      <c r="B22" s="12">
        <v>45264</v>
      </c>
      <c r="C22" s="18">
        <v>83.559997999999993</v>
      </c>
    </row>
    <row r="23" spans="2:3" x14ac:dyDescent="0.25">
      <c r="B23" s="12">
        <v>45257</v>
      </c>
      <c r="C23" s="18">
        <v>83.900002000000001</v>
      </c>
    </row>
    <row r="24" spans="2:3" x14ac:dyDescent="0.25">
      <c r="B24" s="12">
        <v>45250</v>
      </c>
      <c r="C24" s="18">
        <v>86.099997999999999</v>
      </c>
    </row>
    <row r="25" spans="2:3" x14ac:dyDescent="0.25">
      <c r="B25" s="12">
        <v>45243</v>
      </c>
      <c r="C25" s="18">
        <v>90.919998000000007</v>
      </c>
    </row>
    <row r="26" spans="2:3" x14ac:dyDescent="0.25">
      <c r="B26" s="12">
        <v>45236</v>
      </c>
      <c r="C26" s="18">
        <v>87.419998000000007</v>
      </c>
    </row>
    <row r="27" spans="2:3" x14ac:dyDescent="0.25">
      <c r="B27" s="12">
        <v>45229</v>
      </c>
      <c r="C27" s="18">
        <v>90.139999000000003</v>
      </c>
    </row>
    <row r="28" spans="2:3" x14ac:dyDescent="0.25">
      <c r="B28" s="12">
        <v>45222</v>
      </c>
      <c r="C28" s="18">
        <v>82.120002999999997</v>
      </c>
    </row>
    <row r="29" spans="2:3" x14ac:dyDescent="0.25">
      <c r="B29" s="12">
        <v>45215</v>
      </c>
      <c r="C29" s="18">
        <v>89.120002999999997</v>
      </c>
    </row>
    <row r="30" spans="2:3" x14ac:dyDescent="0.25">
      <c r="B30" s="12">
        <v>45208</v>
      </c>
      <c r="C30" s="18">
        <v>90.599997999999999</v>
      </c>
    </row>
    <row r="31" spans="2:3" x14ac:dyDescent="0.25">
      <c r="B31" s="12">
        <v>45201</v>
      </c>
      <c r="C31" s="18">
        <v>89.220000999999996</v>
      </c>
    </row>
    <row r="32" spans="2:3" x14ac:dyDescent="0.25">
      <c r="B32" s="12">
        <v>45194</v>
      </c>
      <c r="C32" s="18">
        <v>89</v>
      </c>
    </row>
    <row r="33" spans="2:3" x14ac:dyDescent="0.25">
      <c r="B33" s="12">
        <v>45187</v>
      </c>
      <c r="C33" s="18">
        <v>92.959998999999996</v>
      </c>
    </row>
    <row r="34" spans="2:3" x14ac:dyDescent="0.25">
      <c r="B34" s="12">
        <v>45180</v>
      </c>
      <c r="C34" s="18">
        <v>99.099997999999999</v>
      </c>
    </row>
    <row r="35" spans="2:3" x14ac:dyDescent="0.25">
      <c r="B35" s="12">
        <v>45173</v>
      </c>
      <c r="C35" s="18">
        <v>101.300003</v>
      </c>
    </row>
    <row r="36" spans="2:3" x14ac:dyDescent="0.25">
      <c r="B36" s="12">
        <v>45166</v>
      </c>
      <c r="C36" s="18">
        <v>98.160004000000001</v>
      </c>
    </row>
    <row r="37" spans="2:3" x14ac:dyDescent="0.25">
      <c r="B37" s="12">
        <v>45159</v>
      </c>
      <c r="C37" s="18">
        <v>100.050003</v>
      </c>
    </row>
    <row r="38" spans="2:3" x14ac:dyDescent="0.25">
      <c r="B38" s="12">
        <v>45152</v>
      </c>
      <c r="C38" s="18">
        <v>102.099998</v>
      </c>
    </row>
    <row r="39" spans="2:3" x14ac:dyDescent="0.25">
      <c r="B39" s="12">
        <v>45145</v>
      </c>
      <c r="C39" s="18">
        <v>104.699997</v>
      </c>
    </row>
    <row r="40" spans="2:3" x14ac:dyDescent="0.25">
      <c r="B40" s="12">
        <v>45138</v>
      </c>
      <c r="C40" s="18">
        <v>110.5</v>
      </c>
    </row>
    <row r="41" spans="2:3" x14ac:dyDescent="0.25">
      <c r="B41" s="12">
        <v>45131</v>
      </c>
      <c r="C41" s="18">
        <v>112.25</v>
      </c>
    </row>
    <row r="42" spans="2:3" x14ac:dyDescent="0.25">
      <c r="B42" s="12">
        <v>45124</v>
      </c>
      <c r="C42" s="18">
        <v>111.199997</v>
      </c>
    </row>
    <row r="43" spans="2:3" x14ac:dyDescent="0.25">
      <c r="B43" s="12">
        <v>45117</v>
      </c>
      <c r="C43" s="18">
        <v>114.699997</v>
      </c>
    </row>
    <row r="44" spans="2:3" x14ac:dyDescent="0.25">
      <c r="B44" s="12">
        <v>45110</v>
      </c>
      <c r="C44" s="18">
        <v>110.349998</v>
      </c>
    </row>
    <row r="45" spans="2:3" x14ac:dyDescent="0.25">
      <c r="B45" s="12">
        <v>45103</v>
      </c>
      <c r="C45" s="18">
        <v>112.699364</v>
      </c>
    </row>
    <row r="46" spans="2:3" x14ac:dyDescent="0.25">
      <c r="B46" s="12">
        <v>45096</v>
      </c>
      <c r="C46" s="18">
        <v>107.39877300000001</v>
      </c>
    </row>
    <row r="47" spans="2:3" x14ac:dyDescent="0.25">
      <c r="B47" s="12">
        <v>45089</v>
      </c>
      <c r="C47" s="18">
        <v>113.591049</v>
      </c>
    </row>
    <row r="48" spans="2:3" x14ac:dyDescent="0.25">
      <c r="B48" s="12">
        <v>45082</v>
      </c>
      <c r="C48" s="18">
        <v>115.622108</v>
      </c>
    </row>
    <row r="49" spans="2:3" x14ac:dyDescent="0.25">
      <c r="B49" s="12">
        <v>45075</v>
      </c>
      <c r="C49" s="18">
        <v>116.91010300000001</v>
      </c>
    </row>
    <row r="50" spans="2:3" x14ac:dyDescent="0.25">
      <c r="B50" s="12">
        <v>45068</v>
      </c>
      <c r="C50" s="18">
        <v>116.86056499999999</v>
      </c>
    </row>
    <row r="51" spans="2:3" x14ac:dyDescent="0.25">
      <c r="B51" s="12">
        <v>45061</v>
      </c>
      <c r="C51" s="18">
        <v>117.30641199999999</v>
      </c>
    </row>
    <row r="52" spans="2:3" x14ac:dyDescent="0.25">
      <c r="B52" s="12">
        <v>45054</v>
      </c>
      <c r="C52" s="18">
        <v>113.29381600000001</v>
      </c>
    </row>
    <row r="53" spans="2:3" x14ac:dyDescent="0.25">
      <c r="B53" s="12">
        <v>45047</v>
      </c>
      <c r="C53" s="18">
        <v>114.383652</v>
      </c>
    </row>
    <row r="54" spans="2:3" x14ac:dyDescent="0.25">
      <c r="B54" s="12">
        <v>45040</v>
      </c>
      <c r="C54" s="18">
        <v>112.352592</v>
      </c>
    </row>
    <row r="55" spans="2:3" x14ac:dyDescent="0.25">
      <c r="B55" s="12">
        <v>45033</v>
      </c>
      <c r="C55" s="18">
        <v>113.93781300000001</v>
      </c>
    </row>
    <row r="56" spans="2:3" x14ac:dyDescent="0.25">
      <c r="B56" s="12">
        <v>45026</v>
      </c>
      <c r="C56" s="18">
        <v>117.801796</v>
      </c>
    </row>
    <row r="57" spans="2:3" x14ac:dyDescent="0.25">
      <c r="B57" s="12">
        <v>45019</v>
      </c>
      <c r="C57" s="18">
        <v>116.81102799999999</v>
      </c>
    </row>
    <row r="58" spans="2:3" x14ac:dyDescent="0.25">
      <c r="B58" s="12">
        <v>45012</v>
      </c>
      <c r="C58" s="18">
        <v>116.91010300000001</v>
      </c>
    </row>
    <row r="59" spans="2:3" x14ac:dyDescent="0.25">
      <c r="B59" s="12">
        <v>45005</v>
      </c>
      <c r="C59" s="18">
        <v>111.36183200000001</v>
      </c>
    </row>
    <row r="60" spans="2:3" x14ac:dyDescent="0.25">
      <c r="B60" s="12">
        <v>44998</v>
      </c>
      <c r="C60" s="18">
        <v>113.541504</v>
      </c>
    </row>
    <row r="61" spans="2:3" x14ac:dyDescent="0.25">
      <c r="B61" s="12">
        <v>44991</v>
      </c>
      <c r="C61" s="18">
        <v>113.046127</v>
      </c>
    </row>
    <row r="62" spans="2:3" x14ac:dyDescent="0.25">
      <c r="B62" s="12">
        <v>44984</v>
      </c>
      <c r="C62" s="18">
        <v>113.640579</v>
      </c>
    </row>
    <row r="63" spans="2:3" x14ac:dyDescent="0.25">
      <c r="B63" s="12">
        <v>44977</v>
      </c>
      <c r="C63" s="18">
        <v>109.479378</v>
      </c>
    </row>
    <row r="64" spans="2:3" x14ac:dyDescent="0.25">
      <c r="B64" s="12">
        <v>44970</v>
      </c>
      <c r="C64" s="18">
        <v>113.046127</v>
      </c>
    </row>
    <row r="65" spans="2:3" x14ac:dyDescent="0.25">
      <c r="B65" s="12">
        <v>44963</v>
      </c>
      <c r="C65" s="18">
        <v>112.451668</v>
      </c>
    </row>
    <row r="66" spans="2:3" x14ac:dyDescent="0.25">
      <c r="B66" s="12">
        <v>44956</v>
      </c>
      <c r="C66" s="18">
        <v>113.640579</v>
      </c>
    </row>
    <row r="67" spans="2:3" x14ac:dyDescent="0.25">
      <c r="B67" s="12">
        <v>44949</v>
      </c>
      <c r="C67" s="18">
        <v>104.030182</v>
      </c>
    </row>
    <row r="68" spans="2:3" x14ac:dyDescent="0.25">
      <c r="B68" s="12">
        <v>44942</v>
      </c>
      <c r="C68" s="18">
        <v>101.751419</v>
      </c>
    </row>
    <row r="69" spans="2:3" x14ac:dyDescent="0.25">
      <c r="B69" s="12">
        <v>44935</v>
      </c>
      <c r="C69" s="18">
        <v>103.832031</v>
      </c>
    </row>
    <row r="70" spans="2:3" x14ac:dyDescent="0.25">
      <c r="B70" s="12">
        <v>44928</v>
      </c>
      <c r="C70" s="18">
        <v>94.865616000000003</v>
      </c>
    </row>
    <row r="71" spans="2:3" x14ac:dyDescent="0.25">
      <c r="B71" s="12">
        <v>44921</v>
      </c>
      <c r="C71" s="18">
        <v>93.874854999999997</v>
      </c>
    </row>
    <row r="72" spans="2:3" x14ac:dyDescent="0.25">
      <c r="B72" s="12">
        <v>44914</v>
      </c>
      <c r="C72" s="18">
        <v>91.269149999999996</v>
      </c>
    </row>
    <row r="73" spans="2:3" x14ac:dyDescent="0.25">
      <c r="B73" s="12">
        <v>44907</v>
      </c>
      <c r="C73" s="18">
        <v>92.775101000000006</v>
      </c>
    </row>
    <row r="74" spans="2:3" x14ac:dyDescent="0.25">
      <c r="B74" s="12">
        <v>44900</v>
      </c>
      <c r="C74" s="18">
        <v>100.463432</v>
      </c>
    </row>
    <row r="75" spans="2:3" x14ac:dyDescent="0.25">
      <c r="B75" s="12">
        <v>44893</v>
      </c>
      <c r="C75" s="18">
        <v>106.011703</v>
      </c>
    </row>
    <row r="76" spans="2:3" x14ac:dyDescent="0.25">
      <c r="B76" s="12">
        <v>44886</v>
      </c>
      <c r="C76" s="18">
        <v>106.259399</v>
      </c>
    </row>
    <row r="77" spans="2:3" x14ac:dyDescent="0.25">
      <c r="B77" s="12">
        <v>44879</v>
      </c>
      <c r="C77" s="18">
        <v>106.061249</v>
      </c>
    </row>
    <row r="78" spans="2:3" x14ac:dyDescent="0.25">
      <c r="B78" s="12">
        <v>44872</v>
      </c>
      <c r="C78" s="18">
        <v>98.580978000000002</v>
      </c>
    </row>
    <row r="79" spans="2:3" x14ac:dyDescent="0.25">
      <c r="B79" s="12">
        <v>44865</v>
      </c>
      <c r="C79" s="18">
        <v>99.076363000000001</v>
      </c>
    </row>
    <row r="80" spans="2:3" x14ac:dyDescent="0.25">
      <c r="B80" s="12">
        <v>44858</v>
      </c>
      <c r="C80" s="18">
        <v>98.997101000000001</v>
      </c>
    </row>
    <row r="81" spans="2:3" x14ac:dyDescent="0.25">
      <c r="B81" s="12">
        <v>44851</v>
      </c>
      <c r="C81" s="18">
        <v>95.192565999999999</v>
      </c>
    </row>
    <row r="82" spans="2:3" x14ac:dyDescent="0.25">
      <c r="B82" s="12">
        <v>44844</v>
      </c>
      <c r="C82" s="18">
        <v>86.691817999999998</v>
      </c>
    </row>
    <row r="83" spans="2:3" x14ac:dyDescent="0.25">
      <c r="B83" s="12">
        <v>44837</v>
      </c>
      <c r="C83" s="18">
        <v>91.269149999999996</v>
      </c>
    </row>
    <row r="84" spans="2:3" x14ac:dyDescent="0.25">
      <c r="B84" s="12">
        <v>44830</v>
      </c>
      <c r="C84" s="18">
        <v>81.737999000000002</v>
      </c>
    </row>
    <row r="85" spans="2:3" x14ac:dyDescent="0.25">
      <c r="B85" s="12"/>
      <c r="C85" s="18"/>
    </row>
    <row r="86" spans="2:3" x14ac:dyDescent="0.25">
      <c r="B86" s="12"/>
      <c r="C86" s="18"/>
    </row>
    <row r="87" spans="2:3" x14ac:dyDescent="0.25">
      <c r="B87" s="12"/>
      <c r="C87" s="18"/>
    </row>
    <row r="88" spans="2:3" x14ac:dyDescent="0.25">
      <c r="B88" s="12"/>
      <c r="C88" s="18"/>
    </row>
    <row r="89" spans="2:3" x14ac:dyDescent="0.25">
      <c r="B89" s="12"/>
      <c r="C89" s="18"/>
    </row>
    <row r="90" spans="2:3" x14ac:dyDescent="0.25">
      <c r="B90" s="12"/>
      <c r="C90" s="18"/>
    </row>
    <row r="91" spans="2:3" x14ac:dyDescent="0.25">
      <c r="B91" s="12"/>
      <c r="C91" s="18"/>
    </row>
    <row r="92" spans="2:3" x14ac:dyDescent="0.25">
      <c r="B92" s="12"/>
      <c r="C92" s="18"/>
    </row>
    <row r="93" spans="2:3" x14ac:dyDescent="0.25">
      <c r="B93" s="12"/>
      <c r="C93" s="18"/>
    </row>
    <row r="94" spans="2:3" x14ac:dyDescent="0.25">
      <c r="B94" s="12"/>
      <c r="C94" s="18"/>
    </row>
    <row r="95" spans="2:3" x14ac:dyDescent="0.25">
      <c r="B95" s="12"/>
      <c r="C95" s="18"/>
    </row>
    <row r="96" spans="2:3" x14ac:dyDescent="0.25">
      <c r="B96" s="12"/>
      <c r="C96" s="18"/>
    </row>
    <row r="97" spans="2:3" x14ac:dyDescent="0.25">
      <c r="B97" s="12"/>
      <c r="C97" s="18"/>
    </row>
    <row r="98" spans="2:3" x14ac:dyDescent="0.25">
      <c r="B98" s="12"/>
      <c r="C98" s="18"/>
    </row>
    <row r="99" spans="2:3" x14ac:dyDescent="0.25">
      <c r="B99" s="12"/>
      <c r="C99" s="18"/>
    </row>
    <row r="100" spans="2:3" x14ac:dyDescent="0.25">
      <c r="B100" s="12"/>
      <c r="C100" s="18"/>
    </row>
    <row r="101" spans="2:3" x14ac:dyDescent="0.25">
      <c r="B101" s="12"/>
      <c r="C101" s="18"/>
    </row>
    <row r="102" spans="2:3" x14ac:dyDescent="0.25">
      <c r="B102" s="12"/>
      <c r="C102" s="18"/>
    </row>
    <row r="103" spans="2:3" x14ac:dyDescent="0.25">
      <c r="B103" s="12"/>
      <c r="C103" s="18"/>
    </row>
    <row r="104" spans="2:3" x14ac:dyDescent="0.25">
      <c r="B104" s="12"/>
      <c r="C104" s="18"/>
    </row>
    <row r="105" spans="2:3" x14ac:dyDescent="0.25">
      <c r="B105" s="12"/>
      <c r="C105" s="18"/>
    </row>
    <row r="106" spans="2:3" x14ac:dyDescent="0.25">
      <c r="B106" s="12"/>
      <c r="C106" s="18"/>
    </row>
    <row r="107" spans="2:3" x14ac:dyDescent="0.25">
      <c r="B107" s="12"/>
      <c r="C107" s="18"/>
    </row>
    <row r="108" spans="2:3" x14ac:dyDescent="0.25">
      <c r="B108" s="12"/>
      <c r="C108" s="18"/>
    </row>
    <row r="109" spans="2:3" x14ac:dyDescent="0.25">
      <c r="B109" s="12"/>
      <c r="C109" s="18"/>
    </row>
    <row r="110" spans="2:3" x14ac:dyDescent="0.25">
      <c r="B110" s="12"/>
      <c r="C110" s="18"/>
    </row>
    <row r="111" spans="2:3" x14ac:dyDescent="0.25">
      <c r="B111" s="12"/>
      <c r="C111" s="18"/>
    </row>
    <row r="112" spans="2:3" x14ac:dyDescent="0.25">
      <c r="B112" s="12"/>
      <c r="C112" s="18"/>
    </row>
    <row r="113" spans="2:3" x14ac:dyDescent="0.25">
      <c r="B113" s="12"/>
      <c r="C113" s="18"/>
    </row>
    <row r="114" spans="2:3" x14ac:dyDescent="0.25">
      <c r="B114" s="12"/>
      <c r="C114" s="18"/>
    </row>
    <row r="115" spans="2:3" x14ac:dyDescent="0.25">
      <c r="B115" s="12"/>
      <c r="C115" s="18"/>
    </row>
    <row r="116" spans="2:3" x14ac:dyDescent="0.25">
      <c r="B116" s="12"/>
      <c r="C116" s="18"/>
    </row>
    <row r="117" spans="2:3" x14ac:dyDescent="0.25">
      <c r="B117" s="12"/>
      <c r="C117" s="18"/>
    </row>
    <row r="118" spans="2:3" x14ac:dyDescent="0.25">
      <c r="B118" s="12"/>
      <c r="C118" s="18"/>
    </row>
    <row r="119" spans="2:3" x14ac:dyDescent="0.25">
      <c r="B119" s="12"/>
      <c r="C119" s="18"/>
    </row>
    <row r="120" spans="2:3" x14ac:dyDescent="0.25">
      <c r="B120" s="12"/>
      <c r="C120" s="18"/>
    </row>
    <row r="121" spans="2:3" x14ac:dyDescent="0.25">
      <c r="B121" s="12"/>
      <c r="C121" s="18"/>
    </row>
    <row r="122" spans="2:3" x14ac:dyDescent="0.25">
      <c r="B122" s="12"/>
      <c r="C122" s="18"/>
    </row>
    <row r="123" spans="2:3" x14ac:dyDescent="0.25">
      <c r="B123" s="12"/>
      <c r="C123" s="18"/>
    </row>
    <row r="124" spans="2:3" x14ac:dyDescent="0.25">
      <c r="B124" s="12"/>
      <c r="C124" s="18"/>
    </row>
    <row r="125" spans="2:3" x14ac:dyDescent="0.25">
      <c r="B125" s="12"/>
      <c r="C125" s="18"/>
    </row>
    <row r="126" spans="2:3" x14ac:dyDescent="0.25">
      <c r="B126" s="12"/>
      <c r="C126" s="18"/>
    </row>
    <row r="127" spans="2:3" x14ac:dyDescent="0.25">
      <c r="B127" s="12"/>
      <c r="C127" s="18"/>
    </row>
    <row r="128" spans="2:3" x14ac:dyDescent="0.25">
      <c r="B128" s="12"/>
      <c r="C128" s="18"/>
    </row>
    <row r="129" spans="2:3" x14ac:dyDescent="0.25">
      <c r="B129" s="12"/>
      <c r="C129" s="18"/>
    </row>
    <row r="130" spans="2:3" x14ac:dyDescent="0.25">
      <c r="B130" s="12"/>
      <c r="C130" s="18"/>
    </row>
    <row r="131" spans="2:3" x14ac:dyDescent="0.25">
      <c r="B131" s="12"/>
      <c r="C131" s="18"/>
    </row>
    <row r="132" spans="2:3" x14ac:dyDescent="0.25">
      <c r="B132" s="12"/>
      <c r="C132" s="18"/>
    </row>
    <row r="133" spans="2:3" x14ac:dyDescent="0.25">
      <c r="B133" s="12"/>
      <c r="C133" s="18"/>
    </row>
    <row r="134" spans="2:3" x14ac:dyDescent="0.25">
      <c r="B134" s="12"/>
      <c r="C134" s="18"/>
    </row>
    <row r="135" spans="2:3" x14ac:dyDescent="0.25">
      <c r="B135" s="12"/>
      <c r="C135" s="18"/>
    </row>
    <row r="136" spans="2:3" x14ac:dyDescent="0.25">
      <c r="B136" s="12"/>
      <c r="C136" s="18"/>
    </row>
    <row r="137" spans="2:3" x14ac:dyDescent="0.25">
      <c r="B137" s="12"/>
      <c r="C137" s="18"/>
    </row>
    <row r="138" spans="2:3" x14ac:dyDescent="0.25">
      <c r="B138" s="12"/>
      <c r="C138" s="18"/>
    </row>
    <row r="139" spans="2:3" x14ac:dyDescent="0.25">
      <c r="B139" s="12"/>
      <c r="C139" s="18"/>
    </row>
    <row r="140" spans="2:3" x14ac:dyDescent="0.25">
      <c r="B140" s="12"/>
      <c r="C140" s="18"/>
    </row>
    <row r="141" spans="2:3" x14ac:dyDescent="0.25">
      <c r="B141" s="12"/>
      <c r="C141" s="18"/>
    </row>
    <row r="142" spans="2:3" x14ac:dyDescent="0.25">
      <c r="B142" s="12"/>
      <c r="C142" s="18"/>
    </row>
    <row r="143" spans="2:3" x14ac:dyDescent="0.25">
      <c r="B143" s="12"/>
      <c r="C143" s="18"/>
    </row>
    <row r="144" spans="2:3" x14ac:dyDescent="0.25">
      <c r="B144" s="12"/>
      <c r="C144" s="18"/>
    </row>
    <row r="145" spans="2:3" x14ac:dyDescent="0.25">
      <c r="B145" s="12"/>
      <c r="C145" s="18"/>
    </row>
    <row r="146" spans="2:3" x14ac:dyDescent="0.25">
      <c r="B146" s="12"/>
      <c r="C146" s="18"/>
    </row>
    <row r="147" spans="2:3" x14ac:dyDescent="0.25">
      <c r="B147" s="12"/>
      <c r="C147" s="18"/>
    </row>
    <row r="148" spans="2:3" x14ac:dyDescent="0.25">
      <c r="B148" s="12"/>
      <c r="C148" s="18"/>
    </row>
    <row r="149" spans="2:3" x14ac:dyDescent="0.25">
      <c r="B149" s="12"/>
      <c r="C149" s="18"/>
    </row>
    <row r="150" spans="2:3" x14ac:dyDescent="0.25">
      <c r="B150" s="12"/>
      <c r="C150" s="18"/>
    </row>
    <row r="151" spans="2:3" x14ac:dyDescent="0.25">
      <c r="B151" s="12"/>
      <c r="C151" s="18"/>
    </row>
    <row r="152" spans="2:3" x14ac:dyDescent="0.25">
      <c r="B152" s="12"/>
      <c r="C152" s="18"/>
    </row>
    <row r="153" spans="2:3" x14ac:dyDescent="0.25">
      <c r="B153" s="12"/>
      <c r="C153" s="18"/>
    </row>
    <row r="154" spans="2:3" x14ac:dyDescent="0.25">
      <c r="B154" s="12"/>
      <c r="C154" s="18"/>
    </row>
    <row r="155" spans="2:3" x14ac:dyDescent="0.25">
      <c r="B155" s="12"/>
      <c r="C155" s="18"/>
    </row>
    <row r="156" spans="2:3" x14ac:dyDescent="0.25">
      <c r="B156" s="12"/>
      <c r="C156" s="18"/>
    </row>
    <row r="157" spans="2:3" x14ac:dyDescent="0.25">
      <c r="B157" s="12"/>
      <c r="C157" s="18"/>
    </row>
    <row r="158" spans="2:3" x14ac:dyDescent="0.25">
      <c r="B158" s="12"/>
      <c r="C158" s="18"/>
    </row>
    <row r="159" spans="2:3" x14ac:dyDescent="0.25">
      <c r="B159" s="12"/>
      <c r="C159" s="18"/>
    </row>
    <row r="160" spans="2:3" x14ac:dyDescent="0.25">
      <c r="B160" s="12"/>
      <c r="C160" s="18"/>
    </row>
    <row r="161" spans="2:3" x14ac:dyDescent="0.25">
      <c r="B161" s="12"/>
      <c r="C161" s="18"/>
    </row>
    <row r="162" spans="2:3" x14ac:dyDescent="0.25">
      <c r="B162" s="12"/>
      <c r="C162" s="18"/>
    </row>
    <row r="163" spans="2:3" x14ac:dyDescent="0.25">
      <c r="B163" s="12"/>
      <c r="C163" s="18"/>
    </row>
    <row r="164" spans="2:3" x14ac:dyDescent="0.25">
      <c r="B164" s="12"/>
      <c r="C164" s="18"/>
    </row>
    <row r="165" spans="2:3" x14ac:dyDescent="0.25">
      <c r="B165" s="12"/>
      <c r="C165" s="18"/>
    </row>
    <row r="166" spans="2:3" x14ac:dyDescent="0.25">
      <c r="B166" s="12"/>
      <c r="C166" s="18"/>
    </row>
    <row r="167" spans="2:3" x14ac:dyDescent="0.25">
      <c r="B167" s="12"/>
      <c r="C167" s="18"/>
    </row>
    <row r="168" spans="2:3" x14ac:dyDescent="0.25">
      <c r="B168" s="12"/>
      <c r="C168" s="18"/>
    </row>
    <row r="169" spans="2:3" x14ac:dyDescent="0.25">
      <c r="B169" s="12"/>
      <c r="C169" s="18"/>
    </row>
    <row r="170" spans="2:3" x14ac:dyDescent="0.25">
      <c r="B170" s="12"/>
      <c r="C170" s="18"/>
    </row>
    <row r="171" spans="2:3" x14ac:dyDescent="0.25">
      <c r="B171" s="12"/>
      <c r="C171" s="18"/>
    </row>
    <row r="172" spans="2:3" x14ac:dyDescent="0.25">
      <c r="B172" s="12"/>
      <c r="C172" s="18"/>
    </row>
    <row r="173" spans="2:3" x14ac:dyDescent="0.25">
      <c r="B173" s="12"/>
      <c r="C173" s="18"/>
    </row>
    <row r="174" spans="2:3" x14ac:dyDescent="0.25">
      <c r="B174" s="12"/>
      <c r="C174" s="18"/>
    </row>
    <row r="175" spans="2:3" x14ac:dyDescent="0.25">
      <c r="B175" s="12"/>
      <c r="C175" s="18"/>
    </row>
    <row r="176" spans="2:3" x14ac:dyDescent="0.25">
      <c r="B176" s="12"/>
      <c r="C176" s="18"/>
    </row>
    <row r="177" spans="2:3" x14ac:dyDescent="0.25">
      <c r="B177" s="12"/>
      <c r="C177" s="18"/>
    </row>
    <row r="178" spans="2:3" x14ac:dyDescent="0.25">
      <c r="B178" s="12"/>
      <c r="C178" s="18"/>
    </row>
    <row r="179" spans="2:3" x14ac:dyDescent="0.25">
      <c r="B179" s="12"/>
      <c r="C179" s="18"/>
    </row>
    <row r="180" spans="2:3" x14ac:dyDescent="0.25">
      <c r="B180" s="12"/>
      <c r="C180" s="18"/>
    </row>
    <row r="181" spans="2:3" x14ac:dyDescent="0.25">
      <c r="B181" s="12"/>
      <c r="C181" s="18"/>
    </row>
    <row r="182" spans="2:3" x14ac:dyDescent="0.25">
      <c r="B182" s="12"/>
      <c r="C182" s="18"/>
    </row>
    <row r="183" spans="2:3" x14ac:dyDescent="0.25">
      <c r="B183" s="12"/>
      <c r="C183" s="18"/>
    </row>
    <row r="184" spans="2:3" x14ac:dyDescent="0.25">
      <c r="B184" s="12"/>
      <c r="C184" s="18"/>
    </row>
    <row r="185" spans="2:3" x14ac:dyDescent="0.25">
      <c r="B185" s="12"/>
      <c r="C185" s="18"/>
    </row>
    <row r="186" spans="2:3" x14ac:dyDescent="0.25">
      <c r="B186" s="12"/>
      <c r="C186" s="18"/>
    </row>
    <row r="187" spans="2:3" x14ac:dyDescent="0.25">
      <c r="B187" s="12"/>
      <c r="C187" s="18"/>
    </row>
    <row r="188" spans="2:3" x14ac:dyDescent="0.25">
      <c r="B188" s="12"/>
      <c r="C188" s="18"/>
    </row>
    <row r="189" spans="2:3" x14ac:dyDescent="0.25">
      <c r="B189" s="12"/>
      <c r="C189" s="18"/>
    </row>
    <row r="190" spans="2:3" x14ac:dyDescent="0.25">
      <c r="B190" s="12"/>
      <c r="C190" s="18"/>
    </row>
    <row r="191" spans="2:3" x14ac:dyDescent="0.25">
      <c r="B191" s="12"/>
      <c r="C191" s="18"/>
    </row>
    <row r="192" spans="2:3" x14ac:dyDescent="0.25">
      <c r="B192" s="12"/>
      <c r="C192" s="18"/>
    </row>
    <row r="193" spans="2:3" x14ac:dyDescent="0.25">
      <c r="B193" s="12"/>
      <c r="C193" s="18"/>
    </row>
    <row r="194" spans="2:3" x14ac:dyDescent="0.25">
      <c r="B194" s="12"/>
      <c r="C194" s="18"/>
    </row>
    <row r="195" spans="2:3" x14ac:dyDescent="0.25">
      <c r="B195" s="12"/>
      <c r="C195" s="18"/>
    </row>
    <row r="196" spans="2:3" x14ac:dyDescent="0.25">
      <c r="B196" s="12"/>
      <c r="C196" s="18"/>
    </row>
    <row r="197" spans="2:3" x14ac:dyDescent="0.25">
      <c r="B197" s="12"/>
      <c r="C197" s="18"/>
    </row>
    <row r="198" spans="2:3" x14ac:dyDescent="0.25">
      <c r="B198" s="12"/>
      <c r="C198" s="18"/>
    </row>
    <row r="199" spans="2:3" x14ac:dyDescent="0.25">
      <c r="B199" s="12"/>
      <c r="C199" s="18"/>
    </row>
    <row r="200" spans="2:3" x14ac:dyDescent="0.25">
      <c r="B200" s="12"/>
      <c r="C200" s="18"/>
    </row>
    <row r="201" spans="2:3" x14ac:dyDescent="0.25">
      <c r="B201" s="12"/>
      <c r="C201" s="18"/>
    </row>
    <row r="202" spans="2:3" x14ac:dyDescent="0.25">
      <c r="B202" s="12"/>
      <c r="C202" s="18"/>
    </row>
    <row r="203" spans="2:3" x14ac:dyDescent="0.25">
      <c r="B203" s="12"/>
      <c r="C203" s="18"/>
    </row>
    <row r="204" spans="2:3" x14ac:dyDescent="0.25">
      <c r="B204" s="12"/>
      <c r="C204" s="18"/>
    </row>
    <row r="205" spans="2:3" x14ac:dyDescent="0.25">
      <c r="B205" s="12"/>
      <c r="C205" s="18"/>
    </row>
    <row r="206" spans="2:3" x14ac:dyDescent="0.25">
      <c r="B206" s="12"/>
      <c r="C206" s="18"/>
    </row>
    <row r="207" spans="2:3" x14ac:dyDescent="0.25">
      <c r="B207" s="12"/>
      <c r="C207" s="18"/>
    </row>
    <row r="208" spans="2:3" x14ac:dyDescent="0.25">
      <c r="B208" s="12"/>
      <c r="C208" s="18"/>
    </row>
    <row r="209" spans="2:3" x14ac:dyDescent="0.25">
      <c r="B209" s="12"/>
      <c r="C209" s="18"/>
    </row>
    <row r="210" spans="2:3" x14ac:dyDescent="0.25">
      <c r="B210" s="12"/>
      <c r="C210" s="18"/>
    </row>
    <row r="211" spans="2:3" x14ac:dyDescent="0.25">
      <c r="B211" s="12"/>
      <c r="C211" s="18"/>
    </row>
    <row r="212" spans="2:3" x14ac:dyDescent="0.25">
      <c r="B212" s="12"/>
      <c r="C212" s="18"/>
    </row>
    <row r="213" spans="2:3" x14ac:dyDescent="0.25">
      <c r="B213" s="12"/>
      <c r="C213" s="18"/>
    </row>
    <row r="214" spans="2:3" x14ac:dyDescent="0.25">
      <c r="B214" s="12"/>
      <c r="C214" s="18"/>
    </row>
    <row r="215" spans="2:3" x14ac:dyDescent="0.25">
      <c r="B215" s="12"/>
      <c r="C215" s="18"/>
    </row>
    <row r="216" spans="2:3" x14ac:dyDescent="0.25">
      <c r="B216" s="12"/>
      <c r="C216" s="18"/>
    </row>
    <row r="217" spans="2:3" x14ac:dyDescent="0.25">
      <c r="B217" s="12"/>
      <c r="C217" s="18"/>
    </row>
    <row r="218" spans="2:3" x14ac:dyDescent="0.25">
      <c r="B218" s="12"/>
      <c r="C218" s="18"/>
    </row>
    <row r="219" spans="2:3" x14ac:dyDescent="0.25">
      <c r="B219" s="12"/>
      <c r="C219" s="18"/>
    </row>
    <row r="220" spans="2:3" x14ac:dyDescent="0.25">
      <c r="B220" s="12"/>
      <c r="C220" s="18"/>
    </row>
    <row r="221" spans="2:3" x14ac:dyDescent="0.25">
      <c r="B221" s="12"/>
      <c r="C221" s="18"/>
    </row>
    <row r="222" spans="2:3" x14ac:dyDescent="0.25">
      <c r="B222" s="12"/>
      <c r="C222" s="18"/>
    </row>
    <row r="223" spans="2:3" x14ac:dyDescent="0.25">
      <c r="B223" s="12"/>
      <c r="C223" s="18"/>
    </row>
    <row r="224" spans="2:3" x14ac:dyDescent="0.25">
      <c r="B224" s="12"/>
      <c r="C224" s="18"/>
    </row>
    <row r="225" spans="2:3" x14ac:dyDescent="0.25">
      <c r="B225" s="12"/>
      <c r="C225" s="18"/>
    </row>
    <row r="226" spans="2:3" x14ac:dyDescent="0.25">
      <c r="B226" s="12"/>
      <c r="C226" s="18"/>
    </row>
    <row r="227" spans="2:3" x14ac:dyDescent="0.25">
      <c r="B227" s="12"/>
      <c r="C227" s="18"/>
    </row>
    <row r="228" spans="2:3" x14ac:dyDescent="0.25">
      <c r="B228" s="12"/>
      <c r="C228" s="18"/>
    </row>
    <row r="229" spans="2:3" x14ac:dyDescent="0.25">
      <c r="B229" s="12"/>
      <c r="C229" s="18"/>
    </row>
    <row r="230" spans="2:3" x14ac:dyDescent="0.25">
      <c r="B230" s="12"/>
      <c r="C230" s="18"/>
    </row>
    <row r="231" spans="2:3" x14ac:dyDescent="0.25">
      <c r="B231" s="12"/>
      <c r="C231" s="18"/>
    </row>
    <row r="232" spans="2:3" x14ac:dyDescent="0.25">
      <c r="B232" s="12"/>
      <c r="C232" s="18"/>
    </row>
    <row r="233" spans="2:3" x14ac:dyDescent="0.25">
      <c r="B233" s="12"/>
      <c r="C233" s="18"/>
    </row>
    <row r="234" spans="2:3" x14ac:dyDescent="0.25">
      <c r="B234" s="12"/>
      <c r="C234" s="18"/>
    </row>
    <row r="235" spans="2:3" x14ac:dyDescent="0.25">
      <c r="B235" s="12"/>
      <c r="C235" s="18"/>
    </row>
    <row r="236" spans="2:3" x14ac:dyDescent="0.25">
      <c r="B236" s="12"/>
      <c r="C236" s="18"/>
    </row>
    <row r="237" spans="2:3" x14ac:dyDescent="0.25">
      <c r="B237" s="12"/>
      <c r="C237" s="18"/>
    </row>
    <row r="238" spans="2:3" x14ac:dyDescent="0.25">
      <c r="B238" s="12"/>
      <c r="C238" s="18"/>
    </row>
    <row r="239" spans="2:3" x14ac:dyDescent="0.25">
      <c r="B239" s="12"/>
      <c r="C239" s="18"/>
    </row>
    <row r="240" spans="2:3" x14ac:dyDescent="0.25">
      <c r="B240" s="12"/>
      <c r="C240" s="18"/>
    </row>
    <row r="241" spans="2:3" x14ac:dyDescent="0.25">
      <c r="B241" s="12"/>
      <c r="C241" s="18"/>
    </row>
    <row r="242" spans="2:3" x14ac:dyDescent="0.25">
      <c r="B242" s="12"/>
      <c r="C242" s="18"/>
    </row>
    <row r="243" spans="2:3" x14ac:dyDescent="0.25">
      <c r="B243" s="12"/>
      <c r="C243" s="18"/>
    </row>
    <row r="244" spans="2:3" x14ac:dyDescent="0.25">
      <c r="B244" s="12"/>
      <c r="C244" s="18"/>
    </row>
    <row r="245" spans="2:3" x14ac:dyDescent="0.25">
      <c r="B245" s="12"/>
      <c r="C245" s="18"/>
    </row>
    <row r="246" spans="2:3" x14ac:dyDescent="0.25">
      <c r="B246" s="12"/>
      <c r="C246" s="18"/>
    </row>
    <row r="247" spans="2:3" x14ac:dyDescent="0.25">
      <c r="B247" s="12"/>
      <c r="C247" s="18"/>
    </row>
    <row r="248" spans="2:3" x14ac:dyDescent="0.25">
      <c r="B248" s="12"/>
      <c r="C248" s="18"/>
    </row>
    <row r="249" spans="2:3" x14ac:dyDescent="0.25">
      <c r="B249" s="12"/>
      <c r="C249" s="18"/>
    </row>
    <row r="250" spans="2:3" x14ac:dyDescent="0.25">
      <c r="B250" s="12"/>
      <c r="C250" s="18"/>
    </row>
    <row r="251" spans="2:3" x14ac:dyDescent="0.25">
      <c r="B251" s="12"/>
      <c r="C251" s="18"/>
    </row>
    <row r="252" spans="2:3" x14ac:dyDescent="0.25">
      <c r="B252" s="12"/>
      <c r="C252" s="18"/>
    </row>
    <row r="253" spans="2:3" x14ac:dyDescent="0.25">
      <c r="B253" s="12"/>
      <c r="C253" s="18"/>
    </row>
    <row r="254" spans="2:3" x14ac:dyDescent="0.25">
      <c r="B254" s="12"/>
      <c r="C254" s="18"/>
    </row>
    <row r="255" spans="2:3" x14ac:dyDescent="0.25">
      <c r="B255" s="12"/>
      <c r="C255" s="18"/>
    </row>
    <row r="256" spans="2:3" x14ac:dyDescent="0.25">
      <c r="B256" s="12"/>
      <c r="C256" s="18"/>
    </row>
    <row r="257" spans="2:3" x14ac:dyDescent="0.25">
      <c r="B257" s="12"/>
      <c r="C257" s="18"/>
    </row>
    <row r="258" spans="2:3" x14ac:dyDescent="0.25">
      <c r="B258" s="12"/>
      <c r="C258" s="18"/>
    </row>
    <row r="259" spans="2:3" x14ac:dyDescent="0.25">
      <c r="B259" s="12"/>
      <c r="C259" s="18"/>
    </row>
    <row r="260" spans="2:3" x14ac:dyDescent="0.25">
      <c r="B260" s="12"/>
      <c r="C260" s="18"/>
    </row>
    <row r="261" spans="2:3" x14ac:dyDescent="0.25">
      <c r="B261" s="12"/>
      <c r="C261" s="18"/>
    </row>
    <row r="262" spans="2:3" x14ac:dyDescent="0.25">
      <c r="B262" s="12"/>
      <c r="C262" s="18"/>
    </row>
    <row r="263" spans="2:3" x14ac:dyDescent="0.25">
      <c r="B263" s="12"/>
      <c r="C263" s="18"/>
    </row>
    <row r="264" spans="2:3" x14ac:dyDescent="0.25">
      <c r="B264" s="12"/>
      <c r="C264" s="18"/>
    </row>
    <row r="265" spans="2:3" x14ac:dyDescent="0.25">
      <c r="B265" s="12"/>
      <c r="C265" s="18"/>
    </row>
    <row r="266" spans="2:3" x14ac:dyDescent="0.25">
      <c r="B266" s="12"/>
      <c r="C266" s="18"/>
    </row>
    <row r="267" spans="2:3" x14ac:dyDescent="0.25">
      <c r="B267" s="12"/>
      <c r="C267" s="18"/>
    </row>
    <row r="268" spans="2:3" x14ac:dyDescent="0.25">
      <c r="B268" s="12"/>
      <c r="C268" s="18"/>
    </row>
    <row r="269" spans="2:3" x14ac:dyDescent="0.25">
      <c r="B269" s="12"/>
      <c r="C269" s="18"/>
    </row>
    <row r="270" spans="2:3" x14ac:dyDescent="0.25">
      <c r="B270" s="12"/>
      <c r="C270" s="18"/>
    </row>
    <row r="271" spans="2:3" x14ac:dyDescent="0.25">
      <c r="B271" s="12"/>
      <c r="C271" s="18"/>
    </row>
    <row r="272" spans="2:3" x14ac:dyDescent="0.25">
      <c r="B272" s="12"/>
      <c r="C272" s="18"/>
    </row>
    <row r="273" spans="2:3" x14ac:dyDescent="0.25">
      <c r="B273" s="12"/>
      <c r="C273" s="18"/>
    </row>
    <row r="274" spans="2:3" x14ac:dyDescent="0.25">
      <c r="B274" s="12"/>
      <c r="C274" s="18"/>
    </row>
    <row r="275" spans="2:3" x14ac:dyDescent="0.25">
      <c r="B275" s="12"/>
      <c r="C275" s="18"/>
    </row>
    <row r="276" spans="2:3" x14ac:dyDescent="0.25">
      <c r="B276" s="12"/>
      <c r="C276" s="18"/>
    </row>
    <row r="277" spans="2:3" x14ac:dyDescent="0.25">
      <c r="B277" s="12"/>
      <c r="C277" s="18"/>
    </row>
    <row r="278" spans="2:3" x14ac:dyDescent="0.25">
      <c r="B278" s="12"/>
      <c r="C278" s="18"/>
    </row>
    <row r="279" spans="2:3" x14ac:dyDescent="0.25">
      <c r="B279" s="12"/>
      <c r="C279" s="18"/>
    </row>
    <row r="280" spans="2:3" x14ac:dyDescent="0.25">
      <c r="B280" s="12"/>
      <c r="C280" s="18"/>
    </row>
    <row r="281" spans="2:3" x14ac:dyDescent="0.25">
      <c r="B281" s="12"/>
      <c r="C281" s="18"/>
    </row>
    <row r="282" spans="2:3" x14ac:dyDescent="0.25">
      <c r="B282" s="12"/>
      <c r="C282" s="18"/>
    </row>
    <row r="283" spans="2:3" x14ac:dyDescent="0.25">
      <c r="B283" s="12"/>
      <c r="C283" s="18"/>
    </row>
    <row r="284" spans="2:3" x14ac:dyDescent="0.25">
      <c r="B284" s="12"/>
      <c r="C284" s="18"/>
    </row>
    <row r="285" spans="2:3" x14ac:dyDescent="0.25">
      <c r="B285" s="12"/>
      <c r="C285" s="18"/>
    </row>
    <row r="286" spans="2:3" x14ac:dyDescent="0.25">
      <c r="B286" s="12"/>
      <c r="C286" s="18"/>
    </row>
    <row r="287" spans="2:3" x14ac:dyDescent="0.25">
      <c r="B287" s="12"/>
      <c r="C287" s="18"/>
    </row>
    <row r="288" spans="2:3" x14ac:dyDescent="0.25">
      <c r="B288" s="12"/>
      <c r="C288" s="18"/>
    </row>
    <row r="289" spans="2:3" x14ac:dyDescent="0.25">
      <c r="B289" s="12"/>
      <c r="C289" s="18"/>
    </row>
    <row r="290" spans="2:3" x14ac:dyDescent="0.25">
      <c r="B290" s="12"/>
      <c r="C290" s="18"/>
    </row>
    <row r="291" spans="2:3" x14ac:dyDescent="0.25">
      <c r="B291" s="12"/>
      <c r="C291" s="18"/>
    </row>
    <row r="292" spans="2:3" x14ac:dyDescent="0.25">
      <c r="B292" s="12"/>
      <c r="C292" s="18"/>
    </row>
    <row r="293" spans="2:3" x14ac:dyDescent="0.25">
      <c r="B293" s="12"/>
      <c r="C293" s="18"/>
    </row>
    <row r="294" spans="2:3" x14ac:dyDescent="0.25">
      <c r="B294" s="12"/>
      <c r="C294" s="18"/>
    </row>
    <row r="295" spans="2:3" x14ac:dyDescent="0.25">
      <c r="B295" s="12"/>
      <c r="C295" s="18"/>
    </row>
    <row r="296" spans="2:3" x14ac:dyDescent="0.25">
      <c r="B296" s="12"/>
      <c r="C296" s="18"/>
    </row>
    <row r="297" spans="2:3" x14ac:dyDescent="0.25">
      <c r="B297" s="12"/>
      <c r="C297" s="18"/>
    </row>
    <row r="298" spans="2:3" x14ac:dyDescent="0.25">
      <c r="B298" s="12"/>
      <c r="C298" s="18"/>
    </row>
    <row r="299" spans="2:3" x14ac:dyDescent="0.25">
      <c r="B299" s="12"/>
      <c r="C299" s="18"/>
    </row>
    <row r="300" spans="2:3" x14ac:dyDescent="0.25">
      <c r="B300" s="12"/>
      <c r="C300" s="18"/>
    </row>
    <row r="301" spans="2:3" x14ac:dyDescent="0.25">
      <c r="B301" s="12"/>
      <c r="C301" s="18"/>
    </row>
    <row r="302" spans="2:3" x14ac:dyDescent="0.25">
      <c r="B302" s="12"/>
      <c r="C302" s="18"/>
    </row>
    <row r="303" spans="2:3" x14ac:dyDescent="0.25">
      <c r="B303" s="12"/>
      <c r="C303" s="18"/>
    </row>
    <row r="304" spans="2:3" x14ac:dyDescent="0.25">
      <c r="B304" s="12"/>
      <c r="C304" s="18"/>
    </row>
    <row r="305" spans="2:3" x14ac:dyDescent="0.25">
      <c r="B305" s="12"/>
      <c r="C305" s="18"/>
    </row>
    <row r="306" spans="2:3" x14ac:dyDescent="0.25">
      <c r="B306" s="12"/>
      <c r="C306" s="18"/>
    </row>
    <row r="307" spans="2:3" x14ac:dyDescent="0.25">
      <c r="B307" s="12"/>
      <c r="C307" s="18"/>
    </row>
    <row r="308" spans="2:3" x14ac:dyDescent="0.25">
      <c r="B308" s="12"/>
      <c r="C308" s="18"/>
    </row>
    <row r="309" spans="2:3" x14ac:dyDescent="0.25">
      <c r="B309" s="12"/>
      <c r="C309" s="18"/>
    </row>
    <row r="310" spans="2:3" x14ac:dyDescent="0.25">
      <c r="B310" s="12"/>
      <c r="C310" s="18"/>
    </row>
    <row r="311" spans="2:3" x14ac:dyDescent="0.25">
      <c r="B311" s="12"/>
      <c r="C311" s="18"/>
    </row>
    <row r="312" spans="2:3" x14ac:dyDescent="0.25">
      <c r="B312" s="12"/>
      <c r="C312" s="18"/>
    </row>
    <row r="313" spans="2:3" x14ac:dyDescent="0.25">
      <c r="B313" s="12"/>
      <c r="C313" s="18"/>
    </row>
    <row r="314" spans="2:3" x14ac:dyDescent="0.25">
      <c r="B314" s="12"/>
      <c r="C314" s="18"/>
    </row>
    <row r="315" spans="2:3" x14ac:dyDescent="0.25">
      <c r="B315" s="12"/>
      <c r="C315" s="18"/>
    </row>
    <row r="316" spans="2:3" x14ac:dyDescent="0.25">
      <c r="B316" s="12"/>
      <c r="C316" s="18"/>
    </row>
    <row r="317" spans="2:3" x14ac:dyDescent="0.25">
      <c r="B317" s="12"/>
      <c r="C317" s="18"/>
    </row>
    <row r="318" spans="2:3" x14ac:dyDescent="0.25">
      <c r="B318" s="12"/>
      <c r="C318" s="18"/>
    </row>
    <row r="319" spans="2:3" x14ac:dyDescent="0.25">
      <c r="B319" s="12"/>
      <c r="C319" s="18"/>
    </row>
    <row r="320" spans="2:3" x14ac:dyDescent="0.25">
      <c r="B320" s="12"/>
      <c r="C320" s="18"/>
    </row>
    <row r="321" spans="2:3" x14ac:dyDescent="0.25">
      <c r="B321" s="12"/>
      <c r="C321" s="18"/>
    </row>
    <row r="322" spans="2:3" x14ac:dyDescent="0.25">
      <c r="B322" s="12"/>
      <c r="C322" s="18"/>
    </row>
    <row r="323" spans="2:3" x14ac:dyDescent="0.25">
      <c r="B323" s="12"/>
      <c r="C323" s="18"/>
    </row>
    <row r="324" spans="2:3" x14ac:dyDescent="0.25">
      <c r="B324" s="12"/>
      <c r="C324" s="18"/>
    </row>
    <row r="325" spans="2:3" x14ac:dyDescent="0.25">
      <c r="B325" s="12"/>
      <c r="C325" s="18"/>
    </row>
    <row r="326" spans="2:3" x14ac:dyDescent="0.25">
      <c r="B326" s="12"/>
      <c r="C326" s="18"/>
    </row>
    <row r="327" spans="2:3" x14ac:dyDescent="0.25">
      <c r="B327" s="12"/>
      <c r="C327" s="18"/>
    </row>
    <row r="328" spans="2:3" x14ac:dyDescent="0.25">
      <c r="B328" s="12"/>
      <c r="C328" s="18"/>
    </row>
    <row r="329" spans="2:3" x14ac:dyDescent="0.25">
      <c r="B329" s="12"/>
      <c r="C329" s="18"/>
    </row>
    <row r="330" spans="2:3" x14ac:dyDescent="0.25">
      <c r="B330" s="12"/>
      <c r="C330" s="18"/>
    </row>
    <row r="331" spans="2:3" x14ac:dyDescent="0.25">
      <c r="B331" s="12"/>
      <c r="C331" s="18"/>
    </row>
    <row r="332" spans="2:3" x14ac:dyDescent="0.25">
      <c r="B332" s="12"/>
      <c r="C332" s="18"/>
    </row>
    <row r="333" spans="2:3" x14ac:dyDescent="0.25">
      <c r="B333" s="12"/>
      <c r="C333" s="18"/>
    </row>
    <row r="334" spans="2:3" x14ac:dyDescent="0.25">
      <c r="B334" s="12"/>
      <c r="C334" s="18"/>
    </row>
    <row r="335" spans="2:3" x14ac:dyDescent="0.25">
      <c r="B335" s="12"/>
      <c r="C335" s="18"/>
    </row>
    <row r="336" spans="2:3" x14ac:dyDescent="0.25">
      <c r="B336" s="12"/>
      <c r="C336" s="18"/>
    </row>
    <row r="337" spans="2:3" x14ac:dyDescent="0.25">
      <c r="B337" s="12"/>
      <c r="C337" s="18"/>
    </row>
    <row r="338" spans="2:3" x14ac:dyDescent="0.25">
      <c r="B338" s="12"/>
      <c r="C338" s="18"/>
    </row>
    <row r="339" spans="2:3" x14ac:dyDescent="0.25">
      <c r="B339" s="12"/>
      <c r="C339" s="18"/>
    </row>
    <row r="340" spans="2:3" x14ac:dyDescent="0.25">
      <c r="B340" s="12"/>
      <c r="C340" s="18"/>
    </row>
    <row r="341" spans="2:3" x14ac:dyDescent="0.25">
      <c r="B341" s="12"/>
      <c r="C341" s="18"/>
    </row>
    <row r="342" spans="2:3" x14ac:dyDescent="0.25">
      <c r="B342" s="12"/>
      <c r="C342" s="18"/>
    </row>
    <row r="343" spans="2:3" x14ac:dyDescent="0.25">
      <c r="B343" s="12"/>
      <c r="C343" s="18"/>
    </row>
    <row r="344" spans="2:3" x14ac:dyDescent="0.25">
      <c r="B344" s="12"/>
      <c r="C344" s="18"/>
    </row>
    <row r="345" spans="2:3" x14ac:dyDescent="0.25">
      <c r="B345" s="12"/>
      <c r="C345" s="18"/>
    </row>
    <row r="346" spans="2:3" x14ac:dyDescent="0.25">
      <c r="B346" s="12"/>
      <c r="C346" s="18"/>
    </row>
    <row r="347" spans="2:3" x14ac:dyDescent="0.25">
      <c r="B347" s="12"/>
      <c r="C347" s="18"/>
    </row>
    <row r="348" spans="2:3" x14ac:dyDescent="0.25">
      <c r="B348" s="12"/>
      <c r="C348" s="18"/>
    </row>
    <row r="349" spans="2:3" x14ac:dyDescent="0.25">
      <c r="B349" s="12"/>
      <c r="C349" s="18"/>
    </row>
    <row r="350" spans="2:3" x14ac:dyDescent="0.25">
      <c r="B350" s="12"/>
      <c r="C350" s="18"/>
    </row>
    <row r="351" spans="2:3" x14ac:dyDescent="0.25">
      <c r="B351" s="12"/>
      <c r="C351" s="18"/>
    </row>
    <row r="352" spans="2:3" x14ac:dyDescent="0.25">
      <c r="B352" s="12"/>
      <c r="C352" s="18"/>
    </row>
    <row r="353" spans="2:3" x14ac:dyDescent="0.25">
      <c r="B353" s="12"/>
      <c r="C353" s="18"/>
    </row>
    <row r="354" spans="2:3" x14ac:dyDescent="0.25">
      <c r="B354" s="12"/>
      <c r="C354" s="18"/>
    </row>
    <row r="355" spans="2:3" x14ac:dyDescent="0.25">
      <c r="B355" s="12"/>
      <c r="C355" s="18"/>
    </row>
    <row r="356" spans="2:3" x14ac:dyDescent="0.25">
      <c r="B356" s="12"/>
      <c r="C356" s="18"/>
    </row>
    <row r="357" spans="2:3" x14ac:dyDescent="0.25">
      <c r="B357" s="12"/>
      <c r="C357" s="18"/>
    </row>
    <row r="358" spans="2:3" x14ac:dyDescent="0.25">
      <c r="B358" s="12"/>
      <c r="C358" s="18"/>
    </row>
    <row r="359" spans="2:3" x14ac:dyDescent="0.25">
      <c r="B359" s="12"/>
      <c r="C359" s="18"/>
    </row>
    <row r="360" spans="2:3" x14ac:dyDescent="0.25">
      <c r="B360" s="12"/>
      <c r="C360" s="18"/>
    </row>
    <row r="361" spans="2:3" x14ac:dyDescent="0.25">
      <c r="B361" s="12"/>
      <c r="C361" s="18"/>
    </row>
    <row r="362" spans="2:3" x14ac:dyDescent="0.25">
      <c r="B362" s="12"/>
      <c r="C362" s="18"/>
    </row>
    <row r="363" spans="2:3" x14ac:dyDescent="0.25">
      <c r="B363" s="12"/>
      <c r="C363" s="18"/>
    </row>
    <row r="364" spans="2:3" x14ac:dyDescent="0.25">
      <c r="B364" s="12"/>
      <c r="C364" s="18"/>
    </row>
    <row r="365" spans="2:3" x14ac:dyDescent="0.25">
      <c r="B365" s="12"/>
      <c r="C365" s="18"/>
    </row>
    <row r="366" spans="2:3" x14ac:dyDescent="0.25">
      <c r="B366" s="12"/>
      <c r="C366" s="18"/>
    </row>
    <row r="367" spans="2:3" x14ac:dyDescent="0.25">
      <c r="B367" s="12"/>
      <c r="C367" s="18"/>
    </row>
    <row r="368" spans="2:3" x14ac:dyDescent="0.25">
      <c r="B368" s="12"/>
      <c r="C368" s="18"/>
    </row>
    <row r="369" spans="2:3" x14ac:dyDescent="0.25">
      <c r="B369" s="12"/>
      <c r="C369" s="18"/>
    </row>
    <row r="370" spans="2:3" x14ac:dyDescent="0.25">
      <c r="B370" s="12"/>
      <c r="C370" s="18"/>
    </row>
    <row r="371" spans="2:3" x14ac:dyDescent="0.25">
      <c r="B371" s="12"/>
      <c r="C371" s="18"/>
    </row>
    <row r="372" spans="2:3" x14ac:dyDescent="0.25">
      <c r="B372" s="12"/>
      <c r="C372" s="18"/>
    </row>
    <row r="373" spans="2:3" x14ac:dyDescent="0.25">
      <c r="B373" s="12"/>
      <c r="C373" s="18"/>
    </row>
    <row r="374" spans="2:3" x14ac:dyDescent="0.25">
      <c r="B374" s="12"/>
      <c r="C374" s="18"/>
    </row>
    <row r="375" spans="2:3" x14ac:dyDescent="0.25">
      <c r="B375" s="12"/>
      <c r="C375" s="18"/>
    </row>
    <row r="376" spans="2:3" x14ac:dyDescent="0.25">
      <c r="B376" s="12"/>
      <c r="C376" s="18"/>
    </row>
    <row r="377" spans="2:3" x14ac:dyDescent="0.25">
      <c r="B377" s="12"/>
      <c r="C377" s="18"/>
    </row>
    <row r="378" spans="2:3" x14ac:dyDescent="0.25">
      <c r="B378" s="12"/>
      <c r="C378" s="18"/>
    </row>
    <row r="379" spans="2:3" x14ac:dyDescent="0.25">
      <c r="B379" s="12"/>
      <c r="C379" s="18"/>
    </row>
    <row r="380" spans="2:3" x14ac:dyDescent="0.25">
      <c r="B380" s="12"/>
      <c r="C380" s="18"/>
    </row>
    <row r="381" spans="2:3" x14ac:dyDescent="0.25">
      <c r="B381" s="12"/>
      <c r="C381" s="18"/>
    </row>
    <row r="382" spans="2:3" x14ac:dyDescent="0.25">
      <c r="B382" s="12"/>
      <c r="C382" s="18"/>
    </row>
    <row r="383" spans="2:3" x14ac:dyDescent="0.25">
      <c r="B383" s="12"/>
      <c r="C383" s="18"/>
    </row>
    <row r="384" spans="2:3" x14ac:dyDescent="0.25">
      <c r="B384" s="12"/>
      <c r="C384" s="18"/>
    </row>
    <row r="385" spans="2:3" x14ac:dyDescent="0.25">
      <c r="B385" s="12"/>
      <c r="C385" s="18"/>
    </row>
    <row r="386" spans="2:3" x14ac:dyDescent="0.25">
      <c r="B386" s="12"/>
      <c r="C386" s="18"/>
    </row>
    <row r="387" spans="2:3" x14ac:dyDescent="0.25">
      <c r="B387" s="12"/>
      <c r="C387" s="18"/>
    </row>
    <row r="388" spans="2:3" x14ac:dyDescent="0.25">
      <c r="B388" s="12"/>
      <c r="C388" s="18"/>
    </row>
    <row r="389" spans="2:3" x14ac:dyDescent="0.25">
      <c r="B389" s="12"/>
      <c r="C389" s="18"/>
    </row>
    <row r="390" spans="2:3" x14ac:dyDescent="0.25">
      <c r="B390" s="12"/>
      <c r="C390" s="18"/>
    </row>
    <row r="391" spans="2:3" x14ac:dyDescent="0.25">
      <c r="B391" s="12"/>
      <c r="C391" s="18"/>
    </row>
    <row r="392" spans="2:3" x14ac:dyDescent="0.25">
      <c r="B392" s="12"/>
      <c r="C392" s="18"/>
    </row>
    <row r="393" spans="2:3" x14ac:dyDescent="0.25">
      <c r="B393" s="12"/>
      <c r="C393" s="18"/>
    </row>
    <row r="394" spans="2:3" x14ac:dyDescent="0.25">
      <c r="B394" s="12"/>
      <c r="C394" s="18"/>
    </row>
    <row r="395" spans="2:3" x14ac:dyDescent="0.25">
      <c r="B395" s="12"/>
      <c r="C395" s="18"/>
    </row>
    <row r="396" spans="2:3" x14ac:dyDescent="0.25">
      <c r="B396" s="12"/>
      <c r="C396" s="18"/>
    </row>
    <row r="397" spans="2:3" x14ac:dyDescent="0.25">
      <c r="B397" s="12"/>
      <c r="C397" s="18"/>
    </row>
    <row r="398" spans="2:3" x14ac:dyDescent="0.25">
      <c r="B398" s="12"/>
      <c r="C398" s="18"/>
    </row>
    <row r="399" spans="2:3" x14ac:dyDescent="0.25">
      <c r="B399" s="12"/>
      <c r="C399" s="18"/>
    </row>
    <row r="400" spans="2:3" x14ac:dyDescent="0.25">
      <c r="B400" s="12"/>
      <c r="C400" s="18"/>
    </row>
    <row r="401" spans="2:3" x14ac:dyDescent="0.25">
      <c r="B401" s="12"/>
      <c r="C401" s="18"/>
    </row>
    <row r="402" spans="2:3" x14ac:dyDescent="0.25">
      <c r="B402" s="12"/>
      <c r="C402" s="18"/>
    </row>
    <row r="403" spans="2:3" x14ac:dyDescent="0.25">
      <c r="B403" s="12"/>
      <c r="C403" s="18"/>
    </row>
    <row r="404" spans="2:3" x14ac:dyDescent="0.25">
      <c r="B404" s="12"/>
      <c r="C404" s="18"/>
    </row>
    <row r="405" spans="2:3" x14ac:dyDescent="0.25">
      <c r="B405" s="12"/>
      <c r="C405" s="18"/>
    </row>
    <row r="406" spans="2:3" x14ac:dyDescent="0.25">
      <c r="B406" s="12"/>
      <c r="C406" s="18"/>
    </row>
    <row r="407" spans="2:3" x14ac:dyDescent="0.25">
      <c r="B407" s="12"/>
      <c r="C407" s="18"/>
    </row>
    <row r="408" spans="2:3" x14ac:dyDescent="0.25">
      <c r="B408" s="12"/>
      <c r="C408" s="18"/>
    </row>
    <row r="409" spans="2:3" x14ac:dyDescent="0.25">
      <c r="B409" s="12"/>
      <c r="C409" s="18"/>
    </row>
    <row r="410" spans="2:3" x14ac:dyDescent="0.25">
      <c r="B410" s="12"/>
      <c r="C410" s="18"/>
    </row>
    <row r="411" spans="2:3" x14ac:dyDescent="0.25">
      <c r="B411" s="12"/>
      <c r="C411" s="18"/>
    </row>
    <row r="412" spans="2:3" x14ac:dyDescent="0.25">
      <c r="B412" s="12"/>
      <c r="C412" s="18"/>
    </row>
    <row r="413" spans="2:3" x14ac:dyDescent="0.25">
      <c r="B413" s="12"/>
      <c r="C413" s="18"/>
    </row>
    <row r="414" spans="2:3" x14ac:dyDescent="0.25">
      <c r="B414" s="12"/>
      <c r="C414" s="18"/>
    </row>
    <row r="415" spans="2:3" x14ac:dyDescent="0.25">
      <c r="B415" s="12"/>
      <c r="C415" s="18"/>
    </row>
    <row r="416" spans="2:3" x14ac:dyDescent="0.25">
      <c r="B416" s="12"/>
      <c r="C416" s="18"/>
    </row>
    <row r="417" spans="2:3" x14ac:dyDescent="0.25">
      <c r="B417" s="12"/>
      <c r="C417" s="18"/>
    </row>
    <row r="418" spans="2:3" x14ac:dyDescent="0.25">
      <c r="B418" s="12"/>
      <c r="C418" s="18"/>
    </row>
    <row r="419" spans="2:3" x14ac:dyDescent="0.25">
      <c r="B419" s="12"/>
      <c r="C419" s="18"/>
    </row>
    <row r="420" spans="2:3" x14ac:dyDescent="0.25">
      <c r="B420" s="12"/>
      <c r="C420" s="18"/>
    </row>
    <row r="421" spans="2:3" x14ac:dyDescent="0.25">
      <c r="B421" s="12"/>
      <c r="C421" s="18"/>
    </row>
    <row r="422" spans="2:3" x14ac:dyDescent="0.25">
      <c r="B422" s="12"/>
      <c r="C422" s="18"/>
    </row>
    <row r="423" spans="2:3" x14ac:dyDescent="0.25">
      <c r="B423" s="12"/>
      <c r="C423" s="18"/>
    </row>
    <row r="424" spans="2:3" x14ac:dyDescent="0.25">
      <c r="B424" s="12"/>
      <c r="C424" s="18"/>
    </row>
    <row r="425" spans="2:3" x14ac:dyDescent="0.25">
      <c r="B425" s="12"/>
      <c r="C425" s="18"/>
    </row>
    <row r="426" spans="2:3" x14ac:dyDescent="0.25">
      <c r="B426" s="12"/>
      <c r="C426" s="18"/>
    </row>
    <row r="427" spans="2:3" x14ac:dyDescent="0.25">
      <c r="B427" s="12"/>
      <c r="C427" s="18"/>
    </row>
    <row r="428" spans="2:3" x14ac:dyDescent="0.25">
      <c r="B428" s="12"/>
      <c r="C428" s="18"/>
    </row>
    <row r="429" spans="2:3" x14ac:dyDescent="0.25">
      <c r="B429" s="12"/>
      <c r="C429" s="18"/>
    </row>
    <row r="430" spans="2:3" x14ac:dyDescent="0.25">
      <c r="B430" s="12"/>
      <c r="C430" s="18"/>
    </row>
    <row r="431" spans="2:3" x14ac:dyDescent="0.25">
      <c r="B431" s="12"/>
      <c r="C431" s="18"/>
    </row>
    <row r="432" spans="2:3" x14ac:dyDescent="0.25">
      <c r="B432" s="12"/>
      <c r="C432" s="18"/>
    </row>
    <row r="433" spans="2:3" x14ac:dyDescent="0.25">
      <c r="B433" s="12"/>
      <c r="C433" s="18"/>
    </row>
    <row r="434" spans="2:3" x14ac:dyDescent="0.25">
      <c r="B434" s="12"/>
      <c r="C434" s="18"/>
    </row>
    <row r="435" spans="2:3" x14ac:dyDescent="0.25">
      <c r="B435" s="12"/>
      <c r="C435" s="18"/>
    </row>
    <row r="436" spans="2:3" x14ac:dyDescent="0.25">
      <c r="B436" s="12"/>
      <c r="C436" s="18"/>
    </row>
    <row r="437" spans="2:3" x14ac:dyDescent="0.25">
      <c r="B437" s="12"/>
      <c r="C437" s="18"/>
    </row>
    <row r="438" spans="2:3" x14ac:dyDescent="0.25">
      <c r="B438" s="12"/>
      <c r="C438" s="18"/>
    </row>
    <row r="439" spans="2:3" x14ac:dyDescent="0.25">
      <c r="B439" s="12"/>
      <c r="C439" s="18"/>
    </row>
    <row r="440" spans="2:3" x14ac:dyDescent="0.25">
      <c r="B440" s="12"/>
      <c r="C440" s="18"/>
    </row>
    <row r="441" spans="2:3" x14ac:dyDescent="0.25">
      <c r="B441" s="12"/>
      <c r="C441" s="18"/>
    </row>
    <row r="442" spans="2:3" x14ac:dyDescent="0.25">
      <c r="B442" s="12"/>
      <c r="C442" s="18"/>
    </row>
    <row r="443" spans="2:3" x14ac:dyDescent="0.25">
      <c r="B443" s="12"/>
      <c r="C443" s="18"/>
    </row>
    <row r="444" spans="2:3" x14ac:dyDescent="0.25">
      <c r="B444" s="12"/>
      <c r="C444" s="18"/>
    </row>
    <row r="445" spans="2:3" x14ac:dyDescent="0.25">
      <c r="B445" s="12"/>
      <c r="C445" s="18"/>
    </row>
    <row r="446" spans="2:3" x14ac:dyDescent="0.25">
      <c r="B446" s="12"/>
      <c r="C446" s="18"/>
    </row>
    <row r="447" spans="2:3" x14ac:dyDescent="0.25">
      <c r="B447" s="12"/>
      <c r="C447" s="18"/>
    </row>
    <row r="448" spans="2:3" x14ac:dyDescent="0.25">
      <c r="B448" s="12"/>
      <c r="C448" s="18"/>
    </row>
    <row r="449" spans="2:3" x14ac:dyDescent="0.25">
      <c r="B449" s="12"/>
      <c r="C449" s="18"/>
    </row>
    <row r="450" spans="2:3" x14ac:dyDescent="0.25">
      <c r="B450" s="12"/>
      <c r="C450" s="18"/>
    </row>
    <row r="451" spans="2:3" x14ac:dyDescent="0.25">
      <c r="B451" s="12"/>
      <c r="C451" s="18"/>
    </row>
    <row r="452" spans="2:3" x14ac:dyDescent="0.25">
      <c r="B452" s="12"/>
      <c r="C452" s="18"/>
    </row>
    <row r="453" spans="2:3" x14ac:dyDescent="0.25">
      <c r="B453" s="12"/>
      <c r="C453" s="18"/>
    </row>
    <row r="454" spans="2:3" x14ac:dyDescent="0.25">
      <c r="B454" s="12"/>
      <c r="C454" s="18"/>
    </row>
    <row r="455" spans="2:3" x14ac:dyDescent="0.25">
      <c r="B455" s="12"/>
      <c r="C455" s="18"/>
    </row>
    <row r="456" spans="2:3" x14ac:dyDescent="0.25">
      <c r="B456" s="12"/>
      <c r="C456" s="18"/>
    </row>
    <row r="457" spans="2:3" x14ac:dyDescent="0.25">
      <c r="B457" s="12"/>
      <c r="C457" s="18"/>
    </row>
    <row r="458" spans="2:3" x14ac:dyDescent="0.25">
      <c r="B458" s="12"/>
      <c r="C458" s="18"/>
    </row>
    <row r="459" spans="2:3" x14ac:dyDescent="0.25">
      <c r="B459" s="12"/>
      <c r="C459" s="18"/>
    </row>
    <row r="460" spans="2:3" x14ac:dyDescent="0.25">
      <c r="B460" s="12"/>
      <c r="C460" s="18"/>
    </row>
    <row r="461" spans="2:3" x14ac:dyDescent="0.25">
      <c r="B461" s="12"/>
      <c r="C461" s="18"/>
    </row>
    <row r="462" spans="2:3" x14ac:dyDescent="0.25">
      <c r="B462" s="12"/>
      <c r="C462" s="18"/>
    </row>
    <row r="463" spans="2:3" x14ac:dyDescent="0.25">
      <c r="B463" s="12"/>
      <c r="C463" s="18"/>
    </row>
    <row r="464" spans="2:3" x14ac:dyDescent="0.25">
      <c r="B464" s="12"/>
      <c r="C464" s="18"/>
    </row>
    <row r="465" spans="2:3" x14ac:dyDescent="0.25">
      <c r="B465" s="12"/>
      <c r="C465" s="18"/>
    </row>
    <row r="466" spans="2:3" x14ac:dyDescent="0.25">
      <c r="B466" s="12"/>
      <c r="C466" s="18"/>
    </row>
    <row r="467" spans="2:3" x14ac:dyDescent="0.25">
      <c r="B467" s="12"/>
      <c r="C467" s="18"/>
    </row>
    <row r="468" spans="2:3" x14ac:dyDescent="0.25">
      <c r="B468" s="12"/>
      <c r="C468" s="18"/>
    </row>
    <row r="469" spans="2:3" x14ac:dyDescent="0.25">
      <c r="B469" s="12"/>
      <c r="C469" s="18"/>
    </row>
    <row r="470" spans="2:3" x14ac:dyDescent="0.25">
      <c r="B470" s="12"/>
      <c r="C470" s="18"/>
    </row>
    <row r="471" spans="2:3" x14ac:dyDescent="0.25">
      <c r="B471" s="12"/>
      <c r="C471" s="18"/>
    </row>
    <row r="472" spans="2:3" x14ac:dyDescent="0.25">
      <c r="B472" s="12"/>
      <c r="C472" s="18"/>
    </row>
    <row r="473" spans="2:3" x14ac:dyDescent="0.25">
      <c r="B473" s="12"/>
      <c r="C473" s="18"/>
    </row>
    <row r="474" spans="2:3" x14ac:dyDescent="0.25">
      <c r="B474" s="12"/>
      <c r="C474" s="18"/>
    </row>
    <row r="475" spans="2:3" x14ac:dyDescent="0.25">
      <c r="B475" s="12"/>
      <c r="C475" s="18"/>
    </row>
    <row r="476" spans="2:3" x14ac:dyDescent="0.25">
      <c r="B476" s="12"/>
      <c r="C476" s="18"/>
    </row>
    <row r="477" spans="2:3" x14ac:dyDescent="0.25">
      <c r="B477" s="12"/>
      <c r="C477" s="18"/>
    </row>
    <row r="478" spans="2:3" x14ac:dyDescent="0.25">
      <c r="B478" s="12"/>
      <c r="C478" s="18"/>
    </row>
    <row r="479" spans="2:3" x14ac:dyDescent="0.25">
      <c r="B479" s="12"/>
      <c r="C479" s="18"/>
    </row>
    <row r="480" spans="2:3" x14ac:dyDescent="0.25">
      <c r="B480" s="12"/>
      <c r="C480" s="18"/>
    </row>
    <row r="481" spans="2:3" x14ac:dyDescent="0.25">
      <c r="B481" s="12"/>
      <c r="C481" s="18"/>
    </row>
    <row r="482" spans="2:3" x14ac:dyDescent="0.25">
      <c r="B482" s="12"/>
      <c r="C482" s="18"/>
    </row>
    <row r="483" spans="2:3" x14ac:dyDescent="0.25">
      <c r="B483" s="12"/>
      <c r="C483" s="18"/>
    </row>
    <row r="484" spans="2:3" x14ac:dyDescent="0.25">
      <c r="B484" s="12"/>
      <c r="C484" s="18"/>
    </row>
    <row r="485" spans="2:3" x14ac:dyDescent="0.25">
      <c r="B485" s="12"/>
      <c r="C485" s="18"/>
    </row>
    <row r="486" spans="2:3" x14ac:dyDescent="0.25">
      <c r="B486" s="12"/>
      <c r="C486" s="18"/>
    </row>
    <row r="487" spans="2:3" x14ac:dyDescent="0.25">
      <c r="B487" s="12"/>
      <c r="C487" s="18"/>
    </row>
    <row r="488" spans="2:3" x14ac:dyDescent="0.25">
      <c r="B488" s="12"/>
      <c r="C488" s="18"/>
    </row>
    <row r="489" spans="2:3" x14ac:dyDescent="0.25">
      <c r="B489" s="12"/>
      <c r="C489" s="18"/>
    </row>
    <row r="490" spans="2:3" x14ac:dyDescent="0.25">
      <c r="B490" s="12"/>
      <c r="C490" s="18"/>
    </row>
    <row r="491" spans="2:3" x14ac:dyDescent="0.25">
      <c r="B491" s="12"/>
      <c r="C491" s="18"/>
    </row>
    <row r="492" spans="2:3" x14ac:dyDescent="0.25">
      <c r="B492" s="12"/>
      <c r="C492" s="18"/>
    </row>
    <row r="493" spans="2:3" x14ac:dyDescent="0.25">
      <c r="B493" s="12"/>
      <c r="C493" s="18"/>
    </row>
    <row r="494" spans="2:3" x14ac:dyDescent="0.25">
      <c r="B494" s="12"/>
      <c r="C494" s="18"/>
    </row>
    <row r="495" spans="2:3" x14ac:dyDescent="0.25">
      <c r="B495" s="12"/>
      <c r="C495" s="18"/>
    </row>
    <row r="496" spans="2:3" x14ac:dyDescent="0.25">
      <c r="B496" s="12"/>
      <c r="C496" s="18"/>
    </row>
    <row r="497" spans="2:3" x14ac:dyDescent="0.25">
      <c r="B497" s="12"/>
      <c r="C497" s="18"/>
    </row>
    <row r="498" spans="2:3" x14ac:dyDescent="0.25">
      <c r="B498" s="12"/>
      <c r="C498" s="18"/>
    </row>
    <row r="499" spans="2:3" x14ac:dyDescent="0.25">
      <c r="B499" s="12"/>
      <c r="C499" s="18"/>
    </row>
    <row r="500" spans="2:3" x14ac:dyDescent="0.25">
      <c r="B500" s="12"/>
      <c r="C500" s="18"/>
    </row>
    <row r="501" spans="2:3" x14ac:dyDescent="0.25">
      <c r="B501" s="12"/>
      <c r="C501" s="18"/>
    </row>
    <row r="502" spans="2:3" x14ac:dyDescent="0.25">
      <c r="B502" s="12"/>
      <c r="C502" s="18"/>
    </row>
    <row r="503" spans="2:3" x14ac:dyDescent="0.25">
      <c r="B503" s="12"/>
      <c r="C503" s="18"/>
    </row>
    <row r="504" spans="2:3" x14ac:dyDescent="0.25">
      <c r="B504" s="12"/>
      <c r="C504" s="18"/>
    </row>
    <row r="505" spans="2:3" x14ac:dyDescent="0.25">
      <c r="B505" s="12"/>
      <c r="C505" s="18"/>
    </row>
    <row r="506" spans="2:3" x14ac:dyDescent="0.25">
      <c r="B506" s="12"/>
      <c r="C506" s="18"/>
    </row>
    <row r="507" spans="2:3" x14ac:dyDescent="0.25">
      <c r="B507" s="12"/>
      <c r="C507" s="18"/>
    </row>
    <row r="508" spans="2:3" x14ac:dyDescent="0.25">
      <c r="B508" s="12"/>
      <c r="C508" s="18"/>
    </row>
    <row r="509" spans="2:3" x14ac:dyDescent="0.25">
      <c r="B509" s="12"/>
      <c r="C509" s="18"/>
    </row>
    <row r="510" spans="2:3" x14ac:dyDescent="0.25">
      <c r="B510" s="12"/>
      <c r="C510" s="18"/>
    </row>
    <row r="511" spans="2:3" x14ac:dyDescent="0.25">
      <c r="B511" s="12"/>
      <c r="C511" s="18"/>
    </row>
    <row r="512" spans="2:3" x14ac:dyDescent="0.25">
      <c r="B512" s="12"/>
      <c r="C512" s="18"/>
    </row>
    <row r="513" spans="2:3" x14ac:dyDescent="0.25">
      <c r="B513" s="12"/>
      <c r="C513" s="18"/>
    </row>
    <row r="514" spans="2:3" x14ac:dyDescent="0.25">
      <c r="B514" s="12"/>
      <c r="C514" s="18"/>
    </row>
    <row r="515" spans="2:3" x14ac:dyDescent="0.25">
      <c r="B515" s="12"/>
      <c r="C515" s="18"/>
    </row>
    <row r="516" spans="2:3" x14ac:dyDescent="0.25">
      <c r="B516" s="12"/>
      <c r="C516" s="18"/>
    </row>
    <row r="517" spans="2:3" x14ac:dyDescent="0.25">
      <c r="B517" s="12"/>
      <c r="C517" s="18"/>
    </row>
    <row r="518" spans="2:3" x14ac:dyDescent="0.25">
      <c r="B518" s="12"/>
      <c r="C518" s="18"/>
    </row>
    <row r="519" spans="2:3" x14ac:dyDescent="0.25">
      <c r="B519" s="12"/>
      <c r="C519" s="18"/>
    </row>
    <row r="520" spans="2:3" x14ac:dyDescent="0.25">
      <c r="B520" s="12"/>
      <c r="C520" s="18"/>
    </row>
    <row r="521" spans="2:3" x14ac:dyDescent="0.25">
      <c r="B521" s="12"/>
      <c r="C521" s="18"/>
    </row>
    <row r="522" spans="2:3" x14ac:dyDescent="0.25">
      <c r="B522" s="12"/>
      <c r="C522" s="18"/>
    </row>
    <row r="523" spans="2:3" x14ac:dyDescent="0.25">
      <c r="B523" s="12"/>
      <c r="C523" s="18"/>
    </row>
    <row r="524" spans="2:3" x14ac:dyDescent="0.25">
      <c r="B524" s="12"/>
      <c r="C524" s="18"/>
    </row>
    <row r="525" spans="2:3" x14ac:dyDescent="0.25">
      <c r="B525" s="12"/>
      <c r="C525" s="18"/>
    </row>
    <row r="526" spans="2:3" x14ac:dyDescent="0.25">
      <c r="B526" s="12"/>
      <c r="C526" s="18"/>
    </row>
    <row r="527" spans="2:3" x14ac:dyDescent="0.25">
      <c r="B527" s="12"/>
      <c r="C527" s="18"/>
    </row>
    <row r="528" spans="2:3" x14ac:dyDescent="0.25">
      <c r="B528" s="12"/>
      <c r="C528" s="18"/>
    </row>
    <row r="529" spans="2:3" x14ac:dyDescent="0.25">
      <c r="B529" s="12"/>
      <c r="C529" s="18"/>
    </row>
    <row r="530" spans="2:3" x14ac:dyDescent="0.25">
      <c r="B530" s="12"/>
      <c r="C530" s="18"/>
    </row>
    <row r="531" spans="2:3" x14ac:dyDescent="0.25">
      <c r="B531" s="12"/>
      <c r="C531" s="18"/>
    </row>
    <row r="532" spans="2:3" x14ac:dyDescent="0.25">
      <c r="B532" s="12"/>
      <c r="C532" s="18"/>
    </row>
    <row r="533" spans="2:3" x14ac:dyDescent="0.25">
      <c r="B533" s="12"/>
      <c r="C533" s="18"/>
    </row>
    <row r="534" spans="2:3" x14ac:dyDescent="0.25">
      <c r="B534" s="12"/>
      <c r="C534" s="18"/>
    </row>
    <row r="535" spans="2:3" x14ac:dyDescent="0.25">
      <c r="B535" s="12"/>
      <c r="C535" s="18"/>
    </row>
    <row r="536" spans="2:3" x14ac:dyDescent="0.25">
      <c r="B536" s="12"/>
      <c r="C536" s="18"/>
    </row>
    <row r="537" spans="2:3" x14ac:dyDescent="0.25">
      <c r="B537" s="12"/>
      <c r="C537" s="18"/>
    </row>
    <row r="538" spans="2:3" x14ac:dyDescent="0.25">
      <c r="B538" s="12"/>
      <c r="C538" s="18"/>
    </row>
    <row r="539" spans="2:3" x14ac:dyDescent="0.25">
      <c r="B539" s="12"/>
      <c r="C539" s="18"/>
    </row>
    <row r="540" spans="2:3" x14ac:dyDescent="0.25">
      <c r="B540" s="12"/>
      <c r="C540" s="18"/>
    </row>
    <row r="541" spans="2:3" x14ac:dyDescent="0.25">
      <c r="B541" s="12"/>
      <c r="C541" s="18"/>
    </row>
    <row r="542" spans="2:3" x14ac:dyDescent="0.25">
      <c r="B542" s="12"/>
      <c r="C542" s="18"/>
    </row>
    <row r="543" spans="2:3" x14ac:dyDescent="0.25">
      <c r="B543" s="12"/>
      <c r="C543" s="18"/>
    </row>
    <row r="544" spans="2:3" x14ac:dyDescent="0.25">
      <c r="B544" s="12"/>
      <c r="C544" s="18"/>
    </row>
    <row r="545" spans="2:3" x14ac:dyDescent="0.25">
      <c r="B545" s="12"/>
      <c r="C545" s="18"/>
    </row>
    <row r="546" spans="2:3" x14ac:dyDescent="0.25">
      <c r="B546" s="12"/>
      <c r="C546" s="18"/>
    </row>
    <row r="547" spans="2:3" x14ac:dyDescent="0.25">
      <c r="B547" s="12"/>
      <c r="C547" s="18"/>
    </row>
    <row r="548" spans="2:3" x14ac:dyDescent="0.25">
      <c r="B548" s="12"/>
      <c r="C548" s="18"/>
    </row>
    <row r="549" spans="2:3" x14ac:dyDescent="0.25">
      <c r="B549" s="12"/>
      <c r="C549" s="18"/>
    </row>
    <row r="550" spans="2:3" x14ac:dyDescent="0.25">
      <c r="B550" s="12"/>
      <c r="C550" s="18"/>
    </row>
    <row r="551" spans="2:3" x14ac:dyDescent="0.25">
      <c r="B551" s="12"/>
      <c r="C551" s="18"/>
    </row>
    <row r="552" spans="2:3" x14ac:dyDescent="0.25">
      <c r="B552" s="12"/>
      <c r="C552" s="18"/>
    </row>
    <row r="553" spans="2:3" x14ac:dyDescent="0.25">
      <c r="B553" s="12"/>
      <c r="C553" s="18"/>
    </row>
    <row r="554" spans="2:3" x14ac:dyDescent="0.25">
      <c r="B554" s="12"/>
      <c r="C554" s="18"/>
    </row>
    <row r="555" spans="2:3" x14ac:dyDescent="0.25">
      <c r="B555" s="12"/>
      <c r="C555" s="18"/>
    </row>
    <row r="556" spans="2:3" x14ac:dyDescent="0.25">
      <c r="B556" s="12"/>
      <c r="C556" s="18"/>
    </row>
    <row r="557" spans="2:3" x14ac:dyDescent="0.25">
      <c r="B557" s="12"/>
      <c r="C557" s="18"/>
    </row>
    <row r="558" spans="2:3" x14ac:dyDescent="0.25">
      <c r="B558" s="12"/>
      <c r="C558" s="18"/>
    </row>
    <row r="559" spans="2:3" x14ac:dyDescent="0.25">
      <c r="B559" s="12"/>
      <c r="C559" s="18"/>
    </row>
    <row r="560" spans="2:3" x14ac:dyDescent="0.25">
      <c r="B560" s="12"/>
      <c r="C560" s="18"/>
    </row>
    <row r="561" spans="2:3" x14ac:dyDescent="0.25">
      <c r="B561" s="12"/>
      <c r="C561" s="18"/>
    </row>
    <row r="562" spans="2:3" x14ac:dyDescent="0.25">
      <c r="B562" s="12"/>
      <c r="C562" s="18"/>
    </row>
    <row r="563" spans="2:3" x14ac:dyDescent="0.25">
      <c r="B563" s="12"/>
      <c r="C563" s="18"/>
    </row>
    <row r="564" spans="2:3" x14ac:dyDescent="0.25">
      <c r="B564" s="12"/>
      <c r="C564" s="18"/>
    </row>
    <row r="565" spans="2:3" x14ac:dyDescent="0.25">
      <c r="B565" s="12"/>
      <c r="C565" s="18"/>
    </row>
    <row r="566" spans="2:3" x14ac:dyDescent="0.25">
      <c r="B566" s="12"/>
      <c r="C566" s="18"/>
    </row>
    <row r="567" spans="2:3" x14ac:dyDescent="0.25">
      <c r="B567" s="12"/>
      <c r="C567" s="18"/>
    </row>
    <row r="568" spans="2:3" x14ac:dyDescent="0.25">
      <c r="B568" s="12"/>
      <c r="C568" s="18"/>
    </row>
    <row r="569" spans="2:3" x14ac:dyDescent="0.25">
      <c r="B569" s="12"/>
      <c r="C569" s="18"/>
    </row>
    <row r="570" spans="2:3" x14ac:dyDescent="0.25">
      <c r="B570" s="12"/>
      <c r="C570" s="18"/>
    </row>
    <row r="571" spans="2:3" x14ac:dyDescent="0.25">
      <c r="B571" s="12"/>
      <c r="C571" s="18"/>
    </row>
    <row r="572" spans="2:3" x14ac:dyDescent="0.25">
      <c r="B572" s="12"/>
      <c r="C572" s="18"/>
    </row>
    <row r="573" spans="2:3" x14ac:dyDescent="0.25">
      <c r="B573" s="12"/>
      <c r="C573" s="18"/>
    </row>
    <row r="574" spans="2:3" x14ac:dyDescent="0.25">
      <c r="B574" s="12"/>
      <c r="C574" s="18"/>
    </row>
    <row r="575" spans="2:3" x14ac:dyDescent="0.25">
      <c r="B575" s="12"/>
      <c r="C575" s="18"/>
    </row>
    <row r="576" spans="2:3" x14ac:dyDescent="0.25">
      <c r="B576" s="12"/>
      <c r="C576" s="18"/>
    </row>
    <row r="577" spans="2:3" x14ac:dyDescent="0.25">
      <c r="B577" s="12"/>
      <c r="C577" s="18"/>
    </row>
    <row r="578" spans="2:3" x14ac:dyDescent="0.25">
      <c r="B578" s="12"/>
      <c r="C578" s="18"/>
    </row>
    <row r="579" spans="2:3" x14ac:dyDescent="0.25">
      <c r="B579" s="12"/>
      <c r="C579" s="18"/>
    </row>
    <row r="580" spans="2:3" x14ac:dyDescent="0.25">
      <c r="B580" s="12"/>
      <c r="C580" s="18"/>
    </row>
    <row r="581" spans="2:3" x14ac:dyDescent="0.25">
      <c r="B581" s="12"/>
      <c r="C581" s="18"/>
    </row>
    <row r="582" spans="2:3" x14ac:dyDescent="0.25">
      <c r="B582" s="12"/>
      <c r="C582" s="18"/>
    </row>
    <row r="583" spans="2:3" x14ac:dyDescent="0.25">
      <c r="B583" s="12"/>
      <c r="C583" s="18"/>
    </row>
    <row r="584" spans="2:3" x14ac:dyDescent="0.25">
      <c r="B584" s="12"/>
      <c r="C584" s="18"/>
    </row>
    <row r="585" spans="2:3" x14ac:dyDescent="0.25">
      <c r="B585" s="12"/>
      <c r="C585" s="18"/>
    </row>
    <row r="586" spans="2:3" x14ac:dyDescent="0.25">
      <c r="B586" s="12"/>
      <c r="C586" s="18"/>
    </row>
    <row r="587" spans="2:3" x14ac:dyDescent="0.25">
      <c r="B587" s="12"/>
      <c r="C587" s="18"/>
    </row>
    <row r="588" spans="2:3" x14ac:dyDescent="0.25">
      <c r="B588" s="12"/>
      <c r="C588" s="18"/>
    </row>
    <row r="589" spans="2:3" x14ac:dyDescent="0.25">
      <c r="B589" s="12"/>
      <c r="C589" s="18"/>
    </row>
    <row r="590" spans="2:3" x14ac:dyDescent="0.25">
      <c r="B590" s="12"/>
      <c r="C590" s="18"/>
    </row>
    <row r="591" spans="2:3" x14ac:dyDescent="0.25">
      <c r="B591" s="12"/>
      <c r="C591" s="18"/>
    </row>
    <row r="592" spans="2:3" x14ac:dyDescent="0.25">
      <c r="B592" s="12"/>
      <c r="C592" s="18"/>
    </row>
    <row r="593" spans="2:3" x14ac:dyDescent="0.25">
      <c r="B593" s="12"/>
      <c r="C593" s="18"/>
    </row>
    <row r="594" spans="2:3" x14ac:dyDescent="0.25">
      <c r="B594" s="12"/>
      <c r="C594" s="18"/>
    </row>
    <row r="595" spans="2:3" x14ac:dyDescent="0.25">
      <c r="B595" s="12"/>
      <c r="C595" s="18"/>
    </row>
    <row r="596" spans="2:3" x14ac:dyDescent="0.25">
      <c r="B596" s="12"/>
      <c r="C596" s="18"/>
    </row>
    <row r="597" spans="2:3" x14ac:dyDescent="0.25">
      <c r="B597" s="12"/>
      <c r="C597" s="18"/>
    </row>
    <row r="598" spans="2:3" x14ac:dyDescent="0.25">
      <c r="B598" s="12"/>
      <c r="C598" s="18"/>
    </row>
    <row r="599" spans="2:3" x14ac:dyDescent="0.25">
      <c r="B599" s="12"/>
      <c r="C599" s="18"/>
    </row>
    <row r="600" spans="2:3" x14ac:dyDescent="0.25">
      <c r="B600" s="12"/>
      <c r="C600" s="18"/>
    </row>
    <row r="601" spans="2:3" x14ac:dyDescent="0.25">
      <c r="B601" s="12"/>
      <c r="C601" s="18"/>
    </row>
    <row r="602" spans="2:3" x14ac:dyDescent="0.25">
      <c r="B602" s="12"/>
      <c r="C602" s="18"/>
    </row>
    <row r="603" spans="2:3" x14ac:dyDescent="0.25">
      <c r="B603" s="12"/>
      <c r="C603" s="18"/>
    </row>
    <row r="604" spans="2:3" x14ac:dyDescent="0.25">
      <c r="B604" s="12"/>
      <c r="C604" s="18"/>
    </row>
    <row r="605" spans="2:3" x14ac:dyDescent="0.25">
      <c r="B605" s="12"/>
      <c r="C605" s="18"/>
    </row>
    <row r="606" spans="2:3" x14ac:dyDescent="0.25">
      <c r="B606" s="12"/>
      <c r="C606" s="18"/>
    </row>
    <row r="607" spans="2:3" x14ac:dyDescent="0.25">
      <c r="B607" s="12"/>
      <c r="C607" s="18"/>
    </row>
    <row r="608" spans="2:3" x14ac:dyDescent="0.25">
      <c r="B608" s="12"/>
      <c r="C608" s="18"/>
    </row>
    <row r="609" spans="2:3" x14ac:dyDescent="0.25">
      <c r="B609" s="12"/>
      <c r="C609" s="18"/>
    </row>
    <row r="610" spans="2:3" x14ac:dyDescent="0.25">
      <c r="B610" s="12"/>
      <c r="C610" s="18"/>
    </row>
    <row r="611" spans="2:3" x14ac:dyDescent="0.25">
      <c r="B611" s="12"/>
      <c r="C611" s="18"/>
    </row>
    <row r="612" spans="2:3" x14ac:dyDescent="0.25">
      <c r="B612" s="12"/>
      <c r="C612" s="18"/>
    </row>
    <row r="613" spans="2:3" x14ac:dyDescent="0.25">
      <c r="B613" s="12"/>
      <c r="C613" s="18"/>
    </row>
    <row r="614" spans="2:3" x14ac:dyDescent="0.25">
      <c r="B614" s="12"/>
      <c r="C614" s="18"/>
    </row>
    <row r="615" spans="2:3" x14ac:dyDescent="0.25">
      <c r="B615" s="12"/>
      <c r="C615" s="18"/>
    </row>
    <row r="616" spans="2:3" x14ac:dyDescent="0.25">
      <c r="B616" s="12"/>
      <c r="C616" s="18"/>
    </row>
    <row r="617" spans="2:3" x14ac:dyDescent="0.25">
      <c r="B617" s="12"/>
      <c r="C617" s="18"/>
    </row>
    <row r="618" spans="2:3" x14ac:dyDescent="0.25">
      <c r="B618" s="12"/>
      <c r="C618" s="18"/>
    </row>
    <row r="619" spans="2:3" x14ac:dyDescent="0.25">
      <c r="B619" s="12"/>
      <c r="C619" s="18"/>
    </row>
    <row r="620" spans="2:3" x14ac:dyDescent="0.25">
      <c r="B620" s="12"/>
      <c r="C620" s="18"/>
    </row>
    <row r="621" spans="2:3" x14ac:dyDescent="0.25">
      <c r="B621" s="12"/>
      <c r="C621" s="18"/>
    </row>
    <row r="622" spans="2:3" x14ac:dyDescent="0.25">
      <c r="B622" s="12"/>
      <c r="C622" s="18"/>
    </row>
    <row r="623" spans="2:3" x14ac:dyDescent="0.25">
      <c r="B623" s="12"/>
      <c r="C623" s="18"/>
    </row>
    <row r="624" spans="2:3" x14ac:dyDescent="0.25">
      <c r="B624" s="12"/>
      <c r="C624" s="18"/>
    </row>
    <row r="625" spans="2:3" x14ac:dyDescent="0.25">
      <c r="B625" s="12"/>
      <c r="C625" s="18"/>
    </row>
    <row r="626" spans="2:3" x14ac:dyDescent="0.25">
      <c r="B626" s="12"/>
      <c r="C626" s="18"/>
    </row>
    <row r="627" spans="2:3" x14ac:dyDescent="0.25">
      <c r="B627" s="12"/>
      <c r="C627" s="18"/>
    </row>
    <row r="628" spans="2:3" x14ac:dyDescent="0.25">
      <c r="B628" s="12"/>
      <c r="C628" s="18"/>
    </row>
    <row r="629" spans="2:3" x14ac:dyDescent="0.25">
      <c r="B629" s="12"/>
      <c r="C629" s="18"/>
    </row>
    <row r="630" spans="2:3" x14ac:dyDescent="0.25">
      <c r="B630" s="12"/>
      <c r="C630" s="18"/>
    </row>
    <row r="631" spans="2:3" x14ac:dyDescent="0.25">
      <c r="B631" s="12"/>
      <c r="C631" s="18"/>
    </row>
    <row r="632" spans="2:3" x14ac:dyDescent="0.25">
      <c r="B632" s="12"/>
      <c r="C632" s="18"/>
    </row>
    <row r="633" spans="2:3" x14ac:dyDescent="0.25">
      <c r="B633" s="12"/>
      <c r="C633" s="18"/>
    </row>
    <row r="634" spans="2:3" x14ac:dyDescent="0.25">
      <c r="B634" s="12"/>
      <c r="C634" s="18"/>
    </row>
    <row r="635" spans="2:3" x14ac:dyDescent="0.25">
      <c r="B635" s="12"/>
      <c r="C635" s="18"/>
    </row>
    <row r="636" spans="2:3" x14ac:dyDescent="0.25">
      <c r="B636" s="12"/>
      <c r="C636" s="18"/>
    </row>
    <row r="637" spans="2:3" x14ac:dyDescent="0.25">
      <c r="B637" s="12"/>
      <c r="C637" s="18"/>
    </row>
    <row r="638" spans="2:3" x14ac:dyDescent="0.25">
      <c r="B638" s="12"/>
      <c r="C638" s="18"/>
    </row>
    <row r="639" spans="2:3" x14ac:dyDescent="0.25">
      <c r="B639" s="12"/>
      <c r="C639" s="18"/>
    </row>
    <row r="640" spans="2:3" x14ac:dyDescent="0.25">
      <c r="B640" s="12"/>
      <c r="C640" s="18"/>
    </row>
    <row r="641" spans="2:3" x14ac:dyDescent="0.25">
      <c r="B641" s="12"/>
      <c r="C641" s="18"/>
    </row>
    <row r="642" spans="2:3" x14ac:dyDescent="0.25">
      <c r="B642" s="12"/>
      <c r="C642" s="18"/>
    </row>
    <row r="643" spans="2:3" x14ac:dyDescent="0.25">
      <c r="B643" s="12"/>
      <c r="C643" s="18"/>
    </row>
    <row r="644" spans="2:3" x14ac:dyDescent="0.25">
      <c r="B644" s="12"/>
      <c r="C644" s="18"/>
    </row>
    <row r="645" spans="2:3" x14ac:dyDescent="0.25">
      <c r="B645" s="12"/>
      <c r="C645" s="18"/>
    </row>
    <row r="646" spans="2:3" x14ac:dyDescent="0.25">
      <c r="B646" s="12"/>
      <c r="C646" s="18"/>
    </row>
    <row r="647" spans="2:3" x14ac:dyDescent="0.25">
      <c r="B647" s="12"/>
      <c r="C647" s="18"/>
    </row>
    <row r="648" spans="2:3" x14ac:dyDescent="0.25">
      <c r="B648" s="12"/>
      <c r="C648" s="18"/>
    </row>
    <row r="649" spans="2:3" x14ac:dyDescent="0.25">
      <c r="B649" s="12"/>
      <c r="C649" s="18"/>
    </row>
    <row r="650" spans="2:3" x14ac:dyDescent="0.25">
      <c r="B650" s="12"/>
      <c r="C650" s="18"/>
    </row>
    <row r="651" spans="2:3" x14ac:dyDescent="0.25">
      <c r="B651" s="12"/>
      <c r="C651" s="18"/>
    </row>
    <row r="652" spans="2:3" x14ac:dyDescent="0.25">
      <c r="B652" s="12"/>
      <c r="C652" s="18"/>
    </row>
    <row r="653" spans="2:3" x14ac:dyDescent="0.25">
      <c r="B653" s="12"/>
      <c r="C653" s="18"/>
    </row>
    <row r="654" spans="2:3" x14ac:dyDescent="0.25">
      <c r="B654" s="12"/>
      <c r="C654" s="18"/>
    </row>
    <row r="655" spans="2:3" x14ac:dyDescent="0.25">
      <c r="B655" s="12"/>
      <c r="C655" s="18"/>
    </row>
    <row r="656" spans="2:3" x14ac:dyDescent="0.25">
      <c r="B656" s="12"/>
      <c r="C656" s="18"/>
    </row>
    <row r="657" spans="2:3" x14ac:dyDescent="0.25">
      <c r="B657" s="12"/>
      <c r="C657" s="18"/>
    </row>
    <row r="658" spans="2:3" x14ac:dyDescent="0.25">
      <c r="B658" s="12"/>
      <c r="C658" s="18"/>
    </row>
    <row r="659" spans="2:3" x14ac:dyDescent="0.25">
      <c r="B659" s="12"/>
      <c r="C659" s="18"/>
    </row>
    <row r="660" spans="2:3" x14ac:dyDescent="0.25">
      <c r="B660" s="12"/>
      <c r="C660" s="18"/>
    </row>
    <row r="661" spans="2:3" x14ac:dyDescent="0.25">
      <c r="B661" s="12"/>
      <c r="C661" s="18"/>
    </row>
    <row r="662" spans="2:3" x14ac:dyDescent="0.25">
      <c r="B662" s="12"/>
      <c r="C662" s="18"/>
    </row>
    <row r="663" spans="2:3" x14ac:dyDescent="0.25">
      <c r="B663" s="12"/>
      <c r="C663" s="18"/>
    </row>
    <row r="664" spans="2:3" x14ac:dyDescent="0.25">
      <c r="B664" s="12"/>
      <c r="C664" s="18"/>
    </row>
    <row r="665" spans="2:3" x14ac:dyDescent="0.25">
      <c r="B665" s="12"/>
      <c r="C665" s="18"/>
    </row>
    <row r="666" spans="2:3" x14ac:dyDescent="0.25">
      <c r="B666" s="12"/>
      <c r="C666" s="18"/>
    </row>
    <row r="667" spans="2:3" x14ac:dyDescent="0.25">
      <c r="B667" s="12"/>
      <c r="C667" s="18"/>
    </row>
    <row r="668" spans="2:3" x14ac:dyDescent="0.25">
      <c r="B668" s="12"/>
      <c r="C668" s="18"/>
    </row>
    <row r="669" spans="2:3" x14ac:dyDescent="0.25">
      <c r="B669" s="12"/>
      <c r="C669" s="18"/>
    </row>
    <row r="670" spans="2:3" x14ac:dyDescent="0.25">
      <c r="B670" s="12"/>
      <c r="C670" s="18"/>
    </row>
    <row r="671" spans="2:3" x14ac:dyDescent="0.25">
      <c r="B671" s="12"/>
      <c r="C671" s="18"/>
    </row>
    <row r="672" spans="2:3" x14ac:dyDescent="0.25">
      <c r="B672" s="12"/>
      <c r="C672" s="18"/>
    </row>
    <row r="673" spans="2:3" x14ac:dyDescent="0.25">
      <c r="B673" s="12"/>
      <c r="C673" s="18"/>
    </row>
    <row r="674" spans="2:3" x14ac:dyDescent="0.25">
      <c r="B674" s="12"/>
      <c r="C674" s="18"/>
    </row>
    <row r="675" spans="2:3" x14ac:dyDescent="0.25">
      <c r="B675" s="12"/>
      <c r="C675" s="18"/>
    </row>
    <row r="676" spans="2:3" x14ac:dyDescent="0.25">
      <c r="B676" s="12"/>
      <c r="C676" s="18"/>
    </row>
    <row r="677" spans="2:3" x14ac:dyDescent="0.25">
      <c r="B677" s="12"/>
      <c r="C677" s="18"/>
    </row>
    <row r="678" spans="2:3" x14ac:dyDescent="0.25">
      <c r="B678" s="12"/>
      <c r="C678" s="18"/>
    </row>
    <row r="679" spans="2:3" x14ac:dyDescent="0.25">
      <c r="B679" s="12"/>
      <c r="C679" s="18"/>
    </row>
    <row r="680" spans="2:3" x14ac:dyDescent="0.25">
      <c r="B680" s="12"/>
      <c r="C680" s="18"/>
    </row>
    <row r="681" spans="2:3" x14ac:dyDescent="0.25">
      <c r="B681" s="12"/>
      <c r="C681" s="18"/>
    </row>
    <row r="682" spans="2:3" x14ac:dyDescent="0.25">
      <c r="B682" s="12"/>
      <c r="C682" s="18"/>
    </row>
    <row r="683" spans="2:3" x14ac:dyDescent="0.25">
      <c r="B683" s="12"/>
      <c r="C683" s="18"/>
    </row>
    <row r="684" spans="2:3" x14ac:dyDescent="0.25">
      <c r="B684" s="12"/>
      <c r="C684" s="18"/>
    </row>
    <row r="685" spans="2:3" x14ac:dyDescent="0.25">
      <c r="B685" s="12"/>
      <c r="C685" s="18"/>
    </row>
    <row r="686" spans="2:3" x14ac:dyDescent="0.25">
      <c r="B686" s="12"/>
      <c r="C686" s="18"/>
    </row>
    <row r="687" spans="2:3" x14ac:dyDescent="0.25">
      <c r="B687" s="12"/>
      <c r="C687" s="18"/>
    </row>
    <row r="688" spans="2:3" x14ac:dyDescent="0.25">
      <c r="B688" s="12"/>
      <c r="C688" s="18"/>
    </row>
    <row r="689" spans="2:3" x14ac:dyDescent="0.25">
      <c r="B689" s="12"/>
      <c r="C689" s="18"/>
    </row>
    <row r="690" spans="2:3" x14ac:dyDescent="0.25">
      <c r="B690" s="12"/>
      <c r="C690" s="18"/>
    </row>
    <row r="691" spans="2:3" x14ac:dyDescent="0.25">
      <c r="B691" s="12"/>
      <c r="C691" s="18"/>
    </row>
    <row r="692" spans="2:3" x14ac:dyDescent="0.25">
      <c r="B692" s="12"/>
      <c r="C692" s="18"/>
    </row>
    <row r="693" spans="2:3" x14ac:dyDescent="0.25">
      <c r="B693" s="12"/>
      <c r="C693" s="18"/>
    </row>
    <row r="694" spans="2:3" x14ac:dyDescent="0.25">
      <c r="B694" s="12"/>
      <c r="C694" s="18"/>
    </row>
    <row r="695" spans="2:3" x14ac:dyDescent="0.25">
      <c r="B695" s="12"/>
      <c r="C695" s="18"/>
    </row>
    <row r="696" spans="2:3" x14ac:dyDescent="0.25">
      <c r="B696" s="12"/>
      <c r="C696" s="18"/>
    </row>
    <row r="697" spans="2:3" x14ac:dyDescent="0.25">
      <c r="B697" s="12"/>
      <c r="C697" s="18"/>
    </row>
    <row r="698" spans="2:3" x14ac:dyDescent="0.25">
      <c r="B698" s="12"/>
      <c r="C698" s="18"/>
    </row>
    <row r="699" spans="2:3" x14ac:dyDescent="0.25">
      <c r="B699" s="12"/>
      <c r="C699" s="18"/>
    </row>
    <row r="700" spans="2:3" x14ac:dyDescent="0.25">
      <c r="B700" s="12"/>
      <c r="C700" s="18"/>
    </row>
    <row r="701" spans="2:3" x14ac:dyDescent="0.25">
      <c r="B701" s="12"/>
      <c r="C701" s="18"/>
    </row>
    <row r="702" spans="2:3" x14ac:dyDescent="0.25">
      <c r="B702" s="12"/>
      <c r="C702" s="18"/>
    </row>
    <row r="703" spans="2:3" x14ac:dyDescent="0.25">
      <c r="B703" s="12"/>
      <c r="C703" s="18"/>
    </row>
    <row r="704" spans="2:3" x14ac:dyDescent="0.25">
      <c r="B704" s="12"/>
      <c r="C704" s="18"/>
    </row>
    <row r="705" spans="2:3" x14ac:dyDescent="0.25">
      <c r="B705" s="12"/>
      <c r="C705" s="18"/>
    </row>
    <row r="706" spans="2:3" x14ac:dyDescent="0.25">
      <c r="B706" s="12"/>
      <c r="C706" s="18"/>
    </row>
    <row r="707" spans="2:3" x14ac:dyDescent="0.25">
      <c r="B707" s="12"/>
      <c r="C707" s="18"/>
    </row>
    <row r="708" spans="2:3" x14ac:dyDescent="0.25">
      <c r="B708" s="12"/>
      <c r="C708" s="18"/>
    </row>
    <row r="709" spans="2:3" x14ac:dyDescent="0.25">
      <c r="B709" s="12"/>
      <c r="C709" s="18"/>
    </row>
    <row r="710" spans="2:3" x14ac:dyDescent="0.25">
      <c r="B710" s="12"/>
      <c r="C710" s="18"/>
    </row>
    <row r="711" spans="2:3" x14ac:dyDescent="0.25">
      <c r="B711" s="12"/>
      <c r="C711" s="18"/>
    </row>
    <row r="712" spans="2:3" x14ac:dyDescent="0.25">
      <c r="B712" s="12"/>
      <c r="C712" s="18"/>
    </row>
    <row r="713" spans="2:3" x14ac:dyDescent="0.25">
      <c r="B713" s="12"/>
      <c r="C713" s="18"/>
    </row>
    <row r="714" spans="2:3" x14ac:dyDescent="0.25">
      <c r="B714" s="12"/>
      <c r="C714" s="18"/>
    </row>
    <row r="715" spans="2:3" x14ac:dyDescent="0.25">
      <c r="B715" s="12"/>
      <c r="C715" s="18"/>
    </row>
    <row r="716" spans="2:3" x14ac:dyDescent="0.25">
      <c r="B716" s="12"/>
      <c r="C716" s="18"/>
    </row>
    <row r="717" spans="2:3" x14ac:dyDescent="0.25">
      <c r="B717" s="12"/>
      <c r="C717" s="18"/>
    </row>
    <row r="718" spans="2:3" x14ac:dyDescent="0.25">
      <c r="B718" s="12"/>
      <c r="C718" s="18"/>
    </row>
    <row r="719" spans="2:3" x14ac:dyDescent="0.25">
      <c r="B719" s="12"/>
      <c r="C719" s="18"/>
    </row>
    <row r="720" spans="2:3" x14ac:dyDescent="0.25">
      <c r="B720" s="12"/>
      <c r="C720" s="18"/>
    </row>
    <row r="721" spans="2:3" x14ac:dyDescent="0.25">
      <c r="B721" s="12"/>
      <c r="C721" s="18"/>
    </row>
    <row r="722" spans="2:3" x14ac:dyDescent="0.25">
      <c r="B722" s="12"/>
      <c r="C722" s="18"/>
    </row>
    <row r="723" spans="2:3" x14ac:dyDescent="0.25">
      <c r="B723" s="12"/>
      <c r="C723" s="18"/>
    </row>
    <row r="724" spans="2:3" x14ac:dyDescent="0.25">
      <c r="B724" s="12"/>
      <c r="C724" s="18"/>
    </row>
    <row r="725" spans="2:3" x14ac:dyDescent="0.25">
      <c r="B725" s="12"/>
      <c r="C725" s="18"/>
    </row>
    <row r="726" spans="2:3" x14ac:dyDescent="0.25">
      <c r="B726" s="12"/>
      <c r="C726" s="18"/>
    </row>
    <row r="727" spans="2:3" x14ac:dyDescent="0.25">
      <c r="B727" s="12"/>
      <c r="C727" s="18"/>
    </row>
    <row r="728" spans="2:3" x14ac:dyDescent="0.25">
      <c r="B728" s="12"/>
      <c r="C728" s="18"/>
    </row>
    <row r="729" spans="2:3" x14ac:dyDescent="0.25">
      <c r="B729" s="12"/>
      <c r="C729" s="18"/>
    </row>
    <row r="730" spans="2:3" x14ac:dyDescent="0.25">
      <c r="B730" s="12"/>
      <c r="C730" s="18"/>
    </row>
    <row r="731" spans="2:3" x14ac:dyDescent="0.25">
      <c r="B731" s="12"/>
      <c r="C731" s="18"/>
    </row>
    <row r="732" spans="2:3" x14ac:dyDescent="0.25">
      <c r="B732" s="12"/>
      <c r="C732" s="18"/>
    </row>
    <row r="733" spans="2:3" x14ac:dyDescent="0.25">
      <c r="B733" s="12"/>
      <c r="C733" s="18"/>
    </row>
    <row r="734" spans="2:3" x14ac:dyDescent="0.25">
      <c r="B734" s="12"/>
      <c r="C734" s="18"/>
    </row>
    <row r="735" spans="2:3" x14ac:dyDescent="0.25">
      <c r="B735" s="12"/>
      <c r="C735" s="18"/>
    </row>
    <row r="736" spans="2:3" x14ac:dyDescent="0.25">
      <c r="B736" s="12"/>
      <c r="C736" s="18"/>
    </row>
    <row r="737" spans="2:3" x14ac:dyDescent="0.25">
      <c r="B737" s="12"/>
      <c r="C737" s="18"/>
    </row>
    <row r="738" spans="2:3" x14ac:dyDescent="0.25">
      <c r="B738" s="12"/>
      <c r="C738" s="18"/>
    </row>
    <row r="739" spans="2:3" x14ac:dyDescent="0.25">
      <c r="B739" s="12"/>
      <c r="C739" s="18"/>
    </row>
    <row r="740" spans="2:3" x14ac:dyDescent="0.25">
      <c r="B740" s="12"/>
      <c r="C740" s="18"/>
    </row>
    <row r="741" spans="2:3" x14ac:dyDescent="0.25">
      <c r="B741" s="12"/>
      <c r="C741" s="18"/>
    </row>
    <row r="742" spans="2:3" x14ac:dyDescent="0.25">
      <c r="B742" s="12"/>
      <c r="C742" s="18"/>
    </row>
    <row r="743" spans="2:3" x14ac:dyDescent="0.25">
      <c r="B743" s="12"/>
      <c r="C743" s="18"/>
    </row>
    <row r="744" spans="2:3" x14ac:dyDescent="0.25">
      <c r="B744" s="12"/>
      <c r="C744" s="18"/>
    </row>
    <row r="745" spans="2:3" x14ac:dyDescent="0.25">
      <c r="B745" s="12"/>
      <c r="C745" s="18"/>
    </row>
    <row r="746" spans="2:3" x14ac:dyDescent="0.25">
      <c r="B746" s="12"/>
      <c r="C746" s="18"/>
    </row>
    <row r="747" spans="2:3" x14ac:dyDescent="0.25">
      <c r="B747" s="12"/>
      <c r="C747" s="18"/>
    </row>
    <row r="748" spans="2:3" x14ac:dyDescent="0.25">
      <c r="B748" s="12"/>
      <c r="C748" s="18"/>
    </row>
    <row r="749" spans="2:3" x14ac:dyDescent="0.25">
      <c r="B749" s="12"/>
      <c r="C749" s="18"/>
    </row>
    <row r="750" spans="2:3" x14ac:dyDescent="0.25">
      <c r="B750" s="12"/>
      <c r="C750" s="18"/>
    </row>
    <row r="751" spans="2:3" x14ac:dyDescent="0.25">
      <c r="B751" s="12"/>
      <c r="C751" s="18"/>
    </row>
    <row r="752" spans="2:3" x14ac:dyDescent="0.25">
      <c r="B752" s="12"/>
      <c r="C752" s="18"/>
    </row>
    <row r="753" spans="2:3" x14ac:dyDescent="0.25">
      <c r="B753" s="12"/>
      <c r="C753" s="18"/>
    </row>
    <row r="754" spans="2:3" x14ac:dyDescent="0.25">
      <c r="B754" s="12"/>
      <c r="C754" s="18"/>
    </row>
    <row r="755" spans="2:3" x14ac:dyDescent="0.25">
      <c r="B755" s="12"/>
      <c r="C755" s="18"/>
    </row>
    <row r="756" spans="2:3" x14ac:dyDescent="0.25">
      <c r="B756" s="12"/>
      <c r="C756" s="18"/>
    </row>
    <row r="757" spans="2:3" x14ac:dyDescent="0.25">
      <c r="B757" s="12"/>
      <c r="C757" s="18"/>
    </row>
    <row r="758" spans="2:3" x14ac:dyDescent="0.25">
      <c r="B758" s="12"/>
      <c r="C758" s="18"/>
    </row>
    <row r="759" spans="2:3" x14ac:dyDescent="0.25">
      <c r="B759" s="12"/>
      <c r="C759" s="18"/>
    </row>
    <row r="760" spans="2:3" x14ac:dyDescent="0.25">
      <c r="B760" s="12"/>
      <c r="C760" s="18"/>
    </row>
    <row r="761" spans="2:3" x14ac:dyDescent="0.25">
      <c r="B761" s="12"/>
      <c r="C761" s="18"/>
    </row>
    <row r="762" spans="2:3" x14ac:dyDescent="0.25">
      <c r="B762" s="12"/>
      <c r="C762" s="18"/>
    </row>
    <row r="763" spans="2:3" x14ac:dyDescent="0.25">
      <c r="B763" s="12"/>
      <c r="C763" s="18"/>
    </row>
    <row r="764" spans="2:3" x14ac:dyDescent="0.25">
      <c r="B764" s="12"/>
      <c r="C764" s="18"/>
    </row>
    <row r="765" spans="2:3" x14ac:dyDescent="0.25">
      <c r="B765" s="12"/>
      <c r="C765" s="18"/>
    </row>
    <row r="766" spans="2:3" x14ac:dyDescent="0.25">
      <c r="B766" s="12"/>
      <c r="C766" s="18"/>
    </row>
    <row r="767" spans="2:3" x14ac:dyDescent="0.25">
      <c r="B767" s="12"/>
      <c r="C767" s="18"/>
    </row>
    <row r="768" spans="2:3" x14ac:dyDescent="0.25">
      <c r="B768" s="12"/>
      <c r="C768" s="18"/>
    </row>
    <row r="769" spans="2:3" x14ac:dyDescent="0.25">
      <c r="B769" s="12"/>
      <c r="C769" s="18"/>
    </row>
    <row r="770" spans="2:3" x14ac:dyDescent="0.25">
      <c r="B770" s="12"/>
      <c r="C770" s="18"/>
    </row>
    <row r="771" spans="2:3" x14ac:dyDescent="0.25">
      <c r="B771" s="12"/>
      <c r="C771" s="18"/>
    </row>
    <row r="772" spans="2:3" x14ac:dyDescent="0.25">
      <c r="B772" s="12"/>
      <c r="C772" s="18"/>
    </row>
    <row r="773" spans="2:3" x14ac:dyDescent="0.25">
      <c r="B773" s="12"/>
      <c r="C773" s="18"/>
    </row>
    <row r="774" spans="2:3" x14ac:dyDescent="0.25">
      <c r="B774" s="12"/>
      <c r="C774" s="18"/>
    </row>
    <row r="775" spans="2:3" x14ac:dyDescent="0.25">
      <c r="B775" s="12"/>
      <c r="C775" s="18"/>
    </row>
    <row r="776" spans="2:3" x14ac:dyDescent="0.25">
      <c r="B776" s="12"/>
      <c r="C776" s="18"/>
    </row>
    <row r="777" spans="2:3" x14ac:dyDescent="0.25">
      <c r="B777" s="12"/>
      <c r="C777" s="18"/>
    </row>
    <row r="778" spans="2:3" x14ac:dyDescent="0.25">
      <c r="B778" s="12"/>
      <c r="C778" s="18"/>
    </row>
    <row r="779" spans="2:3" x14ac:dyDescent="0.25">
      <c r="B779" s="12"/>
      <c r="C779" s="18"/>
    </row>
    <row r="780" spans="2:3" x14ac:dyDescent="0.25">
      <c r="B780" s="12"/>
      <c r="C780" s="18"/>
    </row>
    <row r="781" spans="2:3" x14ac:dyDescent="0.25">
      <c r="B781" s="12"/>
      <c r="C781" s="18"/>
    </row>
    <row r="782" spans="2:3" x14ac:dyDescent="0.25">
      <c r="B782" s="12"/>
      <c r="C782" s="18"/>
    </row>
    <row r="783" spans="2:3" x14ac:dyDescent="0.25">
      <c r="B783" s="12"/>
      <c r="C783" s="18"/>
    </row>
    <row r="784" spans="2:3" x14ac:dyDescent="0.25">
      <c r="B784" s="12"/>
      <c r="C784" s="18"/>
    </row>
    <row r="785" spans="2:3" x14ac:dyDescent="0.25">
      <c r="B785" s="12"/>
      <c r="C785" s="18"/>
    </row>
    <row r="786" spans="2:3" x14ac:dyDescent="0.25">
      <c r="B786" s="12"/>
      <c r="C786" s="18"/>
    </row>
    <row r="787" spans="2:3" x14ac:dyDescent="0.25">
      <c r="B787" s="12"/>
      <c r="C787" s="18"/>
    </row>
    <row r="788" spans="2:3" x14ac:dyDescent="0.25">
      <c r="B788" s="12"/>
      <c r="C788" s="18"/>
    </row>
    <row r="789" spans="2:3" x14ac:dyDescent="0.25">
      <c r="B789" s="12"/>
      <c r="C789" s="18"/>
    </row>
    <row r="790" spans="2:3" x14ac:dyDescent="0.25">
      <c r="B790" s="12"/>
      <c r="C790" s="18"/>
    </row>
    <row r="791" spans="2:3" x14ac:dyDescent="0.25">
      <c r="B791" s="12"/>
      <c r="C791" s="18"/>
    </row>
    <row r="792" spans="2:3" x14ac:dyDescent="0.25">
      <c r="B792" s="12"/>
      <c r="C792" s="18"/>
    </row>
    <row r="793" spans="2:3" x14ac:dyDescent="0.25">
      <c r="B793" s="12"/>
      <c r="C793" s="18"/>
    </row>
    <row r="794" spans="2:3" x14ac:dyDescent="0.25">
      <c r="B794" s="12"/>
      <c r="C794" s="18"/>
    </row>
    <row r="795" spans="2:3" x14ac:dyDescent="0.25">
      <c r="B795" s="12"/>
      <c r="C795" s="18"/>
    </row>
    <row r="796" spans="2:3" x14ac:dyDescent="0.25">
      <c r="B796" s="12"/>
      <c r="C796" s="18"/>
    </row>
    <row r="797" spans="2:3" x14ac:dyDescent="0.25">
      <c r="B797" s="12"/>
      <c r="C797" s="18"/>
    </row>
    <row r="798" spans="2:3" x14ac:dyDescent="0.25">
      <c r="B798" s="12"/>
      <c r="C798" s="18"/>
    </row>
    <row r="799" spans="2:3" x14ac:dyDescent="0.25">
      <c r="B799" s="12"/>
      <c r="C799" s="18"/>
    </row>
    <row r="800" spans="2:3" x14ac:dyDescent="0.25">
      <c r="B800" s="12"/>
      <c r="C800" s="18"/>
    </row>
    <row r="801" spans="2:3" x14ac:dyDescent="0.25">
      <c r="B801" s="12"/>
      <c r="C801" s="18"/>
    </row>
    <row r="802" spans="2:3" x14ac:dyDescent="0.25">
      <c r="B802" s="12"/>
      <c r="C802" s="18"/>
    </row>
    <row r="803" spans="2:3" x14ac:dyDescent="0.25">
      <c r="B803" s="12"/>
      <c r="C803" s="18"/>
    </row>
    <row r="804" spans="2:3" x14ac:dyDescent="0.25">
      <c r="B804" s="12"/>
      <c r="C804" s="18"/>
    </row>
    <row r="805" spans="2:3" x14ac:dyDescent="0.25">
      <c r="B805" s="12"/>
      <c r="C805" s="18"/>
    </row>
    <row r="806" spans="2:3" x14ac:dyDescent="0.25">
      <c r="B806" s="12"/>
      <c r="C806" s="18"/>
    </row>
    <row r="807" spans="2:3" x14ac:dyDescent="0.25">
      <c r="B807" s="12"/>
      <c r="C807" s="18"/>
    </row>
    <row r="808" spans="2:3" x14ac:dyDescent="0.25">
      <c r="B808" s="12"/>
      <c r="C808" s="18"/>
    </row>
    <row r="809" spans="2:3" x14ac:dyDescent="0.25">
      <c r="B809" s="12"/>
      <c r="C809" s="18"/>
    </row>
    <row r="810" spans="2:3" x14ac:dyDescent="0.25">
      <c r="B810" s="12"/>
      <c r="C810" s="18"/>
    </row>
    <row r="811" spans="2:3" x14ac:dyDescent="0.25">
      <c r="B811" s="12"/>
      <c r="C811" s="18"/>
    </row>
    <row r="812" spans="2:3" x14ac:dyDescent="0.25">
      <c r="B812" s="12"/>
      <c r="C812" s="18"/>
    </row>
    <row r="813" spans="2:3" x14ac:dyDescent="0.25">
      <c r="B813" s="12"/>
      <c r="C813" s="18"/>
    </row>
    <row r="814" spans="2:3" x14ac:dyDescent="0.25">
      <c r="B814" s="12"/>
      <c r="C814" s="18"/>
    </row>
    <row r="815" spans="2:3" x14ac:dyDescent="0.25">
      <c r="B815" s="12"/>
      <c r="C815" s="18"/>
    </row>
    <row r="816" spans="2:3" x14ac:dyDescent="0.25">
      <c r="B816" s="12"/>
      <c r="C816" s="18"/>
    </row>
    <row r="817" spans="2:3" x14ac:dyDescent="0.25">
      <c r="B817" s="12"/>
      <c r="C817" s="18"/>
    </row>
    <row r="818" spans="2:3" x14ac:dyDescent="0.25">
      <c r="B818" s="12"/>
      <c r="C818" s="18"/>
    </row>
    <row r="819" spans="2:3" x14ac:dyDescent="0.25">
      <c r="B819" s="12"/>
      <c r="C819" s="18"/>
    </row>
    <row r="820" spans="2:3" x14ac:dyDescent="0.25">
      <c r="B820" s="12"/>
      <c r="C820" s="18"/>
    </row>
    <row r="821" spans="2:3" x14ac:dyDescent="0.25">
      <c r="B821" s="12"/>
      <c r="C821" s="18"/>
    </row>
    <row r="822" spans="2:3" x14ac:dyDescent="0.25">
      <c r="B822" s="12"/>
      <c r="C822" s="18"/>
    </row>
    <row r="823" spans="2:3" x14ac:dyDescent="0.25">
      <c r="B823" s="12"/>
      <c r="C823" s="18"/>
    </row>
    <row r="824" spans="2:3" x14ac:dyDescent="0.25">
      <c r="B824" s="12"/>
      <c r="C824" s="18"/>
    </row>
    <row r="825" spans="2:3" x14ac:dyDescent="0.25">
      <c r="B825" s="12"/>
      <c r="C825" s="18"/>
    </row>
    <row r="826" spans="2:3" x14ac:dyDescent="0.25">
      <c r="B826" s="12"/>
      <c r="C826" s="18"/>
    </row>
    <row r="827" spans="2:3" x14ac:dyDescent="0.25">
      <c r="B827" s="12"/>
      <c r="C827" s="18"/>
    </row>
    <row r="828" spans="2:3" x14ac:dyDescent="0.25">
      <c r="B828" s="12"/>
      <c r="C828" s="18"/>
    </row>
    <row r="829" spans="2:3" x14ac:dyDescent="0.25">
      <c r="B829" s="12"/>
      <c r="C829" s="18"/>
    </row>
    <row r="830" spans="2:3" x14ac:dyDescent="0.25">
      <c r="B830" s="12"/>
      <c r="C830" s="18"/>
    </row>
    <row r="831" spans="2:3" x14ac:dyDescent="0.25">
      <c r="B831" s="12"/>
      <c r="C831" s="18"/>
    </row>
    <row r="832" spans="2:3" x14ac:dyDescent="0.25">
      <c r="B832" s="12"/>
      <c r="C832" s="18"/>
    </row>
    <row r="833" spans="2:3" x14ac:dyDescent="0.25">
      <c r="B833" s="12"/>
      <c r="C833" s="18"/>
    </row>
    <row r="834" spans="2:3" x14ac:dyDescent="0.25">
      <c r="B834" s="12"/>
      <c r="C834" s="18"/>
    </row>
    <row r="835" spans="2:3" x14ac:dyDescent="0.25">
      <c r="B835" s="12"/>
      <c r="C835" s="18"/>
    </row>
    <row r="836" spans="2:3" x14ac:dyDescent="0.25">
      <c r="B836" s="12"/>
      <c r="C836" s="18"/>
    </row>
    <row r="837" spans="2:3" x14ac:dyDescent="0.25">
      <c r="B837" s="12"/>
      <c r="C837" s="18"/>
    </row>
    <row r="838" spans="2:3" x14ac:dyDescent="0.25">
      <c r="B838" s="12"/>
      <c r="C838" s="18"/>
    </row>
    <row r="839" spans="2:3" x14ac:dyDescent="0.25">
      <c r="B839" s="12"/>
      <c r="C839" s="18"/>
    </row>
    <row r="840" spans="2:3" x14ac:dyDescent="0.25">
      <c r="B840" s="12"/>
      <c r="C840" s="18"/>
    </row>
    <row r="841" spans="2:3" x14ac:dyDescent="0.25">
      <c r="B841" s="12"/>
      <c r="C841" s="18"/>
    </row>
    <row r="842" spans="2:3" x14ac:dyDescent="0.25">
      <c r="B842" s="12"/>
      <c r="C842" s="18"/>
    </row>
    <row r="843" spans="2:3" x14ac:dyDescent="0.25">
      <c r="B843" s="12"/>
      <c r="C843" s="18"/>
    </row>
    <row r="844" spans="2:3" x14ac:dyDescent="0.25">
      <c r="B844" s="12"/>
      <c r="C844" s="18"/>
    </row>
    <row r="845" spans="2:3" x14ac:dyDescent="0.25">
      <c r="B845" s="12"/>
      <c r="C845" s="18"/>
    </row>
    <row r="846" spans="2:3" x14ac:dyDescent="0.25">
      <c r="B846" s="12"/>
      <c r="C846" s="18"/>
    </row>
    <row r="847" spans="2:3" x14ac:dyDescent="0.25">
      <c r="B847" s="12"/>
      <c r="C847" s="18"/>
    </row>
    <row r="848" spans="2:3" x14ac:dyDescent="0.25">
      <c r="B848" s="12"/>
      <c r="C848" s="18"/>
    </row>
    <row r="849" spans="2:3" x14ac:dyDescent="0.25">
      <c r="B849" s="12"/>
      <c r="C849" s="18"/>
    </row>
    <row r="850" spans="2:3" x14ac:dyDescent="0.25">
      <c r="B850" s="12"/>
      <c r="C850" s="18"/>
    </row>
    <row r="851" spans="2:3" x14ac:dyDescent="0.25">
      <c r="B851" s="12"/>
      <c r="C851" s="18"/>
    </row>
    <row r="852" spans="2:3" x14ac:dyDescent="0.25">
      <c r="B852" s="12"/>
      <c r="C852" s="18"/>
    </row>
    <row r="853" spans="2:3" x14ac:dyDescent="0.25">
      <c r="B853" s="12"/>
      <c r="C853" s="18"/>
    </row>
    <row r="854" spans="2:3" x14ac:dyDescent="0.25">
      <c r="B854" s="12"/>
      <c r="C854" s="18"/>
    </row>
    <row r="855" spans="2:3" x14ac:dyDescent="0.25">
      <c r="B855" s="12"/>
      <c r="C855" s="18"/>
    </row>
    <row r="856" spans="2:3" x14ac:dyDescent="0.25">
      <c r="B856" s="12"/>
      <c r="C856" s="18"/>
    </row>
    <row r="857" spans="2:3" x14ac:dyDescent="0.25">
      <c r="B857" s="12"/>
      <c r="C857" s="18"/>
    </row>
    <row r="858" spans="2:3" x14ac:dyDescent="0.25">
      <c r="B858" s="12"/>
      <c r="C858" s="18"/>
    </row>
    <row r="859" spans="2:3" x14ac:dyDescent="0.25">
      <c r="B859" s="12"/>
      <c r="C859" s="18"/>
    </row>
    <row r="860" spans="2:3" x14ac:dyDescent="0.25">
      <c r="B860" s="12"/>
      <c r="C860" s="18"/>
    </row>
    <row r="861" spans="2:3" x14ac:dyDescent="0.25">
      <c r="B861" s="12"/>
      <c r="C861" s="18"/>
    </row>
    <row r="862" spans="2:3" x14ac:dyDescent="0.25">
      <c r="B862" s="12"/>
      <c r="C862" s="18"/>
    </row>
    <row r="863" spans="2:3" x14ac:dyDescent="0.25">
      <c r="B863" s="12"/>
      <c r="C863" s="18"/>
    </row>
    <row r="864" spans="2:3" x14ac:dyDescent="0.25">
      <c r="B864" s="12"/>
      <c r="C864" s="18"/>
    </row>
    <row r="865" spans="2:3" x14ac:dyDescent="0.25">
      <c r="B865" s="12"/>
      <c r="C865" s="18"/>
    </row>
    <row r="866" spans="2:3" x14ac:dyDescent="0.25">
      <c r="B866" s="12"/>
      <c r="C866" s="18"/>
    </row>
    <row r="867" spans="2:3" x14ac:dyDescent="0.25">
      <c r="B867" s="12"/>
      <c r="C867" s="18"/>
    </row>
    <row r="868" spans="2:3" x14ac:dyDescent="0.25">
      <c r="B868" s="12"/>
      <c r="C868" s="18"/>
    </row>
    <row r="869" spans="2:3" x14ac:dyDescent="0.25">
      <c r="B869" s="12"/>
      <c r="C869" s="18"/>
    </row>
    <row r="870" spans="2:3" x14ac:dyDescent="0.25">
      <c r="B870" s="12"/>
      <c r="C870" s="18"/>
    </row>
    <row r="871" spans="2:3" x14ac:dyDescent="0.25">
      <c r="B871" s="12"/>
      <c r="C871" s="18"/>
    </row>
    <row r="872" spans="2:3" x14ac:dyDescent="0.25">
      <c r="B872" s="12"/>
      <c r="C872" s="18"/>
    </row>
    <row r="873" spans="2:3" x14ac:dyDescent="0.25">
      <c r="B873" s="12"/>
      <c r="C873" s="18"/>
    </row>
    <row r="874" spans="2:3" x14ac:dyDescent="0.25">
      <c r="B874" s="12"/>
      <c r="C874" s="18"/>
    </row>
    <row r="875" spans="2:3" x14ac:dyDescent="0.25">
      <c r="B875" s="12"/>
      <c r="C875" s="18"/>
    </row>
    <row r="876" spans="2:3" x14ac:dyDescent="0.25">
      <c r="B876" s="12"/>
      <c r="C876" s="18"/>
    </row>
    <row r="877" spans="2:3" x14ac:dyDescent="0.25">
      <c r="B877" s="12"/>
      <c r="C877" s="18"/>
    </row>
    <row r="878" spans="2:3" x14ac:dyDescent="0.25">
      <c r="B878" s="12"/>
      <c r="C878" s="18"/>
    </row>
    <row r="879" spans="2:3" x14ac:dyDescent="0.25">
      <c r="B879" s="12"/>
      <c r="C879" s="18"/>
    </row>
    <row r="880" spans="2:3" x14ac:dyDescent="0.25">
      <c r="B880" s="12"/>
      <c r="C880" s="18"/>
    </row>
    <row r="881" spans="2:3" x14ac:dyDescent="0.25">
      <c r="B881" s="12"/>
      <c r="C881" s="18"/>
    </row>
    <row r="882" spans="2:3" x14ac:dyDescent="0.25">
      <c r="B882" s="12"/>
      <c r="C882" s="18"/>
    </row>
    <row r="883" spans="2:3" x14ac:dyDescent="0.25">
      <c r="B883" s="12"/>
      <c r="C883" s="18"/>
    </row>
    <row r="884" spans="2:3" x14ac:dyDescent="0.25">
      <c r="B884" s="12"/>
      <c r="C884" s="18"/>
    </row>
    <row r="885" spans="2:3" x14ac:dyDescent="0.25">
      <c r="B885" s="12"/>
      <c r="C885" s="18"/>
    </row>
    <row r="886" spans="2:3" x14ac:dyDescent="0.25">
      <c r="B886" s="12"/>
      <c r="C886" s="18"/>
    </row>
    <row r="887" spans="2:3" x14ac:dyDescent="0.25">
      <c r="B887" s="12"/>
      <c r="C887" s="18"/>
    </row>
    <row r="888" spans="2:3" x14ac:dyDescent="0.25">
      <c r="B888" s="12"/>
      <c r="C888" s="18"/>
    </row>
    <row r="889" spans="2:3" x14ac:dyDescent="0.25">
      <c r="B889" s="12"/>
      <c r="C889" s="18"/>
    </row>
    <row r="890" spans="2:3" x14ac:dyDescent="0.25">
      <c r="B890" s="12"/>
      <c r="C890" s="18"/>
    </row>
    <row r="891" spans="2:3" x14ac:dyDescent="0.25">
      <c r="B891" s="12"/>
      <c r="C891" s="18"/>
    </row>
    <row r="892" spans="2:3" x14ac:dyDescent="0.25">
      <c r="B892" s="12"/>
      <c r="C892" s="18"/>
    </row>
    <row r="893" spans="2:3" x14ac:dyDescent="0.25">
      <c r="B893" s="12"/>
      <c r="C893" s="18"/>
    </row>
    <row r="894" spans="2:3" x14ac:dyDescent="0.25">
      <c r="B894" s="12"/>
      <c r="C894" s="18"/>
    </row>
    <row r="895" spans="2:3" x14ac:dyDescent="0.25">
      <c r="B895" s="12"/>
      <c r="C895" s="18"/>
    </row>
    <row r="896" spans="2:3" x14ac:dyDescent="0.25">
      <c r="B896" s="12"/>
      <c r="C896" s="18"/>
    </row>
    <row r="897" spans="2:3" x14ac:dyDescent="0.25">
      <c r="B897" s="12"/>
      <c r="C897" s="18"/>
    </row>
    <row r="898" spans="2:3" x14ac:dyDescent="0.25">
      <c r="B898" s="12"/>
      <c r="C898" s="18"/>
    </row>
    <row r="899" spans="2:3" x14ac:dyDescent="0.25">
      <c r="B899" s="12"/>
      <c r="C899" s="18"/>
    </row>
    <row r="900" spans="2:3" x14ac:dyDescent="0.25">
      <c r="B900" s="12"/>
      <c r="C900" s="18"/>
    </row>
    <row r="901" spans="2:3" x14ac:dyDescent="0.25">
      <c r="B901" s="12"/>
      <c r="C901" s="18"/>
    </row>
    <row r="902" spans="2:3" x14ac:dyDescent="0.25">
      <c r="B902" s="12"/>
      <c r="C902" s="18"/>
    </row>
    <row r="903" spans="2:3" x14ac:dyDescent="0.25">
      <c r="B903" s="12"/>
      <c r="C903" s="18"/>
    </row>
    <row r="904" spans="2:3" x14ac:dyDescent="0.25">
      <c r="B904" s="12"/>
      <c r="C904" s="18"/>
    </row>
    <row r="905" spans="2:3" x14ac:dyDescent="0.25">
      <c r="B905" s="12"/>
      <c r="C905" s="18"/>
    </row>
    <row r="906" spans="2:3" x14ac:dyDescent="0.25">
      <c r="B906" s="12"/>
      <c r="C906" s="18"/>
    </row>
    <row r="907" spans="2:3" x14ac:dyDescent="0.25">
      <c r="B907" s="12"/>
      <c r="C907" s="18"/>
    </row>
    <row r="908" spans="2:3" x14ac:dyDescent="0.25">
      <c r="B908" s="12"/>
      <c r="C908" s="18"/>
    </row>
    <row r="909" spans="2:3" x14ac:dyDescent="0.25">
      <c r="B909" s="12"/>
      <c r="C909" s="18"/>
    </row>
    <row r="910" spans="2:3" x14ac:dyDescent="0.25">
      <c r="B910" s="12"/>
      <c r="C910" s="18"/>
    </row>
    <row r="911" spans="2:3" x14ac:dyDescent="0.25">
      <c r="B911" s="12"/>
      <c r="C911" s="18"/>
    </row>
    <row r="912" spans="2:3" x14ac:dyDescent="0.25">
      <c r="B912" s="12"/>
      <c r="C912" s="18"/>
    </row>
    <row r="913" spans="2:3" x14ac:dyDescent="0.25">
      <c r="B913" s="12"/>
      <c r="C913" s="18"/>
    </row>
    <row r="914" spans="2:3" x14ac:dyDescent="0.25">
      <c r="B914" s="12"/>
      <c r="C914" s="18"/>
    </row>
    <row r="915" spans="2:3" x14ac:dyDescent="0.25">
      <c r="B915" s="12"/>
      <c r="C915" s="18"/>
    </row>
    <row r="916" spans="2:3" x14ac:dyDescent="0.25">
      <c r="B916" s="12"/>
      <c r="C916" s="18"/>
    </row>
    <row r="917" spans="2:3" x14ac:dyDescent="0.25">
      <c r="B917" s="12"/>
      <c r="C917" s="18"/>
    </row>
    <row r="918" spans="2:3" x14ac:dyDescent="0.25">
      <c r="B918" s="12"/>
      <c r="C918" s="18"/>
    </row>
    <row r="919" spans="2:3" x14ac:dyDescent="0.25">
      <c r="B919" s="12"/>
      <c r="C919" s="18"/>
    </row>
    <row r="920" spans="2:3" x14ac:dyDescent="0.25">
      <c r="B920" s="12"/>
      <c r="C920" s="18"/>
    </row>
    <row r="921" spans="2:3" x14ac:dyDescent="0.25">
      <c r="B921" s="12"/>
      <c r="C921" s="18"/>
    </row>
    <row r="922" spans="2:3" x14ac:dyDescent="0.25">
      <c r="B922" s="12"/>
      <c r="C922" s="18"/>
    </row>
    <row r="923" spans="2:3" x14ac:dyDescent="0.25">
      <c r="B923" s="12"/>
      <c r="C923" s="18"/>
    </row>
    <row r="924" spans="2:3" x14ac:dyDescent="0.25">
      <c r="B924" s="12"/>
      <c r="C924" s="18"/>
    </row>
    <row r="925" spans="2:3" x14ac:dyDescent="0.25">
      <c r="B925" s="12"/>
      <c r="C925" s="18"/>
    </row>
    <row r="926" spans="2:3" x14ac:dyDescent="0.25">
      <c r="B926" s="12"/>
      <c r="C926" s="18"/>
    </row>
    <row r="927" spans="2:3" x14ac:dyDescent="0.25">
      <c r="B927" s="12"/>
      <c r="C927" s="18"/>
    </row>
    <row r="928" spans="2:3" x14ac:dyDescent="0.25">
      <c r="B928" s="12"/>
      <c r="C928" s="18"/>
    </row>
    <row r="929" spans="2:3" x14ac:dyDescent="0.25">
      <c r="B929" s="12"/>
      <c r="C929" s="18"/>
    </row>
    <row r="930" spans="2:3" x14ac:dyDescent="0.25">
      <c r="B930" s="12"/>
      <c r="C930" s="18"/>
    </row>
    <row r="931" spans="2:3" x14ac:dyDescent="0.25">
      <c r="B931" s="12"/>
      <c r="C931" s="18"/>
    </row>
    <row r="932" spans="2:3" x14ac:dyDescent="0.25">
      <c r="B932" s="12"/>
      <c r="C932" s="18"/>
    </row>
    <row r="933" spans="2:3" x14ac:dyDescent="0.25">
      <c r="B933" s="12"/>
      <c r="C933" s="18"/>
    </row>
    <row r="934" spans="2:3" x14ac:dyDescent="0.25">
      <c r="B934" s="12"/>
      <c r="C934" s="18"/>
    </row>
    <row r="935" spans="2:3" x14ac:dyDescent="0.25">
      <c r="B935" s="12"/>
      <c r="C935" s="18"/>
    </row>
    <row r="936" spans="2:3" x14ac:dyDescent="0.25">
      <c r="B936" s="12"/>
      <c r="C936" s="18"/>
    </row>
    <row r="937" spans="2:3" x14ac:dyDescent="0.25">
      <c r="B937" s="12"/>
      <c r="C937" s="18"/>
    </row>
    <row r="938" spans="2:3" x14ac:dyDescent="0.25">
      <c r="B938" s="12"/>
      <c r="C938" s="18"/>
    </row>
    <row r="939" spans="2:3" x14ac:dyDescent="0.25">
      <c r="B939" s="12"/>
      <c r="C939" s="18"/>
    </row>
    <row r="940" spans="2:3" x14ac:dyDescent="0.25">
      <c r="B940" s="12"/>
      <c r="C940" s="18"/>
    </row>
    <row r="941" spans="2:3" x14ac:dyDescent="0.25">
      <c r="B941" s="12"/>
      <c r="C941" s="18"/>
    </row>
    <row r="942" spans="2:3" x14ac:dyDescent="0.25">
      <c r="B942" s="12"/>
      <c r="C942" s="18"/>
    </row>
    <row r="943" spans="2:3" x14ac:dyDescent="0.25">
      <c r="B943" s="12"/>
      <c r="C943" s="18"/>
    </row>
    <row r="944" spans="2:3" x14ac:dyDescent="0.25">
      <c r="B944" s="12"/>
      <c r="C944" s="18"/>
    </row>
    <row r="945" spans="2:3" x14ac:dyDescent="0.25">
      <c r="B945" s="12"/>
      <c r="C945" s="18"/>
    </row>
    <row r="946" spans="2:3" x14ac:dyDescent="0.25">
      <c r="B946" s="12"/>
      <c r="C946" s="18"/>
    </row>
    <row r="947" spans="2:3" x14ac:dyDescent="0.25">
      <c r="B947" s="12"/>
      <c r="C947" s="18"/>
    </row>
    <row r="948" spans="2:3" x14ac:dyDescent="0.25">
      <c r="B948" s="12"/>
      <c r="C948" s="18"/>
    </row>
    <row r="949" spans="2:3" x14ac:dyDescent="0.25">
      <c r="B949" s="12"/>
      <c r="C949" s="18"/>
    </row>
    <row r="950" spans="2:3" x14ac:dyDescent="0.25">
      <c r="B950" s="12"/>
      <c r="C950" s="18"/>
    </row>
    <row r="951" spans="2:3" x14ac:dyDescent="0.25">
      <c r="B951" s="12"/>
      <c r="C951" s="18"/>
    </row>
    <row r="952" spans="2:3" x14ac:dyDescent="0.25">
      <c r="B952" s="12"/>
      <c r="C952" s="18"/>
    </row>
    <row r="953" spans="2:3" x14ac:dyDescent="0.25">
      <c r="B953" s="12"/>
      <c r="C953" s="18"/>
    </row>
    <row r="954" spans="2:3" x14ac:dyDescent="0.25">
      <c r="B954" s="12"/>
      <c r="C954" s="18"/>
    </row>
    <row r="955" spans="2:3" x14ac:dyDescent="0.25">
      <c r="B955" s="12"/>
      <c r="C955" s="18"/>
    </row>
    <row r="956" spans="2:3" x14ac:dyDescent="0.25">
      <c r="B956" s="12"/>
      <c r="C956" s="18"/>
    </row>
    <row r="957" spans="2:3" x14ac:dyDescent="0.25">
      <c r="B957" s="12"/>
      <c r="C957" s="18"/>
    </row>
    <row r="958" spans="2:3" x14ac:dyDescent="0.25">
      <c r="B958" s="12"/>
      <c r="C958" s="18"/>
    </row>
    <row r="959" spans="2:3" x14ac:dyDescent="0.25">
      <c r="B959" s="12"/>
      <c r="C959" s="18"/>
    </row>
    <row r="960" spans="2:3" x14ac:dyDescent="0.25">
      <c r="B960" s="12"/>
      <c r="C960" s="18"/>
    </row>
    <row r="961" spans="2:3" x14ac:dyDescent="0.25">
      <c r="B961" s="12"/>
      <c r="C961" s="18"/>
    </row>
    <row r="962" spans="2:3" x14ac:dyDescent="0.25">
      <c r="B962" s="12"/>
      <c r="C962" s="18"/>
    </row>
    <row r="963" spans="2:3" x14ac:dyDescent="0.25">
      <c r="B963" s="12"/>
      <c r="C963" s="18"/>
    </row>
    <row r="964" spans="2:3" x14ac:dyDescent="0.25">
      <c r="B964" s="12"/>
      <c r="C964" s="18"/>
    </row>
    <row r="965" spans="2:3" x14ac:dyDescent="0.25">
      <c r="B965" s="12"/>
      <c r="C965" s="18"/>
    </row>
    <row r="966" spans="2:3" x14ac:dyDescent="0.25">
      <c r="B966" s="12"/>
      <c r="C966" s="18"/>
    </row>
    <row r="967" spans="2:3" x14ac:dyDescent="0.25">
      <c r="B967" s="12"/>
      <c r="C967" s="18"/>
    </row>
    <row r="968" spans="2:3" x14ac:dyDescent="0.25">
      <c r="B968" s="12"/>
      <c r="C968" s="18"/>
    </row>
    <row r="969" spans="2:3" x14ac:dyDescent="0.25">
      <c r="B969" s="12"/>
      <c r="C969" s="18"/>
    </row>
    <row r="970" spans="2:3" x14ac:dyDescent="0.25">
      <c r="B970" s="12"/>
      <c r="C970" s="18"/>
    </row>
    <row r="971" spans="2:3" x14ac:dyDescent="0.25">
      <c r="B971" s="12"/>
      <c r="C971" s="18"/>
    </row>
    <row r="972" spans="2:3" x14ac:dyDescent="0.25">
      <c r="B972" s="12"/>
      <c r="C972" s="18"/>
    </row>
    <row r="973" spans="2:3" x14ac:dyDescent="0.25">
      <c r="B973" s="12"/>
      <c r="C973" s="18"/>
    </row>
    <row r="974" spans="2:3" x14ac:dyDescent="0.25">
      <c r="B974" s="12"/>
      <c r="C974" s="18"/>
    </row>
    <row r="975" spans="2:3" x14ac:dyDescent="0.25">
      <c r="B975" s="12"/>
      <c r="C975" s="18"/>
    </row>
    <row r="976" spans="2:3" x14ac:dyDescent="0.25">
      <c r="B976" s="12"/>
      <c r="C976" s="18"/>
    </row>
    <row r="977" spans="2:3" x14ac:dyDescent="0.25">
      <c r="B977" s="12"/>
      <c r="C977" s="18"/>
    </row>
    <row r="978" spans="2:3" x14ac:dyDescent="0.25">
      <c r="B978" s="12"/>
      <c r="C978" s="18"/>
    </row>
    <row r="979" spans="2:3" x14ac:dyDescent="0.25">
      <c r="B979" s="12"/>
      <c r="C979" s="18"/>
    </row>
    <row r="980" spans="2:3" x14ac:dyDescent="0.25">
      <c r="B980" s="12"/>
      <c r="C980" s="18"/>
    </row>
    <row r="981" spans="2:3" x14ac:dyDescent="0.25">
      <c r="B981" s="12"/>
      <c r="C981" s="18"/>
    </row>
    <row r="982" spans="2:3" x14ac:dyDescent="0.25">
      <c r="B982" s="12"/>
      <c r="C982" s="18"/>
    </row>
    <row r="983" spans="2:3" x14ac:dyDescent="0.25">
      <c r="B983" s="12"/>
      <c r="C983" s="18"/>
    </row>
    <row r="984" spans="2:3" x14ac:dyDescent="0.25">
      <c r="B984" s="12"/>
      <c r="C984" s="18"/>
    </row>
    <row r="985" spans="2:3" x14ac:dyDescent="0.25">
      <c r="B985" s="12"/>
      <c r="C985" s="18"/>
    </row>
    <row r="986" spans="2:3" x14ac:dyDescent="0.25">
      <c r="B986" s="12"/>
      <c r="C986" s="18"/>
    </row>
    <row r="987" spans="2:3" x14ac:dyDescent="0.25">
      <c r="B987" s="12"/>
      <c r="C987" s="18"/>
    </row>
    <row r="988" spans="2:3" x14ac:dyDescent="0.25">
      <c r="B988" s="12"/>
      <c r="C988" s="18"/>
    </row>
    <row r="989" spans="2:3" x14ac:dyDescent="0.25">
      <c r="B989" s="12"/>
      <c r="C989" s="18"/>
    </row>
    <row r="990" spans="2:3" x14ac:dyDescent="0.25">
      <c r="B990" s="12"/>
      <c r="C990" s="18"/>
    </row>
    <row r="991" spans="2:3" x14ac:dyDescent="0.25">
      <c r="B991" s="12"/>
      <c r="C991" s="18"/>
    </row>
    <row r="992" spans="2:3" x14ac:dyDescent="0.25">
      <c r="B992" s="12"/>
      <c r="C992" s="18"/>
    </row>
    <row r="993" spans="2:3" x14ac:dyDescent="0.25">
      <c r="B993" s="12"/>
      <c r="C993" s="18"/>
    </row>
    <row r="994" spans="2:3" x14ac:dyDescent="0.25">
      <c r="B994" s="12"/>
      <c r="C994" s="18"/>
    </row>
    <row r="995" spans="2:3" x14ac:dyDescent="0.25">
      <c r="B995" s="12"/>
      <c r="C995" s="18"/>
    </row>
    <row r="996" spans="2:3" x14ac:dyDescent="0.25">
      <c r="B996" s="12"/>
      <c r="C996" s="18"/>
    </row>
    <row r="997" spans="2:3" x14ac:dyDescent="0.25">
      <c r="B997" s="12"/>
      <c r="C997" s="18"/>
    </row>
    <row r="998" spans="2:3" x14ac:dyDescent="0.25">
      <c r="B998" s="12"/>
      <c r="C998" s="18"/>
    </row>
    <row r="999" spans="2:3" x14ac:dyDescent="0.25">
      <c r="B999" s="12"/>
      <c r="C999" s="18"/>
    </row>
    <row r="1000" spans="2:3" x14ac:dyDescent="0.25">
      <c r="B1000" s="12"/>
      <c r="C1000" s="18"/>
    </row>
    <row r="1001" spans="2:3" x14ac:dyDescent="0.25">
      <c r="B1001" s="12"/>
      <c r="C1001" s="18"/>
    </row>
    <row r="1002" spans="2:3" x14ac:dyDescent="0.25">
      <c r="B1002" s="12"/>
      <c r="C1002" s="18"/>
    </row>
    <row r="1003" spans="2:3" x14ac:dyDescent="0.25">
      <c r="B1003" s="12"/>
      <c r="C1003" s="18"/>
    </row>
    <row r="1004" spans="2:3" x14ac:dyDescent="0.25">
      <c r="B1004" s="12"/>
      <c r="C1004" s="18"/>
    </row>
    <row r="1005" spans="2:3" x14ac:dyDescent="0.25">
      <c r="B1005" s="12"/>
      <c r="C1005" s="18"/>
    </row>
    <row r="1006" spans="2:3" x14ac:dyDescent="0.25">
      <c r="B1006" s="12"/>
      <c r="C1006" s="18"/>
    </row>
    <row r="1007" spans="2:3" x14ac:dyDescent="0.25">
      <c r="B1007" s="12"/>
      <c r="C1007" s="18"/>
    </row>
    <row r="1008" spans="2:3" x14ac:dyDescent="0.25">
      <c r="B1008" s="12"/>
      <c r="C1008" s="18"/>
    </row>
    <row r="1009" spans="2:3" x14ac:dyDescent="0.25">
      <c r="B1009" s="12"/>
      <c r="C1009" s="18"/>
    </row>
    <row r="1010" spans="2:3" x14ac:dyDescent="0.25">
      <c r="B1010" s="12"/>
      <c r="C1010" s="18"/>
    </row>
    <row r="1011" spans="2:3" x14ac:dyDescent="0.25">
      <c r="B1011" s="12"/>
      <c r="C1011" s="18"/>
    </row>
    <row r="1012" spans="2:3" x14ac:dyDescent="0.25">
      <c r="B1012" s="12"/>
      <c r="C1012" s="18"/>
    </row>
    <row r="1013" spans="2:3" x14ac:dyDescent="0.25">
      <c r="B1013" s="12"/>
      <c r="C1013" s="18"/>
    </row>
    <row r="1014" spans="2:3" x14ac:dyDescent="0.25">
      <c r="B1014" s="12"/>
      <c r="C1014" s="18"/>
    </row>
    <row r="1015" spans="2:3" x14ac:dyDescent="0.25">
      <c r="B1015" s="12"/>
      <c r="C1015" s="18"/>
    </row>
    <row r="1016" spans="2:3" x14ac:dyDescent="0.25">
      <c r="B1016" s="12"/>
      <c r="C1016" s="18"/>
    </row>
    <row r="1017" spans="2:3" x14ac:dyDescent="0.25">
      <c r="B1017" s="12"/>
      <c r="C1017" s="18"/>
    </row>
    <row r="1018" spans="2:3" x14ac:dyDescent="0.25">
      <c r="B1018" s="12"/>
      <c r="C1018" s="18"/>
    </row>
    <row r="1019" spans="2:3" x14ac:dyDescent="0.25">
      <c r="B1019" s="12"/>
      <c r="C1019" s="18"/>
    </row>
    <row r="1020" spans="2:3" x14ac:dyDescent="0.25">
      <c r="B1020" s="12"/>
      <c r="C1020" s="18"/>
    </row>
    <row r="1021" spans="2:3" x14ac:dyDescent="0.25">
      <c r="B1021" s="12"/>
      <c r="C1021" s="18"/>
    </row>
    <row r="1022" spans="2:3" x14ac:dyDescent="0.25">
      <c r="B1022" s="12"/>
      <c r="C1022" s="18"/>
    </row>
    <row r="1023" spans="2:3" x14ac:dyDescent="0.25">
      <c r="B1023" s="12"/>
      <c r="C1023" s="18"/>
    </row>
    <row r="1024" spans="2:3" x14ac:dyDescent="0.25">
      <c r="B1024" s="12"/>
      <c r="C1024" s="18"/>
    </row>
    <row r="1025" spans="2:3" x14ac:dyDescent="0.25">
      <c r="B1025" s="12"/>
      <c r="C1025" s="18"/>
    </row>
    <row r="1026" spans="2:3" x14ac:dyDescent="0.25">
      <c r="B1026" s="12"/>
      <c r="C1026" s="18"/>
    </row>
    <row r="1027" spans="2:3" x14ac:dyDescent="0.25">
      <c r="B1027" s="12"/>
      <c r="C1027" s="18"/>
    </row>
    <row r="1028" spans="2:3" x14ac:dyDescent="0.25">
      <c r="B1028" s="12"/>
      <c r="C1028" s="18"/>
    </row>
    <row r="1029" spans="2:3" x14ac:dyDescent="0.25">
      <c r="B1029" s="12"/>
      <c r="C1029" s="18"/>
    </row>
    <row r="1030" spans="2:3" x14ac:dyDescent="0.25">
      <c r="B1030" s="12"/>
      <c r="C1030" s="18"/>
    </row>
    <row r="1031" spans="2:3" x14ac:dyDescent="0.25">
      <c r="B1031" s="12"/>
      <c r="C1031" s="18"/>
    </row>
    <row r="1032" spans="2:3" x14ac:dyDescent="0.25">
      <c r="B1032" s="12"/>
      <c r="C1032" s="18"/>
    </row>
    <row r="1033" spans="2:3" x14ac:dyDescent="0.25">
      <c r="B1033" s="12"/>
      <c r="C1033" s="18"/>
    </row>
    <row r="1034" spans="2:3" x14ac:dyDescent="0.25">
      <c r="B1034" s="12"/>
      <c r="C1034" s="18"/>
    </row>
    <row r="1035" spans="2:3" x14ac:dyDescent="0.25">
      <c r="B1035" s="12"/>
      <c r="C1035" s="18"/>
    </row>
    <row r="1036" spans="2:3" x14ac:dyDescent="0.25">
      <c r="B1036" s="12"/>
      <c r="C1036" s="18"/>
    </row>
    <row r="1037" spans="2:3" x14ac:dyDescent="0.25">
      <c r="B1037" s="12"/>
      <c r="C1037" s="18"/>
    </row>
    <row r="1038" spans="2:3" x14ac:dyDescent="0.25">
      <c r="B1038" s="12"/>
      <c r="C1038" s="18"/>
    </row>
    <row r="1039" spans="2:3" x14ac:dyDescent="0.25">
      <c r="B1039" s="12"/>
      <c r="C1039" s="18"/>
    </row>
    <row r="1040" spans="2:3" x14ac:dyDescent="0.25">
      <c r="B1040" s="12"/>
      <c r="C1040" s="18"/>
    </row>
    <row r="1041" spans="2:3" x14ac:dyDescent="0.25">
      <c r="B1041" s="12"/>
      <c r="C1041" s="18"/>
    </row>
    <row r="1042" spans="2:3" x14ac:dyDescent="0.25">
      <c r="B1042" s="12"/>
      <c r="C1042" s="18"/>
    </row>
    <row r="1043" spans="2:3" x14ac:dyDescent="0.25">
      <c r="B1043" s="12"/>
      <c r="C1043" s="18"/>
    </row>
    <row r="1044" spans="2:3" x14ac:dyDescent="0.25">
      <c r="B1044" s="12"/>
      <c r="C1044" s="18"/>
    </row>
    <row r="1045" spans="2:3" x14ac:dyDescent="0.25">
      <c r="B1045" s="12"/>
      <c r="C1045" s="18"/>
    </row>
    <row r="1046" spans="2:3" x14ac:dyDescent="0.25">
      <c r="B1046" s="12"/>
      <c r="C1046" s="18"/>
    </row>
    <row r="1047" spans="2:3" x14ac:dyDescent="0.25">
      <c r="B1047" s="12"/>
      <c r="C1047" s="18"/>
    </row>
    <row r="1048" spans="2:3" x14ac:dyDescent="0.25">
      <c r="B1048" s="12"/>
      <c r="C1048" s="18"/>
    </row>
    <row r="1049" spans="2:3" x14ac:dyDescent="0.25">
      <c r="B1049" s="12"/>
      <c r="C1049" s="18"/>
    </row>
    <row r="1050" spans="2:3" x14ac:dyDescent="0.25">
      <c r="B1050" s="12"/>
      <c r="C1050" s="18"/>
    </row>
    <row r="1051" spans="2:3" x14ac:dyDescent="0.25">
      <c r="B1051" s="12"/>
      <c r="C1051" s="18"/>
    </row>
    <row r="1052" spans="2:3" x14ac:dyDescent="0.25">
      <c r="B1052" s="12"/>
      <c r="C1052" s="18"/>
    </row>
    <row r="1053" spans="2:3" x14ac:dyDescent="0.25">
      <c r="B1053" s="12"/>
      <c r="C1053" s="18"/>
    </row>
    <row r="1054" spans="2:3" x14ac:dyDescent="0.25">
      <c r="B1054" s="12"/>
      <c r="C1054" s="18"/>
    </row>
    <row r="1055" spans="2:3" x14ac:dyDescent="0.25">
      <c r="B1055" s="12"/>
      <c r="C1055" s="18"/>
    </row>
    <row r="1056" spans="2:3" x14ac:dyDescent="0.25">
      <c r="B1056" s="12"/>
      <c r="C1056" s="18"/>
    </row>
    <row r="1057" spans="2:3" x14ac:dyDescent="0.25">
      <c r="B1057" s="12"/>
      <c r="C1057" s="18"/>
    </row>
    <row r="1058" spans="2:3" x14ac:dyDescent="0.25">
      <c r="B1058" s="12"/>
      <c r="C1058" s="18"/>
    </row>
    <row r="1059" spans="2:3" x14ac:dyDescent="0.25">
      <c r="B1059" s="12"/>
      <c r="C1059" s="18"/>
    </row>
    <row r="1060" spans="2:3" x14ac:dyDescent="0.25">
      <c r="B1060" s="12"/>
      <c r="C1060" s="18"/>
    </row>
    <row r="1061" spans="2:3" x14ac:dyDescent="0.25">
      <c r="B1061" s="12"/>
      <c r="C1061" s="18"/>
    </row>
    <row r="1062" spans="2:3" x14ac:dyDescent="0.25">
      <c r="B1062" s="12"/>
      <c r="C1062" s="18"/>
    </row>
    <row r="1063" spans="2:3" x14ac:dyDescent="0.25">
      <c r="B1063" s="12"/>
      <c r="C1063" s="18"/>
    </row>
    <row r="1064" spans="2:3" x14ac:dyDescent="0.25">
      <c r="B1064" s="12"/>
      <c r="C1064" s="18"/>
    </row>
    <row r="1065" spans="2:3" x14ac:dyDescent="0.25">
      <c r="B1065" s="12"/>
      <c r="C1065" s="18"/>
    </row>
    <row r="1066" spans="2:3" x14ac:dyDescent="0.25">
      <c r="B1066" s="12"/>
      <c r="C1066" s="18"/>
    </row>
    <row r="1067" spans="2:3" x14ac:dyDescent="0.25">
      <c r="B1067" s="12"/>
      <c r="C1067" s="18"/>
    </row>
    <row r="1068" spans="2:3" x14ac:dyDescent="0.25">
      <c r="B1068" s="12"/>
      <c r="C1068" s="18"/>
    </row>
    <row r="1069" spans="2:3" x14ac:dyDescent="0.25">
      <c r="B1069" s="12"/>
      <c r="C1069" s="18"/>
    </row>
    <row r="1070" spans="2:3" x14ac:dyDescent="0.25">
      <c r="B1070" s="12"/>
      <c r="C1070" s="18"/>
    </row>
    <row r="1071" spans="2:3" x14ac:dyDescent="0.25">
      <c r="B1071" s="12"/>
      <c r="C1071" s="18"/>
    </row>
    <row r="1072" spans="2:3" x14ac:dyDescent="0.25">
      <c r="B1072" s="12"/>
      <c r="C1072" s="18"/>
    </row>
    <row r="1073" spans="2:3" x14ac:dyDescent="0.25">
      <c r="B1073" s="12"/>
      <c r="C1073" s="18"/>
    </row>
    <row r="1074" spans="2:3" x14ac:dyDescent="0.25">
      <c r="B1074" s="12"/>
      <c r="C1074" s="18"/>
    </row>
    <row r="1075" spans="2:3" x14ac:dyDescent="0.25">
      <c r="B1075" s="12"/>
      <c r="C1075" s="18"/>
    </row>
    <row r="1076" spans="2:3" x14ac:dyDescent="0.25">
      <c r="B1076" s="12"/>
      <c r="C1076" s="18"/>
    </row>
    <row r="1077" spans="2:3" x14ac:dyDescent="0.25">
      <c r="B1077" s="12"/>
      <c r="C1077" s="18"/>
    </row>
    <row r="1078" spans="2:3" x14ac:dyDescent="0.25">
      <c r="B1078" s="12"/>
      <c r="C1078" s="18"/>
    </row>
    <row r="1079" spans="2:3" x14ac:dyDescent="0.25">
      <c r="B1079" s="12"/>
      <c r="C1079" s="18"/>
    </row>
    <row r="1080" spans="2:3" x14ac:dyDescent="0.25">
      <c r="B1080" s="12"/>
      <c r="C1080" s="18"/>
    </row>
    <row r="1081" spans="2:3" x14ac:dyDescent="0.25">
      <c r="B1081" s="12"/>
      <c r="C1081" s="18"/>
    </row>
    <row r="1082" spans="2:3" x14ac:dyDescent="0.25">
      <c r="B1082" s="12"/>
      <c r="C1082" s="18"/>
    </row>
    <row r="1083" spans="2:3" x14ac:dyDescent="0.25">
      <c r="B1083" s="12"/>
      <c r="C1083" s="18"/>
    </row>
    <row r="1084" spans="2:3" x14ac:dyDescent="0.25">
      <c r="B1084" s="12"/>
      <c r="C1084" s="18"/>
    </row>
    <row r="1085" spans="2:3" x14ac:dyDescent="0.25">
      <c r="B1085" s="12"/>
      <c r="C1085" s="18"/>
    </row>
    <row r="1086" spans="2:3" x14ac:dyDescent="0.25">
      <c r="B1086" s="12"/>
      <c r="C1086" s="18"/>
    </row>
    <row r="1087" spans="2:3" x14ac:dyDescent="0.25">
      <c r="B1087" s="12"/>
      <c r="C1087" s="18"/>
    </row>
    <row r="1088" spans="2:3" x14ac:dyDescent="0.25">
      <c r="B1088" s="12"/>
      <c r="C1088" s="18"/>
    </row>
    <row r="1089" spans="2:3" x14ac:dyDescent="0.25">
      <c r="B1089" s="12"/>
      <c r="C1089" s="18"/>
    </row>
    <row r="1090" spans="2:3" x14ac:dyDescent="0.25">
      <c r="B1090" s="12"/>
      <c r="C1090" s="18"/>
    </row>
    <row r="1091" spans="2:3" x14ac:dyDescent="0.25">
      <c r="B1091" s="12"/>
      <c r="C1091" s="18"/>
    </row>
    <row r="1092" spans="2:3" x14ac:dyDescent="0.25">
      <c r="B1092" s="12"/>
      <c r="C1092" s="18"/>
    </row>
    <row r="1093" spans="2:3" x14ac:dyDescent="0.25">
      <c r="B1093" s="12"/>
      <c r="C1093" s="18"/>
    </row>
    <row r="1094" spans="2:3" x14ac:dyDescent="0.25">
      <c r="B1094" s="12"/>
      <c r="C1094" s="18"/>
    </row>
    <row r="1095" spans="2:3" x14ac:dyDescent="0.25">
      <c r="B1095" s="12"/>
      <c r="C1095" s="18"/>
    </row>
    <row r="1096" spans="2:3" x14ac:dyDescent="0.25">
      <c r="B1096" s="12"/>
      <c r="C1096" s="18"/>
    </row>
    <row r="1097" spans="2:3" x14ac:dyDescent="0.25">
      <c r="B1097" s="12"/>
      <c r="C1097" s="18"/>
    </row>
    <row r="1098" spans="2:3" x14ac:dyDescent="0.25">
      <c r="B1098" s="12"/>
      <c r="C1098" s="18"/>
    </row>
    <row r="1099" spans="2:3" x14ac:dyDescent="0.25">
      <c r="B1099" s="12"/>
      <c r="C1099" s="18"/>
    </row>
    <row r="1100" spans="2:3" x14ac:dyDescent="0.25">
      <c r="B1100" s="12"/>
      <c r="C1100" s="18"/>
    </row>
    <row r="1101" spans="2:3" x14ac:dyDescent="0.25">
      <c r="B1101" s="12"/>
      <c r="C1101" s="18"/>
    </row>
    <row r="1102" spans="2:3" x14ac:dyDescent="0.25">
      <c r="B1102" s="12"/>
      <c r="C1102" s="18"/>
    </row>
    <row r="1103" spans="2:3" x14ac:dyDescent="0.25">
      <c r="B1103" s="12"/>
      <c r="C1103" s="18"/>
    </row>
    <row r="1104" spans="2:3" x14ac:dyDescent="0.25">
      <c r="B1104" s="12"/>
      <c r="C1104" s="18"/>
    </row>
    <row r="1105" spans="2:3" x14ac:dyDescent="0.25">
      <c r="B1105" s="12"/>
      <c r="C1105" s="18"/>
    </row>
    <row r="1106" spans="2:3" x14ac:dyDescent="0.25">
      <c r="B1106" s="12"/>
      <c r="C1106" s="18"/>
    </row>
    <row r="1107" spans="2:3" x14ac:dyDescent="0.25">
      <c r="B1107" s="12"/>
      <c r="C1107" s="18"/>
    </row>
    <row r="1108" spans="2:3" x14ac:dyDescent="0.25">
      <c r="B1108" s="12"/>
      <c r="C1108" s="18"/>
    </row>
    <row r="1109" spans="2:3" x14ac:dyDescent="0.25">
      <c r="B1109" s="12"/>
      <c r="C1109" s="18"/>
    </row>
    <row r="1110" spans="2:3" x14ac:dyDescent="0.25">
      <c r="B1110" s="12"/>
      <c r="C1110" s="18"/>
    </row>
    <row r="1111" spans="2:3" x14ac:dyDescent="0.25">
      <c r="B1111" s="12"/>
      <c r="C1111" s="18"/>
    </row>
    <row r="1112" spans="2:3" x14ac:dyDescent="0.25">
      <c r="B1112" s="12"/>
      <c r="C1112" s="18"/>
    </row>
    <row r="1113" spans="2:3" x14ac:dyDescent="0.25">
      <c r="B1113" s="12"/>
      <c r="C1113" s="18"/>
    </row>
    <row r="1114" spans="2:3" x14ac:dyDescent="0.25">
      <c r="B1114" s="12"/>
      <c r="C1114" s="18"/>
    </row>
    <row r="1115" spans="2:3" x14ac:dyDescent="0.25">
      <c r="B1115" s="12"/>
      <c r="C1115" s="18"/>
    </row>
    <row r="1116" spans="2:3" x14ac:dyDescent="0.25">
      <c r="B1116" s="12"/>
      <c r="C1116" s="18"/>
    </row>
    <row r="1117" spans="2:3" x14ac:dyDescent="0.25">
      <c r="B1117" s="12"/>
      <c r="C1117" s="18"/>
    </row>
    <row r="1118" spans="2:3" x14ac:dyDescent="0.25">
      <c r="B1118" s="12"/>
      <c r="C1118" s="18"/>
    </row>
    <row r="1119" spans="2:3" x14ac:dyDescent="0.25">
      <c r="B1119" s="12"/>
      <c r="C1119" s="18"/>
    </row>
    <row r="1120" spans="2:3" x14ac:dyDescent="0.25">
      <c r="B1120" s="12"/>
      <c r="C1120" s="18"/>
    </row>
    <row r="1121" spans="2:3" x14ac:dyDescent="0.25">
      <c r="B1121" s="12"/>
      <c r="C1121" s="18"/>
    </row>
    <row r="1122" spans="2:3" x14ac:dyDescent="0.25">
      <c r="B1122" s="12"/>
      <c r="C1122" s="18"/>
    </row>
    <row r="1123" spans="2:3" x14ac:dyDescent="0.25">
      <c r="B1123" s="12"/>
      <c r="C1123" s="18"/>
    </row>
    <row r="1124" spans="2:3" x14ac:dyDescent="0.25">
      <c r="B1124" s="12"/>
      <c r="C1124" s="18"/>
    </row>
    <row r="1125" spans="2:3" x14ac:dyDescent="0.25">
      <c r="B1125" s="12"/>
      <c r="C1125" s="18"/>
    </row>
    <row r="1126" spans="2:3" x14ac:dyDescent="0.25">
      <c r="B1126" s="12"/>
      <c r="C1126" s="18"/>
    </row>
    <row r="1127" spans="2:3" x14ac:dyDescent="0.25">
      <c r="B1127" s="12"/>
      <c r="C1127" s="18"/>
    </row>
    <row r="1128" spans="2:3" x14ac:dyDescent="0.25">
      <c r="B1128" s="12"/>
      <c r="C1128" s="18"/>
    </row>
    <row r="1129" spans="2:3" x14ac:dyDescent="0.25">
      <c r="B1129" s="12"/>
      <c r="C1129" s="18"/>
    </row>
    <row r="1130" spans="2:3" x14ac:dyDescent="0.25">
      <c r="B1130" s="12"/>
      <c r="C1130" s="18"/>
    </row>
    <row r="1131" spans="2:3" x14ac:dyDescent="0.25">
      <c r="B1131" s="12"/>
      <c r="C1131" s="18"/>
    </row>
    <row r="1132" spans="2:3" x14ac:dyDescent="0.25">
      <c r="B1132" s="12"/>
      <c r="C1132" s="18"/>
    </row>
    <row r="1133" spans="2:3" x14ac:dyDescent="0.25">
      <c r="B1133" s="12"/>
      <c r="C1133" s="18"/>
    </row>
    <row r="1134" spans="2:3" x14ac:dyDescent="0.25">
      <c r="B1134" s="12"/>
      <c r="C1134" s="18"/>
    </row>
    <row r="1135" spans="2:3" x14ac:dyDescent="0.25">
      <c r="B1135" s="12"/>
      <c r="C1135" s="18"/>
    </row>
    <row r="1136" spans="2:3" x14ac:dyDescent="0.25">
      <c r="B1136" s="12"/>
      <c r="C1136" s="18"/>
    </row>
    <row r="1137" spans="2:3" x14ac:dyDescent="0.25">
      <c r="B1137" s="12"/>
      <c r="C1137" s="18"/>
    </row>
    <row r="1138" spans="2:3" x14ac:dyDescent="0.25">
      <c r="B1138" s="12"/>
      <c r="C1138" s="18"/>
    </row>
    <row r="1139" spans="2:3" x14ac:dyDescent="0.25">
      <c r="B1139" s="12"/>
      <c r="C1139" s="18"/>
    </row>
    <row r="1140" spans="2:3" x14ac:dyDescent="0.25">
      <c r="B1140" s="12"/>
      <c r="C1140" s="18"/>
    </row>
    <row r="1141" spans="2:3" x14ac:dyDescent="0.25">
      <c r="B1141" s="12"/>
      <c r="C1141" s="18"/>
    </row>
    <row r="1142" spans="2:3" x14ac:dyDescent="0.25">
      <c r="B1142" s="12"/>
      <c r="C1142" s="18"/>
    </row>
    <row r="1143" spans="2:3" x14ac:dyDescent="0.25">
      <c r="B1143" s="12"/>
      <c r="C1143" s="18"/>
    </row>
    <row r="1144" spans="2:3" x14ac:dyDescent="0.25">
      <c r="B1144" s="12"/>
      <c r="C1144" s="18"/>
    </row>
    <row r="1145" spans="2:3" x14ac:dyDescent="0.25">
      <c r="B1145" s="12"/>
      <c r="C1145" s="18"/>
    </row>
    <row r="1146" spans="2:3" x14ac:dyDescent="0.25">
      <c r="B1146" s="12"/>
      <c r="C1146" s="18"/>
    </row>
    <row r="1147" spans="2:3" x14ac:dyDescent="0.25">
      <c r="B1147" s="12"/>
      <c r="C1147" s="18"/>
    </row>
    <row r="1148" spans="2:3" x14ac:dyDescent="0.25">
      <c r="B1148" s="12"/>
      <c r="C1148" s="18"/>
    </row>
    <row r="1149" spans="2:3" x14ac:dyDescent="0.25">
      <c r="B1149" s="12"/>
      <c r="C1149" s="18"/>
    </row>
    <row r="1150" spans="2:3" x14ac:dyDescent="0.25">
      <c r="B1150" s="12"/>
      <c r="C1150" s="18"/>
    </row>
    <row r="1151" spans="2:3" x14ac:dyDescent="0.25">
      <c r="B1151" s="12"/>
      <c r="C1151" s="18"/>
    </row>
    <row r="1152" spans="2:3" x14ac:dyDescent="0.25">
      <c r="B1152" s="12"/>
      <c r="C1152" s="18"/>
    </row>
    <row r="1153" spans="2:3" x14ac:dyDescent="0.25">
      <c r="B1153" s="12"/>
      <c r="C1153" s="18"/>
    </row>
    <row r="1154" spans="2:3" x14ac:dyDescent="0.25">
      <c r="B1154" s="12"/>
      <c r="C1154" s="18"/>
    </row>
    <row r="1155" spans="2:3" x14ac:dyDescent="0.25">
      <c r="B1155" s="12"/>
      <c r="C1155" s="18"/>
    </row>
    <row r="1156" spans="2:3" x14ac:dyDescent="0.25">
      <c r="B1156" s="12"/>
      <c r="C1156" s="18"/>
    </row>
    <row r="1157" spans="2:3" x14ac:dyDescent="0.25">
      <c r="B1157" s="12"/>
      <c r="C1157" s="18"/>
    </row>
    <row r="1158" spans="2:3" x14ac:dyDescent="0.25">
      <c r="B1158" s="12"/>
      <c r="C1158" s="18"/>
    </row>
    <row r="1159" spans="2:3" x14ac:dyDescent="0.25">
      <c r="B1159" s="12"/>
      <c r="C1159" s="18"/>
    </row>
    <row r="1160" spans="2:3" x14ac:dyDescent="0.25">
      <c r="B1160" s="12"/>
      <c r="C1160" s="18"/>
    </row>
    <row r="1161" spans="2:3" x14ac:dyDescent="0.25">
      <c r="B1161" s="12"/>
      <c r="C1161" s="18"/>
    </row>
    <row r="1162" spans="2:3" x14ac:dyDescent="0.25">
      <c r="B1162" s="12"/>
      <c r="C1162" s="18"/>
    </row>
    <row r="1163" spans="2:3" x14ac:dyDescent="0.25">
      <c r="B1163" s="12"/>
      <c r="C1163" s="18"/>
    </row>
    <row r="1164" spans="2:3" x14ac:dyDescent="0.25">
      <c r="B1164" s="12"/>
      <c r="C1164" s="18"/>
    </row>
    <row r="1165" spans="2:3" x14ac:dyDescent="0.25">
      <c r="B1165" s="12"/>
      <c r="C1165" s="18"/>
    </row>
    <row r="1166" spans="2:3" x14ac:dyDescent="0.25">
      <c r="B1166" s="12"/>
      <c r="C1166" s="18"/>
    </row>
    <row r="1167" spans="2:3" x14ac:dyDescent="0.25">
      <c r="B1167" s="12"/>
      <c r="C1167" s="18"/>
    </row>
    <row r="1168" spans="2:3" x14ac:dyDescent="0.25">
      <c r="B1168" s="12"/>
      <c r="C1168" s="18"/>
    </row>
    <row r="1169" spans="2:3" x14ac:dyDescent="0.25">
      <c r="B1169" s="12"/>
      <c r="C1169" s="18"/>
    </row>
    <row r="1170" spans="2:3" x14ac:dyDescent="0.25">
      <c r="B1170" s="12"/>
      <c r="C1170" s="18"/>
    </row>
    <row r="1171" spans="2:3" x14ac:dyDescent="0.25">
      <c r="B1171" s="12"/>
      <c r="C1171" s="18"/>
    </row>
    <row r="1172" spans="2:3" x14ac:dyDescent="0.25">
      <c r="B1172" s="12"/>
      <c r="C1172" s="18"/>
    </row>
    <row r="1173" spans="2:3" x14ac:dyDescent="0.25">
      <c r="B1173" s="12"/>
      <c r="C1173" s="18"/>
    </row>
    <row r="1174" spans="2:3" x14ac:dyDescent="0.25">
      <c r="B1174" s="12"/>
      <c r="C1174" s="18"/>
    </row>
    <row r="1175" spans="2:3" x14ac:dyDescent="0.25">
      <c r="B1175" s="12"/>
      <c r="C1175" s="18"/>
    </row>
    <row r="1176" spans="2:3" x14ac:dyDescent="0.25">
      <c r="B1176" s="12"/>
      <c r="C1176" s="18"/>
    </row>
    <row r="1177" spans="2:3" x14ac:dyDescent="0.25">
      <c r="B1177" s="12"/>
      <c r="C1177" s="18"/>
    </row>
    <row r="1178" spans="2:3" x14ac:dyDescent="0.25">
      <c r="B1178" s="12"/>
      <c r="C1178" s="18"/>
    </row>
    <row r="1179" spans="2:3" x14ac:dyDescent="0.25">
      <c r="B1179" s="12"/>
      <c r="C1179" s="18"/>
    </row>
    <row r="1180" spans="2:3" x14ac:dyDescent="0.25">
      <c r="B1180" s="12"/>
      <c r="C1180" s="18"/>
    </row>
    <row r="1181" spans="2:3" x14ac:dyDescent="0.25">
      <c r="B1181" s="12"/>
      <c r="C1181" s="18"/>
    </row>
    <row r="1182" spans="2:3" x14ac:dyDescent="0.25">
      <c r="B1182" s="12"/>
      <c r="C1182" s="18"/>
    </row>
    <row r="1183" spans="2:3" x14ac:dyDescent="0.25">
      <c r="B1183" s="12"/>
      <c r="C1183" s="18"/>
    </row>
    <row r="1184" spans="2:3" x14ac:dyDescent="0.25">
      <c r="B1184" s="12"/>
      <c r="C1184" s="18"/>
    </row>
    <row r="1185" spans="2:3" x14ac:dyDescent="0.25">
      <c r="B1185" s="12"/>
      <c r="C1185" s="18"/>
    </row>
    <row r="1186" spans="2:3" x14ac:dyDescent="0.25">
      <c r="B1186" s="12"/>
      <c r="C1186" s="18"/>
    </row>
    <row r="1187" spans="2:3" x14ac:dyDescent="0.25">
      <c r="B1187" s="12"/>
      <c r="C1187" s="18"/>
    </row>
    <row r="1188" spans="2:3" x14ac:dyDescent="0.25">
      <c r="B1188" s="12"/>
      <c r="C1188" s="18"/>
    </row>
    <row r="1189" spans="2:3" x14ac:dyDescent="0.25">
      <c r="B1189" s="12"/>
      <c r="C1189" s="18"/>
    </row>
    <row r="1190" spans="2:3" x14ac:dyDescent="0.25">
      <c r="B1190" s="12"/>
      <c r="C1190" s="18"/>
    </row>
    <row r="1191" spans="2:3" x14ac:dyDescent="0.25">
      <c r="B1191" s="12"/>
      <c r="C1191" s="18"/>
    </row>
    <row r="1192" spans="2:3" x14ac:dyDescent="0.25">
      <c r="B1192" s="12"/>
      <c r="C1192" s="18"/>
    </row>
    <row r="1193" spans="2:3" x14ac:dyDescent="0.25">
      <c r="B1193" s="12"/>
      <c r="C1193" s="18"/>
    </row>
    <row r="1194" spans="2:3" x14ac:dyDescent="0.25">
      <c r="B1194" s="12"/>
      <c r="C1194" s="18"/>
    </row>
    <row r="1195" spans="2:3" x14ac:dyDescent="0.25">
      <c r="B1195" s="12"/>
      <c r="C1195" s="18"/>
    </row>
    <row r="1196" spans="2:3" x14ac:dyDescent="0.25">
      <c r="B1196" s="12"/>
      <c r="C1196" s="18"/>
    </row>
    <row r="1197" spans="2:3" x14ac:dyDescent="0.25">
      <c r="B1197" s="12"/>
      <c r="C1197" s="18"/>
    </row>
    <row r="1198" spans="2:3" x14ac:dyDescent="0.25">
      <c r="B1198" s="12"/>
      <c r="C1198" s="18"/>
    </row>
    <row r="1199" spans="2:3" x14ac:dyDescent="0.25">
      <c r="B1199" s="12"/>
      <c r="C1199" s="18"/>
    </row>
    <row r="1200" spans="2:3" x14ac:dyDescent="0.25">
      <c r="B1200" s="12"/>
      <c r="C1200" s="18"/>
    </row>
    <row r="1201" spans="2:3" x14ac:dyDescent="0.25">
      <c r="B1201" s="12"/>
      <c r="C1201" s="18"/>
    </row>
    <row r="1202" spans="2:3" x14ac:dyDescent="0.25">
      <c r="B1202" s="12"/>
      <c r="C1202" s="18"/>
    </row>
    <row r="1203" spans="2:3" x14ac:dyDescent="0.25">
      <c r="B1203" s="12"/>
      <c r="C1203" s="18"/>
    </row>
    <row r="1204" spans="2:3" x14ac:dyDescent="0.25">
      <c r="B1204" s="12"/>
      <c r="C1204" s="18"/>
    </row>
    <row r="1205" spans="2:3" x14ac:dyDescent="0.25">
      <c r="B1205" s="12"/>
      <c r="C1205" s="18"/>
    </row>
    <row r="1206" spans="2:3" x14ac:dyDescent="0.25">
      <c r="B1206" s="12"/>
      <c r="C1206" s="18"/>
    </row>
    <row r="1207" spans="2:3" x14ac:dyDescent="0.25">
      <c r="B1207" s="12"/>
      <c r="C1207" s="18"/>
    </row>
    <row r="1208" spans="2:3" x14ac:dyDescent="0.25">
      <c r="B1208" s="12"/>
      <c r="C1208" s="18"/>
    </row>
    <row r="1209" spans="2:3" x14ac:dyDescent="0.25">
      <c r="B1209" s="12"/>
      <c r="C1209" s="18"/>
    </row>
    <row r="1210" spans="2:3" x14ac:dyDescent="0.25">
      <c r="B1210" s="12"/>
      <c r="C1210" s="18"/>
    </row>
    <row r="1211" spans="2:3" x14ac:dyDescent="0.25">
      <c r="B1211" s="12"/>
      <c r="C1211" s="18"/>
    </row>
    <row r="1212" spans="2:3" x14ac:dyDescent="0.25">
      <c r="B1212" s="12"/>
      <c r="C1212" s="18"/>
    </row>
    <row r="1213" spans="2:3" x14ac:dyDescent="0.25">
      <c r="B1213" s="12"/>
      <c r="C1213" s="18"/>
    </row>
    <row r="1214" spans="2:3" x14ac:dyDescent="0.25">
      <c r="B1214" s="12"/>
      <c r="C1214" s="18"/>
    </row>
    <row r="1215" spans="2:3" x14ac:dyDescent="0.25">
      <c r="B1215" s="12"/>
      <c r="C1215" s="18"/>
    </row>
    <row r="1216" spans="2:3" x14ac:dyDescent="0.25">
      <c r="B1216" s="12"/>
      <c r="C1216" s="18"/>
    </row>
    <row r="1217" spans="2:3" x14ac:dyDescent="0.25">
      <c r="B1217" s="12"/>
      <c r="C1217" s="18"/>
    </row>
    <row r="1218" spans="2:3" x14ac:dyDescent="0.25">
      <c r="B1218" s="12"/>
      <c r="C1218" s="18"/>
    </row>
    <row r="1219" spans="2:3" x14ac:dyDescent="0.25">
      <c r="B1219" s="12"/>
      <c r="C1219" s="18"/>
    </row>
    <row r="1220" spans="2:3" x14ac:dyDescent="0.25">
      <c r="B1220" s="12"/>
      <c r="C1220" s="18"/>
    </row>
    <row r="1221" spans="2:3" x14ac:dyDescent="0.25">
      <c r="B1221" s="12"/>
      <c r="C1221" s="18"/>
    </row>
    <row r="1222" spans="2:3" x14ac:dyDescent="0.25">
      <c r="B1222" s="12"/>
      <c r="C1222" s="18"/>
    </row>
    <row r="1223" spans="2:3" x14ac:dyDescent="0.25">
      <c r="B1223" s="12"/>
      <c r="C1223" s="18"/>
    </row>
    <row r="1224" spans="2:3" x14ac:dyDescent="0.25">
      <c r="B1224" s="12"/>
      <c r="C1224" s="18"/>
    </row>
    <row r="1225" spans="2:3" x14ac:dyDescent="0.25">
      <c r="B1225" s="12"/>
      <c r="C1225" s="18"/>
    </row>
    <row r="1226" spans="2:3" x14ac:dyDescent="0.25">
      <c r="B1226" s="12"/>
      <c r="C1226" s="18"/>
    </row>
    <row r="1227" spans="2:3" x14ac:dyDescent="0.25">
      <c r="B1227" s="12"/>
      <c r="C1227" s="18"/>
    </row>
    <row r="1228" spans="2:3" x14ac:dyDescent="0.25">
      <c r="B1228" s="12"/>
      <c r="C1228" s="18"/>
    </row>
    <row r="1229" spans="2:3" x14ac:dyDescent="0.25">
      <c r="B1229" s="12"/>
      <c r="C1229" s="18"/>
    </row>
    <row r="1230" spans="2:3" x14ac:dyDescent="0.25">
      <c r="B1230" s="12"/>
      <c r="C1230" s="18"/>
    </row>
    <row r="1231" spans="2:3" x14ac:dyDescent="0.25">
      <c r="B1231" s="12"/>
      <c r="C1231" s="18"/>
    </row>
    <row r="1232" spans="2:3" x14ac:dyDescent="0.25">
      <c r="B1232" s="12"/>
      <c r="C1232" s="18"/>
    </row>
    <row r="1233" spans="2:3" x14ac:dyDescent="0.25">
      <c r="B1233" s="12"/>
      <c r="C1233" s="18"/>
    </row>
    <row r="1234" spans="2:3" x14ac:dyDescent="0.25">
      <c r="B1234" s="12"/>
      <c r="C1234" s="18"/>
    </row>
    <row r="1235" spans="2:3" x14ac:dyDescent="0.25">
      <c r="B1235" s="12"/>
      <c r="C1235" s="18"/>
    </row>
    <row r="1236" spans="2:3" x14ac:dyDescent="0.25">
      <c r="B1236" s="12"/>
      <c r="C1236" s="18"/>
    </row>
    <row r="1237" spans="2:3" x14ac:dyDescent="0.25">
      <c r="B1237" s="12"/>
      <c r="C1237" s="18"/>
    </row>
    <row r="1238" spans="2:3" x14ac:dyDescent="0.25">
      <c r="B1238" s="12"/>
      <c r="C1238" s="18"/>
    </row>
    <row r="1239" spans="2:3" x14ac:dyDescent="0.25">
      <c r="B1239" s="12"/>
      <c r="C1239" s="18"/>
    </row>
    <row r="1240" spans="2:3" x14ac:dyDescent="0.25">
      <c r="B1240" s="12"/>
      <c r="C1240" s="18"/>
    </row>
    <row r="1241" spans="2:3" x14ac:dyDescent="0.25">
      <c r="B1241" s="12"/>
      <c r="C1241" s="18"/>
    </row>
    <row r="1242" spans="2:3" x14ac:dyDescent="0.25">
      <c r="B1242" s="12"/>
      <c r="C1242" s="18"/>
    </row>
    <row r="1243" spans="2:3" x14ac:dyDescent="0.25">
      <c r="B1243" s="12"/>
      <c r="C1243" s="18"/>
    </row>
    <row r="1244" spans="2:3" x14ac:dyDescent="0.25">
      <c r="B1244" s="12"/>
      <c r="C1244" s="18"/>
    </row>
    <row r="1245" spans="2:3" x14ac:dyDescent="0.25">
      <c r="B1245" s="12"/>
      <c r="C1245" s="18"/>
    </row>
    <row r="1246" spans="2:3" x14ac:dyDescent="0.25">
      <c r="B1246" s="12"/>
      <c r="C1246" s="18"/>
    </row>
    <row r="1247" spans="2:3" x14ac:dyDescent="0.25">
      <c r="B1247" s="12"/>
      <c r="C1247" s="18"/>
    </row>
    <row r="1248" spans="2:3" x14ac:dyDescent="0.25">
      <c r="B1248" s="12"/>
      <c r="C1248" s="18"/>
    </row>
    <row r="1249" spans="2:3" x14ac:dyDescent="0.25">
      <c r="B1249" s="12"/>
      <c r="C1249" s="18"/>
    </row>
    <row r="1250" spans="2:3" x14ac:dyDescent="0.25">
      <c r="B1250" s="12"/>
      <c r="C1250" s="18"/>
    </row>
    <row r="1251" spans="2:3" x14ac:dyDescent="0.25">
      <c r="B1251" s="12"/>
      <c r="C1251" s="18"/>
    </row>
    <row r="1252" spans="2:3" x14ac:dyDescent="0.25">
      <c r="B1252" s="12"/>
      <c r="C1252" s="18"/>
    </row>
    <row r="1253" spans="2:3" x14ac:dyDescent="0.25">
      <c r="B1253" s="12"/>
      <c r="C1253" s="18"/>
    </row>
    <row r="1254" spans="2:3" x14ac:dyDescent="0.25">
      <c r="B1254" s="12"/>
      <c r="C1254" s="18"/>
    </row>
    <row r="1255" spans="2:3" x14ac:dyDescent="0.25">
      <c r="B1255" s="12"/>
      <c r="C1255" s="18"/>
    </row>
    <row r="1256" spans="2:3" x14ac:dyDescent="0.25">
      <c r="B1256" s="12"/>
      <c r="C1256" s="18"/>
    </row>
    <row r="1257" spans="2:3" x14ac:dyDescent="0.25">
      <c r="B1257" s="12"/>
      <c r="C1257" s="18"/>
    </row>
    <row r="1258" spans="2:3" x14ac:dyDescent="0.25">
      <c r="B1258" s="12"/>
      <c r="C1258" s="18"/>
    </row>
    <row r="1259" spans="2:3" x14ac:dyDescent="0.25">
      <c r="B1259" s="12"/>
      <c r="C1259" s="18"/>
    </row>
    <row r="1260" spans="2:3" x14ac:dyDescent="0.25">
      <c r="B1260" s="12"/>
      <c r="C1260" s="18"/>
    </row>
    <row r="1261" spans="2:3" x14ac:dyDescent="0.25">
      <c r="B1261" s="12"/>
      <c r="C1261" s="18"/>
    </row>
    <row r="1262" spans="2:3" x14ac:dyDescent="0.25">
      <c r="B1262" s="12"/>
      <c r="C1262" s="18"/>
    </row>
    <row r="1263" spans="2:3" x14ac:dyDescent="0.25">
      <c r="B1263" s="12"/>
      <c r="C1263" s="18"/>
    </row>
    <row r="1264" spans="2:3" x14ac:dyDescent="0.25">
      <c r="B1264" s="12"/>
      <c r="C1264" s="18"/>
    </row>
    <row r="1265" spans="2:3" x14ac:dyDescent="0.25">
      <c r="B1265" s="12"/>
      <c r="C1265" s="18"/>
    </row>
    <row r="1266" spans="2:3" x14ac:dyDescent="0.25">
      <c r="B1266" s="12"/>
      <c r="C1266" s="18"/>
    </row>
    <row r="1267" spans="2:3" x14ac:dyDescent="0.25">
      <c r="B1267" s="12"/>
      <c r="C1267" s="18"/>
    </row>
    <row r="1268" spans="2:3" x14ac:dyDescent="0.25">
      <c r="B1268" s="12"/>
      <c r="C1268" s="18"/>
    </row>
    <row r="1269" spans="2:3" x14ac:dyDescent="0.25">
      <c r="B1269" s="12"/>
      <c r="C1269" s="18"/>
    </row>
    <row r="1270" spans="2:3" x14ac:dyDescent="0.25">
      <c r="B1270" s="12"/>
      <c r="C1270" s="18"/>
    </row>
    <row r="1271" spans="2:3" x14ac:dyDescent="0.25">
      <c r="B1271" s="12"/>
      <c r="C1271" s="18"/>
    </row>
    <row r="1272" spans="2:3" x14ac:dyDescent="0.25">
      <c r="B1272" s="12"/>
      <c r="C1272" s="18"/>
    </row>
    <row r="1273" spans="2:3" x14ac:dyDescent="0.25">
      <c r="B1273" s="12"/>
      <c r="C1273" s="18"/>
    </row>
    <row r="1274" spans="2:3" x14ac:dyDescent="0.25">
      <c r="B1274" s="12"/>
      <c r="C1274" s="18"/>
    </row>
    <row r="1275" spans="2:3" x14ac:dyDescent="0.25">
      <c r="B1275" s="12"/>
      <c r="C1275" s="18"/>
    </row>
    <row r="1276" spans="2:3" x14ac:dyDescent="0.25">
      <c r="B1276" s="12"/>
      <c r="C1276" s="18"/>
    </row>
    <row r="1277" spans="2:3" x14ac:dyDescent="0.25">
      <c r="B1277" s="12"/>
      <c r="C1277" s="18"/>
    </row>
    <row r="1278" spans="2:3" x14ac:dyDescent="0.25">
      <c r="B1278" s="12"/>
      <c r="C1278" s="18"/>
    </row>
    <row r="1279" spans="2:3" x14ac:dyDescent="0.25">
      <c r="B1279" s="12"/>
      <c r="C1279" s="18"/>
    </row>
    <row r="1280" spans="2:3" x14ac:dyDescent="0.25">
      <c r="B1280" s="12"/>
      <c r="C1280" s="18"/>
    </row>
    <row r="1281" spans="2:3" x14ac:dyDescent="0.25">
      <c r="B1281" s="12"/>
      <c r="C1281" s="18"/>
    </row>
    <row r="1282" spans="2:3" x14ac:dyDescent="0.25">
      <c r="B1282" s="12"/>
      <c r="C1282" s="18"/>
    </row>
    <row r="1283" spans="2:3" x14ac:dyDescent="0.25">
      <c r="B1283" s="12"/>
      <c r="C1283" s="18"/>
    </row>
    <row r="1284" spans="2:3" x14ac:dyDescent="0.25">
      <c r="B1284" s="12"/>
      <c r="C1284" s="18"/>
    </row>
    <row r="1285" spans="2:3" x14ac:dyDescent="0.25">
      <c r="B1285" s="12"/>
      <c r="C1285" s="18"/>
    </row>
    <row r="1286" spans="2:3" x14ac:dyDescent="0.25">
      <c r="B1286" s="12"/>
      <c r="C1286" s="18"/>
    </row>
    <row r="1287" spans="2:3" x14ac:dyDescent="0.25">
      <c r="B1287" s="12"/>
      <c r="C1287" s="18"/>
    </row>
    <row r="1288" spans="2:3" x14ac:dyDescent="0.25">
      <c r="B1288" s="12"/>
      <c r="C1288" s="18"/>
    </row>
    <row r="1289" spans="2:3" x14ac:dyDescent="0.25">
      <c r="B1289" s="12"/>
      <c r="C1289" s="18"/>
    </row>
    <row r="1290" spans="2:3" x14ac:dyDescent="0.25">
      <c r="B1290" s="12"/>
      <c r="C1290" s="18"/>
    </row>
    <row r="1291" spans="2:3" x14ac:dyDescent="0.25">
      <c r="B1291" s="12"/>
      <c r="C1291" s="18"/>
    </row>
    <row r="1292" spans="2:3" x14ac:dyDescent="0.25">
      <c r="B1292" s="12"/>
      <c r="C1292" s="18"/>
    </row>
    <row r="1293" spans="2:3" x14ac:dyDescent="0.25">
      <c r="B1293" s="12"/>
      <c r="C1293" s="18"/>
    </row>
    <row r="1294" spans="2:3" x14ac:dyDescent="0.25">
      <c r="B1294" s="12"/>
      <c r="C1294" s="18"/>
    </row>
    <row r="1295" spans="2:3" x14ac:dyDescent="0.25">
      <c r="B1295" s="12"/>
      <c r="C1295" s="18"/>
    </row>
    <row r="1296" spans="2:3" x14ac:dyDescent="0.25">
      <c r="B1296" s="12"/>
      <c r="C1296" s="18"/>
    </row>
    <row r="1297" spans="2:3" x14ac:dyDescent="0.25">
      <c r="B1297" s="12"/>
      <c r="C1297" s="18"/>
    </row>
    <row r="1298" spans="2:3" x14ac:dyDescent="0.25">
      <c r="B1298" s="12"/>
      <c r="C1298" s="18"/>
    </row>
    <row r="1299" spans="2:3" x14ac:dyDescent="0.25">
      <c r="B1299" s="12"/>
      <c r="C1299" s="18"/>
    </row>
    <row r="1300" spans="2:3" x14ac:dyDescent="0.25">
      <c r="B1300" s="12"/>
      <c r="C1300" s="18"/>
    </row>
    <row r="1301" spans="2:3" x14ac:dyDescent="0.25">
      <c r="B1301" s="12"/>
      <c r="C1301" s="18"/>
    </row>
    <row r="1302" spans="2:3" x14ac:dyDescent="0.25">
      <c r="B1302" s="12"/>
      <c r="C1302" s="18"/>
    </row>
    <row r="1303" spans="2:3" x14ac:dyDescent="0.25">
      <c r="B1303" s="12"/>
      <c r="C1303" s="18"/>
    </row>
    <row r="1304" spans="2:3" x14ac:dyDescent="0.25">
      <c r="B1304" s="12"/>
      <c r="C1304" s="18"/>
    </row>
    <row r="1305" spans="2:3" x14ac:dyDescent="0.25">
      <c r="B1305" s="12"/>
      <c r="C1305" s="18"/>
    </row>
    <row r="1306" spans="2:3" x14ac:dyDescent="0.25">
      <c r="B1306" s="12"/>
      <c r="C1306" s="18"/>
    </row>
    <row r="1307" spans="2:3" x14ac:dyDescent="0.25">
      <c r="B1307" s="12"/>
      <c r="C1307" s="18"/>
    </row>
    <row r="1308" spans="2:3" x14ac:dyDescent="0.25">
      <c r="B1308" s="12"/>
      <c r="C1308" s="18"/>
    </row>
    <row r="1309" spans="2:3" x14ac:dyDescent="0.25">
      <c r="B1309" s="12"/>
      <c r="C1309" s="18"/>
    </row>
    <row r="1310" spans="2:3" x14ac:dyDescent="0.25">
      <c r="B1310" s="12"/>
      <c r="C1310" s="18"/>
    </row>
    <row r="1311" spans="2:3" x14ac:dyDescent="0.25">
      <c r="B1311" s="12"/>
      <c r="C1311" s="18"/>
    </row>
    <row r="1312" spans="2:3" x14ac:dyDescent="0.25">
      <c r="B1312" s="12"/>
      <c r="C1312" s="18"/>
    </row>
    <row r="1313" spans="2:3" x14ac:dyDescent="0.25">
      <c r="B1313" s="12"/>
      <c r="C1313" s="18"/>
    </row>
    <row r="1314" spans="2:3" x14ac:dyDescent="0.25">
      <c r="B1314" s="12"/>
      <c r="C1314" s="18"/>
    </row>
    <row r="1315" spans="2:3" x14ac:dyDescent="0.25">
      <c r="B1315" s="12"/>
      <c r="C1315" s="18"/>
    </row>
    <row r="1316" spans="2:3" x14ac:dyDescent="0.25">
      <c r="B1316" s="12"/>
      <c r="C1316" s="18"/>
    </row>
    <row r="1317" spans="2:3" x14ac:dyDescent="0.25">
      <c r="B1317" s="12"/>
      <c r="C1317" s="18"/>
    </row>
    <row r="1318" spans="2:3" x14ac:dyDescent="0.25">
      <c r="B1318" s="12"/>
      <c r="C1318" s="18"/>
    </row>
    <row r="1319" spans="2:3" x14ac:dyDescent="0.25">
      <c r="B1319" s="12"/>
      <c r="C1319" s="18"/>
    </row>
    <row r="1320" spans="2:3" x14ac:dyDescent="0.25">
      <c r="B1320" s="12"/>
      <c r="C1320" s="18"/>
    </row>
    <row r="1321" spans="2:3" x14ac:dyDescent="0.25">
      <c r="B1321" s="12"/>
      <c r="C1321" s="18"/>
    </row>
    <row r="1322" spans="2:3" x14ac:dyDescent="0.25">
      <c r="B1322" s="12"/>
      <c r="C1322" s="18"/>
    </row>
    <row r="1323" spans="2:3" x14ac:dyDescent="0.25">
      <c r="B1323" s="12"/>
      <c r="C1323" s="18"/>
    </row>
    <row r="1324" spans="2:3" x14ac:dyDescent="0.25">
      <c r="B1324" s="12"/>
      <c r="C1324" s="18"/>
    </row>
    <row r="1325" spans="2:3" x14ac:dyDescent="0.25">
      <c r="B1325" s="12"/>
      <c r="C1325" s="18"/>
    </row>
    <row r="1326" spans="2:3" x14ac:dyDescent="0.25">
      <c r="B1326" s="12"/>
      <c r="C1326" s="18"/>
    </row>
    <row r="1327" spans="2:3" x14ac:dyDescent="0.25">
      <c r="B1327" s="12"/>
      <c r="C1327" s="18"/>
    </row>
    <row r="1328" spans="2:3" x14ac:dyDescent="0.25">
      <c r="B1328" s="12"/>
      <c r="C1328" s="18"/>
    </row>
    <row r="1329" spans="2:3" x14ac:dyDescent="0.25">
      <c r="B1329" s="12"/>
      <c r="C1329" s="18"/>
    </row>
    <row r="1330" spans="2:3" x14ac:dyDescent="0.25">
      <c r="B1330" s="12"/>
      <c r="C1330" s="18"/>
    </row>
    <row r="1331" spans="2:3" x14ac:dyDescent="0.25">
      <c r="B1331" s="12"/>
      <c r="C1331" s="18"/>
    </row>
    <row r="1332" spans="2:3" x14ac:dyDescent="0.25">
      <c r="B1332" s="12"/>
      <c r="C1332" s="18"/>
    </row>
    <row r="1333" spans="2:3" x14ac:dyDescent="0.25">
      <c r="B1333" s="12"/>
      <c r="C1333" s="18"/>
    </row>
    <row r="1334" spans="2:3" x14ac:dyDescent="0.25">
      <c r="B1334" s="12"/>
      <c r="C1334" s="18"/>
    </row>
    <row r="1335" spans="2:3" x14ac:dyDescent="0.25">
      <c r="B1335" s="12"/>
      <c r="C1335" s="18"/>
    </row>
    <row r="1336" spans="2:3" x14ac:dyDescent="0.25">
      <c r="B1336" s="12"/>
      <c r="C1336" s="18"/>
    </row>
    <row r="1337" spans="2:3" x14ac:dyDescent="0.25">
      <c r="B1337" s="12"/>
      <c r="C1337" s="18"/>
    </row>
    <row r="1338" spans="2:3" x14ac:dyDescent="0.25">
      <c r="B1338" s="12"/>
      <c r="C1338" s="18"/>
    </row>
    <row r="1339" spans="2:3" x14ac:dyDescent="0.25">
      <c r="B1339" s="12"/>
      <c r="C1339" s="18"/>
    </row>
    <row r="1340" spans="2:3" x14ac:dyDescent="0.25">
      <c r="B1340" s="12"/>
      <c r="C1340" s="18"/>
    </row>
    <row r="1341" spans="2:3" x14ac:dyDescent="0.25">
      <c r="B1341" s="12"/>
      <c r="C1341" s="18"/>
    </row>
    <row r="1342" spans="2:3" x14ac:dyDescent="0.25">
      <c r="B1342" s="12"/>
      <c r="C1342" s="18"/>
    </row>
    <row r="1343" spans="2:3" x14ac:dyDescent="0.25">
      <c r="B1343" s="12"/>
      <c r="C1343" s="18"/>
    </row>
    <row r="1344" spans="2:3" x14ac:dyDescent="0.25">
      <c r="B1344" s="12"/>
      <c r="C1344" s="18"/>
    </row>
    <row r="1345" spans="2:3" x14ac:dyDescent="0.25">
      <c r="B1345" s="12"/>
      <c r="C1345" s="18"/>
    </row>
    <row r="1346" spans="2:3" x14ac:dyDescent="0.25">
      <c r="B1346" s="12"/>
      <c r="C1346" s="18"/>
    </row>
    <row r="1347" spans="2:3" x14ac:dyDescent="0.25">
      <c r="B1347" s="12"/>
      <c r="C1347" s="18"/>
    </row>
    <row r="1348" spans="2:3" x14ac:dyDescent="0.25">
      <c r="B1348" s="12"/>
      <c r="C1348" s="18"/>
    </row>
    <row r="1349" spans="2:3" x14ac:dyDescent="0.25">
      <c r="B1349" s="12"/>
      <c r="C1349" s="18"/>
    </row>
    <row r="1350" spans="2:3" x14ac:dyDescent="0.25">
      <c r="B1350" s="12"/>
      <c r="C1350" s="18"/>
    </row>
    <row r="1351" spans="2:3" x14ac:dyDescent="0.25">
      <c r="B1351" s="12"/>
      <c r="C1351" s="18"/>
    </row>
    <row r="1352" spans="2:3" x14ac:dyDescent="0.25">
      <c r="B1352" s="12"/>
      <c r="C1352" s="18"/>
    </row>
    <row r="1353" spans="2:3" x14ac:dyDescent="0.25">
      <c r="B1353" s="12"/>
      <c r="C1353" s="18"/>
    </row>
    <row r="1354" spans="2:3" x14ac:dyDescent="0.25">
      <c r="B1354" s="12"/>
      <c r="C1354" s="18"/>
    </row>
    <row r="1355" spans="2:3" x14ac:dyDescent="0.25">
      <c r="B1355" s="12"/>
      <c r="C1355" s="18"/>
    </row>
    <row r="1356" spans="2:3" x14ac:dyDescent="0.25">
      <c r="B1356" s="12"/>
      <c r="C1356" s="18"/>
    </row>
    <row r="1357" spans="2:3" x14ac:dyDescent="0.25">
      <c r="B1357" s="12"/>
      <c r="C1357" s="18"/>
    </row>
    <row r="1358" spans="2:3" x14ac:dyDescent="0.25">
      <c r="B1358" s="12"/>
      <c r="C1358" s="18"/>
    </row>
    <row r="1359" spans="2:3" x14ac:dyDescent="0.25">
      <c r="B1359" s="12"/>
      <c r="C1359" s="18"/>
    </row>
    <row r="1360" spans="2:3" x14ac:dyDescent="0.25">
      <c r="B1360" s="12"/>
      <c r="C1360" s="18"/>
    </row>
    <row r="1361" spans="2:3" x14ac:dyDescent="0.25">
      <c r="B1361" s="12"/>
      <c r="C1361" s="18"/>
    </row>
    <row r="1362" spans="2:3" x14ac:dyDescent="0.25">
      <c r="B1362" s="12"/>
      <c r="C1362" s="18"/>
    </row>
    <row r="1363" spans="2:3" x14ac:dyDescent="0.25">
      <c r="B1363" s="12"/>
      <c r="C1363" s="18"/>
    </row>
    <row r="1364" spans="2:3" x14ac:dyDescent="0.25">
      <c r="B1364" s="12"/>
      <c r="C1364" s="18"/>
    </row>
    <row r="1365" spans="2:3" x14ac:dyDescent="0.25">
      <c r="B1365" s="12"/>
      <c r="C1365" s="18"/>
    </row>
    <row r="1366" spans="2:3" x14ac:dyDescent="0.25">
      <c r="B1366" s="12"/>
      <c r="C1366" s="18"/>
    </row>
    <row r="1367" spans="2:3" x14ac:dyDescent="0.25">
      <c r="B1367" s="12"/>
      <c r="C1367" s="18"/>
    </row>
    <row r="1368" spans="2:3" x14ac:dyDescent="0.25">
      <c r="B1368" s="12"/>
      <c r="C1368" s="18"/>
    </row>
    <row r="1369" spans="2:3" x14ac:dyDescent="0.25">
      <c r="B1369" s="12"/>
      <c r="C1369" s="18"/>
    </row>
    <row r="1370" spans="2:3" x14ac:dyDescent="0.25">
      <c r="B1370" s="12"/>
      <c r="C1370" s="18"/>
    </row>
    <row r="1371" spans="2:3" x14ac:dyDescent="0.25">
      <c r="B1371" s="12"/>
      <c r="C1371" s="18"/>
    </row>
    <row r="1372" spans="2:3" x14ac:dyDescent="0.25">
      <c r="B1372" s="12"/>
      <c r="C1372" s="18"/>
    </row>
    <row r="1373" spans="2:3" x14ac:dyDescent="0.25">
      <c r="B1373" s="12"/>
      <c r="C1373" s="18"/>
    </row>
    <row r="1374" spans="2:3" x14ac:dyDescent="0.25">
      <c r="B1374" s="12"/>
      <c r="C1374" s="18"/>
    </row>
    <row r="1375" spans="2:3" x14ac:dyDescent="0.25">
      <c r="B1375" s="12"/>
      <c r="C1375" s="18"/>
    </row>
    <row r="1376" spans="2:3" x14ac:dyDescent="0.25">
      <c r="B1376" s="12"/>
      <c r="C1376" s="18"/>
    </row>
    <row r="1377" spans="2:3" x14ac:dyDescent="0.25">
      <c r="B1377" s="12"/>
      <c r="C1377" s="18"/>
    </row>
    <row r="1378" spans="2:3" x14ac:dyDescent="0.25">
      <c r="B1378" s="12"/>
      <c r="C1378" s="18"/>
    </row>
    <row r="1379" spans="2:3" x14ac:dyDescent="0.25">
      <c r="B1379" s="12"/>
      <c r="C1379" s="18"/>
    </row>
    <row r="1380" spans="2:3" x14ac:dyDescent="0.25">
      <c r="B1380" s="12"/>
      <c r="C1380" s="18"/>
    </row>
    <row r="1381" spans="2:3" x14ac:dyDescent="0.25">
      <c r="B1381" s="12"/>
      <c r="C1381" s="18"/>
    </row>
    <row r="1382" spans="2:3" x14ac:dyDescent="0.25">
      <c r="B1382" s="12"/>
      <c r="C1382" s="18"/>
    </row>
    <row r="1383" spans="2:3" x14ac:dyDescent="0.25">
      <c r="B1383" s="12"/>
      <c r="C1383" s="18"/>
    </row>
    <row r="1384" spans="2:3" x14ac:dyDescent="0.25">
      <c r="B1384" s="12"/>
      <c r="C1384" s="18"/>
    </row>
    <row r="1385" spans="2:3" x14ac:dyDescent="0.25">
      <c r="B1385" s="12"/>
      <c r="C1385" s="18"/>
    </row>
    <row r="1386" spans="2:3" x14ac:dyDescent="0.25">
      <c r="B1386" s="12"/>
      <c r="C1386" s="18"/>
    </row>
    <row r="1387" spans="2:3" x14ac:dyDescent="0.25">
      <c r="B1387" s="12"/>
      <c r="C1387" s="18"/>
    </row>
    <row r="1388" spans="2:3" x14ac:dyDescent="0.25">
      <c r="B1388" s="12"/>
      <c r="C1388" s="18"/>
    </row>
    <row r="1389" spans="2:3" x14ac:dyDescent="0.25">
      <c r="B1389" s="12"/>
      <c r="C1389" s="18"/>
    </row>
    <row r="1390" spans="2:3" x14ac:dyDescent="0.25">
      <c r="B1390" s="12"/>
      <c r="C1390" s="18"/>
    </row>
    <row r="1391" spans="2:3" x14ac:dyDescent="0.25">
      <c r="B1391" s="12"/>
      <c r="C1391" s="18"/>
    </row>
    <row r="1392" spans="2:3" x14ac:dyDescent="0.25">
      <c r="B1392" s="12"/>
      <c r="C1392" s="18"/>
    </row>
    <row r="1393" spans="2:3" x14ac:dyDescent="0.25">
      <c r="B1393" s="12"/>
      <c r="C1393" s="18"/>
    </row>
    <row r="1394" spans="2:3" x14ac:dyDescent="0.25">
      <c r="B1394" s="12"/>
      <c r="C1394" s="18"/>
    </row>
    <row r="1395" spans="2:3" x14ac:dyDescent="0.25">
      <c r="B1395" s="12"/>
      <c r="C1395" s="18"/>
    </row>
    <row r="1396" spans="2:3" x14ac:dyDescent="0.25">
      <c r="B1396" s="12"/>
      <c r="C1396" s="18"/>
    </row>
    <row r="1397" spans="2:3" x14ac:dyDescent="0.25">
      <c r="B1397" s="12"/>
      <c r="C1397" s="18"/>
    </row>
    <row r="1398" spans="2:3" x14ac:dyDescent="0.25">
      <c r="B1398" s="12"/>
      <c r="C1398" s="18"/>
    </row>
    <row r="1399" spans="2:3" x14ac:dyDescent="0.25">
      <c r="B1399" s="12"/>
      <c r="C1399" s="18"/>
    </row>
    <row r="1400" spans="2:3" x14ac:dyDescent="0.25">
      <c r="B1400" s="12"/>
      <c r="C1400" s="18"/>
    </row>
    <row r="1401" spans="2:3" x14ac:dyDescent="0.25">
      <c r="B1401" s="12"/>
      <c r="C1401" s="18"/>
    </row>
    <row r="1402" spans="2:3" x14ac:dyDescent="0.25">
      <c r="B1402" s="12"/>
      <c r="C1402" s="18"/>
    </row>
    <row r="1403" spans="2:3" x14ac:dyDescent="0.25">
      <c r="B1403" s="12"/>
      <c r="C1403" s="18"/>
    </row>
    <row r="1404" spans="2:3" x14ac:dyDescent="0.25">
      <c r="B1404" s="12"/>
      <c r="C1404" s="18"/>
    </row>
    <row r="1405" spans="2:3" x14ac:dyDescent="0.25">
      <c r="B1405" s="12"/>
      <c r="C1405" s="18"/>
    </row>
    <row r="1406" spans="2:3" x14ac:dyDescent="0.25">
      <c r="B1406" s="12"/>
      <c r="C1406" s="18"/>
    </row>
    <row r="1407" spans="2:3" x14ac:dyDescent="0.25">
      <c r="B1407" s="12"/>
      <c r="C1407" s="18"/>
    </row>
    <row r="1408" spans="2:3" x14ac:dyDescent="0.25">
      <c r="B1408" s="12"/>
      <c r="C1408" s="18"/>
    </row>
    <row r="1409" spans="2:3" x14ac:dyDescent="0.25">
      <c r="B1409" s="12"/>
      <c r="C1409" s="18"/>
    </row>
    <row r="1410" spans="2:3" x14ac:dyDescent="0.25">
      <c r="B1410" s="12"/>
      <c r="C1410" s="18"/>
    </row>
    <row r="1411" spans="2:3" x14ac:dyDescent="0.25">
      <c r="B1411" s="12"/>
      <c r="C1411" s="18"/>
    </row>
    <row r="1412" spans="2:3" x14ac:dyDescent="0.25">
      <c r="B1412" s="12"/>
      <c r="C1412" s="18"/>
    </row>
    <row r="1413" spans="2:3" x14ac:dyDescent="0.25">
      <c r="B1413" s="12"/>
      <c r="C1413" s="18"/>
    </row>
    <row r="1414" spans="2:3" x14ac:dyDescent="0.25">
      <c r="B1414" s="12"/>
      <c r="C1414" s="18"/>
    </row>
    <row r="1415" spans="2:3" x14ac:dyDescent="0.25">
      <c r="B1415" s="12"/>
      <c r="C1415" s="18"/>
    </row>
    <row r="1416" spans="2:3" x14ac:dyDescent="0.25">
      <c r="B1416" s="12"/>
      <c r="C1416" s="18"/>
    </row>
    <row r="1417" spans="2:3" x14ac:dyDescent="0.25">
      <c r="B1417" s="12"/>
      <c r="C1417" s="18"/>
    </row>
    <row r="1418" spans="2:3" x14ac:dyDescent="0.25">
      <c r="B1418" s="12"/>
      <c r="C1418" s="18"/>
    </row>
    <row r="1419" spans="2:3" x14ac:dyDescent="0.25">
      <c r="B1419" s="12"/>
      <c r="C1419" s="18"/>
    </row>
    <row r="1420" spans="2:3" x14ac:dyDescent="0.25">
      <c r="B1420" s="12"/>
      <c r="C1420" s="18"/>
    </row>
    <row r="1421" spans="2:3" x14ac:dyDescent="0.25">
      <c r="B1421" s="12"/>
      <c r="C1421" s="18"/>
    </row>
    <row r="1422" spans="2:3" x14ac:dyDescent="0.25">
      <c r="B1422" s="12"/>
      <c r="C1422" s="18"/>
    </row>
    <row r="1423" spans="2:3" x14ac:dyDescent="0.25">
      <c r="B1423" s="12"/>
      <c r="C1423" s="18"/>
    </row>
    <row r="1424" spans="2:3" x14ac:dyDescent="0.25">
      <c r="B1424" s="12"/>
      <c r="C1424" s="18"/>
    </row>
    <row r="1425" spans="2:3" x14ac:dyDescent="0.25">
      <c r="B1425" s="12"/>
      <c r="C1425" s="18"/>
    </row>
    <row r="1426" spans="2:3" x14ac:dyDescent="0.25">
      <c r="B1426" s="12"/>
      <c r="C1426" s="18"/>
    </row>
    <row r="1427" spans="2:3" x14ac:dyDescent="0.25">
      <c r="B1427" s="12"/>
      <c r="C1427" s="18"/>
    </row>
    <row r="1428" spans="2:3" x14ac:dyDescent="0.25">
      <c r="B1428" s="12"/>
      <c r="C1428" s="18"/>
    </row>
    <row r="1429" spans="2:3" x14ac:dyDescent="0.25">
      <c r="B1429" s="12"/>
      <c r="C1429" s="18"/>
    </row>
    <row r="1430" spans="2:3" x14ac:dyDescent="0.25">
      <c r="B1430" s="12"/>
      <c r="C1430" s="18"/>
    </row>
    <row r="1431" spans="2:3" x14ac:dyDescent="0.25">
      <c r="B1431" s="12"/>
      <c r="C1431" s="18"/>
    </row>
    <row r="1432" spans="2:3" x14ac:dyDescent="0.25">
      <c r="B1432" s="12"/>
      <c r="C1432" s="18"/>
    </row>
    <row r="1433" spans="2:3" x14ac:dyDescent="0.25">
      <c r="B1433" s="12"/>
      <c r="C1433" s="18"/>
    </row>
    <row r="1434" spans="2:3" x14ac:dyDescent="0.25">
      <c r="B1434" s="12"/>
      <c r="C1434" s="18"/>
    </row>
    <row r="1435" spans="2:3" x14ac:dyDescent="0.25">
      <c r="B1435" s="12"/>
      <c r="C1435" s="18"/>
    </row>
    <row r="1436" spans="2:3" x14ac:dyDescent="0.25">
      <c r="B1436" s="12"/>
      <c r="C1436" s="18"/>
    </row>
    <row r="1437" spans="2:3" x14ac:dyDescent="0.25">
      <c r="B1437" s="12"/>
      <c r="C1437" s="18"/>
    </row>
    <row r="1438" spans="2:3" x14ac:dyDescent="0.25">
      <c r="B1438" s="12"/>
      <c r="C1438" s="18"/>
    </row>
    <row r="1439" spans="2:3" x14ac:dyDescent="0.25">
      <c r="B1439" s="12"/>
      <c r="C1439" s="18"/>
    </row>
    <row r="1440" spans="2:3" x14ac:dyDescent="0.25">
      <c r="B1440" s="12"/>
      <c r="C1440" s="18"/>
    </row>
    <row r="1441" spans="2:3" x14ac:dyDescent="0.25">
      <c r="B1441" s="12"/>
      <c r="C1441" s="18"/>
    </row>
    <row r="1442" spans="2:3" x14ac:dyDescent="0.25">
      <c r="B1442" s="12"/>
      <c r="C1442" s="18"/>
    </row>
    <row r="1443" spans="2:3" x14ac:dyDescent="0.25">
      <c r="B1443" s="12"/>
      <c r="C1443" s="18"/>
    </row>
    <row r="1444" spans="2:3" x14ac:dyDescent="0.25">
      <c r="B1444" s="12"/>
      <c r="C1444" s="18"/>
    </row>
    <row r="1445" spans="2:3" x14ac:dyDescent="0.25">
      <c r="B1445" s="12"/>
      <c r="C1445" s="18"/>
    </row>
    <row r="1446" spans="2:3" x14ac:dyDescent="0.25">
      <c r="B1446" s="12"/>
      <c r="C1446" s="18"/>
    </row>
    <row r="1447" spans="2:3" x14ac:dyDescent="0.25">
      <c r="B1447" s="12"/>
      <c r="C1447" s="18"/>
    </row>
    <row r="1448" spans="2:3" x14ac:dyDescent="0.25">
      <c r="B1448" s="12"/>
      <c r="C1448" s="18"/>
    </row>
    <row r="1449" spans="2:3" x14ac:dyDescent="0.25">
      <c r="B1449" s="12"/>
      <c r="C1449" s="18"/>
    </row>
    <row r="1450" spans="2:3" x14ac:dyDescent="0.25">
      <c r="B1450" s="12"/>
      <c r="C1450" s="18"/>
    </row>
    <row r="1451" spans="2:3" x14ac:dyDescent="0.25">
      <c r="B1451" s="12"/>
      <c r="C1451" s="18"/>
    </row>
    <row r="1452" spans="2:3" x14ac:dyDescent="0.25">
      <c r="B1452" s="12"/>
      <c r="C1452" s="18"/>
    </row>
    <row r="1453" spans="2:3" x14ac:dyDescent="0.25">
      <c r="B1453" s="12"/>
      <c r="C1453" s="18"/>
    </row>
    <row r="1454" spans="2:3" x14ac:dyDescent="0.25">
      <c r="B1454" s="12"/>
      <c r="C1454" s="18"/>
    </row>
    <row r="1455" spans="2:3" x14ac:dyDescent="0.25">
      <c r="B1455" s="12"/>
      <c r="C1455" s="18"/>
    </row>
    <row r="1456" spans="2:3" x14ac:dyDescent="0.25">
      <c r="B1456" s="12"/>
      <c r="C1456" s="18"/>
    </row>
    <row r="1457" spans="2:3" x14ac:dyDescent="0.25">
      <c r="B1457" s="12"/>
      <c r="C1457" s="18"/>
    </row>
    <row r="1458" spans="2:3" x14ac:dyDescent="0.25">
      <c r="B1458" s="12"/>
      <c r="C1458" s="18"/>
    </row>
    <row r="1459" spans="2:3" x14ac:dyDescent="0.25">
      <c r="B1459" s="12"/>
      <c r="C1459" s="18"/>
    </row>
    <row r="1460" spans="2:3" x14ac:dyDescent="0.25">
      <c r="B1460" s="12"/>
      <c r="C1460" s="18"/>
    </row>
    <row r="1461" spans="2:3" x14ac:dyDescent="0.25">
      <c r="B1461" s="12"/>
      <c r="C1461" s="18"/>
    </row>
    <row r="1462" spans="2:3" x14ac:dyDescent="0.25">
      <c r="B1462" s="12"/>
      <c r="C1462" s="18"/>
    </row>
    <row r="1463" spans="2:3" x14ac:dyDescent="0.25">
      <c r="B1463" s="12"/>
      <c r="C1463" s="18"/>
    </row>
    <row r="1464" spans="2:3" x14ac:dyDescent="0.25">
      <c r="B1464" s="12"/>
      <c r="C1464" s="18"/>
    </row>
    <row r="1465" spans="2:3" x14ac:dyDescent="0.25">
      <c r="B1465" s="12"/>
      <c r="C1465" s="18"/>
    </row>
    <row r="1466" spans="2:3" x14ac:dyDescent="0.25">
      <c r="B1466" s="12"/>
      <c r="C1466" s="18"/>
    </row>
    <row r="1467" spans="2:3" x14ac:dyDescent="0.25">
      <c r="B1467" s="12"/>
      <c r="C1467" s="18"/>
    </row>
    <row r="1468" spans="2:3" x14ac:dyDescent="0.25">
      <c r="B1468" s="12"/>
      <c r="C1468" s="18"/>
    </row>
    <row r="1469" spans="2:3" x14ac:dyDescent="0.25">
      <c r="B1469" s="12"/>
      <c r="C1469" s="18"/>
    </row>
    <row r="1470" spans="2:3" x14ac:dyDescent="0.25">
      <c r="B1470" s="12"/>
      <c r="C1470" s="18"/>
    </row>
    <row r="1471" spans="2:3" x14ac:dyDescent="0.25">
      <c r="B1471" s="12"/>
      <c r="C1471" s="18"/>
    </row>
    <row r="1472" spans="2:3" x14ac:dyDescent="0.25">
      <c r="B1472" s="12"/>
      <c r="C1472" s="18"/>
    </row>
    <row r="1473" spans="2:3" x14ac:dyDescent="0.25">
      <c r="B1473" s="12"/>
      <c r="C1473" s="18"/>
    </row>
    <row r="1474" spans="2:3" x14ac:dyDescent="0.25">
      <c r="B1474" s="12"/>
      <c r="C1474" s="18"/>
    </row>
    <row r="1475" spans="2:3" x14ac:dyDescent="0.25">
      <c r="B1475" s="12"/>
      <c r="C1475" s="18"/>
    </row>
    <row r="1476" spans="2:3" x14ac:dyDescent="0.25">
      <c r="B1476" s="12"/>
      <c r="C1476" s="18"/>
    </row>
    <row r="1477" spans="2:3" x14ac:dyDescent="0.25">
      <c r="B1477" s="12"/>
      <c r="C1477" s="18"/>
    </row>
    <row r="1478" spans="2:3" x14ac:dyDescent="0.25">
      <c r="B1478" s="12"/>
      <c r="C1478" s="18"/>
    </row>
    <row r="1479" spans="2:3" x14ac:dyDescent="0.25">
      <c r="B1479" s="12"/>
      <c r="C1479" s="18"/>
    </row>
    <row r="1480" spans="2:3" x14ac:dyDescent="0.25">
      <c r="B1480" s="12"/>
      <c r="C1480" s="18"/>
    </row>
    <row r="1481" spans="2:3" x14ac:dyDescent="0.25">
      <c r="B1481" s="12"/>
      <c r="C1481" s="18"/>
    </row>
    <row r="1482" spans="2:3" x14ac:dyDescent="0.25">
      <c r="B1482" s="12"/>
      <c r="C1482" s="18"/>
    </row>
    <row r="1483" spans="2:3" x14ac:dyDescent="0.25">
      <c r="B1483" s="12"/>
      <c r="C1483" s="18"/>
    </row>
    <row r="1484" spans="2:3" x14ac:dyDescent="0.25">
      <c r="B1484" s="12"/>
      <c r="C1484" s="18"/>
    </row>
    <row r="1485" spans="2:3" x14ac:dyDescent="0.25">
      <c r="B1485" s="12"/>
      <c r="C1485" s="18"/>
    </row>
    <row r="1486" spans="2:3" x14ac:dyDescent="0.25">
      <c r="B1486" s="12"/>
      <c r="C1486" s="18"/>
    </row>
    <row r="1487" spans="2:3" x14ac:dyDescent="0.25">
      <c r="B1487" s="12"/>
      <c r="C1487" s="18"/>
    </row>
    <row r="1488" spans="2:3" x14ac:dyDescent="0.25">
      <c r="B1488" s="12"/>
      <c r="C1488" s="18"/>
    </row>
    <row r="1489" spans="2:3" x14ac:dyDescent="0.25">
      <c r="B1489" s="12"/>
      <c r="C1489" s="18"/>
    </row>
    <row r="1490" spans="2:3" x14ac:dyDescent="0.25">
      <c r="B1490" s="12"/>
      <c r="C1490" s="18"/>
    </row>
    <row r="1491" spans="2:3" x14ac:dyDescent="0.25">
      <c r="B1491" s="12"/>
      <c r="C1491" s="18"/>
    </row>
    <row r="1492" spans="2:3" x14ac:dyDescent="0.25">
      <c r="B1492" s="12"/>
      <c r="C1492" s="18"/>
    </row>
    <row r="1493" spans="2:3" x14ac:dyDescent="0.25">
      <c r="B1493" s="12"/>
      <c r="C1493" s="18"/>
    </row>
    <row r="1494" spans="2:3" x14ac:dyDescent="0.25">
      <c r="B1494" s="12"/>
      <c r="C1494" s="18"/>
    </row>
    <row r="1495" spans="2:3" x14ac:dyDescent="0.25">
      <c r="B1495" s="12"/>
      <c r="C1495" s="18"/>
    </row>
    <row r="1496" spans="2:3" x14ac:dyDescent="0.25">
      <c r="B1496" s="12"/>
      <c r="C1496" s="18"/>
    </row>
    <row r="1497" spans="2:3" x14ac:dyDescent="0.25">
      <c r="B1497" s="12"/>
      <c r="C1497" s="18"/>
    </row>
    <row r="1498" spans="2:3" x14ac:dyDescent="0.25">
      <c r="B1498" s="12"/>
      <c r="C1498" s="18"/>
    </row>
    <row r="1499" spans="2:3" x14ac:dyDescent="0.25">
      <c r="B1499" s="12"/>
      <c r="C1499" s="18"/>
    </row>
    <row r="1500" spans="2:3" x14ac:dyDescent="0.25">
      <c r="B1500" s="12"/>
      <c r="C1500" s="18"/>
    </row>
    <row r="1501" spans="2:3" x14ac:dyDescent="0.25">
      <c r="B1501" s="12"/>
      <c r="C1501" s="18"/>
    </row>
    <row r="1502" spans="2:3" x14ac:dyDescent="0.25">
      <c r="B1502" s="12"/>
      <c r="C1502" s="18"/>
    </row>
    <row r="1503" spans="2:3" x14ac:dyDescent="0.25">
      <c r="B1503" s="12"/>
      <c r="C1503" s="18"/>
    </row>
    <row r="1504" spans="2:3" x14ac:dyDescent="0.25">
      <c r="B1504" s="12"/>
      <c r="C1504" s="18"/>
    </row>
    <row r="1505" spans="2:3" x14ac:dyDescent="0.25">
      <c r="B1505" s="12"/>
      <c r="C1505" s="18"/>
    </row>
    <row r="1506" spans="2:3" x14ac:dyDescent="0.25">
      <c r="B1506" s="12"/>
      <c r="C1506" s="18"/>
    </row>
    <row r="1507" spans="2:3" x14ac:dyDescent="0.25">
      <c r="B1507" s="12"/>
      <c r="C1507" s="18"/>
    </row>
    <row r="1508" spans="2:3" x14ac:dyDescent="0.25">
      <c r="B1508" s="12"/>
      <c r="C1508" s="18"/>
    </row>
    <row r="1509" spans="2:3" x14ac:dyDescent="0.25">
      <c r="B1509" s="12"/>
      <c r="C1509" s="18"/>
    </row>
    <row r="1510" spans="2:3" x14ac:dyDescent="0.25">
      <c r="B1510" s="12"/>
      <c r="C1510" s="18"/>
    </row>
    <row r="1511" spans="2:3" x14ac:dyDescent="0.25">
      <c r="B1511" s="12"/>
      <c r="C1511" s="18"/>
    </row>
    <row r="1512" spans="2:3" x14ac:dyDescent="0.25">
      <c r="B1512" s="12"/>
      <c r="C1512" s="18"/>
    </row>
    <row r="1513" spans="2:3" x14ac:dyDescent="0.25">
      <c r="B1513" s="12"/>
      <c r="C1513" s="18"/>
    </row>
    <row r="1514" spans="2:3" x14ac:dyDescent="0.25">
      <c r="B1514" s="12"/>
      <c r="C1514" s="18"/>
    </row>
    <row r="1515" spans="2:3" x14ac:dyDescent="0.25">
      <c r="B1515" s="12"/>
      <c r="C1515" s="18"/>
    </row>
    <row r="1516" spans="2:3" x14ac:dyDescent="0.25">
      <c r="B1516" s="12"/>
      <c r="C1516" s="18"/>
    </row>
    <row r="1517" spans="2:3" x14ac:dyDescent="0.25">
      <c r="B1517" s="12"/>
      <c r="C1517" s="18"/>
    </row>
    <row r="1518" spans="2:3" x14ac:dyDescent="0.25">
      <c r="B1518" s="12"/>
      <c r="C1518" s="18"/>
    </row>
    <row r="1519" spans="2:3" x14ac:dyDescent="0.25">
      <c r="B1519" s="12"/>
      <c r="C1519" s="18"/>
    </row>
    <row r="1520" spans="2:3" x14ac:dyDescent="0.25">
      <c r="B1520" s="12"/>
      <c r="C1520" s="18"/>
    </row>
    <row r="1521" spans="2:3" x14ac:dyDescent="0.25">
      <c r="B1521" s="12"/>
      <c r="C1521" s="18"/>
    </row>
    <row r="1522" spans="2:3" x14ac:dyDescent="0.25">
      <c r="B1522" s="12"/>
      <c r="C1522" s="18"/>
    </row>
    <row r="1523" spans="2:3" x14ac:dyDescent="0.25">
      <c r="B1523" s="12"/>
      <c r="C1523" s="18"/>
    </row>
    <row r="1524" spans="2:3" x14ac:dyDescent="0.25">
      <c r="B1524" s="12"/>
      <c r="C1524" s="18"/>
    </row>
    <row r="1525" spans="2:3" x14ac:dyDescent="0.25">
      <c r="B1525" s="12"/>
      <c r="C1525" s="18"/>
    </row>
    <row r="1526" spans="2:3" x14ac:dyDescent="0.25">
      <c r="B1526" s="12"/>
      <c r="C1526" s="18"/>
    </row>
    <row r="1527" spans="2:3" x14ac:dyDescent="0.25">
      <c r="B1527" s="12"/>
      <c r="C1527" s="18"/>
    </row>
    <row r="1528" spans="2:3" x14ac:dyDescent="0.25">
      <c r="B1528" s="12"/>
      <c r="C1528" s="18"/>
    </row>
    <row r="1529" spans="2:3" x14ac:dyDescent="0.25">
      <c r="B1529" s="12"/>
      <c r="C1529" s="18"/>
    </row>
    <row r="1530" spans="2:3" x14ac:dyDescent="0.25">
      <c r="B1530" s="12"/>
      <c r="C1530" s="18"/>
    </row>
    <row r="1531" spans="2:3" x14ac:dyDescent="0.25">
      <c r="B1531" s="12"/>
      <c r="C1531" s="18"/>
    </row>
    <row r="1532" spans="2:3" x14ac:dyDescent="0.25">
      <c r="B1532" s="12"/>
      <c r="C1532" s="18"/>
    </row>
    <row r="1533" spans="2:3" x14ac:dyDescent="0.25">
      <c r="B1533" s="12"/>
      <c r="C1533" s="18"/>
    </row>
    <row r="1534" spans="2:3" x14ac:dyDescent="0.25">
      <c r="B1534" s="12"/>
      <c r="C1534" s="18"/>
    </row>
    <row r="1535" spans="2:3" x14ac:dyDescent="0.25">
      <c r="B1535" s="12"/>
      <c r="C1535" s="18"/>
    </row>
    <row r="1536" spans="2:3" x14ac:dyDescent="0.25">
      <c r="B1536" s="12"/>
      <c r="C1536" s="18"/>
    </row>
    <row r="1537" spans="2:3" x14ac:dyDescent="0.25">
      <c r="B1537" s="12"/>
      <c r="C1537" s="18"/>
    </row>
    <row r="1538" spans="2:3" x14ac:dyDescent="0.25">
      <c r="B1538" s="12"/>
      <c r="C1538" s="18"/>
    </row>
    <row r="1539" spans="2:3" x14ac:dyDescent="0.25">
      <c r="B1539" s="12"/>
      <c r="C1539" s="18"/>
    </row>
    <row r="1540" spans="2:3" x14ac:dyDescent="0.25">
      <c r="B1540" s="12"/>
      <c r="C1540" s="18"/>
    </row>
    <row r="1541" spans="2:3" x14ac:dyDescent="0.25">
      <c r="B1541" s="12"/>
      <c r="C1541" s="18"/>
    </row>
    <row r="1542" spans="2:3" x14ac:dyDescent="0.25">
      <c r="B1542" s="12"/>
      <c r="C1542" s="18"/>
    </row>
    <row r="1543" spans="2:3" x14ac:dyDescent="0.25">
      <c r="B1543" s="12"/>
      <c r="C1543" s="18"/>
    </row>
    <row r="1544" spans="2:3" x14ac:dyDescent="0.25">
      <c r="B1544" s="12"/>
      <c r="C1544" s="18"/>
    </row>
    <row r="1545" spans="2:3" x14ac:dyDescent="0.25">
      <c r="B1545" s="12"/>
      <c r="C1545" s="18"/>
    </row>
    <row r="1546" spans="2:3" x14ac:dyDescent="0.25">
      <c r="B1546" s="12"/>
      <c r="C1546" s="18"/>
    </row>
    <row r="1547" spans="2:3" x14ac:dyDescent="0.25">
      <c r="B1547" s="12"/>
      <c r="C1547" s="18"/>
    </row>
    <row r="1548" spans="2:3" x14ac:dyDescent="0.25">
      <c r="B1548" s="12"/>
      <c r="C1548" s="18"/>
    </row>
    <row r="1549" spans="2:3" x14ac:dyDescent="0.25">
      <c r="B1549" s="12"/>
      <c r="C1549" s="18"/>
    </row>
    <row r="1550" spans="2:3" x14ac:dyDescent="0.25">
      <c r="B1550" s="12"/>
      <c r="C1550" s="18"/>
    </row>
    <row r="1551" spans="2:3" x14ac:dyDescent="0.25">
      <c r="B1551" s="12"/>
      <c r="C1551" s="18"/>
    </row>
    <row r="1552" spans="2:3" x14ac:dyDescent="0.25">
      <c r="B1552" s="12"/>
      <c r="C1552" s="18"/>
    </row>
    <row r="1553" spans="2:3" x14ac:dyDescent="0.25">
      <c r="B1553" s="12"/>
      <c r="C1553" s="18"/>
    </row>
    <row r="1554" spans="2:3" x14ac:dyDescent="0.25">
      <c r="B1554" s="12"/>
      <c r="C1554" s="18"/>
    </row>
    <row r="1555" spans="2:3" x14ac:dyDescent="0.25">
      <c r="B1555" s="12"/>
      <c r="C1555" s="18"/>
    </row>
    <row r="1556" spans="2:3" x14ac:dyDescent="0.25">
      <c r="B1556" s="12"/>
      <c r="C1556" s="18"/>
    </row>
    <row r="1557" spans="2:3" x14ac:dyDescent="0.25">
      <c r="B1557" s="12"/>
      <c r="C1557" s="18"/>
    </row>
    <row r="1558" spans="2:3" x14ac:dyDescent="0.25">
      <c r="B1558" s="12"/>
      <c r="C1558" s="18"/>
    </row>
    <row r="1559" spans="2:3" x14ac:dyDescent="0.25">
      <c r="B1559" s="12"/>
      <c r="C1559" s="18"/>
    </row>
    <row r="1560" spans="2:3" x14ac:dyDescent="0.25">
      <c r="B1560" s="12"/>
      <c r="C1560" s="18"/>
    </row>
    <row r="1561" spans="2:3" x14ac:dyDescent="0.25">
      <c r="B1561" s="12"/>
      <c r="C1561" s="18"/>
    </row>
    <row r="1562" spans="2:3" x14ac:dyDescent="0.25">
      <c r="B1562" s="12"/>
      <c r="C1562" s="18"/>
    </row>
    <row r="1563" spans="2:3" x14ac:dyDescent="0.25">
      <c r="B1563" s="12"/>
      <c r="C1563" s="18"/>
    </row>
    <row r="1564" spans="2:3" x14ac:dyDescent="0.25">
      <c r="B1564" s="12"/>
      <c r="C1564" s="18"/>
    </row>
    <row r="1565" spans="2:3" x14ac:dyDescent="0.25">
      <c r="B1565" s="12"/>
      <c r="C1565" s="18"/>
    </row>
    <row r="1566" spans="2:3" x14ac:dyDescent="0.25">
      <c r="B1566" s="12"/>
      <c r="C1566" s="18"/>
    </row>
    <row r="1567" spans="2:3" x14ac:dyDescent="0.25">
      <c r="B1567" s="12"/>
      <c r="C1567" s="18"/>
    </row>
    <row r="1568" spans="2:3" x14ac:dyDescent="0.25">
      <c r="B1568" s="12"/>
      <c r="C1568" s="18"/>
    </row>
    <row r="1569" spans="2:3" x14ac:dyDescent="0.25">
      <c r="B1569" s="12"/>
      <c r="C1569" s="18"/>
    </row>
    <row r="1570" spans="2:3" x14ac:dyDescent="0.25">
      <c r="B1570" s="12"/>
      <c r="C1570" s="18"/>
    </row>
    <row r="1571" spans="2:3" x14ac:dyDescent="0.25">
      <c r="B1571" s="12"/>
      <c r="C1571" s="18"/>
    </row>
    <row r="1572" spans="2:3" x14ac:dyDescent="0.25">
      <c r="B1572" s="12"/>
      <c r="C1572" s="18"/>
    </row>
    <row r="1573" spans="2:3" x14ac:dyDescent="0.25">
      <c r="B1573" s="12"/>
      <c r="C1573" s="18"/>
    </row>
    <row r="1574" spans="2:3" x14ac:dyDescent="0.25">
      <c r="B1574" s="12"/>
      <c r="C1574" s="18"/>
    </row>
    <row r="1575" spans="2:3" x14ac:dyDescent="0.25">
      <c r="B1575" s="12"/>
      <c r="C1575" s="18"/>
    </row>
    <row r="1576" spans="2:3" x14ac:dyDescent="0.25">
      <c r="B1576" s="12"/>
      <c r="C1576" s="18"/>
    </row>
    <row r="1577" spans="2:3" x14ac:dyDescent="0.25">
      <c r="B1577" s="12"/>
      <c r="C1577" s="18"/>
    </row>
    <row r="1578" spans="2:3" x14ac:dyDescent="0.25">
      <c r="B1578" s="12"/>
      <c r="C1578" s="18"/>
    </row>
    <row r="1579" spans="2:3" x14ac:dyDescent="0.25">
      <c r="B1579" s="12"/>
      <c r="C1579" s="18"/>
    </row>
    <row r="1580" spans="2:3" x14ac:dyDescent="0.25">
      <c r="B1580" s="12"/>
      <c r="C1580" s="18"/>
    </row>
    <row r="1581" spans="2:3" x14ac:dyDescent="0.25">
      <c r="B1581" s="12"/>
      <c r="C1581" s="18"/>
    </row>
    <row r="1582" spans="2:3" x14ac:dyDescent="0.25">
      <c r="B1582" s="12"/>
      <c r="C1582" s="18"/>
    </row>
    <row r="1583" spans="2:3" x14ac:dyDescent="0.25">
      <c r="B1583" s="12"/>
      <c r="C1583" s="18"/>
    </row>
    <row r="1584" spans="2:3" x14ac:dyDescent="0.25">
      <c r="B1584" s="12"/>
      <c r="C1584" s="18"/>
    </row>
    <row r="1585" spans="2:3" x14ac:dyDescent="0.25">
      <c r="B1585" s="12"/>
      <c r="C1585" s="18"/>
    </row>
    <row r="1586" spans="2:3" x14ac:dyDescent="0.25">
      <c r="B1586" s="12"/>
      <c r="C1586" s="18"/>
    </row>
    <row r="1587" spans="2:3" x14ac:dyDescent="0.25">
      <c r="B1587" s="12"/>
      <c r="C1587" s="18"/>
    </row>
    <row r="1588" spans="2:3" x14ac:dyDescent="0.25">
      <c r="B1588" s="12"/>
      <c r="C1588" s="18"/>
    </row>
    <row r="1589" spans="2:3" x14ac:dyDescent="0.25">
      <c r="B1589" s="12"/>
      <c r="C1589" s="18"/>
    </row>
    <row r="1590" spans="2:3" x14ac:dyDescent="0.25">
      <c r="B1590" s="12"/>
      <c r="C1590" s="18"/>
    </row>
    <row r="1591" spans="2:3" x14ac:dyDescent="0.25">
      <c r="B1591" s="12"/>
      <c r="C1591" s="18"/>
    </row>
    <row r="1592" spans="2:3" x14ac:dyDescent="0.25">
      <c r="B1592" s="12"/>
      <c r="C1592" s="18"/>
    </row>
    <row r="1593" spans="2:3" x14ac:dyDescent="0.25">
      <c r="B1593" s="12"/>
      <c r="C1593" s="18"/>
    </row>
    <row r="1594" spans="2:3" x14ac:dyDescent="0.25">
      <c r="B1594" s="12"/>
      <c r="C1594" s="18"/>
    </row>
    <row r="1595" spans="2:3" x14ac:dyDescent="0.25">
      <c r="B1595" s="12"/>
      <c r="C1595" s="18"/>
    </row>
    <row r="1596" spans="2:3" x14ac:dyDescent="0.25">
      <c r="B1596" s="12"/>
      <c r="C1596" s="18"/>
    </row>
    <row r="1597" spans="2:3" x14ac:dyDescent="0.25">
      <c r="B1597" s="12"/>
      <c r="C1597" s="18"/>
    </row>
    <row r="1598" spans="2:3" x14ac:dyDescent="0.25">
      <c r="B1598" s="12"/>
      <c r="C1598" s="18"/>
    </row>
    <row r="1599" spans="2:3" x14ac:dyDescent="0.25">
      <c r="B1599" s="12"/>
      <c r="C1599" s="18"/>
    </row>
    <row r="1600" spans="2:3" x14ac:dyDescent="0.25">
      <c r="B1600" s="12"/>
      <c r="C1600" s="18"/>
    </row>
    <row r="1601" spans="2:3" x14ac:dyDescent="0.25">
      <c r="B1601" s="12"/>
      <c r="C1601" s="18"/>
    </row>
    <row r="1602" spans="2:3" x14ac:dyDescent="0.25">
      <c r="B1602" s="12"/>
      <c r="C1602" s="18"/>
    </row>
    <row r="1603" spans="2:3" x14ac:dyDescent="0.25">
      <c r="B1603" s="12"/>
      <c r="C1603" s="18"/>
    </row>
    <row r="1604" spans="2:3" x14ac:dyDescent="0.25">
      <c r="B1604" s="12"/>
      <c r="C1604" s="18"/>
    </row>
    <row r="1605" spans="2:3" x14ac:dyDescent="0.25">
      <c r="B1605" s="12"/>
      <c r="C1605" s="18"/>
    </row>
    <row r="1606" spans="2:3" x14ac:dyDescent="0.25">
      <c r="B1606" s="12"/>
      <c r="C1606" s="18"/>
    </row>
    <row r="1607" spans="2:3" x14ac:dyDescent="0.25">
      <c r="B1607" s="12"/>
      <c r="C1607" s="18"/>
    </row>
    <row r="1608" spans="2:3" x14ac:dyDescent="0.25">
      <c r="B1608" s="12"/>
      <c r="C1608" s="18"/>
    </row>
    <row r="1609" spans="2:3" x14ac:dyDescent="0.25">
      <c r="B1609" s="12"/>
      <c r="C1609" s="18"/>
    </row>
    <row r="1610" spans="2:3" x14ac:dyDescent="0.25">
      <c r="B1610" s="12"/>
      <c r="C1610" s="18"/>
    </row>
    <row r="1611" spans="2:3" x14ac:dyDescent="0.25">
      <c r="B1611" s="12"/>
      <c r="C1611" s="18"/>
    </row>
    <row r="1612" spans="2:3" x14ac:dyDescent="0.25">
      <c r="B1612" s="12"/>
      <c r="C1612" s="18"/>
    </row>
    <row r="1613" spans="2:3" x14ac:dyDescent="0.25">
      <c r="B1613" s="12"/>
      <c r="C1613" s="18"/>
    </row>
    <row r="1614" spans="2:3" x14ac:dyDescent="0.25">
      <c r="B1614" s="12"/>
      <c r="C1614" s="18"/>
    </row>
    <row r="1615" spans="2:3" x14ac:dyDescent="0.25">
      <c r="B1615" s="12"/>
      <c r="C1615" s="18"/>
    </row>
    <row r="1616" spans="2:3" x14ac:dyDescent="0.25">
      <c r="B1616" s="12"/>
      <c r="C1616" s="18"/>
    </row>
    <row r="1617" spans="2:3" x14ac:dyDescent="0.25">
      <c r="B1617" s="12"/>
      <c r="C1617" s="18"/>
    </row>
    <row r="1618" spans="2:3" x14ac:dyDescent="0.25">
      <c r="B1618" s="12"/>
      <c r="C1618" s="18"/>
    </row>
    <row r="1619" spans="2:3" x14ac:dyDescent="0.25">
      <c r="B1619" s="12"/>
      <c r="C1619" s="18"/>
    </row>
    <row r="1620" spans="2:3" x14ac:dyDescent="0.25">
      <c r="B1620" s="12"/>
      <c r="C1620" s="18"/>
    </row>
    <row r="1621" spans="2:3" x14ac:dyDescent="0.25">
      <c r="B1621" s="12"/>
      <c r="C1621" s="18"/>
    </row>
    <row r="1622" spans="2:3" x14ac:dyDescent="0.25">
      <c r="B1622" s="12"/>
      <c r="C1622" s="18"/>
    </row>
    <row r="1623" spans="2:3" x14ac:dyDescent="0.25">
      <c r="B1623" s="12"/>
      <c r="C1623" s="18"/>
    </row>
    <row r="1624" spans="2:3" x14ac:dyDescent="0.25">
      <c r="B1624" s="12"/>
      <c r="C1624" s="18"/>
    </row>
    <row r="1625" spans="2:3" x14ac:dyDescent="0.25">
      <c r="B1625" s="12"/>
      <c r="C1625" s="18"/>
    </row>
    <row r="1626" spans="2:3" x14ac:dyDescent="0.25">
      <c r="B1626" s="12"/>
      <c r="C1626" s="18"/>
    </row>
    <row r="1627" spans="2:3" x14ac:dyDescent="0.25">
      <c r="B1627" s="12"/>
      <c r="C1627" s="18"/>
    </row>
    <row r="1628" spans="2:3" x14ac:dyDescent="0.25">
      <c r="B1628" s="12"/>
      <c r="C1628" s="18"/>
    </row>
    <row r="1629" spans="2:3" x14ac:dyDescent="0.25">
      <c r="B1629" s="12"/>
      <c r="C1629" s="18"/>
    </row>
    <row r="1630" spans="2:3" x14ac:dyDescent="0.25">
      <c r="B1630" s="12"/>
      <c r="C1630" s="18"/>
    </row>
    <row r="1631" spans="2:3" x14ac:dyDescent="0.25">
      <c r="B1631" s="12"/>
      <c r="C1631" s="18"/>
    </row>
    <row r="1632" spans="2:3" x14ac:dyDescent="0.25">
      <c r="B1632" s="12"/>
      <c r="C1632" s="18"/>
    </row>
    <row r="1633" spans="2:3" x14ac:dyDescent="0.25">
      <c r="B1633" s="12"/>
      <c r="C1633" s="18"/>
    </row>
    <row r="1634" spans="2:3" x14ac:dyDescent="0.25">
      <c r="B1634" s="12"/>
      <c r="C1634" s="18"/>
    </row>
    <row r="1635" spans="2:3" x14ac:dyDescent="0.25">
      <c r="B1635" s="12"/>
      <c r="C1635" s="18"/>
    </row>
    <row r="1636" spans="2:3" x14ac:dyDescent="0.25">
      <c r="B1636" s="12"/>
      <c r="C1636" s="18"/>
    </row>
    <row r="1637" spans="2:3" x14ac:dyDescent="0.25">
      <c r="B1637" s="12"/>
      <c r="C1637" s="18"/>
    </row>
    <row r="1638" spans="2:3" x14ac:dyDescent="0.25">
      <c r="B1638" s="12"/>
      <c r="C1638" s="18"/>
    </row>
    <row r="1639" spans="2:3" x14ac:dyDescent="0.25">
      <c r="B1639" s="12"/>
      <c r="C1639" s="18"/>
    </row>
    <row r="1640" spans="2:3" x14ac:dyDescent="0.25">
      <c r="B1640" s="12"/>
      <c r="C1640" s="18"/>
    </row>
    <row r="1641" spans="2:3" x14ac:dyDescent="0.25">
      <c r="B1641" s="12"/>
      <c r="C1641" s="18"/>
    </row>
    <row r="1642" spans="2:3" x14ac:dyDescent="0.25">
      <c r="B1642" s="12"/>
      <c r="C1642" s="18"/>
    </row>
    <row r="1643" spans="2:3" x14ac:dyDescent="0.25">
      <c r="B1643" s="12"/>
      <c r="C1643" s="18"/>
    </row>
    <row r="1644" spans="2:3" x14ac:dyDescent="0.25">
      <c r="B1644" s="12"/>
      <c r="C1644" s="18"/>
    </row>
    <row r="1645" spans="2:3" x14ac:dyDescent="0.25">
      <c r="B1645" s="12"/>
      <c r="C1645" s="18"/>
    </row>
    <row r="1646" spans="2:3" x14ac:dyDescent="0.25">
      <c r="B1646" s="12"/>
      <c r="C1646" s="18"/>
    </row>
    <row r="1647" spans="2:3" x14ac:dyDescent="0.25">
      <c r="B1647" s="12"/>
      <c r="C1647" s="18"/>
    </row>
    <row r="1648" spans="2:3" x14ac:dyDescent="0.25">
      <c r="B1648" s="12"/>
      <c r="C1648" s="18"/>
    </row>
    <row r="1649" spans="2:3" x14ac:dyDescent="0.25">
      <c r="B1649" s="12"/>
      <c r="C1649" s="18"/>
    </row>
    <row r="1650" spans="2:3" x14ac:dyDescent="0.25">
      <c r="B1650" s="12"/>
      <c r="C1650" s="18"/>
    </row>
    <row r="1651" spans="2:3" x14ac:dyDescent="0.25">
      <c r="B1651" s="12"/>
      <c r="C1651" s="18"/>
    </row>
    <row r="1652" spans="2:3" x14ac:dyDescent="0.25">
      <c r="B1652" s="12"/>
      <c r="C1652" s="18"/>
    </row>
    <row r="1653" spans="2:3" x14ac:dyDescent="0.25">
      <c r="B1653" s="12"/>
      <c r="C1653" s="18"/>
    </row>
    <row r="1654" spans="2:3" x14ac:dyDescent="0.25">
      <c r="B1654" s="12"/>
      <c r="C1654" s="18"/>
    </row>
    <row r="1655" spans="2:3" x14ac:dyDescent="0.25">
      <c r="B1655" s="12"/>
      <c r="C1655" s="18"/>
    </row>
    <row r="1656" spans="2:3" x14ac:dyDescent="0.25">
      <c r="B1656" s="12"/>
      <c r="C1656" s="18"/>
    </row>
    <row r="1657" spans="2:3" x14ac:dyDescent="0.25">
      <c r="B1657" s="12"/>
      <c r="C1657" s="18"/>
    </row>
    <row r="1658" spans="2:3" x14ac:dyDescent="0.25">
      <c r="B1658" s="12"/>
      <c r="C1658" s="18"/>
    </row>
    <row r="1659" spans="2:3" x14ac:dyDescent="0.25">
      <c r="B1659" s="12"/>
      <c r="C1659" s="18"/>
    </row>
    <row r="1660" spans="2:3" x14ac:dyDescent="0.25">
      <c r="B1660" s="12"/>
      <c r="C1660" s="18"/>
    </row>
    <row r="1661" spans="2:3" x14ac:dyDescent="0.25">
      <c r="B1661" s="12"/>
      <c r="C1661" s="18"/>
    </row>
    <row r="1662" spans="2:3" x14ac:dyDescent="0.25">
      <c r="B1662" s="12"/>
      <c r="C1662" s="18"/>
    </row>
    <row r="1663" spans="2:3" x14ac:dyDescent="0.25">
      <c r="B1663" s="12"/>
      <c r="C1663" s="18"/>
    </row>
    <row r="1664" spans="2:3" x14ac:dyDescent="0.25">
      <c r="B1664" s="12"/>
      <c r="C1664" s="18"/>
    </row>
    <row r="1665" spans="2:3" x14ac:dyDescent="0.25">
      <c r="B1665" s="12"/>
      <c r="C1665" s="18"/>
    </row>
    <row r="1666" spans="2:3" x14ac:dyDescent="0.25">
      <c r="B1666" s="12"/>
      <c r="C1666" s="18"/>
    </row>
    <row r="1667" spans="2:3" x14ac:dyDescent="0.25">
      <c r="B1667" s="12"/>
      <c r="C1667" s="18"/>
    </row>
    <row r="1668" spans="2:3" x14ac:dyDescent="0.25">
      <c r="B1668" s="12"/>
      <c r="C1668" s="18"/>
    </row>
    <row r="1669" spans="2:3" x14ac:dyDescent="0.25">
      <c r="B1669" s="12"/>
      <c r="C1669" s="18"/>
    </row>
    <row r="1670" spans="2:3" x14ac:dyDescent="0.25">
      <c r="B1670" s="12"/>
      <c r="C1670" s="18"/>
    </row>
    <row r="1671" spans="2:3" x14ac:dyDescent="0.25">
      <c r="B1671" s="12"/>
      <c r="C1671" s="18"/>
    </row>
    <row r="1672" spans="2:3" x14ac:dyDescent="0.25">
      <c r="B1672" s="12"/>
      <c r="C1672" s="18"/>
    </row>
    <row r="1673" spans="2:3" x14ac:dyDescent="0.25">
      <c r="B1673" s="12"/>
      <c r="C1673" s="18"/>
    </row>
    <row r="1674" spans="2:3" x14ac:dyDescent="0.25">
      <c r="B1674" s="12"/>
      <c r="C1674" s="18"/>
    </row>
    <row r="1675" spans="2:3" x14ac:dyDescent="0.25">
      <c r="B1675" s="12"/>
      <c r="C1675" s="18"/>
    </row>
    <row r="1676" spans="2:3" x14ac:dyDescent="0.25">
      <c r="B1676" s="12"/>
      <c r="C1676" s="18"/>
    </row>
    <row r="1677" spans="2:3" x14ac:dyDescent="0.25">
      <c r="B1677" s="12"/>
      <c r="C1677" s="18"/>
    </row>
    <row r="1678" spans="2:3" x14ac:dyDescent="0.25">
      <c r="B1678" s="12"/>
      <c r="C1678" s="18"/>
    </row>
    <row r="1679" spans="2:3" x14ac:dyDescent="0.25">
      <c r="B1679" s="12"/>
      <c r="C1679" s="18"/>
    </row>
    <row r="1680" spans="2:3" x14ac:dyDescent="0.25">
      <c r="B1680" s="12"/>
      <c r="C1680" s="18"/>
    </row>
    <row r="1681" spans="2:3" x14ac:dyDescent="0.25">
      <c r="B1681" s="12"/>
      <c r="C1681" s="18"/>
    </row>
    <row r="1682" spans="2:3" x14ac:dyDescent="0.25">
      <c r="B1682" s="12"/>
      <c r="C1682" s="18"/>
    </row>
    <row r="1683" spans="2:3" x14ac:dyDescent="0.25">
      <c r="B1683" s="12"/>
      <c r="C1683" s="18"/>
    </row>
    <row r="1684" spans="2:3" x14ac:dyDescent="0.25">
      <c r="B1684" s="12"/>
      <c r="C1684" s="18"/>
    </row>
    <row r="1685" spans="2:3" x14ac:dyDescent="0.25">
      <c r="B1685" s="12"/>
      <c r="C1685" s="18"/>
    </row>
    <row r="1686" spans="2:3" x14ac:dyDescent="0.25">
      <c r="B1686" s="12"/>
      <c r="C1686" s="18"/>
    </row>
    <row r="1687" spans="2:3" x14ac:dyDescent="0.25">
      <c r="B1687" s="12"/>
      <c r="C1687" s="18"/>
    </row>
    <row r="1688" spans="2:3" x14ac:dyDescent="0.25">
      <c r="B1688" s="12"/>
      <c r="C1688" s="18"/>
    </row>
    <row r="1689" spans="2:3" x14ac:dyDescent="0.25">
      <c r="B1689" s="12"/>
      <c r="C1689" s="18"/>
    </row>
    <row r="1690" spans="2:3" x14ac:dyDescent="0.25">
      <c r="B1690" s="12"/>
      <c r="C1690" s="18"/>
    </row>
    <row r="1691" spans="2:3" x14ac:dyDescent="0.25">
      <c r="B1691" s="12"/>
      <c r="C1691" s="18"/>
    </row>
    <row r="1692" spans="2:3" x14ac:dyDescent="0.25">
      <c r="B1692" s="12"/>
      <c r="C1692" s="18"/>
    </row>
    <row r="1693" spans="2:3" x14ac:dyDescent="0.25">
      <c r="B1693" s="12"/>
      <c r="C1693" s="18"/>
    </row>
    <row r="1694" spans="2:3" x14ac:dyDescent="0.25">
      <c r="B1694" s="12"/>
      <c r="C1694" s="18"/>
    </row>
    <row r="1695" spans="2:3" x14ac:dyDescent="0.25">
      <c r="B1695" s="12"/>
      <c r="C1695" s="18"/>
    </row>
    <row r="1696" spans="2:3" x14ac:dyDescent="0.25">
      <c r="B1696" s="12"/>
      <c r="C1696" s="18"/>
    </row>
    <row r="1697" spans="2:3" x14ac:dyDescent="0.25">
      <c r="B1697" s="12"/>
      <c r="C1697" s="18"/>
    </row>
    <row r="1698" spans="2:3" x14ac:dyDescent="0.25">
      <c r="B1698" s="12"/>
      <c r="C1698" s="18"/>
    </row>
    <row r="1699" spans="2:3" x14ac:dyDescent="0.25">
      <c r="B1699" s="12"/>
      <c r="C1699" s="18"/>
    </row>
    <row r="1700" spans="2:3" x14ac:dyDescent="0.25">
      <c r="B1700" s="12"/>
      <c r="C1700" s="18"/>
    </row>
    <row r="1701" spans="2:3" x14ac:dyDescent="0.25">
      <c r="B1701" s="12"/>
      <c r="C1701" s="18"/>
    </row>
    <row r="1702" spans="2:3" x14ac:dyDescent="0.25">
      <c r="B1702" s="12"/>
      <c r="C1702" s="18"/>
    </row>
    <row r="1703" spans="2:3" x14ac:dyDescent="0.25">
      <c r="B1703" s="12"/>
      <c r="C1703" s="18"/>
    </row>
    <row r="1704" spans="2:3" x14ac:dyDescent="0.25">
      <c r="B1704" s="12"/>
      <c r="C1704" s="18"/>
    </row>
    <row r="1705" spans="2:3" x14ac:dyDescent="0.25">
      <c r="B1705" s="12"/>
      <c r="C1705" s="18"/>
    </row>
    <row r="1706" spans="2:3" x14ac:dyDescent="0.25">
      <c r="B1706" s="12"/>
      <c r="C1706" s="18"/>
    </row>
    <row r="1707" spans="2:3" x14ac:dyDescent="0.25">
      <c r="B1707" s="12"/>
      <c r="C1707" s="18"/>
    </row>
    <row r="1708" spans="2:3" x14ac:dyDescent="0.25">
      <c r="B1708" s="12"/>
      <c r="C1708" s="18"/>
    </row>
    <row r="1709" spans="2:3" x14ac:dyDescent="0.25">
      <c r="B1709" s="12"/>
      <c r="C1709" s="18"/>
    </row>
    <row r="1710" spans="2:3" x14ac:dyDescent="0.25">
      <c r="B1710" s="12"/>
      <c r="C1710" s="18"/>
    </row>
    <row r="1711" spans="2:3" x14ac:dyDescent="0.25">
      <c r="B1711" s="12"/>
      <c r="C1711" s="18"/>
    </row>
    <row r="1712" spans="2:3" x14ac:dyDescent="0.25">
      <c r="B1712" s="12"/>
      <c r="C1712" s="18"/>
    </row>
    <row r="1713" spans="2:3" x14ac:dyDescent="0.25">
      <c r="B1713" s="12"/>
      <c r="C1713" s="18"/>
    </row>
    <row r="1714" spans="2:3" x14ac:dyDescent="0.25">
      <c r="B1714" s="12"/>
      <c r="C1714" s="18"/>
    </row>
    <row r="1715" spans="2:3" x14ac:dyDescent="0.25">
      <c r="B1715" s="12"/>
      <c r="C1715" s="18"/>
    </row>
    <row r="1716" spans="2:3" x14ac:dyDescent="0.25">
      <c r="B1716" s="12"/>
      <c r="C1716" s="18"/>
    </row>
    <row r="1717" spans="2:3" x14ac:dyDescent="0.25">
      <c r="B1717" s="12"/>
      <c r="C1717" s="18"/>
    </row>
    <row r="1718" spans="2:3" x14ac:dyDescent="0.25">
      <c r="B1718" s="12"/>
      <c r="C1718" s="18"/>
    </row>
    <row r="1719" spans="2:3" x14ac:dyDescent="0.25">
      <c r="B1719" s="12"/>
      <c r="C1719" s="18"/>
    </row>
    <row r="1720" spans="2:3" x14ac:dyDescent="0.25">
      <c r="B1720" s="12"/>
      <c r="C1720" s="18"/>
    </row>
    <row r="1721" spans="2:3" x14ac:dyDescent="0.25">
      <c r="B1721" s="12"/>
      <c r="C1721" s="18"/>
    </row>
    <row r="1722" spans="2:3" x14ac:dyDescent="0.25">
      <c r="B1722" s="12"/>
      <c r="C1722" s="18"/>
    </row>
    <row r="1723" spans="2:3" x14ac:dyDescent="0.25">
      <c r="B1723" s="12"/>
      <c r="C1723" s="18"/>
    </row>
    <row r="1724" spans="2:3" x14ac:dyDescent="0.25">
      <c r="B1724" s="12"/>
      <c r="C1724" s="18"/>
    </row>
    <row r="1725" spans="2:3" x14ac:dyDescent="0.25">
      <c r="B1725" s="12"/>
      <c r="C1725" s="18"/>
    </row>
    <row r="1726" spans="2:3" x14ac:dyDescent="0.25">
      <c r="B1726" s="12"/>
      <c r="C1726" s="18"/>
    </row>
    <row r="1727" spans="2:3" x14ac:dyDescent="0.25">
      <c r="B1727" s="12"/>
      <c r="C1727" s="18"/>
    </row>
    <row r="1728" spans="2:3" x14ac:dyDescent="0.25">
      <c r="B1728" s="12"/>
      <c r="C1728" s="18"/>
    </row>
    <row r="1729" spans="2:3" x14ac:dyDescent="0.25">
      <c r="B1729" s="12"/>
      <c r="C1729" s="18"/>
    </row>
    <row r="1730" spans="2:3" x14ac:dyDescent="0.25">
      <c r="B1730" s="12"/>
      <c r="C1730" s="18"/>
    </row>
    <row r="1731" spans="2:3" x14ac:dyDescent="0.25">
      <c r="B1731" s="12"/>
      <c r="C1731" s="18"/>
    </row>
    <row r="1732" spans="2:3" x14ac:dyDescent="0.25">
      <c r="B1732" s="12"/>
      <c r="C1732" s="18"/>
    </row>
    <row r="1733" spans="2:3" x14ac:dyDescent="0.25">
      <c r="B1733" s="12"/>
      <c r="C1733" s="18"/>
    </row>
    <row r="1734" spans="2:3" x14ac:dyDescent="0.25">
      <c r="B1734" s="12"/>
      <c r="C1734" s="18"/>
    </row>
    <row r="1735" spans="2:3" x14ac:dyDescent="0.25">
      <c r="B1735" s="12"/>
      <c r="C1735" s="18"/>
    </row>
    <row r="1736" spans="2:3" x14ac:dyDescent="0.25">
      <c r="B1736" s="12"/>
      <c r="C1736" s="18"/>
    </row>
    <row r="1737" spans="2:3" x14ac:dyDescent="0.25">
      <c r="B1737" s="12"/>
      <c r="C1737" s="18"/>
    </row>
    <row r="1738" spans="2:3" x14ac:dyDescent="0.25">
      <c r="B1738" s="12"/>
      <c r="C1738" s="18"/>
    </row>
    <row r="1739" spans="2:3" x14ac:dyDescent="0.25">
      <c r="B1739" s="12"/>
      <c r="C1739" s="18"/>
    </row>
    <row r="1740" spans="2:3" x14ac:dyDescent="0.25">
      <c r="B1740" s="12"/>
      <c r="C1740" s="18"/>
    </row>
    <row r="1741" spans="2:3" x14ac:dyDescent="0.25">
      <c r="B1741" s="12"/>
      <c r="C1741" s="18"/>
    </row>
    <row r="1742" spans="2:3" x14ac:dyDescent="0.25">
      <c r="B1742" s="12"/>
      <c r="C1742" s="18"/>
    </row>
    <row r="1743" spans="2:3" x14ac:dyDescent="0.25">
      <c r="B1743" s="12"/>
      <c r="C1743" s="18"/>
    </row>
    <row r="1744" spans="2:3" x14ac:dyDescent="0.25">
      <c r="B1744" s="12"/>
      <c r="C1744" s="18"/>
    </row>
    <row r="1745" spans="2:3" x14ac:dyDescent="0.25">
      <c r="B1745" s="12"/>
      <c r="C1745" s="18"/>
    </row>
    <row r="1746" spans="2:3" x14ac:dyDescent="0.25">
      <c r="B1746" s="12"/>
      <c r="C1746" s="18"/>
    </row>
    <row r="1747" spans="2:3" x14ac:dyDescent="0.25">
      <c r="B1747" s="12"/>
      <c r="C1747" s="18"/>
    </row>
    <row r="1748" spans="2:3" x14ac:dyDescent="0.25">
      <c r="B1748" s="12"/>
      <c r="C1748" s="18"/>
    </row>
    <row r="1749" spans="2:3" x14ac:dyDescent="0.25">
      <c r="B1749" s="12"/>
      <c r="C1749" s="18"/>
    </row>
    <row r="1750" spans="2:3" x14ac:dyDescent="0.25">
      <c r="B1750" s="12"/>
      <c r="C1750" s="18"/>
    </row>
    <row r="1751" spans="2:3" x14ac:dyDescent="0.25">
      <c r="B1751" s="12"/>
      <c r="C1751" s="18"/>
    </row>
    <row r="1752" spans="2:3" x14ac:dyDescent="0.25">
      <c r="B1752" s="12"/>
      <c r="C1752" s="18"/>
    </row>
    <row r="1753" spans="2:3" x14ac:dyDescent="0.25">
      <c r="B1753" s="12"/>
      <c r="C1753" s="18"/>
    </row>
    <row r="1754" spans="2:3" x14ac:dyDescent="0.25">
      <c r="B1754" s="12"/>
      <c r="C1754" s="18"/>
    </row>
    <row r="1755" spans="2:3" x14ac:dyDescent="0.25">
      <c r="B1755" s="12"/>
      <c r="C1755" s="18"/>
    </row>
    <row r="1756" spans="2:3" x14ac:dyDescent="0.25">
      <c r="B1756" s="12"/>
      <c r="C1756" s="18"/>
    </row>
    <row r="1757" spans="2:3" x14ac:dyDescent="0.25">
      <c r="B1757" s="12"/>
      <c r="C1757" s="18"/>
    </row>
    <row r="1758" spans="2:3" x14ac:dyDescent="0.25">
      <c r="B1758" s="12"/>
      <c r="C1758" s="18"/>
    </row>
    <row r="1759" spans="2:3" x14ac:dyDescent="0.25">
      <c r="B1759" s="12"/>
      <c r="C1759" s="18"/>
    </row>
    <row r="1760" spans="2:3" x14ac:dyDescent="0.25">
      <c r="B1760" s="12"/>
      <c r="C1760" s="18"/>
    </row>
    <row r="1761" spans="2:3" x14ac:dyDescent="0.25">
      <c r="B1761" s="12"/>
      <c r="C1761" s="18"/>
    </row>
    <row r="1762" spans="2:3" x14ac:dyDescent="0.25">
      <c r="B1762" s="12"/>
      <c r="C1762" s="18"/>
    </row>
    <row r="1763" spans="2:3" x14ac:dyDescent="0.25">
      <c r="B1763" s="12"/>
      <c r="C1763" s="18"/>
    </row>
    <row r="1764" spans="2:3" x14ac:dyDescent="0.25">
      <c r="B1764" s="12"/>
      <c r="C1764" s="18"/>
    </row>
    <row r="1765" spans="2:3" x14ac:dyDescent="0.25">
      <c r="B1765" s="12"/>
      <c r="C1765" s="18"/>
    </row>
    <row r="1766" spans="2:3" x14ac:dyDescent="0.25">
      <c r="B1766" s="12"/>
      <c r="C1766" s="18"/>
    </row>
    <row r="1767" spans="2:3" x14ac:dyDescent="0.25">
      <c r="B1767" s="12"/>
      <c r="C1767" s="18"/>
    </row>
    <row r="1768" spans="2:3" x14ac:dyDescent="0.25">
      <c r="B1768" s="12"/>
      <c r="C1768" s="18"/>
    </row>
    <row r="1769" spans="2:3" x14ac:dyDescent="0.25">
      <c r="B1769" s="12"/>
      <c r="C1769" s="18"/>
    </row>
    <row r="1770" spans="2:3" x14ac:dyDescent="0.25">
      <c r="B1770" s="12"/>
      <c r="C1770" s="18"/>
    </row>
    <row r="1771" spans="2:3" x14ac:dyDescent="0.25">
      <c r="B1771" s="12"/>
      <c r="C1771" s="18"/>
    </row>
    <row r="1772" spans="2:3" x14ac:dyDescent="0.25">
      <c r="B1772" s="12"/>
      <c r="C1772" s="18"/>
    </row>
    <row r="1773" spans="2:3" x14ac:dyDescent="0.25">
      <c r="B1773" s="12"/>
      <c r="C1773" s="18"/>
    </row>
    <row r="1774" spans="2:3" x14ac:dyDescent="0.25">
      <c r="B1774" s="12"/>
      <c r="C1774" s="18"/>
    </row>
    <row r="1775" spans="2:3" x14ac:dyDescent="0.25">
      <c r="B1775" s="12"/>
      <c r="C1775" s="18"/>
    </row>
    <row r="1776" spans="2:3" x14ac:dyDescent="0.25">
      <c r="B1776" s="12"/>
      <c r="C1776" s="18"/>
    </row>
    <row r="1777" spans="2:3" x14ac:dyDescent="0.25">
      <c r="B1777" s="12"/>
      <c r="C1777" s="18"/>
    </row>
    <row r="1778" spans="2:3" x14ac:dyDescent="0.25">
      <c r="B1778" s="12"/>
      <c r="C1778" s="18"/>
    </row>
    <row r="1779" spans="2:3" x14ac:dyDescent="0.25">
      <c r="B1779" s="12"/>
      <c r="C1779" s="18"/>
    </row>
    <row r="1780" spans="2:3" x14ac:dyDescent="0.25">
      <c r="B1780" s="12"/>
      <c r="C1780" s="18"/>
    </row>
    <row r="1781" spans="2:3" x14ac:dyDescent="0.25">
      <c r="B1781" s="12"/>
      <c r="C1781" s="18"/>
    </row>
    <row r="1782" spans="2:3" x14ac:dyDescent="0.25">
      <c r="B1782" s="12"/>
      <c r="C1782" s="18"/>
    </row>
    <row r="1783" spans="2:3" x14ac:dyDescent="0.25">
      <c r="B1783" s="12"/>
      <c r="C1783" s="18"/>
    </row>
    <row r="1784" spans="2:3" x14ac:dyDescent="0.25">
      <c r="B1784" s="12"/>
      <c r="C1784" s="18"/>
    </row>
    <row r="1785" spans="2:3" x14ac:dyDescent="0.25">
      <c r="B1785" s="12"/>
      <c r="C1785" s="18"/>
    </row>
    <row r="1786" spans="2:3" x14ac:dyDescent="0.25">
      <c r="B1786" s="12"/>
      <c r="C1786" s="18"/>
    </row>
    <row r="1787" spans="2:3" x14ac:dyDescent="0.25">
      <c r="B1787" s="12"/>
      <c r="C1787" s="18"/>
    </row>
    <row r="1788" spans="2:3" x14ac:dyDescent="0.25">
      <c r="B1788" s="12"/>
      <c r="C1788" s="18"/>
    </row>
    <row r="1789" spans="2:3" x14ac:dyDescent="0.25">
      <c r="B1789" s="12"/>
      <c r="C1789" s="18"/>
    </row>
    <row r="1790" spans="2:3" x14ac:dyDescent="0.25">
      <c r="B1790" s="12"/>
      <c r="C1790" s="18"/>
    </row>
    <row r="1791" spans="2:3" x14ac:dyDescent="0.25">
      <c r="B1791" s="12"/>
      <c r="C1791" s="18"/>
    </row>
    <row r="1792" spans="2:3" x14ac:dyDescent="0.25">
      <c r="B1792" s="12"/>
      <c r="C1792" s="18"/>
    </row>
    <row r="1793" spans="2:3" x14ac:dyDescent="0.25">
      <c r="B1793" s="12"/>
      <c r="C1793" s="18"/>
    </row>
    <row r="1794" spans="2:3" x14ac:dyDescent="0.25">
      <c r="B1794" s="12"/>
      <c r="C1794" s="18"/>
    </row>
    <row r="1795" spans="2:3" x14ac:dyDescent="0.25">
      <c r="B1795" s="12"/>
      <c r="C1795" s="18"/>
    </row>
    <row r="1796" spans="2:3" x14ac:dyDescent="0.25">
      <c r="B1796" s="12"/>
      <c r="C1796" s="18"/>
    </row>
    <row r="1797" spans="2:3" x14ac:dyDescent="0.25">
      <c r="B1797" s="12"/>
      <c r="C1797" s="18"/>
    </row>
    <row r="1798" spans="2:3" x14ac:dyDescent="0.25">
      <c r="B1798" s="12"/>
      <c r="C1798" s="18"/>
    </row>
    <row r="1799" spans="2:3" x14ac:dyDescent="0.25">
      <c r="B1799" s="12"/>
      <c r="C1799" s="18"/>
    </row>
    <row r="1800" spans="2:3" x14ac:dyDescent="0.25">
      <c r="B1800" s="12"/>
      <c r="C1800" s="18"/>
    </row>
    <row r="1801" spans="2:3" x14ac:dyDescent="0.25">
      <c r="B1801" s="12"/>
      <c r="C1801" s="18"/>
    </row>
    <row r="1802" spans="2:3" x14ac:dyDescent="0.25">
      <c r="B1802" s="12"/>
      <c r="C1802" s="18"/>
    </row>
    <row r="1803" spans="2:3" x14ac:dyDescent="0.25">
      <c r="B1803" s="12"/>
      <c r="C1803" s="18"/>
    </row>
    <row r="1804" spans="2:3" x14ac:dyDescent="0.25">
      <c r="B1804" s="12"/>
      <c r="C1804" s="18"/>
    </row>
    <row r="1805" spans="2:3" x14ac:dyDescent="0.25">
      <c r="B1805" s="12"/>
      <c r="C1805" s="18"/>
    </row>
    <row r="1806" spans="2:3" x14ac:dyDescent="0.25">
      <c r="B1806" s="12"/>
      <c r="C1806" s="18"/>
    </row>
    <row r="1807" spans="2:3" x14ac:dyDescent="0.25">
      <c r="B1807" s="12"/>
      <c r="C1807" s="18"/>
    </row>
    <row r="1808" spans="2:3" x14ac:dyDescent="0.25">
      <c r="B1808" s="12"/>
      <c r="C1808" s="18"/>
    </row>
    <row r="1809" spans="2:3" x14ac:dyDescent="0.25">
      <c r="B1809" s="12"/>
      <c r="C1809" s="18"/>
    </row>
    <row r="1810" spans="2:3" x14ac:dyDescent="0.25">
      <c r="B1810" s="12"/>
      <c r="C1810" s="18"/>
    </row>
    <row r="1811" spans="2:3" x14ac:dyDescent="0.25">
      <c r="B1811" s="12"/>
      <c r="C1811" s="18"/>
    </row>
    <row r="1812" spans="2:3" x14ac:dyDescent="0.25">
      <c r="B1812" s="12"/>
      <c r="C1812" s="18"/>
    </row>
    <row r="1813" spans="2:3" x14ac:dyDescent="0.25">
      <c r="B1813" s="12"/>
      <c r="C1813" s="18"/>
    </row>
    <row r="1814" spans="2:3" x14ac:dyDescent="0.25">
      <c r="B1814" s="12"/>
      <c r="C1814" s="18"/>
    </row>
    <row r="1815" spans="2:3" x14ac:dyDescent="0.25">
      <c r="B1815" s="12"/>
      <c r="C1815" s="18"/>
    </row>
    <row r="1816" spans="2:3" x14ac:dyDescent="0.25">
      <c r="B1816" s="12"/>
      <c r="C1816" s="18"/>
    </row>
    <row r="1817" spans="2:3" x14ac:dyDescent="0.25">
      <c r="B1817" s="12"/>
      <c r="C1817" s="18"/>
    </row>
    <row r="1818" spans="2:3" x14ac:dyDescent="0.25">
      <c r="B1818" s="12"/>
      <c r="C1818" s="18"/>
    </row>
    <row r="1819" spans="2:3" x14ac:dyDescent="0.25">
      <c r="B1819" s="12"/>
      <c r="C1819" s="18"/>
    </row>
    <row r="1820" spans="2:3" x14ac:dyDescent="0.25">
      <c r="B1820" s="12"/>
      <c r="C1820" s="18"/>
    </row>
    <row r="1821" spans="2:3" x14ac:dyDescent="0.25">
      <c r="B1821" s="12"/>
      <c r="C1821" s="18"/>
    </row>
    <row r="1822" spans="2:3" x14ac:dyDescent="0.25">
      <c r="B1822" s="12"/>
      <c r="C1822" s="18"/>
    </row>
    <row r="1823" spans="2:3" x14ac:dyDescent="0.25">
      <c r="B1823" s="12"/>
      <c r="C1823" s="18"/>
    </row>
    <row r="1824" spans="2:3" x14ac:dyDescent="0.25">
      <c r="B1824" s="12"/>
      <c r="C1824" s="18"/>
    </row>
    <row r="1825" spans="2:3" x14ac:dyDescent="0.25">
      <c r="B1825" s="12"/>
      <c r="C1825" s="18"/>
    </row>
    <row r="1826" spans="2:3" x14ac:dyDescent="0.25">
      <c r="B1826" s="12"/>
      <c r="C1826" s="18"/>
    </row>
    <row r="1827" spans="2:3" x14ac:dyDescent="0.25">
      <c r="B1827" s="12"/>
      <c r="C1827" s="18"/>
    </row>
    <row r="1828" spans="2:3" x14ac:dyDescent="0.25">
      <c r="B1828" s="12"/>
      <c r="C1828" s="18"/>
    </row>
    <row r="1829" spans="2:3" x14ac:dyDescent="0.25">
      <c r="B1829" s="12"/>
      <c r="C1829" s="18"/>
    </row>
    <row r="1830" spans="2:3" x14ac:dyDescent="0.25">
      <c r="B1830" s="12"/>
      <c r="C1830" s="18"/>
    </row>
    <row r="1831" spans="2:3" x14ac:dyDescent="0.25">
      <c r="B1831" s="12"/>
      <c r="C1831" s="18"/>
    </row>
    <row r="1832" spans="2:3" x14ac:dyDescent="0.25">
      <c r="B1832" s="12"/>
      <c r="C1832" s="18"/>
    </row>
    <row r="1833" spans="2:3" x14ac:dyDescent="0.25">
      <c r="B1833" s="12"/>
      <c r="C1833" s="18"/>
    </row>
    <row r="1834" spans="2:3" x14ac:dyDescent="0.25">
      <c r="B1834" s="12"/>
      <c r="C1834" s="18"/>
    </row>
    <row r="1835" spans="2:3" x14ac:dyDescent="0.25">
      <c r="B1835" s="12"/>
      <c r="C1835" s="18"/>
    </row>
    <row r="1836" spans="2:3" x14ac:dyDescent="0.25">
      <c r="B1836" s="12"/>
      <c r="C1836" s="18"/>
    </row>
    <row r="1837" spans="2:3" x14ac:dyDescent="0.25">
      <c r="B1837" s="12"/>
      <c r="C1837" s="18"/>
    </row>
    <row r="1838" spans="2:3" x14ac:dyDescent="0.25">
      <c r="B1838" s="12"/>
      <c r="C1838" s="18"/>
    </row>
    <row r="1839" spans="2:3" x14ac:dyDescent="0.25">
      <c r="B1839" s="12"/>
      <c r="C1839" s="18"/>
    </row>
    <row r="1840" spans="2:3" x14ac:dyDescent="0.25">
      <c r="B1840" s="12"/>
      <c r="C1840" s="18"/>
    </row>
    <row r="1841" spans="2:3" x14ac:dyDescent="0.25">
      <c r="B1841" s="12"/>
      <c r="C1841" s="18"/>
    </row>
    <row r="1842" spans="2:3" x14ac:dyDescent="0.25">
      <c r="B1842" s="12"/>
      <c r="C1842" s="18"/>
    </row>
    <row r="1843" spans="2:3" x14ac:dyDescent="0.25">
      <c r="B1843" s="12"/>
      <c r="C1843" s="18"/>
    </row>
    <row r="1844" spans="2:3" x14ac:dyDescent="0.25">
      <c r="B1844" s="12"/>
      <c r="C1844" s="18"/>
    </row>
    <row r="1845" spans="2:3" x14ac:dyDescent="0.25">
      <c r="B1845" s="12"/>
      <c r="C1845" s="18"/>
    </row>
    <row r="1846" spans="2:3" x14ac:dyDescent="0.25">
      <c r="B1846" s="12"/>
      <c r="C1846" s="18"/>
    </row>
    <row r="1847" spans="2:3" x14ac:dyDescent="0.25">
      <c r="B1847" s="12"/>
      <c r="C1847" s="18"/>
    </row>
    <row r="1848" spans="2:3" x14ac:dyDescent="0.25">
      <c r="B1848" s="12"/>
      <c r="C1848" s="18"/>
    </row>
    <row r="1849" spans="2:3" x14ac:dyDescent="0.25">
      <c r="B1849" s="12"/>
      <c r="C1849" s="18"/>
    </row>
    <row r="1850" spans="2:3" x14ac:dyDescent="0.25">
      <c r="B1850" s="12"/>
      <c r="C1850" s="18"/>
    </row>
    <row r="1851" spans="2:3" x14ac:dyDescent="0.25">
      <c r="B1851" s="12"/>
      <c r="C1851" s="18"/>
    </row>
    <row r="1852" spans="2:3" x14ac:dyDescent="0.25">
      <c r="B1852" s="12"/>
      <c r="C1852" s="18"/>
    </row>
    <row r="1853" spans="2:3" x14ac:dyDescent="0.25">
      <c r="B1853" s="12"/>
      <c r="C1853" s="18"/>
    </row>
    <row r="1854" spans="2:3" x14ac:dyDescent="0.25">
      <c r="B1854" s="12"/>
      <c r="C1854" s="18"/>
    </row>
    <row r="1855" spans="2:3" x14ac:dyDescent="0.25">
      <c r="B1855" s="12"/>
      <c r="C1855" s="18"/>
    </row>
    <row r="1856" spans="2:3" x14ac:dyDescent="0.25">
      <c r="B1856" s="12"/>
      <c r="C1856" s="18"/>
    </row>
    <row r="1857" spans="2:3" x14ac:dyDescent="0.25">
      <c r="B1857" s="12"/>
      <c r="C1857" s="18"/>
    </row>
    <row r="1858" spans="2:3" x14ac:dyDescent="0.25">
      <c r="B1858" s="12"/>
      <c r="C1858" s="18"/>
    </row>
    <row r="1859" spans="2:3" x14ac:dyDescent="0.25">
      <c r="B1859" s="12"/>
      <c r="C1859" s="18"/>
    </row>
    <row r="1860" spans="2:3" x14ac:dyDescent="0.25">
      <c r="B1860" s="12"/>
      <c r="C1860" s="18"/>
    </row>
    <row r="1861" spans="2:3" x14ac:dyDescent="0.25">
      <c r="B1861" s="12"/>
      <c r="C1861" s="18"/>
    </row>
    <row r="1862" spans="2:3" x14ac:dyDescent="0.25">
      <c r="B1862" s="12"/>
      <c r="C1862" s="18"/>
    </row>
    <row r="1863" spans="2:3" x14ac:dyDescent="0.25">
      <c r="B1863" s="12"/>
      <c r="C1863" s="18"/>
    </row>
    <row r="1864" spans="2:3" x14ac:dyDescent="0.25">
      <c r="B1864" s="12"/>
      <c r="C1864" s="18"/>
    </row>
    <row r="1865" spans="2:3" x14ac:dyDescent="0.25">
      <c r="B1865" s="12"/>
      <c r="C1865" s="18"/>
    </row>
    <row r="1866" spans="2:3" x14ac:dyDescent="0.25">
      <c r="B1866" s="12"/>
      <c r="C1866" s="18"/>
    </row>
    <row r="1867" spans="2:3" x14ac:dyDescent="0.25">
      <c r="B1867" s="12"/>
      <c r="C1867" s="18"/>
    </row>
    <row r="1868" spans="2:3" x14ac:dyDescent="0.25">
      <c r="B1868" s="12"/>
      <c r="C1868" s="18"/>
    </row>
    <row r="1869" spans="2:3" x14ac:dyDescent="0.25">
      <c r="B1869" s="12"/>
      <c r="C1869" s="18"/>
    </row>
    <row r="1870" spans="2:3" x14ac:dyDescent="0.25">
      <c r="B1870" s="12"/>
      <c r="C1870" s="18"/>
    </row>
    <row r="1871" spans="2:3" x14ac:dyDescent="0.25">
      <c r="B1871" s="12"/>
      <c r="C1871" s="18"/>
    </row>
    <row r="1872" spans="2:3" x14ac:dyDescent="0.25">
      <c r="B1872" s="12"/>
      <c r="C1872" s="18"/>
    </row>
    <row r="1873" spans="2:3" x14ac:dyDescent="0.25">
      <c r="B1873" s="12"/>
      <c r="C1873" s="18"/>
    </row>
    <row r="1874" spans="2:3" x14ac:dyDescent="0.25">
      <c r="B1874" s="12"/>
      <c r="C1874" s="18"/>
    </row>
    <row r="1875" spans="2:3" x14ac:dyDescent="0.25">
      <c r="B1875" s="12"/>
      <c r="C1875" s="18"/>
    </row>
    <row r="1876" spans="2:3" x14ac:dyDescent="0.25">
      <c r="B1876" s="12"/>
      <c r="C1876" s="18"/>
    </row>
    <row r="1877" spans="2:3" x14ac:dyDescent="0.25">
      <c r="B1877" s="12"/>
      <c r="C1877" s="18"/>
    </row>
    <row r="1878" spans="2:3" x14ac:dyDescent="0.25">
      <c r="B1878" s="12"/>
      <c r="C1878" s="18"/>
    </row>
    <row r="1879" spans="2:3" x14ac:dyDescent="0.25">
      <c r="B1879" s="12"/>
      <c r="C1879" s="18"/>
    </row>
    <row r="1880" spans="2:3" x14ac:dyDescent="0.25">
      <c r="B1880" s="12"/>
      <c r="C1880" s="18"/>
    </row>
    <row r="1881" spans="2:3" x14ac:dyDescent="0.25">
      <c r="B1881" s="12"/>
      <c r="C1881" s="18"/>
    </row>
    <row r="1882" spans="2:3" x14ac:dyDescent="0.25">
      <c r="B1882" s="12"/>
      <c r="C1882" s="18"/>
    </row>
    <row r="1883" spans="2:3" x14ac:dyDescent="0.25">
      <c r="B1883" s="12"/>
      <c r="C1883" s="18"/>
    </row>
    <row r="1884" spans="2:3" x14ac:dyDescent="0.25">
      <c r="B1884" s="12"/>
      <c r="C1884" s="18"/>
    </row>
    <row r="1885" spans="2:3" x14ac:dyDescent="0.25">
      <c r="B1885" s="12"/>
      <c r="C1885" s="18"/>
    </row>
    <row r="1886" spans="2:3" x14ac:dyDescent="0.25">
      <c r="B1886" s="12"/>
      <c r="C1886" s="18"/>
    </row>
    <row r="1887" spans="2:3" x14ac:dyDescent="0.25">
      <c r="B1887" s="12"/>
      <c r="C1887" s="18"/>
    </row>
    <row r="1888" spans="2:3" x14ac:dyDescent="0.25">
      <c r="B1888" s="12"/>
      <c r="C1888" s="18"/>
    </row>
    <row r="1889" spans="2:3" x14ac:dyDescent="0.25">
      <c r="B1889" s="12"/>
      <c r="C1889" s="18"/>
    </row>
    <row r="1890" spans="2:3" x14ac:dyDescent="0.25">
      <c r="B1890" s="12"/>
      <c r="C1890" s="18"/>
    </row>
    <row r="1891" spans="2:3" x14ac:dyDescent="0.25">
      <c r="B1891" s="12"/>
      <c r="C1891" s="18"/>
    </row>
    <row r="1892" spans="2:3" x14ac:dyDescent="0.25">
      <c r="B1892" s="12"/>
      <c r="C1892" s="18"/>
    </row>
    <row r="1893" spans="2:3" x14ac:dyDescent="0.25">
      <c r="B1893" s="12"/>
      <c r="C1893" s="18"/>
    </row>
    <row r="1894" spans="2:3" x14ac:dyDescent="0.25">
      <c r="B1894" s="12"/>
      <c r="C1894" s="18"/>
    </row>
    <row r="1895" spans="2:3" x14ac:dyDescent="0.25">
      <c r="B1895" s="12"/>
      <c r="C1895" s="18"/>
    </row>
    <row r="1896" spans="2:3" x14ac:dyDescent="0.25">
      <c r="B1896" s="12"/>
      <c r="C1896" s="18"/>
    </row>
    <row r="1897" spans="2:3" x14ac:dyDescent="0.25">
      <c r="B1897" s="12"/>
      <c r="C1897" s="18"/>
    </row>
    <row r="1898" spans="2:3" x14ac:dyDescent="0.25">
      <c r="B1898" s="12"/>
      <c r="C1898" s="18"/>
    </row>
    <row r="1899" spans="2:3" x14ac:dyDescent="0.25">
      <c r="B1899" s="12"/>
      <c r="C1899" s="18"/>
    </row>
    <row r="1900" spans="2:3" x14ac:dyDescent="0.25">
      <c r="B1900" s="12"/>
      <c r="C1900" s="18"/>
    </row>
    <row r="1901" spans="2:3" x14ac:dyDescent="0.25">
      <c r="B1901" s="12"/>
      <c r="C1901" s="18"/>
    </row>
    <row r="1902" spans="2:3" x14ac:dyDescent="0.25">
      <c r="B1902" s="12"/>
      <c r="C1902" s="18"/>
    </row>
    <row r="1903" spans="2:3" x14ac:dyDescent="0.25">
      <c r="B1903" s="12"/>
      <c r="C1903" s="18"/>
    </row>
    <row r="1904" spans="2:3" x14ac:dyDescent="0.25">
      <c r="B1904" s="12"/>
      <c r="C1904" s="18"/>
    </row>
    <row r="1905" spans="2:3" x14ac:dyDescent="0.25">
      <c r="B1905" s="12"/>
      <c r="C1905" s="18"/>
    </row>
    <row r="1906" spans="2:3" x14ac:dyDescent="0.25">
      <c r="B1906" s="12"/>
      <c r="C1906" s="18"/>
    </row>
    <row r="1907" spans="2:3" x14ac:dyDescent="0.25">
      <c r="B1907" s="12"/>
      <c r="C1907" s="18"/>
    </row>
    <row r="1908" spans="2:3" x14ac:dyDescent="0.25">
      <c r="B1908" s="12"/>
      <c r="C1908" s="18"/>
    </row>
    <row r="1909" spans="2:3" x14ac:dyDescent="0.25">
      <c r="B1909" s="12"/>
      <c r="C1909" s="18"/>
    </row>
    <row r="1910" spans="2:3" x14ac:dyDescent="0.25">
      <c r="B1910" s="12"/>
      <c r="C1910" s="18"/>
    </row>
    <row r="1911" spans="2:3" x14ac:dyDescent="0.25">
      <c r="B1911" s="12"/>
      <c r="C1911" s="18"/>
    </row>
    <row r="1912" spans="2:3" x14ac:dyDescent="0.25">
      <c r="B1912" s="12"/>
      <c r="C1912" s="18"/>
    </row>
    <row r="1913" spans="2:3" x14ac:dyDescent="0.25">
      <c r="B1913" s="12"/>
      <c r="C1913" s="18"/>
    </row>
    <row r="1914" spans="2:3" x14ac:dyDescent="0.25">
      <c r="B1914" s="12"/>
      <c r="C1914" s="18"/>
    </row>
    <row r="1915" spans="2:3" x14ac:dyDescent="0.25">
      <c r="B1915" s="12"/>
      <c r="C1915" s="18"/>
    </row>
    <row r="1916" spans="2:3" x14ac:dyDescent="0.25">
      <c r="B1916" s="12"/>
      <c r="C1916" s="18"/>
    </row>
    <row r="1917" spans="2:3" x14ac:dyDescent="0.25">
      <c r="B1917" s="12"/>
      <c r="C1917" s="18"/>
    </row>
    <row r="1918" spans="2:3" x14ac:dyDescent="0.25">
      <c r="B1918" s="12"/>
      <c r="C1918" s="18"/>
    </row>
    <row r="1919" spans="2:3" x14ac:dyDescent="0.25">
      <c r="B1919" s="12"/>
      <c r="C1919" s="18"/>
    </row>
    <row r="1920" spans="2:3" x14ac:dyDescent="0.25">
      <c r="B1920" s="12"/>
      <c r="C1920" s="18"/>
    </row>
    <row r="1921" spans="2:3" x14ac:dyDescent="0.25">
      <c r="B1921" s="12"/>
      <c r="C1921" s="18"/>
    </row>
    <row r="1922" spans="2:3" x14ac:dyDescent="0.25">
      <c r="B1922" s="12"/>
      <c r="C1922" s="18"/>
    </row>
    <row r="1923" spans="2:3" x14ac:dyDescent="0.25">
      <c r="B1923" s="12"/>
      <c r="C1923" s="18"/>
    </row>
    <row r="1924" spans="2:3" x14ac:dyDescent="0.25">
      <c r="B1924" s="12"/>
      <c r="C1924" s="18"/>
    </row>
    <row r="1925" spans="2:3" x14ac:dyDescent="0.25">
      <c r="B1925" s="12"/>
      <c r="C1925" s="18"/>
    </row>
    <row r="1926" spans="2:3" x14ac:dyDescent="0.25">
      <c r="B1926" s="12"/>
      <c r="C1926" s="18"/>
    </row>
    <row r="1927" spans="2:3" x14ac:dyDescent="0.25">
      <c r="B1927" s="12"/>
      <c r="C1927" s="18"/>
    </row>
    <row r="1928" spans="2:3" x14ac:dyDescent="0.25">
      <c r="B1928" s="12"/>
      <c r="C1928" s="18"/>
    </row>
    <row r="1929" spans="2:3" x14ac:dyDescent="0.25">
      <c r="B1929" s="12"/>
      <c r="C1929" s="18"/>
    </row>
    <row r="1930" spans="2:3" x14ac:dyDescent="0.25">
      <c r="B1930" s="12"/>
      <c r="C1930" s="18"/>
    </row>
    <row r="1931" spans="2:3" x14ac:dyDescent="0.25">
      <c r="B1931" s="12"/>
      <c r="C1931" s="18"/>
    </row>
    <row r="1932" spans="2:3" x14ac:dyDescent="0.25">
      <c r="B1932" s="12"/>
      <c r="C1932" s="18"/>
    </row>
    <row r="1933" spans="2:3" x14ac:dyDescent="0.25">
      <c r="B1933" s="12"/>
      <c r="C1933" s="18"/>
    </row>
    <row r="1934" spans="2:3" x14ac:dyDescent="0.25">
      <c r="B1934" s="12"/>
      <c r="C1934" s="18"/>
    </row>
    <row r="1935" spans="2:3" x14ac:dyDescent="0.25">
      <c r="B1935" s="12"/>
      <c r="C1935" s="18"/>
    </row>
    <row r="1936" spans="2:3" x14ac:dyDescent="0.25">
      <c r="B1936" s="12"/>
      <c r="C1936" s="18"/>
    </row>
    <row r="1937" spans="2:3" x14ac:dyDescent="0.25">
      <c r="B1937" s="12"/>
      <c r="C1937" s="18"/>
    </row>
    <row r="1938" spans="2:3" x14ac:dyDescent="0.25">
      <c r="B1938" s="12"/>
      <c r="C1938" s="18"/>
    </row>
    <row r="1939" spans="2:3" x14ac:dyDescent="0.25">
      <c r="B1939" s="12"/>
      <c r="C1939" s="18"/>
    </row>
    <row r="1940" spans="2:3" x14ac:dyDescent="0.25">
      <c r="B1940" s="12"/>
      <c r="C1940" s="18"/>
    </row>
    <row r="1941" spans="2:3" x14ac:dyDescent="0.25">
      <c r="B1941" s="12"/>
      <c r="C1941" s="18"/>
    </row>
    <row r="1942" spans="2:3" x14ac:dyDescent="0.25">
      <c r="B1942" s="12"/>
      <c r="C1942" s="18"/>
    </row>
    <row r="1943" spans="2:3" x14ac:dyDescent="0.25">
      <c r="B1943" s="12"/>
      <c r="C1943" s="18"/>
    </row>
    <row r="1944" spans="2:3" x14ac:dyDescent="0.25">
      <c r="B1944" s="12"/>
      <c r="C1944" s="18"/>
    </row>
    <row r="1945" spans="2:3" x14ac:dyDescent="0.25">
      <c r="B1945" s="12"/>
      <c r="C1945" s="18"/>
    </row>
    <row r="1946" spans="2:3" x14ac:dyDescent="0.25">
      <c r="B1946" s="12"/>
      <c r="C1946" s="18"/>
    </row>
    <row r="1947" spans="2:3" x14ac:dyDescent="0.25">
      <c r="B1947" s="12"/>
      <c r="C1947" s="18"/>
    </row>
    <row r="1948" spans="2:3" x14ac:dyDescent="0.25">
      <c r="B1948" s="12"/>
      <c r="C1948" s="18"/>
    </row>
    <row r="1949" spans="2:3" x14ac:dyDescent="0.25">
      <c r="B1949" s="12"/>
      <c r="C1949" s="18"/>
    </row>
    <row r="1950" spans="2:3" x14ac:dyDescent="0.25">
      <c r="B1950" s="12"/>
      <c r="C1950" s="18"/>
    </row>
    <row r="1951" spans="2:3" x14ac:dyDescent="0.25">
      <c r="B1951" s="12"/>
      <c r="C1951" s="18"/>
    </row>
    <row r="1952" spans="2:3" x14ac:dyDescent="0.25">
      <c r="B1952" s="12"/>
      <c r="C1952" s="18"/>
    </row>
    <row r="1953" spans="2:3" x14ac:dyDescent="0.25">
      <c r="B1953" s="12"/>
      <c r="C1953" s="18"/>
    </row>
    <row r="1954" spans="2:3" x14ac:dyDescent="0.25">
      <c r="B1954" s="12"/>
      <c r="C1954" s="18"/>
    </row>
    <row r="1955" spans="2:3" x14ac:dyDescent="0.25">
      <c r="B1955" s="12"/>
      <c r="C1955" s="18"/>
    </row>
    <row r="1956" spans="2:3" x14ac:dyDescent="0.25">
      <c r="B1956" s="12"/>
      <c r="C1956" s="18"/>
    </row>
    <row r="1957" spans="2:3" x14ac:dyDescent="0.25">
      <c r="B1957" s="12"/>
      <c r="C1957" s="18"/>
    </row>
    <row r="1958" spans="2:3" x14ac:dyDescent="0.25">
      <c r="B1958" s="12"/>
      <c r="C1958" s="18"/>
    </row>
    <row r="1959" spans="2:3" x14ac:dyDescent="0.25">
      <c r="B1959" s="12"/>
      <c r="C1959" s="18"/>
    </row>
    <row r="1960" spans="2:3" x14ac:dyDescent="0.25">
      <c r="B1960" s="12"/>
      <c r="C1960" s="18"/>
    </row>
    <row r="1961" spans="2:3" x14ac:dyDescent="0.25">
      <c r="B1961" s="12"/>
      <c r="C1961" s="18"/>
    </row>
    <row r="1962" spans="2:3" x14ac:dyDescent="0.25">
      <c r="B1962" s="12"/>
      <c r="C1962" s="18"/>
    </row>
    <row r="1963" spans="2:3" x14ac:dyDescent="0.25">
      <c r="B1963" s="12"/>
      <c r="C1963" s="18"/>
    </row>
    <row r="1964" spans="2:3" x14ac:dyDescent="0.25">
      <c r="B1964" s="12"/>
      <c r="C1964" s="18"/>
    </row>
    <row r="1965" spans="2:3" x14ac:dyDescent="0.25">
      <c r="B1965" s="12"/>
      <c r="C1965" s="18"/>
    </row>
    <row r="1966" spans="2:3" x14ac:dyDescent="0.25">
      <c r="B1966" s="12"/>
      <c r="C1966" s="18"/>
    </row>
    <row r="1967" spans="2:3" x14ac:dyDescent="0.25">
      <c r="B1967" s="12"/>
      <c r="C1967" s="18"/>
    </row>
    <row r="1968" spans="2:3" x14ac:dyDescent="0.25">
      <c r="B1968" s="12"/>
      <c r="C1968" s="18"/>
    </row>
    <row r="1969" spans="2:3" x14ac:dyDescent="0.25">
      <c r="B1969" s="12"/>
      <c r="C1969" s="18"/>
    </row>
    <row r="1970" spans="2:3" x14ac:dyDescent="0.25">
      <c r="B1970" s="12"/>
      <c r="C1970" s="18"/>
    </row>
    <row r="1971" spans="2:3" x14ac:dyDescent="0.25">
      <c r="B1971" s="12"/>
      <c r="C1971" s="18"/>
    </row>
    <row r="1972" spans="2:3" x14ac:dyDescent="0.25">
      <c r="B1972" s="12"/>
      <c r="C1972" s="18"/>
    </row>
    <row r="1973" spans="2:3" x14ac:dyDescent="0.25">
      <c r="B1973" s="12"/>
      <c r="C1973" s="18"/>
    </row>
    <row r="1974" spans="2:3" x14ac:dyDescent="0.25">
      <c r="B1974" s="12"/>
      <c r="C1974" s="18"/>
    </row>
    <row r="1975" spans="2:3" x14ac:dyDescent="0.25">
      <c r="B1975" s="12"/>
      <c r="C1975" s="18"/>
    </row>
    <row r="1976" spans="2:3" x14ac:dyDescent="0.25">
      <c r="B1976" s="12"/>
      <c r="C1976" s="18"/>
    </row>
    <row r="1977" spans="2:3" x14ac:dyDescent="0.25">
      <c r="B1977" s="12"/>
      <c r="C1977" s="18"/>
    </row>
    <row r="1978" spans="2:3" x14ac:dyDescent="0.25">
      <c r="B1978" s="12"/>
      <c r="C1978" s="18"/>
    </row>
    <row r="1979" spans="2:3" x14ac:dyDescent="0.25">
      <c r="B1979" s="12"/>
      <c r="C1979" s="18"/>
    </row>
    <row r="1980" spans="2:3" x14ac:dyDescent="0.25">
      <c r="B1980" s="12"/>
      <c r="C1980" s="18"/>
    </row>
    <row r="1981" spans="2:3" x14ac:dyDescent="0.25">
      <c r="B1981" s="12"/>
      <c r="C1981" s="18"/>
    </row>
    <row r="1982" spans="2:3" x14ac:dyDescent="0.25">
      <c r="B1982" s="12"/>
      <c r="C1982" s="18"/>
    </row>
    <row r="1983" spans="2:3" x14ac:dyDescent="0.25">
      <c r="B1983" s="12"/>
      <c r="C1983" s="18"/>
    </row>
    <row r="1984" spans="2:3" x14ac:dyDescent="0.25">
      <c r="B1984" s="12"/>
      <c r="C1984" s="18"/>
    </row>
    <row r="1985" spans="2:3" x14ac:dyDescent="0.25">
      <c r="B1985" s="12"/>
      <c r="C1985" s="18"/>
    </row>
    <row r="1986" spans="2:3" x14ac:dyDescent="0.25">
      <c r="B1986" s="12"/>
      <c r="C1986" s="18"/>
    </row>
    <row r="1987" spans="2:3" x14ac:dyDescent="0.25">
      <c r="B1987" s="12"/>
      <c r="C1987" s="18"/>
    </row>
    <row r="1988" spans="2:3" x14ac:dyDescent="0.25">
      <c r="B1988" s="12"/>
      <c r="C1988" s="18"/>
    </row>
    <row r="1989" spans="2:3" x14ac:dyDescent="0.25">
      <c r="B1989" s="12"/>
      <c r="C1989" s="18"/>
    </row>
    <row r="1990" spans="2:3" x14ac:dyDescent="0.25">
      <c r="B1990" s="12"/>
      <c r="C1990" s="18"/>
    </row>
    <row r="1991" spans="2:3" x14ac:dyDescent="0.25">
      <c r="B1991" s="12"/>
      <c r="C1991" s="18"/>
    </row>
    <row r="1992" spans="2:3" x14ac:dyDescent="0.25">
      <c r="B1992" s="12"/>
      <c r="C1992" s="18"/>
    </row>
    <row r="1993" spans="2:3" x14ac:dyDescent="0.25">
      <c r="B1993" s="12"/>
      <c r="C1993" s="18"/>
    </row>
    <row r="1994" spans="2:3" x14ac:dyDescent="0.25">
      <c r="B1994" s="12"/>
      <c r="C1994" s="18"/>
    </row>
    <row r="1995" spans="2:3" x14ac:dyDescent="0.25">
      <c r="B1995" s="12"/>
      <c r="C1995" s="18"/>
    </row>
    <row r="1996" spans="2:3" x14ac:dyDescent="0.25">
      <c r="B1996" s="12"/>
      <c r="C1996" s="18"/>
    </row>
    <row r="1997" spans="2:3" x14ac:dyDescent="0.25">
      <c r="B1997" s="12"/>
      <c r="C1997" s="18"/>
    </row>
    <row r="1998" spans="2:3" x14ac:dyDescent="0.25">
      <c r="B1998" s="12"/>
      <c r="C1998" s="18"/>
    </row>
    <row r="1999" spans="2:3" x14ac:dyDescent="0.25">
      <c r="B1999" s="12"/>
      <c r="C1999" s="18"/>
    </row>
    <row r="2000" spans="2:3" x14ac:dyDescent="0.25">
      <c r="B2000" s="12"/>
      <c r="C2000" s="18"/>
    </row>
    <row r="2001" spans="2:3" x14ac:dyDescent="0.25">
      <c r="B2001" s="12"/>
      <c r="C2001" s="18"/>
    </row>
    <row r="2002" spans="2:3" x14ac:dyDescent="0.25">
      <c r="B2002" s="12"/>
      <c r="C2002" s="18"/>
    </row>
    <row r="2003" spans="2:3" x14ac:dyDescent="0.25">
      <c r="B2003" s="12"/>
      <c r="C2003" s="18"/>
    </row>
    <row r="2004" spans="2:3" x14ac:dyDescent="0.25">
      <c r="B2004" s="12"/>
      <c r="C2004" s="18"/>
    </row>
    <row r="2005" spans="2:3" x14ac:dyDescent="0.25">
      <c r="B2005" s="12"/>
      <c r="C2005" s="18"/>
    </row>
    <row r="2006" spans="2:3" x14ac:dyDescent="0.25">
      <c r="B2006" s="12"/>
      <c r="C2006" s="18"/>
    </row>
    <row r="2007" spans="2:3" x14ac:dyDescent="0.25">
      <c r="B2007" s="12"/>
      <c r="C2007" s="18"/>
    </row>
    <row r="2008" spans="2:3" x14ac:dyDescent="0.25">
      <c r="B2008" s="12"/>
      <c r="C2008" s="18"/>
    </row>
    <row r="2009" spans="2:3" x14ac:dyDescent="0.25">
      <c r="B2009" s="12"/>
      <c r="C2009" s="18"/>
    </row>
    <row r="2010" spans="2:3" x14ac:dyDescent="0.25">
      <c r="B2010" s="12"/>
      <c r="C2010" s="18"/>
    </row>
    <row r="2011" spans="2:3" x14ac:dyDescent="0.25">
      <c r="B2011" s="12"/>
      <c r="C2011" s="18"/>
    </row>
    <row r="2012" spans="2:3" x14ac:dyDescent="0.25">
      <c r="B2012" s="12"/>
      <c r="C2012" s="18"/>
    </row>
    <row r="2013" spans="2:3" x14ac:dyDescent="0.25">
      <c r="B2013" s="12"/>
      <c r="C2013" s="18"/>
    </row>
    <row r="2014" spans="2:3" x14ac:dyDescent="0.25">
      <c r="B2014" s="12"/>
      <c r="C2014" s="18"/>
    </row>
    <row r="2015" spans="2:3" x14ac:dyDescent="0.25">
      <c r="B2015" s="12"/>
      <c r="C2015" s="18"/>
    </row>
    <row r="2016" spans="2:3" x14ac:dyDescent="0.25">
      <c r="B2016" s="12"/>
      <c r="C2016" s="18"/>
    </row>
    <row r="2017" spans="2:3" x14ac:dyDescent="0.25">
      <c r="B2017" s="12"/>
      <c r="C2017" s="18"/>
    </row>
    <row r="2018" spans="2:3" x14ac:dyDescent="0.25">
      <c r="B2018" s="12"/>
      <c r="C2018" s="18"/>
    </row>
    <row r="2019" spans="2:3" x14ac:dyDescent="0.25">
      <c r="B2019" s="12"/>
      <c r="C2019" s="18"/>
    </row>
    <row r="2020" spans="2:3" x14ac:dyDescent="0.25">
      <c r="B2020" s="12"/>
      <c r="C2020" s="18"/>
    </row>
    <row r="2021" spans="2:3" x14ac:dyDescent="0.25">
      <c r="B2021" s="12"/>
      <c r="C2021" s="18"/>
    </row>
    <row r="2022" spans="2:3" x14ac:dyDescent="0.25">
      <c r="B2022" s="12"/>
      <c r="C2022" s="18"/>
    </row>
    <row r="2023" spans="2:3" x14ac:dyDescent="0.25">
      <c r="B2023" s="12"/>
      <c r="C2023" s="18"/>
    </row>
    <row r="2024" spans="2:3" x14ac:dyDescent="0.25">
      <c r="B2024" s="12"/>
      <c r="C2024" s="18"/>
    </row>
    <row r="2025" spans="2:3" x14ac:dyDescent="0.25">
      <c r="B2025" s="12"/>
      <c r="C2025" s="18"/>
    </row>
    <row r="2026" spans="2:3" x14ac:dyDescent="0.25">
      <c r="B2026" s="12"/>
      <c r="C2026" s="18"/>
    </row>
    <row r="2027" spans="2:3" x14ac:dyDescent="0.25">
      <c r="B2027" s="12"/>
      <c r="C2027" s="18"/>
    </row>
    <row r="2028" spans="2:3" x14ac:dyDescent="0.25">
      <c r="B2028" s="12"/>
      <c r="C2028" s="18"/>
    </row>
    <row r="2029" spans="2:3" x14ac:dyDescent="0.25">
      <c r="B2029" s="12"/>
      <c r="C2029" s="18"/>
    </row>
    <row r="2030" spans="2:3" x14ac:dyDescent="0.25">
      <c r="B2030" s="12"/>
      <c r="C2030" s="18"/>
    </row>
    <row r="2031" spans="2:3" x14ac:dyDescent="0.25">
      <c r="B2031" s="12"/>
      <c r="C2031" s="18"/>
    </row>
    <row r="2032" spans="2:3" x14ac:dyDescent="0.25">
      <c r="B2032" s="12"/>
      <c r="C2032" s="18"/>
    </row>
    <row r="2033" spans="2:3" x14ac:dyDescent="0.25">
      <c r="B2033" s="12"/>
      <c r="C2033" s="18"/>
    </row>
    <row r="2034" spans="2:3" x14ac:dyDescent="0.25">
      <c r="B2034" s="12"/>
      <c r="C2034" s="18"/>
    </row>
    <row r="2035" spans="2:3" x14ac:dyDescent="0.25">
      <c r="B2035" s="12"/>
      <c r="C2035" s="18"/>
    </row>
    <row r="2036" spans="2:3" x14ac:dyDescent="0.25">
      <c r="B2036" s="12"/>
      <c r="C2036" s="18"/>
    </row>
    <row r="2037" spans="2:3" x14ac:dyDescent="0.25">
      <c r="B2037" s="12"/>
      <c r="C2037" s="18"/>
    </row>
    <row r="2038" spans="2:3" x14ac:dyDescent="0.25">
      <c r="B2038" s="12"/>
      <c r="C2038" s="18"/>
    </row>
    <row r="2039" spans="2:3" x14ac:dyDescent="0.25">
      <c r="B2039" s="12"/>
      <c r="C2039" s="18"/>
    </row>
    <row r="2040" spans="2:3" x14ac:dyDescent="0.25">
      <c r="B2040" s="12"/>
      <c r="C2040" s="18"/>
    </row>
    <row r="2041" spans="2:3" x14ac:dyDescent="0.25">
      <c r="B2041" s="12"/>
      <c r="C2041" s="18"/>
    </row>
    <row r="2042" spans="2:3" x14ac:dyDescent="0.25">
      <c r="B2042" s="12"/>
      <c r="C2042" s="18"/>
    </row>
    <row r="2043" spans="2:3" x14ac:dyDescent="0.25">
      <c r="B2043" s="12"/>
      <c r="C2043" s="18"/>
    </row>
    <row r="2044" spans="2:3" x14ac:dyDescent="0.25">
      <c r="B2044" s="12"/>
      <c r="C2044" s="18"/>
    </row>
    <row r="2045" spans="2:3" x14ac:dyDescent="0.25">
      <c r="B2045" s="12"/>
      <c r="C2045" s="18"/>
    </row>
    <row r="2046" spans="2:3" x14ac:dyDescent="0.25">
      <c r="B2046" s="12"/>
      <c r="C2046" s="18"/>
    </row>
    <row r="2047" spans="2:3" x14ac:dyDescent="0.25">
      <c r="B2047" s="12"/>
      <c r="C2047" s="18"/>
    </row>
    <row r="2048" spans="2:3" x14ac:dyDescent="0.25">
      <c r="B2048" s="12"/>
      <c r="C2048" s="18"/>
    </row>
    <row r="2049" spans="2:3" x14ac:dyDescent="0.25">
      <c r="B2049" s="12"/>
      <c r="C2049" s="18"/>
    </row>
    <row r="2050" spans="2:3" x14ac:dyDescent="0.25">
      <c r="B2050" s="12"/>
      <c r="C2050" s="18"/>
    </row>
    <row r="2051" spans="2:3" x14ac:dyDescent="0.25">
      <c r="B2051" s="12"/>
      <c r="C2051" s="18"/>
    </row>
    <row r="2052" spans="2:3" x14ac:dyDescent="0.25">
      <c r="B2052" s="12"/>
      <c r="C2052" s="18"/>
    </row>
    <row r="2053" spans="2:3" x14ac:dyDescent="0.25">
      <c r="B2053" s="12"/>
      <c r="C2053" s="18"/>
    </row>
    <row r="2054" spans="2:3" x14ac:dyDescent="0.25">
      <c r="B2054" s="12"/>
      <c r="C2054" s="18"/>
    </row>
    <row r="2055" spans="2:3" x14ac:dyDescent="0.25">
      <c r="B2055" s="12"/>
      <c r="C2055" s="18"/>
    </row>
    <row r="2056" spans="2:3" x14ac:dyDescent="0.25">
      <c r="B2056" s="12"/>
      <c r="C2056" s="18"/>
    </row>
    <row r="2057" spans="2:3" x14ac:dyDescent="0.25">
      <c r="B2057" s="12"/>
      <c r="C2057" s="18"/>
    </row>
    <row r="2058" spans="2:3" x14ac:dyDescent="0.25">
      <c r="B2058" s="12"/>
      <c r="C2058" s="18"/>
    </row>
    <row r="2059" spans="2:3" x14ac:dyDescent="0.25">
      <c r="B2059" s="12"/>
      <c r="C2059" s="18"/>
    </row>
    <row r="2060" spans="2:3" x14ac:dyDescent="0.25">
      <c r="B2060" s="12"/>
      <c r="C2060" s="18"/>
    </row>
    <row r="2061" spans="2:3" x14ac:dyDescent="0.25">
      <c r="B2061" s="12"/>
      <c r="C2061" s="18"/>
    </row>
    <row r="2062" spans="2:3" x14ac:dyDescent="0.25">
      <c r="B2062" s="12"/>
      <c r="C2062" s="18"/>
    </row>
    <row r="2063" spans="2:3" x14ac:dyDescent="0.25">
      <c r="B2063" s="12"/>
      <c r="C2063" s="18"/>
    </row>
    <row r="2064" spans="2:3" x14ac:dyDescent="0.25">
      <c r="B2064" s="12"/>
      <c r="C2064" s="18"/>
    </row>
    <row r="2065" spans="2:3" x14ac:dyDescent="0.25">
      <c r="B2065" s="12"/>
      <c r="C2065" s="18"/>
    </row>
    <row r="2066" spans="2:3" x14ac:dyDescent="0.25">
      <c r="B2066" s="12"/>
      <c r="C2066" s="18"/>
    </row>
    <row r="2067" spans="2:3" x14ac:dyDescent="0.25">
      <c r="B2067" s="12"/>
      <c r="C2067" s="18"/>
    </row>
  </sheetData>
  <hyperlinks>
    <hyperlink ref="A1" location="Main!A1" display="Main" xr:uid="{29367571-B7F9-4EB7-AF59-842149789939}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AC5E7-7FF6-4287-9F23-7D3A6FE15A5F}">
  <dimension ref="A1:M84"/>
  <sheetViews>
    <sheetView workbookViewId="0">
      <selection activeCell="B84" sqref="B2:C84"/>
    </sheetView>
  </sheetViews>
  <sheetFormatPr defaultRowHeight="15" x14ac:dyDescent="0.25"/>
  <cols>
    <col min="1" max="1" width="5.5703125" customWidth="1"/>
    <col min="2" max="2" width="12.85546875" customWidth="1"/>
    <col min="8" max="8" width="19.7109375" bestFit="1" customWidth="1"/>
    <col min="9" max="9" width="15.7109375" bestFit="1" customWidth="1"/>
    <col min="10" max="10" width="12.5703125" bestFit="1" customWidth="1"/>
    <col min="11" max="11" width="19" bestFit="1" customWidth="1"/>
    <col min="12" max="12" width="25.7109375" bestFit="1" customWidth="1"/>
    <col min="13" max="13" width="22" bestFit="1" customWidth="1"/>
  </cols>
  <sheetData>
    <row r="1" spans="1:13" ht="16.5" thickBot="1" x14ac:dyDescent="0.3">
      <c r="A1" s="8" t="s">
        <v>37</v>
      </c>
      <c r="B1" s="1" t="s">
        <v>50</v>
      </c>
      <c r="C1" s="1" t="s">
        <v>0</v>
      </c>
      <c r="D1" s="1" t="s">
        <v>89</v>
      </c>
      <c r="H1" s="142" t="s">
        <v>90</v>
      </c>
      <c r="I1" s="143"/>
      <c r="J1" s="143"/>
      <c r="K1" s="143"/>
      <c r="L1" s="143"/>
      <c r="M1" s="144"/>
    </row>
    <row r="2" spans="1:13" ht="15.75" thickBot="1" x14ac:dyDescent="0.3">
      <c r="B2" s="12">
        <v>45404</v>
      </c>
      <c r="C2" s="18">
        <v>89.800003000000004</v>
      </c>
      <c r="D2" s="124">
        <f>C2/C3-1</f>
        <v>-1.3344639976526906E-3</v>
      </c>
      <c r="H2" s="61"/>
      <c r="I2" s="62"/>
      <c r="J2" s="62"/>
      <c r="K2" s="62"/>
      <c r="L2" s="62"/>
      <c r="M2" s="63"/>
    </row>
    <row r="3" spans="1:13" ht="15.75" thickBot="1" x14ac:dyDescent="0.3">
      <c r="B3" s="12">
        <v>45397</v>
      </c>
      <c r="C3" s="18">
        <v>89.919998000000007</v>
      </c>
      <c r="D3" s="124">
        <f t="shared" ref="D3:D66" si="0">C3/C4-1</f>
        <v>-3.1451940174577309E-2</v>
      </c>
      <c r="H3" s="64" t="s">
        <v>91</v>
      </c>
      <c r="I3" s="65" t="s">
        <v>92</v>
      </c>
      <c r="J3" s="66" t="s">
        <v>93</v>
      </c>
      <c r="K3" s="67" t="s">
        <v>94</v>
      </c>
      <c r="L3" s="67" t="s">
        <v>95</v>
      </c>
      <c r="M3" s="68" t="s">
        <v>96</v>
      </c>
    </row>
    <row r="4" spans="1:13" x14ac:dyDescent="0.25">
      <c r="B4" s="12">
        <v>45390</v>
      </c>
      <c r="C4" s="18">
        <v>92.839995999999999</v>
      </c>
      <c r="D4" s="124">
        <f t="shared" si="0"/>
        <v>-2.792717568049774E-3</v>
      </c>
      <c r="H4" s="69">
        <f>$I$19-3*$I$23</f>
        <v>-0.12195315560700047</v>
      </c>
      <c r="I4" s="70">
        <f>H4</f>
        <v>-0.12195315560700047</v>
      </c>
      <c r="J4" s="71">
        <f>COUNTIF(D:D,"&lt;="&amp;H4)</f>
        <v>0</v>
      </c>
      <c r="K4" s="71" t="str">
        <f>"Less than "&amp;TEXT(H4,"0,00%")</f>
        <v>Less than -12,20%</v>
      </c>
      <c r="L4" s="72">
        <f>J4/$I$31</f>
        <v>0</v>
      </c>
      <c r="M4" s="73">
        <f>L4</f>
        <v>0</v>
      </c>
    </row>
    <row r="5" spans="1:13" x14ac:dyDescent="0.25">
      <c r="B5" s="12">
        <v>45383</v>
      </c>
      <c r="C5" s="18">
        <v>93.099997999999999</v>
      </c>
      <c r="D5" s="124">
        <f t="shared" si="0"/>
        <v>8.8859883927827621E-3</v>
      </c>
      <c r="H5" s="74">
        <f>$I$19-2.4*$I$23</f>
        <v>-9.7167607070187553E-2</v>
      </c>
      <c r="I5" s="75">
        <f>H5</f>
        <v>-9.7167607070187553E-2</v>
      </c>
      <c r="J5" s="76">
        <f>COUNTIFS(D:D,"&lt;="&amp;H5,D:D,"&gt;"&amp;H4)</f>
        <v>0</v>
      </c>
      <c r="K5" s="77" t="str">
        <f t="shared" ref="K5:K14" si="1">TEXT(H4,"0,00%")&amp;" to "&amp;TEXT(H5,"0,00%")</f>
        <v>-12,20% to -9,72%</v>
      </c>
      <c r="L5" s="78">
        <f>J5/$I$31</f>
        <v>0</v>
      </c>
      <c r="M5" s="79">
        <f>M4+L5</f>
        <v>0</v>
      </c>
    </row>
    <row r="6" spans="1:13" x14ac:dyDescent="0.25">
      <c r="B6" s="12">
        <v>45376</v>
      </c>
      <c r="C6" s="18">
        <v>92.279999000000004</v>
      </c>
      <c r="D6" s="124">
        <f t="shared" si="0"/>
        <v>-1.3259174933463735E-2</v>
      </c>
      <c r="H6" s="74">
        <f>$I$19-1.8*$I$23</f>
        <v>-7.2382058533374649E-2</v>
      </c>
      <c r="I6" s="75">
        <f t="shared" ref="I6:I14" si="2">H6</f>
        <v>-7.2382058533374649E-2</v>
      </c>
      <c r="J6" s="76">
        <f t="shared" ref="J6:J14" si="3">COUNTIFS(D:D,"&lt;="&amp;H6,D:D,"&gt;"&amp;H5)</f>
        <v>2</v>
      </c>
      <c r="K6" s="77" t="str">
        <f t="shared" si="1"/>
        <v>-9,72% to -7,24%</v>
      </c>
      <c r="L6" s="78">
        <f t="shared" ref="L6:L15" si="4">J6/$I$31</f>
        <v>2.4390243902439025E-2</v>
      </c>
      <c r="M6" s="79">
        <f t="shared" ref="M6:M15" si="5">M5+L6</f>
        <v>2.4390243902439025E-2</v>
      </c>
    </row>
    <row r="7" spans="1:13" x14ac:dyDescent="0.25">
      <c r="B7" s="12">
        <v>45369</v>
      </c>
      <c r="C7" s="18">
        <v>93.519997000000004</v>
      </c>
      <c r="D7" s="124">
        <f t="shared" si="0"/>
        <v>5.8397418985995708E-2</v>
      </c>
      <c r="H7" s="74">
        <f>$I$19-1.2*$I$23</f>
        <v>-4.7596509996561724E-2</v>
      </c>
      <c r="I7" s="75">
        <f t="shared" si="2"/>
        <v>-4.7596509996561724E-2</v>
      </c>
      <c r="J7" s="76">
        <f t="shared" si="3"/>
        <v>7</v>
      </c>
      <c r="K7" s="77" t="str">
        <f t="shared" si="1"/>
        <v>-7,24% to -4,76%</v>
      </c>
      <c r="L7" s="78">
        <f t="shared" si="4"/>
        <v>8.5365853658536592E-2</v>
      </c>
      <c r="M7" s="79">
        <f t="shared" si="5"/>
        <v>0.10975609756097562</v>
      </c>
    </row>
    <row r="8" spans="1:13" x14ac:dyDescent="0.25">
      <c r="B8" s="12">
        <v>45362</v>
      </c>
      <c r="C8" s="18">
        <v>88.360000999999997</v>
      </c>
      <c r="D8" s="124">
        <f t="shared" si="0"/>
        <v>7.5986334291780366E-2</v>
      </c>
      <c r="H8" s="74">
        <f>$I$19-0.6*$I$23</f>
        <v>-2.281096145974881E-2</v>
      </c>
      <c r="I8" s="75">
        <f t="shared" si="2"/>
        <v>-2.281096145974881E-2</v>
      </c>
      <c r="J8" s="76">
        <f t="shared" si="3"/>
        <v>10</v>
      </c>
      <c r="K8" s="77" t="str">
        <f t="shared" si="1"/>
        <v>-4,76% to -2,28%</v>
      </c>
      <c r="L8" s="78">
        <f t="shared" si="4"/>
        <v>0.12195121951219512</v>
      </c>
      <c r="M8" s="79">
        <f t="shared" si="5"/>
        <v>0.23170731707317074</v>
      </c>
    </row>
    <row r="9" spans="1:13" x14ac:dyDescent="0.25">
      <c r="B9" s="12">
        <v>45355</v>
      </c>
      <c r="C9" s="18">
        <v>82.120002999999997</v>
      </c>
      <c r="D9" s="124">
        <f t="shared" si="0"/>
        <v>-5.0196577032113998E-2</v>
      </c>
      <c r="H9" s="74">
        <f>$I$19</f>
        <v>1.974587077064105E-3</v>
      </c>
      <c r="I9" s="75">
        <f t="shared" si="2"/>
        <v>1.974587077064105E-3</v>
      </c>
      <c r="J9" s="76">
        <f t="shared" si="3"/>
        <v>31</v>
      </c>
      <c r="K9" s="77" t="str">
        <f t="shared" si="1"/>
        <v>-2,28% to 0,20%</v>
      </c>
      <c r="L9" s="78">
        <f t="shared" si="4"/>
        <v>0.37804878048780488</v>
      </c>
      <c r="M9" s="79">
        <f t="shared" si="5"/>
        <v>0.6097560975609756</v>
      </c>
    </row>
    <row r="10" spans="1:13" x14ac:dyDescent="0.25">
      <c r="B10" s="12">
        <v>45348</v>
      </c>
      <c r="C10" s="18">
        <v>86.459998999999996</v>
      </c>
      <c r="D10" s="124">
        <f t="shared" si="0"/>
        <v>4.5971386597077668E-2</v>
      </c>
      <c r="H10" s="74">
        <f>$I$19+0.6*$I$23</f>
        <v>2.676013561387702E-2</v>
      </c>
      <c r="I10" s="75">
        <f t="shared" si="2"/>
        <v>2.676013561387702E-2</v>
      </c>
      <c r="J10" s="76">
        <f t="shared" si="3"/>
        <v>12</v>
      </c>
      <c r="K10" s="77" t="str">
        <f t="shared" si="1"/>
        <v>0,20% to 2,68%</v>
      </c>
      <c r="L10" s="78">
        <f t="shared" si="4"/>
        <v>0.14634146341463414</v>
      </c>
      <c r="M10" s="79">
        <f t="shared" si="5"/>
        <v>0.75609756097560976</v>
      </c>
    </row>
    <row r="11" spans="1:13" x14ac:dyDescent="0.25">
      <c r="B11" s="12">
        <v>45341</v>
      </c>
      <c r="C11" s="18">
        <v>82.660004000000001</v>
      </c>
      <c r="D11" s="124">
        <f t="shared" si="0"/>
        <v>2.5303906277453381E-2</v>
      </c>
      <c r="H11" s="74">
        <f>$I$19+1.2*$I$23</f>
        <v>5.1545684150689934E-2</v>
      </c>
      <c r="I11" s="75">
        <f t="shared" si="2"/>
        <v>5.1545684150689934E-2</v>
      </c>
      <c r="J11" s="76">
        <f t="shared" si="3"/>
        <v>11</v>
      </c>
      <c r="K11" s="77" t="str">
        <f t="shared" si="1"/>
        <v>2,68% to 5,15%</v>
      </c>
      <c r="L11" s="78">
        <f t="shared" si="4"/>
        <v>0.13414634146341464</v>
      </c>
      <c r="M11" s="79">
        <f t="shared" si="5"/>
        <v>0.8902439024390244</v>
      </c>
    </row>
    <row r="12" spans="1:13" x14ac:dyDescent="0.25">
      <c r="B12" s="12">
        <v>45334</v>
      </c>
      <c r="C12" s="18">
        <v>80.620002999999997</v>
      </c>
      <c r="D12" s="124">
        <f t="shared" si="0"/>
        <v>4.7358550532365928E-3</v>
      </c>
      <c r="H12" s="74">
        <f>$I$19+1.8*$I$23</f>
        <v>7.6331232687502859E-2</v>
      </c>
      <c r="I12" s="75">
        <f t="shared" si="2"/>
        <v>7.6331232687502859E-2</v>
      </c>
      <c r="J12" s="76">
        <f t="shared" si="3"/>
        <v>4</v>
      </c>
      <c r="K12" s="77" t="str">
        <f t="shared" si="1"/>
        <v>5,15% to 7,63%</v>
      </c>
      <c r="L12" s="78">
        <f t="shared" si="4"/>
        <v>4.878048780487805E-2</v>
      </c>
      <c r="M12" s="79">
        <f t="shared" si="5"/>
        <v>0.9390243902439025</v>
      </c>
    </row>
    <row r="13" spans="1:13" x14ac:dyDescent="0.25">
      <c r="B13" s="12">
        <v>45327</v>
      </c>
      <c r="C13" s="18">
        <v>80.239998</v>
      </c>
      <c r="D13" s="124">
        <f t="shared" si="0"/>
        <v>-2.1463439024390296E-2</v>
      </c>
      <c r="H13" s="74">
        <f>$I$19+2.4*$I$23</f>
        <v>0.10111678122431576</v>
      </c>
      <c r="I13" s="75">
        <f t="shared" si="2"/>
        <v>0.10111678122431576</v>
      </c>
      <c r="J13" s="76">
        <f t="shared" si="3"/>
        <v>4</v>
      </c>
      <c r="K13" s="77" t="str">
        <f t="shared" si="1"/>
        <v>7,63% to 10,11%</v>
      </c>
      <c r="L13" s="78">
        <f t="shared" si="4"/>
        <v>4.878048780487805E-2</v>
      </c>
      <c r="M13" s="79">
        <f t="shared" si="5"/>
        <v>0.98780487804878059</v>
      </c>
    </row>
    <row r="14" spans="1:13" x14ac:dyDescent="0.25">
      <c r="B14" s="12">
        <v>45320</v>
      </c>
      <c r="C14" s="18">
        <v>82</v>
      </c>
      <c r="D14" s="124">
        <f t="shared" si="0"/>
        <v>7.2175690160472428E-2</v>
      </c>
      <c r="H14" s="74">
        <f>$I$19+3*$I$23</f>
        <v>0.1259023297611287</v>
      </c>
      <c r="I14" s="75">
        <f t="shared" si="2"/>
        <v>0.1259023297611287</v>
      </c>
      <c r="J14" s="76">
        <f t="shared" si="3"/>
        <v>1</v>
      </c>
      <c r="K14" s="77" t="str">
        <f t="shared" si="1"/>
        <v>10,11% to 12,59%</v>
      </c>
      <c r="L14" s="78">
        <f t="shared" si="4"/>
        <v>1.2195121951219513E-2</v>
      </c>
      <c r="M14" s="79">
        <f t="shared" si="5"/>
        <v>1</v>
      </c>
    </row>
    <row r="15" spans="1:13" ht="15.75" thickBot="1" x14ac:dyDescent="0.3">
      <c r="B15" s="12">
        <v>45313</v>
      </c>
      <c r="C15" s="18">
        <v>76.480002999999996</v>
      </c>
      <c r="D15" s="124">
        <f t="shared" si="0"/>
        <v>3.6595337985840803E-2</v>
      </c>
      <c r="H15" s="80"/>
      <c r="I15" s="81" t="s">
        <v>97</v>
      </c>
      <c r="J15" s="81">
        <f>COUNTIF(D:D,"&gt;"&amp;H14)</f>
        <v>0</v>
      </c>
      <c r="K15" s="81" t="str">
        <f>"Greater than "&amp;TEXT(H14,"0,00%")</f>
        <v>Greater than 12,59%</v>
      </c>
      <c r="L15" s="82">
        <f t="shared" si="4"/>
        <v>0</v>
      </c>
      <c r="M15" s="82">
        <f t="shared" si="5"/>
        <v>1</v>
      </c>
    </row>
    <row r="16" spans="1:13" ht="15.75" thickBot="1" x14ac:dyDescent="0.3">
      <c r="B16" s="12">
        <v>45306</v>
      </c>
      <c r="C16" s="18">
        <v>73.779999000000004</v>
      </c>
      <c r="D16" s="124">
        <f t="shared" si="0"/>
        <v>-2.2781470198675491E-2</v>
      </c>
      <c r="H16" s="83"/>
      <c r="M16" s="84"/>
    </row>
    <row r="17" spans="2:13" x14ac:dyDescent="0.25">
      <c r="B17" s="12">
        <v>45299</v>
      </c>
      <c r="C17" s="18">
        <v>75.5</v>
      </c>
      <c r="D17" s="124">
        <f t="shared" si="0"/>
        <v>-1.5645333076088619E-2</v>
      </c>
      <c r="H17" s="145" t="s">
        <v>128</v>
      </c>
      <c r="I17" s="146"/>
      <c r="M17" s="84"/>
    </row>
    <row r="18" spans="2:13" x14ac:dyDescent="0.25">
      <c r="B18" s="12">
        <v>45292</v>
      </c>
      <c r="C18" s="18">
        <v>76.699996999999996</v>
      </c>
      <c r="D18" s="124">
        <f t="shared" si="0"/>
        <v>-4.0050124153939382E-2</v>
      </c>
      <c r="H18" s="147"/>
      <c r="I18" s="148"/>
      <c r="M18" s="84"/>
    </row>
    <row r="19" spans="2:13" x14ac:dyDescent="0.25">
      <c r="B19" s="12">
        <v>45285</v>
      </c>
      <c r="C19" s="18">
        <v>79.900002000000001</v>
      </c>
      <c r="D19" s="124">
        <f t="shared" si="0"/>
        <v>-2.2477521916144383E-3</v>
      </c>
      <c r="H19" s="85" t="s">
        <v>98</v>
      </c>
      <c r="I19" s="122">
        <f>AVERAGE(D:D)</f>
        <v>1.974587077064105E-3</v>
      </c>
      <c r="M19" s="84"/>
    </row>
    <row r="20" spans="2:13" x14ac:dyDescent="0.25">
      <c r="B20" s="12">
        <v>45278</v>
      </c>
      <c r="C20" s="18">
        <v>80.080001999999993</v>
      </c>
      <c r="D20" s="124">
        <f t="shared" si="0"/>
        <v>-1.135800000000009E-2</v>
      </c>
      <c r="H20" s="85" t="s">
        <v>99</v>
      </c>
      <c r="I20" s="122">
        <f>_xlfn.STDEV.S(D:D)/SQRT(COUNT(D:D))</f>
        <v>4.5618432492040501E-3</v>
      </c>
      <c r="M20" s="84"/>
    </row>
    <row r="21" spans="2:13" x14ac:dyDescent="0.25">
      <c r="B21" s="12">
        <v>45271</v>
      </c>
      <c r="C21" s="18">
        <v>81</v>
      </c>
      <c r="D21" s="124">
        <f t="shared" si="0"/>
        <v>-3.0636645060714285E-2</v>
      </c>
      <c r="H21" s="85" t="s">
        <v>100</v>
      </c>
      <c r="I21" s="122">
        <f>MEDIAN(D:D)</f>
        <v>-3.9265976981327499E-3</v>
      </c>
      <c r="M21" s="84"/>
    </row>
    <row r="22" spans="2:13" x14ac:dyDescent="0.25">
      <c r="B22" s="12">
        <v>45264</v>
      </c>
      <c r="C22" s="18">
        <v>83.559997999999993</v>
      </c>
      <c r="D22" s="124">
        <f t="shared" si="0"/>
        <v>-4.0524909641838081E-3</v>
      </c>
      <c r="H22" s="85" t="s">
        <v>101</v>
      </c>
      <c r="I22" s="122" t="e">
        <f>MODE(D:D)</f>
        <v>#N/A</v>
      </c>
      <c r="M22" s="84"/>
    </row>
    <row r="23" spans="2:13" x14ac:dyDescent="0.25">
      <c r="B23" s="12">
        <v>45257</v>
      </c>
      <c r="C23" s="18">
        <v>83.900002000000001</v>
      </c>
      <c r="D23" s="124">
        <f t="shared" si="0"/>
        <v>-2.5551638224196038E-2</v>
      </c>
      <c r="H23" s="85" t="s">
        <v>102</v>
      </c>
      <c r="I23" s="122">
        <f>_xlfn.STDEV.S(D:D)</f>
        <v>4.1309247561354859E-2</v>
      </c>
      <c r="M23" s="84"/>
    </row>
    <row r="24" spans="2:13" x14ac:dyDescent="0.25">
      <c r="B24" s="12">
        <v>45250</v>
      </c>
      <c r="C24" s="18">
        <v>86.099997999999999</v>
      </c>
      <c r="D24" s="124">
        <f t="shared" si="0"/>
        <v>-5.3013639529556622E-2</v>
      </c>
      <c r="H24" s="85" t="s">
        <v>103</v>
      </c>
      <c r="I24" s="122">
        <f>_xlfn.VAR.S(D:D)</f>
        <v>1.7064539340853023E-3</v>
      </c>
      <c r="M24" s="84"/>
    </row>
    <row r="25" spans="2:13" x14ac:dyDescent="0.25">
      <c r="B25" s="12">
        <v>45243</v>
      </c>
      <c r="C25" s="18">
        <v>90.919998000000007</v>
      </c>
      <c r="D25" s="124">
        <f t="shared" si="0"/>
        <v>4.0036605811864634E-2</v>
      </c>
      <c r="H25" s="85" t="s">
        <v>104</v>
      </c>
      <c r="I25" s="123">
        <f>KURT(D:D)</f>
        <v>0.39782837420295225</v>
      </c>
      <c r="M25" s="84"/>
    </row>
    <row r="26" spans="2:13" x14ac:dyDescent="0.25">
      <c r="B26" s="12">
        <v>45236</v>
      </c>
      <c r="C26" s="18">
        <v>87.419998000000007</v>
      </c>
      <c r="D26" s="124">
        <f t="shared" si="0"/>
        <v>-3.0175294321891366E-2</v>
      </c>
      <c r="H26" s="85" t="s">
        <v>105</v>
      </c>
      <c r="I26" s="123">
        <f>SKEW(D:D)</f>
        <v>0.72131975054090247</v>
      </c>
      <c r="M26" s="84"/>
    </row>
    <row r="27" spans="2:13" x14ac:dyDescent="0.25">
      <c r="B27" s="12">
        <v>45229</v>
      </c>
      <c r="C27" s="18">
        <v>90.139999000000003</v>
      </c>
      <c r="D27" s="124">
        <f t="shared" si="0"/>
        <v>9.7661905833101414E-2</v>
      </c>
      <c r="H27" s="85" t="s">
        <v>94</v>
      </c>
      <c r="I27" s="122">
        <f>I29-I28</f>
        <v>0.19515189930473487</v>
      </c>
      <c r="M27" s="84"/>
    </row>
    <row r="28" spans="2:13" x14ac:dyDescent="0.25">
      <c r="B28" s="12">
        <v>45222</v>
      </c>
      <c r="C28" s="18">
        <v>82.120002999999997</v>
      </c>
      <c r="D28" s="124">
        <f t="shared" si="0"/>
        <v>-7.8545778325433857E-2</v>
      </c>
      <c r="H28" s="85" t="s">
        <v>106</v>
      </c>
      <c r="I28" s="122">
        <f>MIN(D:D)</f>
        <v>-7.8545778325433857E-2</v>
      </c>
      <c r="M28" s="84"/>
    </row>
    <row r="29" spans="2:13" x14ac:dyDescent="0.25">
      <c r="B29" s="12">
        <v>45215</v>
      </c>
      <c r="C29" s="18">
        <v>89.120002999999997</v>
      </c>
      <c r="D29" s="124">
        <f t="shared" si="0"/>
        <v>-1.6335486011820888E-2</v>
      </c>
      <c r="H29" s="85" t="s">
        <v>107</v>
      </c>
      <c r="I29" s="122">
        <f>MAX(D:D)</f>
        <v>0.11660612097930101</v>
      </c>
      <c r="M29" s="84"/>
    </row>
    <row r="30" spans="2:13" x14ac:dyDescent="0.25">
      <c r="B30" s="12">
        <v>45208</v>
      </c>
      <c r="C30" s="18">
        <v>90.599997999999999</v>
      </c>
      <c r="D30" s="124">
        <f t="shared" si="0"/>
        <v>1.5467350196510354E-2</v>
      </c>
      <c r="H30" s="85" t="s">
        <v>108</v>
      </c>
      <c r="I30" s="123">
        <f>SUM(D:D)</f>
        <v>0.16191614031925661</v>
      </c>
      <c r="M30" s="84"/>
    </row>
    <row r="31" spans="2:13" ht="15.75" thickBot="1" x14ac:dyDescent="0.3">
      <c r="B31" s="12">
        <v>45201</v>
      </c>
      <c r="C31" s="18">
        <v>89.220000999999996</v>
      </c>
      <c r="D31" s="124">
        <f t="shared" si="0"/>
        <v>2.4719213483146429E-3</v>
      </c>
      <c r="H31" s="86" t="s">
        <v>109</v>
      </c>
      <c r="I31" s="63">
        <f>COUNT(D:D)</f>
        <v>82</v>
      </c>
      <c r="M31" s="84"/>
    </row>
    <row r="32" spans="2:13" ht="15.75" thickBot="1" x14ac:dyDescent="0.3">
      <c r="B32" s="12">
        <v>45194</v>
      </c>
      <c r="C32" s="18">
        <v>89</v>
      </c>
      <c r="D32" s="124">
        <f t="shared" si="0"/>
        <v>-4.2598956998697868E-2</v>
      </c>
      <c r="H32" s="88"/>
      <c r="M32" s="84"/>
    </row>
    <row r="33" spans="2:13" x14ac:dyDescent="0.25">
      <c r="B33" s="12">
        <v>45187</v>
      </c>
      <c r="C33" s="18">
        <v>92.959998999999996</v>
      </c>
      <c r="D33" s="124">
        <f t="shared" si="0"/>
        <v>-6.1957609726692509E-2</v>
      </c>
      <c r="H33" s="89"/>
      <c r="I33" s="90" t="s">
        <v>110</v>
      </c>
      <c r="J33" s="90" t="s">
        <v>109</v>
      </c>
      <c r="K33" s="90" t="s">
        <v>111</v>
      </c>
      <c r="L33" s="91" t="s">
        <v>112</v>
      </c>
      <c r="M33" s="84"/>
    </row>
    <row r="34" spans="2:13" x14ac:dyDescent="0.25">
      <c r="B34" s="12">
        <v>45180</v>
      </c>
      <c r="C34" s="18">
        <v>99.099997999999999</v>
      </c>
      <c r="D34" s="124">
        <f t="shared" si="0"/>
        <v>-2.1717719001449587E-2</v>
      </c>
      <c r="H34" s="92" t="s">
        <v>113</v>
      </c>
      <c r="I34" s="78">
        <f>AVERAGEIF(D:D,"&gt;0")</f>
        <v>3.8724876897246789E-2</v>
      </c>
      <c r="J34" s="76">
        <f>COUNTIF(D:D,"&gt;0")</f>
        <v>35</v>
      </c>
      <c r="K34" s="78">
        <f>J34/$I$31</f>
        <v>0.42682926829268292</v>
      </c>
      <c r="L34" s="79">
        <f>K34*I34</f>
        <v>1.6528910870776067E-2</v>
      </c>
      <c r="M34" s="84"/>
    </row>
    <row r="35" spans="2:13" x14ac:dyDescent="0.25">
      <c r="B35" s="12">
        <v>45173</v>
      </c>
      <c r="C35" s="18">
        <v>101.300003</v>
      </c>
      <c r="D35" s="124">
        <f t="shared" si="0"/>
        <v>3.1988578566072734E-2</v>
      </c>
      <c r="H35" s="92" t="s">
        <v>114</v>
      </c>
      <c r="I35" s="78">
        <f>AVERAGEIF(D:D,"&lt;0")</f>
        <v>-2.5392650023071933E-2</v>
      </c>
      <c r="J35" s="76">
        <f>COUNTIF(D:D,"&lt;0")</f>
        <v>47</v>
      </c>
      <c r="K35" s="78">
        <f>J35/$I$31</f>
        <v>0.57317073170731703</v>
      </c>
      <c r="L35" s="79">
        <f t="shared" ref="L35:L36" si="6">K35*I35</f>
        <v>-1.455432379371196E-2</v>
      </c>
      <c r="M35" s="84"/>
    </row>
    <row r="36" spans="2:13" ht="15.75" thickBot="1" x14ac:dyDescent="0.3">
      <c r="B36" s="12">
        <v>45166</v>
      </c>
      <c r="C36" s="18">
        <v>98.160004000000001</v>
      </c>
      <c r="D36" s="124">
        <f t="shared" si="0"/>
        <v>-1.889054416120306E-2</v>
      </c>
      <c r="H36" s="93" t="s">
        <v>115</v>
      </c>
      <c r="I36" s="81">
        <v>0</v>
      </c>
      <c r="J36" s="81">
        <f>COUNTIF(D:D,"0")</f>
        <v>0</v>
      </c>
      <c r="K36" s="94">
        <f>J36/$I$31</f>
        <v>0</v>
      </c>
      <c r="L36" s="82">
        <f t="shared" si="6"/>
        <v>0</v>
      </c>
      <c r="M36" s="84"/>
    </row>
    <row r="37" spans="2:13" ht="15.75" thickBot="1" x14ac:dyDescent="0.3">
      <c r="B37" s="12">
        <v>45159</v>
      </c>
      <c r="C37" s="18">
        <v>100.050003</v>
      </c>
      <c r="D37" s="124">
        <f t="shared" si="0"/>
        <v>-2.0078305976068633E-2</v>
      </c>
      <c r="H37" s="88"/>
      <c r="I37" s="95"/>
      <c r="J37" s="95"/>
      <c r="K37" s="95"/>
      <c r="L37" s="95"/>
      <c r="M37" s="84"/>
    </row>
    <row r="38" spans="2:13" x14ac:dyDescent="0.25">
      <c r="B38" s="12">
        <v>45152</v>
      </c>
      <c r="C38" s="18">
        <v>102.099998</v>
      </c>
      <c r="D38" s="124">
        <f t="shared" si="0"/>
        <v>-2.483284693885901E-2</v>
      </c>
      <c r="H38" s="69" t="s">
        <v>116</v>
      </c>
      <c r="I38" s="90" t="s">
        <v>117</v>
      </c>
      <c r="J38" s="90" t="s">
        <v>118</v>
      </c>
      <c r="K38" s="90" t="s">
        <v>119</v>
      </c>
      <c r="L38" s="90" t="s">
        <v>120</v>
      </c>
      <c r="M38" s="91" t="s">
        <v>121</v>
      </c>
    </row>
    <row r="39" spans="2:13" x14ac:dyDescent="0.25">
      <c r="B39" s="12">
        <v>45145</v>
      </c>
      <c r="C39" s="18">
        <v>104.699997</v>
      </c>
      <c r="D39" s="124">
        <f t="shared" si="0"/>
        <v>-5.2488714932126701E-2</v>
      </c>
      <c r="H39" s="96">
        <v>1</v>
      </c>
      <c r="I39" s="78">
        <f>$I$19+($H39*$I$23)</f>
        <v>4.3283834638418964E-2</v>
      </c>
      <c r="J39" s="78">
        <f>$I$19-($H39*$I$23)</f>
        <v>-3.9334660484290754E-2</v>
      </c>
      <c r="K39" s="76">
        <f>COUNTIFS(D:D,"&lt;"&amp;I39,D:D,"&gt;"&amp;J39)</f>
        <v>59</v>
      </c>
      <c r="L39" s="78">
        <f>K39/$I$31</f>
        <v>0.71951219512195119</v>
      </c>
      <c r="M39" s="79">
        <v>0.68269999999999997</v>
      </c>
    </row>
    <row r="40" spans="2:13" x14ac:dyDescent="0.25">
      <c r="B40" s="12">
        <v>45138</v>
      </c>
      <c r="C40" s="18">
        <v>110.5</v>
      </c>
      <c r="D40" s="124">
        <f t="shared" si="0"/>
        <v>-1.5590200445434244E-2</v>
      </c>
      <c r="H40" s="96">
        <v>2</v>
      </c>
      <c r="I40" s="78">
        <f>$I$19+($H40*$I$23)</f>
        <v>8.4593082199773822E-2</v>
      </c>
      <c r="J40" s="78">
        <f>$I$19-($H40*$I$23)</f>
        <v>-8.0643908045645613E-2</v>
      </c>
      <c r="K40" s="76">
        <f>COUNTIFS(D:D,"&lt;"&amp;I40,D:D,"&gt;"&amp;J40)</f>
        <v>77</v>
      </c>
      <c r="L40" s="78">
        <f>K40/$I$31</f>
        <v>0.93902439024390238</v>
      </c>
      <c r="M40" s="79">
        <v>0.95450000000000002</v>
      </c>
    </row>
    <row r="41" spans="2:13" x14ac:dyDescent="0.25">
      <c r="B41" s="12">
        <v>45131</v>
      </c>
      <c r="C41" s="18">
        <v>112.25</v>
      </c>
      <c r="D41" s="124">
        <f t="shared" si="0"/>
        <v>9.4424732763258579E-3</v>
      </c>
      <c r="H41" s="96">
        <v>3</v>
      </c>
      <c r="I41" s="78">
        <f>$I$19+($H41*$I$23)</f>
        <v>0.1259023297611287</v>
      </c>
      <c r="J41" s="78">
        <f>$I$19-($H41*$I$23)</f>
        <v>-0.12195315560700047</v>
      </c>
      <c r="K41" s="76">
        <f>COUNTIFS(D:D,"&lt;"&amp;I41,D:D,"&gt;"&amp;J41)</f>
        <v>82</v>
      </c>
      <c r="L41" s="78">
        <f>K41/$I$31</f>
        <v>1</v>
      </c>
      <c r="M41" s="97">
        <v>0.99729999999999996</v>
      </c>
    </row>
    <row r="42" spans="2:13" ht="15.75" thickBot="1" x14ac:dyDescent="0.3">
      <c r="B42" s="12">
        <v>45124</v>
      </c>
      <c r="C42" s="18">
        <v>111.199997</v>
      </c>
      <c r="D42" s="124">
        <f t="shared" si="0"/>
        <v>-3.0514386151204498E-2</v>
      </c>
      <c r="H42" s="74"/>
      <c r="M42" s="97"/>
    </row>
    <row r="43" spans="2:13" ht="15.75" thickBot="1" x14ac:dyDescent="0.3">
      <c r="B43" s="12">
        <v>45117</v>
      </c>
      <c r="C43" s="18">
        <v>114.699997</v>
      </c>
      <c r="D43" s="124">
        <f t="shared" si="0"/>
        <v>3.9420018838604687E-2</v>
      </c>
      <c r="H43" s="149" t="s">
        <v>122</v>
      </c>
      <c r="I43" s="150"/>
      <c r="J43" s="150"/>
      <c r="K43" s="150"/>
      <c r="L43" s="150"/>
      <c r="M43" s="151"/>
    </row>
    <row r="44" spans="2:13" x14ac:dyDescent="0.25">
      <c r="B44" s="12">
        <v>45110</v>
      </c>
      <c r="C44" s="18">
        <v>110.349998</v>
      </c>
      <c r="D44" s="124">
        <f t="shared" si="0"/>
        <v>-2.0846311075899293E-2</v>
      </c>
      <c r="H44" s="98">
        <v>0.01</v>
      </c>
      <c r="I44" s="99">
        <f t="shared" ref="I44:I58" si="7">_xlfn.PERCENTILE.INC(D:D,H44)</f>
        <v>-7.6911905790158608E-2</v>
      </c>
      <c r="J44" s="100">
        <v>0.2</v>
      </c>
      <c r="K44" s="99">
        <f t="shared" ref="K44:K56" si="8">_xlfn.PERCENTILE.INC(D:D,J44)</f>
        <v>-2.9250563102352304E-2</v>
      </c>
      <c r="L44" s="100">
        <v>0.85</v>
      </c>
      <c r="M44" s="101">
        <f t="shared" ref="M44:M58" si="9">_xlfn.PERCENTILE.INC(D:D,L44)</f>
        <v>4.0026123520902068E-2</v>
      </c>
    </row>
    <row r="45" spans="2:13" x14ac:dyDescent="0.25">
      <c r="B45" s="12">
        <v>45103</v>
      </c>
      <c r="C45" s="18">
        <v>112.699364</v>
      </c>
      <c r="D45" s="124">
        <f t="shared" si="0"/>
        <v>4.9354297557943294E-2</v>
      </c>
      <c r="H45" s="102">
        <v>0.02</v>
      </c>
      <c r="I45" s="103">
        <f t="shared" si="7"/>
        <v>-6.7494605691245588E-2</v>
      </c>
      <c r="J45" s="104">
        <v>0.25</v>
      </c>
      <c r="K45" s="103">
        <f t="shared" si="8"/>
        <v>-2.1654149007184764E-2</v>
      </c>
      <c r="L45" s="104">
        <v>0.86</v>
      </c>
      <c r="M45" s="105">
        <f t="shared" si="9"/>
        <v>4.3953561130105213E-2</v>
      </c>
    </row>
    <row r="46" spans="2:13" x14ac:dyDescent="0.25">
      <c r="B46" s="12">
        <v>45096</v>
      </c>
      <c r="C46" s="18">
        <v>107.39877300000001</v>
      </c>
      <c r="D46" s="124">
        <f t="shared" si="0"/>
        <v>-5.4513767189525608E-2</v>
      </c>
      <c r="H46" s="102">
        <v>0.03</v>
      </c>
      <c r="I46" s="103">
        <f t="shared" si="7"/>
        <v>-5.8756757435710745E-2</v>
      </c>
      <c r="J46" s="104">
        <v>0.3</v>
      </c>
      <c r="K46" s="103">
        <f t="shared" si="8"/>
        <v>-1.9785915292817622E-2</v>
      </c>
      <c r="L46" s="104">
        <v>0.87</v>
      </c>
      <c r="M46" s="105">
        <f t="shared" si="9"/>
        <v>4.756135474868451E-2</v>
      </c>
    </row>
    <row r="47" spans="2:13" x14ac:dyDescent="0.25">
      <c r="B47" s="12">
        <v>45089</v>
      </c>
      <c r="C47" s="18">
        <v>113.591049</v>
      </c>
      <c r="D47" s="124">
        <f t="shared" si="0"/>
        <v>-1.7566355043448945E-2</v>
      </c>
      <c r="H47" s="102">
        <v>0.04</v>
      </c>
      <c r="I47" s="103">
        <f t="shared" si="7"/>
        <v>-5.415373655113305E-2</v>
      </c>
      <c r="J47" s="104">
        <v>0.35</v>
      </c>
      <c r="K47" s="103">
        <f t="shared" si="8"/>
        <v>-1.6299362336560597E-2</v>
      </c>
      <c r="L47" s="104">
        <v>0.88</v>
      </c>
      <c r="M47" s="105">
        <f t="shared" si="9"/>
        <v>4.9485258782834114E-2</v>
      </c>
    </row>
    <row r="48" spans="2:13" x14ac:dyDescent="0.25">
      <c r="B48" s="12">
        <v>45082</v>
      </c>
      <c r="C48" s="18">
        <v>115.622108</v>
      </c>
      <c r="D48" s="124">
        <f t="shared" si="0"/>
        <v>-1.1016969166471546E-2</v>
      </c>
      <c r="H48" s="102">
        <v>0.05</v>
      </c>
      <c r="I48" s="103">
        <f t="shared" si="7"/>
        <v>-5.2987393299685125E-2</v>
      </c>
      <c r="J48" s="104">
        <v>0.4</v>
      </c>
      <c r="K48" s="103">
        <f t="shared" si="8"/>
        <v>-1.3651492131425337E-2</v>
      </c>
      <c r="L48" s="104">
        <v>0.89</v>
      </c>
      <c r="M48" s="105">
        <f t="shared" si="9"/>
        <v>5.0593802467363204E-2</v>
      </c>
    </row>
    <row r="49" spans="2:13" x14ac:dyDescent="0.25">
      <c r="B49" s="12">
        <v>45075</v>
      </c>
      <c r="C49" s="18">
        <v>116.91010300000001</v>
      </c>
      <c r="D49" s="124">
        <f t="shared" si="0"/>
        <v>4.2390690135718501E-4</v>
      </c>
      <c r="H49" s="102">
        <v>0.06</v>
      </c>
      <c r="I49" s="103">
        <f t="shared" si="7"/>
        <v>-5.2562204375766891E-2</v>
      </c>
      <c r="J49" s="104">
        <v>0.45</v>
      </c>
      <c r="K49" s="103">
        <f t="shared" si="8"/>
        <v>-1.0041670798221772E-2</v>
      </c>
      <c r="L49" s="104">
        <v>0.9</v>
      </c>
      <c r="M49" s="105">
        <f t="shared" si="9"/>
        <v>5.7539878709222954E-2</v>
      </c>
    </row>
    <row r="50" spans="2:13" x14ac:dyDescent="0.25">
      <c r="B50" s="12">
        <v>45068</v>
      </c>
      <c r="C50" s="18">
        <v>116.86056499999999</v>
      </c>
      <c r="D50" s="124">
        <f t="shared" si="0"/>
        <v>-3.8007044320816918E-3</v>
      </c>
      <c r="H50" s="102">
        <v>7.0000000000000007E-2</v>
      </c>
      <c r="I50" s="103">
        <f t="shared" si="7"/>
        <v>-5.2386664604548196E-2</v>
      </c>
      <c r="J50" s="104">
        <v>0.5</v>
      </c>
      <c r="K50" s="103">
        <f t="shared" si="8"/>
        <v>-3.9265976981327499E-3</v>
      </c>
      <c r="L50" s="104">
        <v>0.91</v>
      </c>
      <c r="M50" s="105">
        <f t="shared" si="9"/>
        <v>6.8179991519874292E-2</v>
      </c>
    </row>
    <row r="51" spans="2:13" x14ac:dyDescent="0.25">
      <c r="B51" s="12">
        <v>45061</v>
      </c>
      <c r="C51" s="18">
        <v>117.30641199999999</v>
      </c>
      <c r="D51" s="124">
        <f t="shared" si="0"/>
        <v>3.5417608318533356E-2</v>
      </c>
      <c r="H51" s="102">
        <v>0.08</v>
      </c>
      <c r="I51" s="103">
        <f t="shared" si="7"/>
        <v>-5.1309285500805941E-2</v>
      </c>
      <c r="J51" s="104">
        <v>0.55000000000000004</v>
      </c>
      <c r="K51" s="103">
        <f t="shared" si="8"/>
        <v>-1.7454436849354731E-3</v>
      </c>
      <c r="L51" s="104">
        <v>0.92</v>
      </c>
      <c r="M51" s="105">
        <f t="shared" si="9"/>
        <v>7.4101648488872698E-2</v>
      </c>
    </row>
    <row r="52" spans="2:13" x14ac:dyDescent="0.25">
      <c r="B52" s="12">
        <v>45054</v>
      </c>
      <c r="C52" s="18">
        <v>113.29381600000001</v>
      </c>
      <c r="D52" s="124">
        <f t="shared" si="0"/>
        <v>-9.5279000184396168E-3</v>
      </c>
      <c r="H52" s="102">
        <v>0.09</v>
      </c>
      <c r="I52" s="103">
        <f t="shared" si="7"/>
        <v>-5.0183654742349433E-2</v>
      </c>
      <c r="J52" s="104">
        <v>0.6</v>
      </c>
      <c r="K52" s="103">
        <f t="shared" si="8"/>
        <v>1.4412159450729615E-3</v>
      </c>
      <c r="L52" s="104">
        <v>0.93</v>
      </c>
      <c r="M52" s="105">
        <f t="shared" si="9"/>
        <v>7.5914725954627421E-2</v>
      </c>
    </row>
    <row r="53" spans="2:13" x14ac:dyDescent="0.25">
      <c r="B53" s="12">
        <v>45047</v>
      </c>
      <c r="C53" s="18">
        <v>114.383652</v>
      </c>
      <c r="D53" s="124">
        <f t="shared" si="0"/>
        <v>1.807755356458518E-2</v>
      </c>
      <c r="H53" s="102">
        <v>0.1</v>
      </c>
      <c r="I53" s="103">
        <f t="shared" si="7"/>
        <v>-4.9396711370882355E-2</v>
      </c>
      <c r="J53" s="104">
        <v>0.65</v>
      </c>
      <c r="K53" s="103">
        <f t="shared" si="8"/>
        <v>5.0936774904036244E-3</v>
      </c>
      <c r="L53" s="104">
        <v>0.94</v>
      </c>
      <c r="M53" s="105">
        <f t="shared" si="9"/>
        <v>7.828156697700106E-2</v>
      </c>
    </row>
    <row r="54" spans="2:13" x14ac:dyDescent="0.25">
      <c r="B54" s="12">
        <v>45040</v>
      </c>
      <c r="C54" s="18">
        <v>112.352592</v>
      </c>
      <c r="D54" s="124">
        <f t="shared" si="0"/>
        <v>-1.3913036930066403E-2</v>
      </c>
      <c r="H54" s="102">
        <v>0.11</v>
      </c>
      <c r="I54" s="103">
        <f t="shared" si="7"/>
        <v>-4.3278732435916317E-2</v>
      </c>
      <c r="J54" s="104">
        <v>0.7</v>
      </c>
      <c r="K54" s="103">
        <f t="shared" si="8"/>
        <v>1.0220585085291861E-2</v>
      </c>
      <c r="L54" s="104">
        <v>0.95</v>
      </c>
      <c r="M54" s="105">
        <f t="shared" si="9"/>
        <v>9.1561127512920809E-2</v>
      </c>
    </row>
    <row r="55" spans="2:13" x14ac:dyDescent="0.25">
      <c r="B55" s="12">
        <v>45033</v>
      </c>
      <c r="C55" s="18">
        <v>113.93781300000001</v>
      </c>
      <c r="D55" s="124">
        <f t="shared" si="0"/>
        <v>-3.2800713836315332E-2</v>
      </c>
      <c r="H55" s="102">
        <v>0.12</v>
      </c>
      <c r="I55" s="103">
        <f t="shared" si="7"/>
        <v>-4.076379735047176E-2</v>
      </c>
      <c r="J55" s="104">
        <v>0.75</v>
      </c>
      <c r="K55" s="103">
        <f t="shared" si="8"/>
        <v>2.4576777916781867E-2</v>
      </c>
      <c r="L55" s="104">
        <v>0.96</v>
      </c>
      <c r="M55" s="105">
        <f t="shared" si="9"/>
        <v>9.4004337431307497E-2</v>
      </c>
    </row>
    <row r="56" spans="2:13" x14ac:dyDescent="0.25">
      <c r="B56" s="12">
        <v>45026</v>
      </c>
      <c r="C56" s="18">
        <v>117.801796</v>
      </c>
      <c r="D56" s="124">
        <f t="shared" si="0"/>
        <v>8.4818019065802108E-3</v>
      </c>
      <c r="H56" s="102">
        <v>0.13</v>
      </c>
      <c r="I56" s="103">
        <f t="shared" si="7"/>
        <v>-3.620793668559863E-2</v>
      </c>
      <c r="J56" s="104">
        <v>0.8</v>
      </c>
      <c r="K56" s="103">
        <f t="shared" si="8"/>
        <v>3.6359792052379311E-2</v>
      </c>
      <c r="L56" s="104">
        <v>0.97</v>
      </c>
      <c r="M56" s="105">
        <f t="shared" si="9"/>
        <v>9.6309603452708892E-2</v>
      </c>
    </row>
    <row r="57" spans="2:13" x14ac:dyDescent="0.25">
      <c r="B57" s="12">
        <v>45019</v>
      </c>
      <c r="C57" s="18">
        <v>116.81102799999999</v>
      </c>
      <c r="D57" s="124">
        <f t="shared" si="0"/>
        <v>-8.4744600729680375E-4</v>
      </c>
      <c r="H57" s="102">
        <v>0.14000000000000001</v>
      </c>
      <c r="I57" s="103">
        <f t="shared" si="7"/>
        <v>-3.2375903306623682E-2</v>
      </c>
      <c r="J57" s="104"/>
      <c r="K57" s="103"/>
      <c r="L57" s="104">
        <v>0.98</v>
      </c>
      <c r="M57" s="105">
        <f t="shared" si="9"/>
        <v>9.781207844701266E-2</v>
      </c>
    </row>
    <row r="58" spans="2:13" ht="15.75" thickBot="1" x14ac:dyDescent="0.3">
      <c r="B58" s="12">
        <v>45012</v>
      </c>
      <c r="C58" s="18">
        <v>116.91010300000001</v>
      </c>
      <c r="D58" s="124">
        <f t="shared" si="0"/>
        <v>4.9822016218267651E-2</v>
      </c>
      <c r="H58" s="106">
        <v>0.15</v>
      </c>
      <c r="I58" s="107">
        <f t="shared" si="7"/>
        <v>-3.1536371462825501E-2</v>
      </c>
      <c r="J58" s="108"/>
      <c r="K58" s="87"/>
      <c r="L58" s="109">
        <v>0.99</v>
      </c>
      <c r="M58" s="110">
        <f t="shared" si="9"/>
        <v>0.1015814114931638</v>
      </c>
    </row>
    <row r="59" spans="2:13" ht="15.75" thickBot="1" x14ac:dyDescent="0.3">
      <c r="B59" s="12">
        <v>45005</v>
      </c>
      <c r="C59" s="18">
        <v>111.36183200000001</v>
      </c>
      <c r="D59" s="124">
        <f t="shared" si="0"/>
        <v>-1.9197138695643767E-2</v>
      </c>
    </row>
    <row r="60" spans="2:13" x14ac:dyDescent="0.25">
      <c r="B60" s="12">
        <v>44998</v>
      </c>
      <c r="C60" s="18">
        <v>113.541504</v>
      </c>
      <c r="D60" s="124">
        <f t="shared" si="0"/>
        <v>4.3820784766912535E-3</v>
      </c>
      <c r="H60" s="111" t="s">
        <v>123</v>
      </c>
      <c r="I60" s="112"/>
    </row>
    <row r="61" spans="2:13" ht="15.75" thickBot="1" x14ac:dyDescent="0.3">
      <c r="B61" s="12">
        <v>44991</v>
      </c>
      <c r="C61" s="18">
        <v>113.046127</v>
      </c>
      <c r="D61" s="124">
        <f t="shared" si="0"/>
        <v>-5.2309835556187956E-3</v>
      </c>
      <c r="H61" s="113" t="s">
        <v>124</v>
      </c>
      <c r="I61" s="114"/>
    </row>
    <row r="62" spans="2:13" ht="15.75" thickBot="1" x14ac:dyDescent="0.3">
      <c r="B62" s="12">
        <v>44984</v>
      </c>
      <c r="C62" s="18">
        <v>113.640579</v>
      </c>
      <c r="D62" s="124">
        <f t="shared" si="0"/>
        <v>3.8008993803380964E-2</v>
      </c>
      <c r="H62" s="115"/>
    </row>
    <row r="63" spans="2:13" x14ac:dyDescent="0.25">
      <c r="B63" s="12">
        <v>44977</v>
      </c>
      <c r="C63" s="18">
        <v>109.479378</v>
      </c>
      <c r="D63" s="124">
        <f t="shared" si="0"/>
        <v>-3.1551271101928124E-2</v>
      </c>
      <c r="H63" s="111" t="s">
        <v>125</v>
      </c>
      <c r="I63" s="116"/>
    </row>
    <row r="64" spans="2:13" x14ac:dyDescent="0.25">
      <c r="B64" s="12">
        <v>44970</v>
      </c>
      <c r="C64" s="18">
        <v>113.046127</v>
      </c>
      <c r="D64" s="124">
        <f t="shared" si="0"/>
        <v>5.2863511104166427E-3</v>
      </c>
      <c r="H64" s="117" t="s">
        <v>126</v>
      </c>
      <c r="I64" s="118">
        <f>I63*(1-I60)</f>
        <v>0</v>
      </c>
    </row>
    <row r="65" spans="2:9" ht="15.75" thickBot="1" x14ac:dyDescent="0.3">
      <c r="B65" s="12">
        <v>44963</v>
      </c>
      <c r="C65" s="18">
        <v>112.451668</v>
      </c>
      <c r="D65" s="124">
        <f t="shared" si="0"/>
        <v>-1.0462028708952631E-2</v>
      </c>
      <c r="H65" s="113" t="s">
        <v>127</v>
      </c>
      <c r="I65" s="119">
        <f>I63*(1+I61)</f>
        <v>0</v>
      </c>
    </row>
    <row r="66" spans="2:9" x14ac:dyDescent="0.25">
      <c r="B66" s="12">
        <v>44956</v>
      </c>
      <c r="C66" s="18">
        <v>113.640579</v>
      </c>
      <c r="D66" s="124">
        <f t="shared" si="0"/>
        <v>9.2380853471928148E-2</v>
      </c>
    </row>
    <row r="67" spans="2:9" x14ac:dyDescent="0.25">
      <c r="B67" s="12">
        <v>44949</v>
      </c>
      <c r="C67" s="18">
        <v>104.030182</v>
      </c>
      <c r="D67" s="124">
        <f t="shared" ref="D67:D83" si="10">C67/C68-1</f>
        <v>2.2395392834767325E-2</v>
      </c>
    </row>
    <row r="68" spans="2:9" x14ac:dyDescent="0.25">
      <c r="B68" s="12">
        <v>44942</v>
      </c>
      <c r="C68" s="18">
        <v>101.751419</v>
      </c>
      <c r="D68" s="124">
        <f t="shared" si="10"/>
        <v>-2.0038248120177848E-2</v>
      </c>
    </row>
    <row r="69" spans="2:9" x14ac:dyDescent="0.25">
      <c r="B69" s="12">
        <v>44935</v>
      </c>
      <c r="C69" s="18">
        <v>103.832031</v>
      </c>
      <c r="D69" s="124">
        <f t="shared" si="10"/>
        <v>9.4517016576374679E-2</v>
      </c>
    </row>
    <row r="70" spans="2:9" x14ac:dyDescent="0.25">
      <c r="B70" s="12">
        <v>44928</v>
      </c>
      <c r="C70" s="18">
        <v>94.865616000000003</v>
      </c>
      <c r="D70" s="124">
        <f t="shared" si="10"/>
        <v>1.0554061574848728E-2</v>
      </c>
    </row>
    <row r="71" spans="2:9" x14ac:dyDescent="0.25">
      <c r="B71" s="12">
        <v>44921</v>
      </c>
      <c r="C71" s="18">
        <v>93.874854999999997</v>
      </c>
      <c r="D71" s="124">
        <f t="shared" si="10"/>
        <v>2.8549679711052489E-2</v>
      </c>
    </row>
    <row r="72" spans="2:9" x14ac:dyDescent="0.25">
      <c r="B72" s="12">
        <v>44914</v>
      </c>
      <c r="C72" s="18">
        <v>91.269149999999996</v>
      </c>
      <c r="D72" s="124">
        <f t="shared" si="10"/>
        <v>-1.6232275511077199E-2</v>
      </c>
    </row>
    <row r="73" spans="2:9" x14ac:dyDescent="0.25">
      <c r="B73" s="12">
        <v>44907</v>
      </c>
      <c r="C73" s="18">
        <v>92.775101000000006</v>
      </c>
      <c r="D73" s="124">
        <f t="shared" si="10"/>
        <v>-7.6528651738674291E-2</v>
      </c>
    </row>
    <row r="74" spans="2:9" x14ac:dyDescent="0.25">
      <c r="B74" s="12">
        <v>44900</v>
      </c>
      <c r="C74" s="18">
        <v>100.463432</v>
      </c>
      <c r="D74" s="124">
        <f t="shared" si="10"/>
        <v>-5.2336401010367739E-2</v>
      </c>
    </row>
    <row r="75" spans="2:9" x14ac:dyDescent="0.25">
      <c r="B75" s="12">
        <v>44893</v>
      </c>
      <c r="C75" s="18">
        <v>106.011703</v>
      </c>
      <c r="D75" s="124">
        <f t="shared" si="10"/>
        <v>-2.3310502631396224E-3</v>
      </c>
    </row>
    <row r="76" spans="2:9" x14ac:dyDescent="0.25">
      <c r="B76" s="12">
        <v>44886</v>
      </c>
      <c r="C76" s="18">
        <v>106.259399</v>
      </c>
      <c r="D76" s="124">
        <f t="shared" si="10"/>
        <v>1.8682601031787538E-3</v>
      </c>
    </row>
    <row r="77" spans="2:9" x14ac:dyDescent="0.25">
      <c r="B77" s="12">
        <v>44879</v>
      </c>
      <c r="C77" s="18">
        <v>106.061249</v>
      </c>
      <c r="D77" s="124">
        <f t="shared" si="10"/>
        <v>7.5879456176626725E-2</v>
      </c>
    </row>
    <row r="78" spans="2:9" x14ac:dyDescent="0.25">
      <c r="B78" s="12">
        <v>44872</v>
      </c>
      <c r="C78" s="18">
        <v>98.580978000000002</v>
      </c>
      <c r="D78" s="124">
        <f t="shared" si="10"/>
        <v>-5.0000321469207964E-3</v>
      </c>
    </row>
    <row r="79" spans="2:9" x14ac:dyDescent="0.25">
      <c r="B79" s="12">
        <v>44865</v>
      </c>
      <c r="C79" s="18">
        <v>99.076363000000001</v>
      </c>
      <c r="D79" s="124">
        <f t="shared" si="10"/>
        <v>8.0064970791426937E-4</v>
      </c>
    </row>
    <row r="80" spans="2:9" x14ac:dyDescent="0.25">
      <c r="B80" s="12">
        <v>44858</v>
      </c>
      <c r="C80" s="18">
        <v>98.997101000000001</v>
      </c>
      <c r="D80" s="124">
        <f t="shared" si="10"/>
        <v>3.9966723872114196E-2</v>
      </c>
    </row>
    <row r="81" spans="2:4" x14ac:dyDescent="0.25">
      <c r="B81" s="12">
        <v>44851</v>
      </c>
      <c r="C81" s="18">
        <v>95.192565999999999</v>
      </c>
      <c r="D81" s="124">
        <f t="shared" si="10"/>
        <v>9.8057096922341547E-2</v>
      </c>
    </row>
    <row r="82" spans="2:4" x14ac:dyDescent="0.25">
      <c r="B82" s="12">
        <v>44844</v>
      </c>
      <c r="C82" s="18">
        <v>86.691817999999998</v>
      </c>
      <c r="D82" s="124">
        <f t="shared" si="10"/>
        <v>-5.0152017412236183E-2</v>
      </c>
    </row>
    <row r="83" spans="2:4" x14ac:dyDescent="0.25">
      <c r="B83" s="12">
        <v>44837</v>
      </c>
      <c r="C83" s="18">
        <v>91.269149999999996</v>
      </c>
      <c r="D83" s="124">
        <f t="shared" si="10"/>
        <v>0.11660612097930101</v>
      </c>
    </row>
    <row r="84" spans="2:4" x14ac:dyDescent="0.25">
      <c r="B84" s="12">
        <v>44830</v>
      </c>
      <c r="C84" s="18">
        <v>81.737999000000002</v>
      </c>
    </row>
  </sheetData>
  <mergeCells count="4">
    <mergeCell ref="H1:M1"/>
    <mergeCell ref="H17:I17"/>
    <mergeCell ref="H18:I18"/>
    <mergeCell ref="H43:M43"/>
  </mergeCells>
  <hyperlinks>
    <hyperlink ref="A1" location="Main!A1" display="Main" xr:uid="{145B60E5-2A50-4A63-B814-9469EC95EDA6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Main</vt:lpstr>
      <vt:lpstr>Model</vt:lpstr>
      <vt:lpstr>Model-graph</vt:lpstr>
      <vt:lpstr>KPIs</vt:lpstr>
      <vt:lpstr>Catalysts</vt:lpstr>
      <vt:lpstr>DoR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Burghardt</dc:creator>
  <cp:lastModifiedBy>Simon Burghardt</cp:lastModifiedBy>
  <dcterms:created xsi:type="dcterms:W3CDTF">2015-06-05T18:19:34Z</dcterms:created>
  <dcterms:modified xsi:type="dcterms:W3CDTF">2024-10-11T07:48:46Z</dcterms:modified>
</cp:coreProperties>
</file>