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imon\Documents\models\Shipping &amp; Transportation\"/>
    </mc:Choice>
  </mc:AlternateContent>
  <xr:revisionPtr revIDLastSave="0" documentId="13_ncr:1_{0947DD8C-8EB2-4DA7-9CEA-50C0DF430BC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  <sheet name="KPIs" sheetId="4" r:id="rId3"/>
    <sheet name="Shanghai Container Index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3" i="2" l="1"/>
  <c r="AD22" i="2"/>
  <c r="AC23" i="2"/>
  <c r="AC22" i="2"/>
  <c r="AB9" i="2"/>
  <c r="AC17" i="2"/>
  <c r="AC12" i="2"/>
  <c r="AC9" i="2"/>
  <c r="AB19" i="2"/>
  <c r="AB8" i="2"/>
  <c r="AC19" i="2"/>
  <c r="AC8" i="2"/>
  <c r="AC11" i="2" s="1"/>
  <c r="N17" i="2"/>
  <c r="N15" i="2"/>
  <c r="N14" i="2"/>
  <c r="N24" i="2" s="1"/>
  <c r="N13" i="2"/>
  <c r="N12" i="2"/>
  <c r="N9" i="2"/>
  <c r="N7" i="2"/>
  <c r="N6" i="2"/>
  <c r="N5" i="2"/>
  <c r="N4" i="2"/>
  <c r="N3" i="2"/>
  <c r="S19" i="2"/>
  <c r="R19" i="2"/>
  <c r="Q19" i="2"/>
  <c r="P19" i="2"/>
  <c r="O19" i="2"/>
  <c r="M19" i="2"/>
  <c r="L19" i="2"/>
  <c r="K19" i="2"/>
  <c r="AD19" i="2"/>
  <c r="AE19" i="2"/>
  <c r="AD24" i="2"/>
  <c r="G24" i="2"/>
  <c r="H24" i="2"/>
  <c r="I24" i="2"/>
  <c r="J24" i="2"/>
  <c r="K24" i="2"/>
  <c r="L24" i="2"/>
  <c r="M24" i="2"/>
  <c r="O24" i="2"/>
  <c r="P24" i="2"/>
  <c r="Q24" i="2"/>
  <c r="R24" i="2"/>
  <c r="S24" i="2"/>
  <c r="AE24" i="2"/>
  <c r="K12" i="2"/>
  <c r="K8" i="2"/>
  <c r="K11" i="2" s="1"/>
  <c r="R14" i="2"/>
  <c r="R13" i="2"/>
  <c r="R12" i="2"/>
  <c r="R7" i="2"/>
  <c r="R6" i="2"/>
  <c r="R5" i="2"/>
  <c r="R4" i="2"/>
  <c r="R3" i="2"/>
  <c r="R8" i="2" s="1"/>
  <c r="AD9" i="2"/>
  <c r="AE8" i="2"/>
  <c r="AE11" i="2" s="1"/>
  <c r="AE22" i="2"/>
  <c r="AD8" i="2"/>
  <c r="L12" i="2"/>
  <c r="L9" i="2"/>
  <c r="L8" i="2"/>
  <c r="P12" i="2"/>
  <c r="P9" i="2"/>
  <c r="P10" i="2" s="1"/>
  <c r="P20" i="2" s="1"/>
  <c r="P8" i="2"/>
  <c r="J23" i="2"/>
  <c r="J22" i="2"/>
  <c r="J21" i="2"/>
  <c r="J20" i="2"/>
  <c r="I23" i="2"/>
  <c r="I22" i="2"/>
  <c r="I21" i="2"/>
  <c r="I20" i="2"/>
  <c r="H23" i="2"/>
  <c r="H22" i="2"/>
  <c r="H21" i="2"/>
  <c r="H20" i="2"/>
  <c r="G23" i="2"/>
  <c r="G22" i="2"/>
  <c r="G21" i="2"/>
  <c r="G20" i="2"/>
  <c r="K22" i="2"/>
  <c r="L22" i="2"/>
  <c r="M22" i="2"/>
  <c r="O22" i="2"/>
  <c r="P22" i="2"/>
  <c r="N47" i="2"/>
  <c r="N44" i="2"/>
  <c r="Q47" i="2"/>
  <c r="Q48" i="2" s="1"/>
  <c r="Q44" i="2"/>
  <c r="N36" i="2"/>
  <c r="N32" i="2"/>
  <c r="N28" i="2"/>
  <c r="Q36" i="2"/>
  <c r="Q32" i="2"/>
  <c r="Q37" i="2" s="1"/>
  <c r="Q28" i="2"/>
  <c r="M12" i="2"/>
  <c r="M9" i="2"/>
  <c r="M8" i="2"/>
  <c r="Q22" i="2"/>
  <c r="Q12" i="2"/>
  <c r="Q9" i="2"/>
  <c r="R9" i="2" s="1"/>
  <c r="Q8" i="2"/>
  <c r="O70" i="2"/>
  <c r="O64" i="2"/>
  <c r="O58" i="2"/>
  <c r="L9" i="1"/>
  <c r="L8" i="1"/>
  <c r="L7" i="1"/>
  <c r="L6" i="1"/>
  <c r="S66" i="2"/>
  <c r="S64" i="2"/>
  <c r="S76" i="2" s="1"/>
  <c r="S58" i="2"/>
  <c r="S22" i="2"/>
  <c r="R28" i="2"/>
  <c r="S28" i="2"/>
  <c r="R47" i="2"/>
  <c r="R44" i="2"/>
  <c r="S44" i="2"/>
  <c r="S47" i="2"/>
  <c r="R36" i="2"/>
  <c r="R32" i="2"/>
  <c r="S36" i="2"/>
  <c r="S32" i="2"/>
  <c r="O8" i="2"/>
  <c r="O10" i="2" s="1"/>
  <c r="O20" i="2" s="1"/>
  <c r="L5" i="1"/>
  <c r="S8" i="2"/>
  <c r="S11" i="2" s="1"/>
  <c r="S15" i="2" s="1"/>
  <c r="S16" i="2" s="1"/>
  <c r="AB11" i="2" l="1"/>
  <c r="AB21" i="2" s="1"/>
  <c r="AB10" i="2"/>
  <c r="AB20" i="2" s="1"/>
  <c r="AC15" i="2"/>
  <c r="AC21" i="2"/>
  <c r="AC10" i="2"/>
  <c r="AC20" i="2" s="1"/>
  <c r="N8" i="2"/>
  <c r="N11" i="2" s="1"/>
  <c r="N19" i="2"/>
  <c r="N22" i="2"/>
  <c r="R11" i="2"/>
  <c r="O76" i="2"/>
  <c r="L11" i="2"/>
  <c r="L15" i="2" s="1"/>
  <c r="L16" i="2" s="1"/>
  <c r="Q11" i="2"/>
  <c r="S37" i="2"/>
  <c r="K15" i="2"/>
  <c r="K16" i="2" s="1"/>
  <c r="K21" i="2"/>
  <c r="K23" i="2"/>
  <c r="O23" i="2"/>
  <c r="K10" i="2"/>
  <c r="K20" i="2" s="1"/>
  <c r="R10" i="2"/>
  <c r="R20" i="2" s="1"/>
  <c r="R22" i="2"/>
  <c r="AD11" i="2"/>
  <c r="AD15" i="2" s="1"/>
  <c r="AD16" i="2" s="1"/>
  <c r="AE15" i="2"/>
  <c r="AE17" i="2" s="1"/>
  <c r="AE21" i="2"/>
  <c r="AE10" i="2"/>
  <c r="AE20" i="2" s="1"/>
  <c r="AD10" i="2"/>
  <c r="AD20" i="2" s="1"/>
  <c r="L10" i="2"/>
  <c r="L20" i="2" s="1"/>
  <c r="P11" i="2"/>
  <c r="P15" i="2" s="1"/>
  <c r="N48" i="2"/>
  <c r="N37" i="2"/>
  <c r="M11" i="2"/>
  <c r="M15" i="2" s="1"/>
  <c r="M16" i="2" s="1"/>
  <c r="M10" i="2"/>
  <c r="M20" i="2" s="1"/>
  <c r="Q10" i="2"/>
  <c r="Q20" i="2" s="1"/>
  <c r="O74" i="2"/>
  <c r="S74" i="2"/>
  <c r="R48" i="2"/>
  <c r="R37" i="2"/>
  <c r="S48" i="2"/>
  <c r="S21" i="2"/>
  <c r="O11" i="2"/>
  <c r="S10" i="2"/>
  <c r="S20" i="2" s="1"/>
  <c r="AB15" i="2" l="1"/>
  <c r="AB17" i="2" s="1"/>
  <c r="AC24" i="2"/>
  <c r="N23" i="2"/>
  <c r="N21" i="2"/>
  <c r="N10" i="2"/>
  <c r="N20" i="2" s="1"/>
  <c r="L23" i="2"/>
  <c r="R23" i="2"/>
  <c r="R15" i="2"/>
  <c r="R17" i="2" s="1"/>
  <c r="L21" i="2"/>
  <c r="S23" i="2"/>
  <c r="O21" i="2"/>
  <c r="R21" i="2"/>
  <c r="Q15" i="2"/>
  <c r="Q16" i="2" s="1"/>
  <c r="Q21" i="2"/>
  <c r="Q23" i="2"/>
  <c r="M23" i="2"/>
  <c r="M21" i="2"/>
  <c r="AE23" i="2"/>
  <c r="AD21" i="2"/>
  <c r="P16" i="2"/>
  <c r="P23" i="2"/>
  <c r="P21" i="2"/>
  <c r="O15" i="2"/>
  <c r="O16" i="2" s="1"/>
  <c r="AB24" i="2" l="1"/>
</calcChain>
</file>

<file path=xl/sharedStrings.xml><?xml version="1.0" encoding="utf-8"?>
<sst xmlns="http://schemas.openxmlformats.org/spreadsheetml/2006/main" count="98" uniqueCount="83">
  <si>
    <t>Price</t>
  </si>
  <si>
    <t>Shares</t>
  </si>
  <si>
    <t>MC</t>
  </si>
  <si>
    <t>Cash</t>
  </si>
  <si>
    <t>Debt</t>
  </si>
  <si>
    <t>Net Cash</t>
  </si>
  <si>
    <t>EV</t>
  </si>
  <si>
    <t>HLAG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</si>
  <si>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</si>
  <si>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</si>
  <si>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</si>
  <si>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</si>
  <si>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</si>
  <si>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</si>
  <si>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</si>
  <si>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</si>
  <si>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</si>
  <si>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</si>
  <si>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</si>
  <si>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</si>
  <si>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</si>
  <si>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</si>
  <si>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</si>
  <si>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</si>
  <si>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</si>
  <si>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</si>
  <si>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</si>
  <si>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</si>
  <si>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</si>
  <si>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Revenue</t>
  </si>
  <si>
    <t>Other</t>
  </si>
  <si>
    <t>Operating Result</t>
  </si>
  <si>
    <t>Investments</t>
  </si>
  <si>
    <t>EBIT</t>
  </si>
  <si>
    <t>Interest</t>
  </si>
  <si>
    <t>Other Finance</t>
  </si>
  <si>
    <t>Income Tax</t>
  </si>
  <si>
    <t>Group Rsult</t>
  </si>
  <si>
    <t>EPS</t>
  </si>
  <si>
    <t>EBITDA</t>
  </si>
  <si>
    <t>EBITDA Margin</t>
  </si>
  <si>
    <t>EBIT Margin</t>
  </si>
  <si>
    <t>D&amp;A</t>
  </si>
  <si>
    <t>COGS</t>
  </si>
  <si>
    <t>HR</t>
  </si>
  <si>
    <t>Revenue y/y</t>
  </si>
  <si>
    <t>Ebit y/y</t>
  </si>
  <si>
    <t>AR</t>
  </si>
  <si>
    <t>Inventories</t>
  </si>
  <si>
    <t>PP&amp;E</t>
  </si>
  <si>
    <t>Investments Equity</t>
  </si>
  <si>
    <t>Goodwill</t>
  </si>
  <si>
    <t>Other Current Assets</t>
  </si>
  <si>
    <t>Other Non Current Assets</t>
  </si>
  <si>
    <t>Lease</t>
  </si>
  <si>
    <t>Provisions</t>
  </si>
  <si>
    <t>Financial Debt</t>
  </si>
  <si>
    <t>Lease Liabilities</t>
  </si>
  <si>
    <t>AP</t>
  </si>
  <si>
    <t>Contract Liabilities</t>
  </si>
  <si>
    <t xml:space="preserve"> </t>
  </si>
  <si>
    <t>Other Non Current</t>
  </si>
  <si>
    <t>Other Current</t>
  </si>
  <si>
    <t>Total Assets</t>
  </si>
  <si>
    <t>Total Liabilities</t>
  </si>
  <si>
    <t>Equity</t>
  </si>
  <si>
    <t>Cash BOP</t>
  </si>
  <si>
    <t>Group Result</t>
  </si>
  <si>
    <t>Interest Result</t>
  </si>
  <si>
    <t>Receivables</t>
  </si>
  <si>
    <t>Liabilities</t>
  </si>
  <si>
    <t>Income Taxes</t>
  </si>
  <si>
    <t>Loans</t>
  </si>
  <si>
    <t>Aquisitions</t>
  </si>
  <si>
    <t>Dividends</t>
  </si>
  <si>
    <t>Leases</t>
  </si>
  <si>
    <t>Interest &amp; Fees</t>
  </si>
  <si>
    <t>Hedges etc</t>
  </si>
  <si>
    <t>Cash EOP</t>
  </si>
  <si>
    <t>Net Chance</t>
  </si>
  <si>
    <t>FX</t>
  </si>
  <si>
    <t>Tax Rate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</si>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</sst>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1"/>
    <xf numFmtId="0" fontId="0" fillId="0" borderId="0" xfId="0" applyAlignment="1">
      <alignment horizontal="right"/>
    </xf>
    <xf numFmtId="4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0" fillId="0" borderId="0" xfId="0" applyFont="1"/>
    <xf numFmtId="3" fontId="0" fillId="0" borderId="0" xfId="0" applyNumberFormat="1" applyFont="1"/>
    <xf numFmtId="9" fontId="0" fillId="0" borderId="0" xfId="0" applyNumberFormat="1"/>
    <xf numFmtId="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9"/>
  <sheetViews>
    <sheetView workbookViewId="0">
      <selection activeCell="L17" sqref="L17"/>
    </sheetView>
  </sheetViews>
  <sheetFormatPr defaultRowHeight="15" x14ac:dyDescent="0.25"/>
  <sheetData>
    <row r="3" spans="2:12" x14ac:dyDescent="0.25">
      <c r="B3" t="s">
        <v>7</v>
      </c>
      <c r="K3" t="s">
        <v>0</v>
      </c>
      <c r="L3">
        <v>195.3</v>
      </c>
    </row>
    <row r="4" spans="2:12" x14ac:dyDescent="0.25">
      <c r="K4" t="s">
        <v>1</v>
      </c>
      <c r="L4">
        <v>176</v>
      </c>
    </row>
    <row r="5" spans="2:12" x14ac:dyDescent="0.25">
      <c r="K5" t="s">
        <v>2</v>
      </c>
      <c r="L5" s="4">
        <f>L3*L4</f>
        <v>34372.800000000003</v>
      </c>
    </row>
    <row r="6" spans="2:12" x14ac:dyDescent="0.25">
      <c r="K6" t="s">
        <v>3</v>
      </c>
      <c r="L6" s="4">
        <f>Model!S29</f>
        <v>17689.400000000001</v>
      </c>
    </row>
    <row r="7" spans="2:12" x14ac:dyDescent="0.25">
      <c r="K7" t="s">
        <v>4</v>
      </c>
      <c r="L7" s="4">
        <f>-Model!S45-Model!S41</f>
        <v>-2618.7999999999997</v>
      </c>
    </row>
    <row r="8" spans="2:12" x14ac:dyDescent="0.25">
      <c r="K8" t="s">
        <v>5</v>
      </c>
      <c r="L8" s="4">
        <f>L6+L7</f>
        <v>15070.600000000002</v>
      </c>
    </row>
    <row r="9" spans="2:12" x14ac:dyDescent="0.25">
      <c r="K9" t="s">
        <v>6</v>
      </c>
      <c r="L9" s="4">
        <f>L5+L6+L7</f>
        <v>49443.4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56153-6B21-4ABE-A4F3-DEC182919BBB}">
  <dimension ref="A1:AF76"/>
  <sheetViews>
    <sheetView tabSelected="1" workbookViewId="0">
      <pane xSplit="2" ySplit="2" topLeftCell="Z3" activePane="bottomRight" state="frozen"/>
      <selection pane="topRight" activeCell="C1" sqref="C1"/>
      <selection pane="bottomLeft" activeCell="A3" sqref="A3"/>
      <selection pane="bottomRight" activeCell="AD24" sqref="AD24"/>
    </sheetView>
  </sheetViews>
  <sheetFormatPr defaultRowHeight="15" x14ac:dyDescent="0.25"/>
  <cols>
    <col min="1" max="1" width="5.5703125" customWidth="1"/>
    <col min="2" max="2" width="23.28515625" style="7" customWidth="1"/>
  </cols>
  <sheetData>
    <row r="1" spans="1:32" x14ac:dyDescent="0.25">
      <c r="A1" s="1" t="s">
        <v>8</v>
      </c>
    </row>
    <row r="2" spans="1:32" x14ac:dyDescent="0.25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 t="s">
        <v>28</v>
      </c>
      <c r="AA2">
        <v>2018</v>
      </c>
      <c r="AB2">
        <v>2019</v>
      </c>
      <c r="AC2">
        <v>2020</v>
      </c>
      <c r="AD2">
        <v>2021</v>
      </c>
      <c r="AE2">
        <v>2022</v>
      </c>
      <c r="AF2">
        <v>2023</v>
      </c>
    </row>
    <row r="3" spans="1:32" x14ac:dyDescent="0.25">
      <c r="B3" s="7" t="s">
        <v>29</v>
      </c>
      <c r="K3" s="4">
        <v>4067.4</v>
      </c>
      <c r="L3" s="4">
        <v>4686</v>
      </c>
      <c r="M3" s="4">
        <v>6244.7</v>
      </c>
      <c r="N3" s="4">
        <f>AD3-M3-L3-K3</f>
        <v>7275.4</v>
      </c>
      <c r="O3" s="4">
        <v>7976.6</v>
      </c>
      <c r="P3" s="4">
        <v>8993.4</v>
      </c>
      <c r="Q3" s="4">
        <v>9741.2000000000007</v>
      </c>
      <c r="R3" s="4">
        <f>AE3-Q3-P3-O3</f>
        <v>7831.4999999999964</v>
      </c>
      <c r="S3" s="4">
        <v>5619</v>
      </c>
      <c r="AB3" s="4">
        <v>12607.9</v>
      </c>
      <c r="AC3" s="4">
        <v>12772.4</v>
      </c>
      <c r="AD3" s="4">
        <v>22273.5</v>
      </c>
      <c r="AE3" s="4">
        <v>34542.699999999997</v>
      </c>
    </row>
    <row r="4" spans="1:32" x14ac:dyDescent="0.25">
      <c r="B4" s="7" t="s">
        <v>43</v>
      </c>
      <c r="K4" s="4">
        <v>2270.4</v>
      </c>
      <c r="L4" s="4">
        <v>2488.5</v>
      </c>
      <c r="M4" s="4">
        <v>2675.3</v>
      </c>
      <c r="N4" s="4">
        <f>AD4-M4-L4-K4</f>
        <v>2889.099999999999</v>
      </c>
      <c r="O4" s="4">
        <v>2950.7</v>
      </c>
      <c r="P4" s="4">
        <v>3427.4</v>
      </c>
      <c r="Q4" s="4">
        <v>3770</v>
      </c>
      <c r="R4" s="4">
        <f>AE4-Q4-P4-O4</f>
        <v>3582.6000000000013</v>
      </c>
      <c r="S4" s="4">
        <v>3038.2</v>
      </c>
      <c r="AB4" s="4">
        <v>9707</v>
      </c>
      <c r="AC4" s="4">
        <v>9140.2000000000007</v>
      </c>
      <c r="AD4" s="4">
        <v>10323.299999999999</v>
      </c>
      <c r="AE4" s="4">
        <v>13730.7</v>
      </c>
    </row>
    <row r="5" spans="1:32" x14ac:dyDescent="0.25">
      <c r="B5" s="7" t="s">
        <v>44</v>
      </c>
      <c r="K5" s="4">
        <v>164.3</v>
      </c>
      <c r="L5" s="4">
        <v>193</v>
      </c>
      <c r="M5" s="4">
        <v>175</v>
      </c>
      <c r="N5" s="4">
        <f>AD5-M5-L5-K5</f>
        <v>277.7</v>
      </c>
      <c r="O5" s="4">
        <v>210</v>
      </c>
      <c r="P5" s="4">
        <v>217</v>
      </c>
      <c r="Q5" s="4">
        <v>222.5</v>
      </c>
      <c r="R5" s="4">
        <f>AE5-Q5-P5-O5</f>
        <v>332.5</v>
      </c>
      <c r="S5" s="4">
        <v>241.4</v>
      </c>
      <c r="AB5" s="4">
        <v>682.5</v>
      </c>
      <c r="AC5" s="4">
        <v>683</v>
      </c>
      <c r="AD5" s="4">
        <v>810</v>
      </c>
      <c r="AE5" s="4">
        <v>982</v>
      </c>
    </row>
    <row r="6" spans="1:32" x14ac:dyDescent="0.25">
      <c r="B6" s="7" t="s">
        <v>42</v>
      </c>
      <c r="K6" s="4">
        <v>306.89999999999998</v>
      </c>
      <c r="L6" s="4">
        <v>317.2</v>
      </c>
      <c r="M6" s="4">
        <v>399.5</v>
      </c>
      <c r="N6" s="4">
        <f>AD6-M6-L6-K6</f>
        <v>439.19999999999993</v>
      </c>
      <c r="O6" s="4">
        <v>459.5</v>
      </c>
      <c r="P6" s="4">
        <v>475.8</v>
      </c>
      <c r="Q6" s="4">
        <v>479.3</v>
      </c>
      <c r="R6" s="4">
        <f>AE6-Q6-P6-O6</f>
        <v>489.60000000000014</v>
      </c>
      <c r="S6" s="4">
        <v>470.5</v>
      </c>
      <c r="AB6" s="4">
        <v>1174.4000000000001</v>
      </c>
      <c r="AC6" s="4">
        <v>1385.2</v>
      </c>
      <c r="AD6" s="4">
        <v>1462.8</v>
      </c>
      <c r="AE6" s="4">
        <v>1904.2</v>
      </c>
    </row>
    <row r="7" spans="1:32" x14ac:dyDescent="0.25">
      <c r="B7" s="7" t="s">
        <v>30</v>
      </c>
      <c r="K7" s="4">
        <v>-49.9</v>
      </c>
      <c r="L7" s="4">
        <v>-81.8</v>
      </c>
      <c r="M7" s="4">
        <v>-95.7</v>
      </c>
      <c r="N7" s="4">
        <f>AD7-M7-L7-K7</f>
        <v>-87.700000000000017</v>
      </c>
      <c r="O7" s="4">
        <v>-100.9</v>
      </c>
      <c r="P7" s="4">
        <v>-133.5</v>
      </c>
      <c r="Q7" s="4">
        <v>-122.7</v>
      </c>
      <c r="R7" s="4">
        <f>AE7-Q7-P7-O7</f>
        <v>-134.20000000000002</v>
      </c>
      <c r="S7" s="4">
        <v>-137.6</v>
      </c>
      <c r="AB7" s="4">
        <v>-268.8</v>
      </c>
      <c r="AC7" s="4">
        <v>-279.7</v>
      </c>
      <c r="AD7" s="4">
        <v>-315.10000000000002</v>
      </c>
      <c r="AE7" s="4">
        <v>-491.3</v>
      </c>
    </row>
    <row r="8" spans="1:32" s="5" customFormat="1" x14ac:dyDescent="0.25">
      <c r="B8" s="5" t="s">
        <v>31</v>
      </c>
      <c r="K8" s="6">
        <f>K3-K4-K5-K6+K7</f>
        <v>1275.9000000000001</v>
      </c>
      <c r="L8" s="6">
        <f>L3-L4-L5-L6+L7</f>
        <v>1605.5</v>
      </c>
      <c r="M8" s="6">
        <f>M3-M4-M5-M6+M7</f>
        <v>2899.2</v>
      </c>
      <c r="N8" s="6">
        <f>N3-N4-N5-N6+N7</f>
        <v>3581.7000000000016</v>
      </c>
      <c r="O8" s="6">
        <f>O3-O4-O5-O6+O7</f>
        <v>4255.5000000000009</v>
      </c>
      <c r="P8" s="6">
        <f>P3-P4-P5-P6+P7</f>
        <v>4739.7</v>
      </c>
      <c r="Q8" s="6">
        <f>Q3-Q4-Q5-Q6+Q7</f>
        <v>5146.7000000000007</v>
      </c>
      <c r="R8" s="6">
        <f>R3-R4-R5-R6+R7</f>
        <v>3292.5999999999949</v>
      </c>
      <c r="S8" s="6">
        <f>S3-S4-S5-S6+S7</f>
        <v>1731.3000000000002</v>
      </c>
      <c r="AB8" s="6">
        <f>AB3-AB4-AB5-AB6+AB7</f>
        <v>775.19999999999959</v>
      </c>
      <c r="AC8" s="6">
        <f>AC3-AC4-AC5-AC6+AC7</f>
        <v>1284.2999999999988</v>
      </c>
      <c r="AD8" s="6">
        <f>AD3-AD4-AD5-AD6+AD7</f>
        <v>9362.3000000000011</v>
      </c>
      <c r="AE8" s="6">
        <f>AE3-AE4-AE5-AE6+AE7</f>
        <v>17434.499999999996</v>
      </c>
    </row>
    <row r="9" spans="1:32" x14ac:dyDescent="0.25">
      <c r="B9" s="7" t="s">
        <v>32</v>
      </c>
      <c r="K9" s="4">
        <v>1.3</v>
      </c>
      <c r="L9" s="4">
        <f>10.7</f>
        <v>10.7</v>
      </c>
      <c r="M9" s="4">
        <f>6.5-0.4</f>
        <v>6.1</v>
      </c>
      <c r="N9" s="4">
        <f>AD9-M9-L9-K9</f>
        <v>9.5</v>
      </c>
      <c r="O9" s="4">
        <v>11.5</v>
      </c>
      <c r="P9" s="4">
        <f>57.5+4</f>
        <v>61.5</v>
      </c>
      <c r="Q9" s="4">
        <f>12.1-3.8</f>
        <v>8.3000000000000007</v>
      </c>
      <c r="R9" s="4">
        <f>AE9-Q9-P9-O9</f>
        <v>8.7000000000000028</v>
      </c>
      <c r="S9" s="4">
        <v>15.5</v>
      </c>
      <c r="AB9" s="4">
        <f>35.5+0.7</f>
        <v>36.200000000000003</v>
      </c>
      <c r="AC9" s="4">
        <f>32.1-1.2</f>
        <v>30.900000000000002</v>
      </c>
      <c r="AD9" s="4">
        <f>28.8-1.2</f>
        <v>27.6</v>
      </c>
      <c r="AE9" s="4">
        <v>90</v>
      </c>
    </row>
    <row r="10" spans="1:32" s="5" customFormat="1" x14ac:dyDescent="0.25">
      <c r="B10" s="5" t="s">
        <v>39</v>
      </c>
      <c r="K10" s="6">
        <f>K8+K9+K6</f>
        <v>1584.1</v>
      </c>
      <c r="L10" s="6">
        <f>L8+L9+L6</f>
        <v>1933.4</v>
      </c>
      <c r="M10" s="6">
        <f>M8+M9+M6</f>
        <v>3304.7999999999997</v>
      </c>
      <c r="N10" s="6">
        <f>N8+N9+N6</f>
        <v>4030.4000000000015</v>
      </c>
      <c r="O10" s="6">
        <f>O8+O9+O6</f>
        <v>4726.5000000000009</v>
      </c>
      <c r="P10" s="6">
        <f>P8+P9+P6</f>
        <v>5277</v>
      </c>
      <c r="Q10" s="6">
        <f>Q8+Q9+Q6</f>
        <v>5634.3000000000011</v>
      </c>
      <c r="R10" s="6">
        <f>R8+R9+R6</f>
        <v>3790.8999999999951</v>
      </c>
      <c r="S10" s="6">
        <f>S8+S9+S6</f>
        <v>2217.3000000000002</v>
      </c>
      <c r="AB10" s="6">
        <f>AB8+AB9+AB6</f>
        <v>1985.7999999999997</v>
      </c>
      <c r="AC10" s="6">
        <f>AC8+AC9+AC6</f>
        <v>2700.3999999999987</v>
      </c>
      <c r="AD10" s="6">
        <f>AD8+AD9+AD6</f>
        <v>10852.7</v>
      </c>
      <c r="AE10" s="6">
        <f>AE8+AE9+AE6</f>
        <v>19428.699999999997</v>
      </c>
    </row>
    <row r="11" spans="1:32" s="5" customFormat="1" x14ac:dyDescent="0.25">
      <c r="B11" s="5" t="s">
        <v>33</v>
      </c>
      <c r="K11" s="6">
        <f>K8+K9</f>
        <v>1277.2</v>
      </c>
      <c r="L11" s="6">
        <f>L8+L9</f>
        <v>1616.2</v>
      </c>
      <c r="M11" s="6">
        <f>M8+M9</f>
        <v>2905.2999999999997</v>
      </c>
      <c r="N11" s="6">
        <f>N8+N9</f>
        <v>3591.2000000000016</v>
      </c>
      <c r="O11" s="6">
        <f>O8+O9</f>
        <v>4267.0000000000009</v>
      </c>
      <c r="P11" s="6">
        <f>P8+P9</f>
        <v>4801.2</v>
      </c>
      <c r="Q11" s="6">
        <f>Q8+Q9</f>
        <v>5155.0000000000009</v>
      </c>
      <c r="R11" s="6">
        <f>R8+R9</f>
        <v>3301.2999999999947</v>
      </c>
      <c r="S11" s="6">
        <f>S8+S9</f>
        <v>1746.8000000000002</v>
      </c>
      <c r="AB11" s="6">
        <f>AB8+AB9</f>
        <v>811.39999999999964</v>
      </c>
      <c r="AC11" s="6">
        <f>AC8+AC9</f>
        <v>1315.1999999999989</v>
      </c>
      <c r="AD11" s="6">
        <f>AD8+AD9</f>
        <v>9389.9000000000015</v>
      </c>
      <c r="AE11" s="6">
        <f>AE8+AE9</f>
        <v>17524.499999999996</v>
      </c>
    </row>
    <row r="12" spans="1:32" x14ac:dyDescent="0.25">
      <c r="B12" s="7" t="s">
        <v>34</v>
      </c>
      <c r="K12" s="4">
        <f>3.8-68.1</f>
        <v>-64.3</v>
      </c>
      <c r="L12" s="4">
        <f>2.1-80.9</f>
        <v>-78.800000000000011</v>
      </c>
      <c r="M12" s="4">
        <f>2.5-56.2</f>
        <v>-53.7</v>
      </c>
      <c r="N12" s="4">
        <f>AD12-M12-L12-K12</f>
        <v>-48.399999999999991</v>
      </c>
      <c r="O12" s="4">
        <v>-48</v>
      </c>
      <c r="P12" s="4">
        <f>17.4-54.4</f>
        <v>-37</v>
      </c>
      <c r="Q12" s="4">
        <f>70-61.7</f>
        <v>8.2999999999999972</v>
      </c>
      <c r="R12" s="4">
        <f>AE12-Q12-P12-O12</f>
        <v>99.300000000000011</v>
      </c>
      <c r="S12" s="4">
        <v>151.69999999999999</v>
      </c>
      <c r="AB12" s="4">
        <v>-396.7</v>
      </c>
      <c r="AC12" s="4">
        <f>-330.5</f>
        <v>-330.5</v>
      </c>
      <c r="AD12" s="4">
        <v>-245.2</v>
      </c>
      <c r="AE12" s="4">
        <v>22.6</v>
      </c>
    </row>
    <row r="13" spans="1:32" x14ac:dyDescent="0.25">
      <c r="B13" s="7" t="s">
        <v>35</v>
      </c>
      <c r="K13" s="4">
        <v>1.8</v>
      </c>
      <c r="L13" s="4">
        <v>-3.6</v>
      </c>
      <c r="M13" s="4">
        <v>1.3</v>
      </c>
      <c r="N13" s="4">
        <f>AD13-M13-L13-K13</f>
        <v>2.2000000000000002</v>
      </c>
      <c r="O13" s="4">
        <v>-31</v>
      </c>
      <c r="P13" s="4">
        <v>-260.60000000000002</v>
      </c>
      <c r="Q13" s="4">
        <v>-4.0999999999999996</v>
      </c>
      <c r="R13" s="4">
        <f>AE13-Q13-P13-O13</f>
        <v>-8.1999999999999318</v>
      </c>
      <c r="S13" s="4">
        <v>58.3</v>
      </c>
      <c r="AB13" s="4">
        <v>1.6</v>
      </c>
      <c r="AC13" s="4">
        <v>-3.5</v>
      </c>
      <c r="AD13" s="4">
        <v>1.7</v>
      </c>
      <c r="AE13" s="4">
        <v>-303.89999999999998</v>
      </c>
    </row>
    <row r="14" spans="1:32" x14ac:dyDescent="0.25">
      <c r="B14" s="7" t="s">
        <v>36</v>
      </c>
      <c r="K14" s="4">
        <v>11</v>
      </c>
      <c r="L14" s="4">
        <v>12.7</v>
      </c>
      <c r="M14" s="4">
        <v>15.5</v>
      </c>
      <c r="N14" s="4">
        <f>AD14-M14-L14-K14</f>
        <v>22.099999999999994</v>
      </c>
      <c r="O14" s="4">
        <v>16.600000000000001</v>
      </c>
      <c r="P14" s="4">
        <v>20.8</v>
      </c>
      <c r="Q14" s="4">
        <v>39.9</v>
      </c>
      <c r="R14" s="4">
        <f>AE14-Q14-P14-O14</f>
        <v>123.29999999999998</v>
      </c>
      <c r="S14" s="4">
        <v>63.6</v>
      </c>
      <c r="AB14" s="4">
        <v>42.9</v>
      </c>
      <c r="AC14" s="4">
        <v>45.8</v>
      </c>
      <c r="AD14" s="4">
        <v>61.3</v>
      </c>
      <c r="AE14" s="4">
        <v>200.6</v>
      </c>
    </row>
    <row r="15" spans="1:32" s="5" customFormat="1" x14ac:dyDescent="0.25">
      <c r="B15" s="5" t="s">
        <v>37</v>
      </c>
      <c r="K15" s="6">
        <f>K11+K12+K13-K14</f>
        <v>1203.7</v>
      </c>
      <c r="L15" s="6">
        <f>L11+L12+L13-L14</f>
        <v>1521.1000000000001</v>
      </c>
      <c r="M15" s="6">
        <f>M11+M12+M13-M14</f>
        <v>2837.4</v>
      </c>
      <c r="N15" s="6">
        <f>N11+N12+N13-N14</f>
        <v>3522.9000000000015</v>
      </c>
      <c r="O15" s="6">
        <f>O11+O12+O13-O14</f>
        <v>4171.4000000000005</v>
      </c>
      <c r="P15" s="6">
        <f>P11+P12+P13-P14</f>
        <v>4482.7999999999993</v>
      </c>
      <c r="Q15" s="6">
        <f>Q11+Q12+Q13-Q14</f>
        <v>5119.3000000000011</v>
      </c>
      <c r="R15" s="6">
        <f>R11+R12+R13-R14</f>
        <v>3269.0999999999949</v>
      </c>
      <c r="S15" s="6">
        <f>S11+S12+S13-S14</f>
        <v>1893.2000000000003</v>
      </c>
      <c r="AB15" s="6">
        <f>AB11+AB12+AB13-AB14</f>
        <v>373.39999999999969</v>
      </c>
      <c r="AC15" s="6">
        <f>AC11+AC12+AC13-AC14</f>
        <v>935.39999999999895</v>
      </c>
      <c r="AD15" s="6">
        <f>AD11+AD12+AD13-AD14</f>
        <v>9085.1000000000022</v>
      </c>
      <c r="AE15" s="6">
        <f>AE11+AE12+AE13-AE14</f>
        <v>17042.599999999995</v>
      </c>
    </row>
    <row r="16" spans="1:32" x14ac:dyDescent="0.25">
      <c r="B16" s="7" t="s">
        <v>1</v>
      </c>
      <c r="K16" s="4">
        <f>K15/K17</f>
        <v>50.767608603964575</v>
      </c>
      <c r="L16" s="4">
        <f>L15/L17</f>
        <v>176.05324074074073</v>
      </c>
      <c r="M16" s="4">
        <f>M15/M17</f>
        <v>175.90824550526969</v>
      </c>
      <c r="N16">
        <v>176</v>
      </c>
      <c r="O16" s="4">
        <f>O15/O17</f>
        <v>175.93420497680304</v>
      </c>
      <c r="P16" s="4">
        <f>P15/P17</f>
        <v>175.9340659340659</v>
      </c>
      <c r="Q16" s="4">
        <f>Q15/Q17</f>
        <v>175.86052902782552</v>
      </c>
      <c r="R16">
        <v>176</v>
      </c>
      <c r="S16" s="4">
        <f>S15/S17</f>
        <v>175.94795539033461</v>
      </c>
      <c r="AB16" s="4">
        <v>176</v>
      </c>
      <c r="AC16" s="4">
        <v>176</v>
      </c>
      <c r="AD16" s="4">
        <f>AD15/AD17</f>
        <v>175.96552392020146</v>
      </c>
      <c r="AE16" s="4">
        <v>176</v>
      </c>
    </row>
    <row r="17" spans="2:31" x14ac:dyDescent="0.25">
      <c r="B17" s="7" t="s">
        <v>38</v>
      </c>
      <c r="K17" s="3">
        <v>23.71</v>
      </c>
      <c r="L17" s="3">
        <v>8.64</v>
      </c>
      <c r="M17" s="3">
        <v>16.13</v>
      </c>
      <c r="N17" s="3">
        <f>N15/N16</f>
        <v>20.016477272727283</v>
      </c>
      <c r="O17" s="3">
        <v>23.71</v>
      </c>
      <c r="P17" s="3">
        <v>25.48</v>
      </c>
      <c r="Q17" s="3">
        <v>29.11</v>
      </c>
      <c r="R17" s="3">
        <f>R15/R16</f>
        <v>18.57443181818179</v>
      </c>
      <c r="S17" s="3">
        <v>10.76</v>
      </c>
      <c r="AA17" s="3"/>
      <c r="AB17" s="3">
        <f>AB15/AB16</f>
        <v>2.1215909090909073</v>
      </c>
      <c r="AC17" s="3">
        <f>AC15/AC16</f>
        <v>5.3147727272727217</v>
      </c>
      <c r="AD17" s="3">
        <v>51.63</v>
      </c>
      <c r="AE17" s="3">
        <f>AE15/AE16</f>
        <v>96.832954545454513</v>
      </c>
    </row>
    <row r="19" spans="2:31" x14ac:dyDescent="0.25">
      <c r="B19" s="7" t="s">
        <v>82</v>
      </c>
      <c r="K19" s="9">
        <f>1-K4/K3</f>
        <v>0.44180557604366422</v>
      </c>
      <c r="L19" s="9">
        <f>1-L4/L3</f>
        <v>0.46895006402048656</v>
      </c>
      <c r="M19" s="9">
        <f>1-M4/M3</f>
        <v>0.57158870722372568</v>
      </c>
      <c r="N19" s="9">
        <f>1-N4/N3</f>
        <v>0.60289468620282061</v>
      </c>
      <c r="O19" s="9">
        <f>1-O4/O3</f>
        <v>0.63008048541985318</v>
      </c>
      <c r="P19" s="9">
        <f>1-P4/P3</f>
        <v>0.61889830320012451</v>
      </c>
      <c r="Q19" s="9">
        <f>1-Q4/Q3</f>
        <v>0.61298402660863138</v>
      </c>
      <c r="R19" s="9">
        <f>1-R4/R3</f>
        <v>0.54253974334418653</v>
      </c>
      <c r="S19" s="9">
        <f>1-S4/S3</f>
        <v>0.45929880761701369</v>
      </c>
      <c r="AB19" s="9">
        <f>1-AB4/AB3</f>
        <v>0.23008589852394135</v>
      </c>
      <c r="AC19" s="9">
        <f>1-AC4/AC3</f>
        <v>0.28437881682377619</v>
      </c>
      <c r="AD19" s="9">
        <f>1-AD4/AD3</f>
        <v>0.53652097784362585</v>
      </c>
      <c r="AE19" s="9">
        <f>1-AE4/AE3</f>
        <v>0.60250067307998501</v>
      </c>
    </row>
    <row r="20" spans="2:31" x14ac:dyDescent="0.25">
      <c r="B20" s="7" t="s">
        <v>40</v>
      </c>
      <c r="G20" s="9" t="e">
        <f>G10/G3</f>
        <v>#DIV/0!</v>
      </c>
      <c r="H20" s="9" t="e">
        <f>H10/H3</f>
        <v>#DIV/0!</v>
      </c>
      <c r="I20" s="9" t="e">
        <f>I10/I3</f>
        <v>#DIV/0!</v>
      </c>
      <c r="J20" s="9" t="e">
        <f>J10/J3</f>
        <v>#DIV/0!</v>
      </c>
      <c r="K20" s="9">
        <f>K10/K3</f>
        <v>0.3894625559325367</v>
      </c>
      <c r="L20" s="9">
        <f>L10/L3</f>
        <v>0.41259069568928725</v>
      </c>
      <c r="M20" s="9">
        <f>M10/M3</f>
        <v>0.52921677582590032</v>
      </c>
      <c r="N20" s="9">
        <f>N10/N3</f>
        <v>0.55397641366797723</v>
      </c>
      <c r="O20" s="9">
        <f>O10/O3</f>
        <v>0.59254569616127184</v>
      </c>
      <c r="P20" s="9">
        <f>P10/P3</f>
        <v>0.5867636266595504</v>
      </c>
      <c r="Q20" s="9">
        <f>Q10/Q3</f>
        <v>0.57839896521989087</v>
      </c>
      <c r="R20" s="9">
        <f>R10/R3</f>
        <v>0.48405797101449233</v>
      </c>
      <c r="S20" s="9">
        <f>S10/S3</f>
        <v>0.39460758142018154</v>
      </c>
      <c r="AB20" s="9">
        <f>AB10/AB3</f>
        <v>0.15750442183075689</v>
      </c>
      <c r="AC20" s="9">
        <f>AC10/AC3</f>
        <v>0.21142463436785561</v>
      </c>
      <c r="AD20" s="9">
        <f>AD10/AD3</f>
        <v>0.48724717713875237</v>
      </c>
      <c r="AE20" s="9">
        <f>AE10/AE3</f>
        <v>0.56245458519455627</v>
      </c>
    </row>
    <row r="21" spans="2:31" x14ac:dyDescent="0.25">
      <c r="B21" s="7" t="s">
        <v>41</v>
      </c>
      <c r="G21" s="9" t="e">
        <f>G11/G3</f>
        <v>#DIV/0!</v>
      </c>
      <c r="H21" s="9" t="e">
        <f>H11/H3</f>
        <v>#DIV/0!</v>
      </c>
      <c r="I21" s="9" t="e">
        <f>I11/I3</f>
        <v>#DIV/0!</v>
      </c>
      <c r="J21" s="9" t="e">
        <f>J11/J3</f>
        <v>#DIV/0!</v>
      </c>
      <c r="K21" s="9">
        <f>K11/K3</f>
        <v>0.31400894920588091</v>
      </c>
      <c r="L21" s="9">
        <f>L11/L3</f>
        <v>0.34489970123772939</v>
      </c>
      <c r="M21" s="9">
        <f>M11/M3</f>
        <v>0.46524252566176116</v>
      </c>
      <c r="N21" s="9">
        <f>N11/N3</f>
        <v>0.49360859883992658</v>
      </c>
      <c r="O21" s="9">
        <f>O11/O3</f>
        <v>0.53493969861845914</v>
      </c>
      <c r="P21" s="9">
        <f>P11/P3</f>
        <v>0.53385816265261188</v>
      </c>
      <c r="Q21" s="9">
        <f>Q11/Q3</f>
        <v>0.52919558165318448</v>
      </c>
      <c r="R21" s="9">
        <f>R11/R3</f>
        <v>0.42154121177296766</v>
      </c>
      <c r="S21" s="9">
        <f>S11/S3</f>
        <v>0.31087382096458449</v>
      </c>
      <c r="AB21" s="9">
        <f>AB11/AB3</f>
        <v>6.4356474908589034E-2</v>
      </c>
      <c r="AC21" s="9">
        <f>AC11/AC3</f>
        <v>0.10297203344712028</v>
      </c>
      <c r="AD21" s="9">
        <f>AD11/AD3</f>
        <v>0.42157272094641624</v>
      </c>
      <c r="AE21" s="9">
        <f>AE11/AE3</f>
        <v>0.50732861067606172</v>
      </c>
    </row>
    <row r="22" spans="2:31" x14ac:dyDescent="0.25">
      <c r="B22" s="7" t="s">
        <v>45</v>
      </c>
      <c r="G22" s="9" t="e">
        <f>G3/C3-1</f>
        <v>#DIV/0!</v>
      </c>
      <c r="H22" s="9" t="e">
        <f>H3/D3-1</f>
        <v>#DIV/0!</v>
      </c>
      <c r="I22" s="9" t="e">
        <f>I3/E3-1</f>
        <v>#DIV/0!</v>
      </c>
      <c r="J22" s="9" t="e">
        <f>J3/F3-1</f>
        <v>#DIV/0!</v>
      </c>
      <c r="K22" s="9" t="e">
        <f>K3/G3-1</f>
        <v>#DIV/0!</v>
      </c>
      <c r="L22" s="9" t="e">
        <f>L3/H3-1</f>
        <v>#DIV/0!</v>
      </c>
      <c r="M22" s="9" t="e">
        <f>M3/I3-1</f>
        <v>#DIV/0!</v>
      </c>
      <c r="N22" s="9" t="e">
        <f>N3/J3-1</f>
        <v>#DIV/0!</v>
      </c>
      <c r="O22" s="9">
        <f>O3/K3-1</f>
        <v>0.96110537444067479</v>
      </c>
      <c r="P22" s="9">
        <f>P3/L3-1</f>
        <v>0.91920614596670935</v>
      </c>
      <c r="Q22" s="9">
        <f>Q3/M3-1</f>
        <v>0.55991480775697799</v>
      </c>
      <c r="R22" s="9">
        <f>R3/N3-1</f>
        <v>7.6435659894988239E-2</v>
      </c>
      <c r="S22" s="9">
        <f>S3/O3-1</f>
        <v>-0.29556452623924989</v>
      </c>
      <c r="AB22" s="9"/>
      <c r="AC22" s="9">
        <f>AC3/AB3-1</f>
        <v>1.3047375058495181E-2</v>
      </c>
      <c r="AD22" s="9">
        <f>AD3/AC3-1</f>
        <v>0.74387742319376149</v>
      </c>
      <c r="AE22" s="9">
        <f>AE3/AD3-1</f>
        <v>0.55084292993916528</v>
      </c>
    </row>
    <row r="23" spans="2:31" x14ac:dyDescent="0.25">
      <c r="B23" s="7" t="s">
        <v>46</v>
      </c>
      <c r="G23" s="9" t="e">
        <f>G11/C11-1</f>
        <v>#DIV/0!</v>
      </c>
      <c r="H23" s="9" t="e">
        <f>H11/D11-1</f>
        <v>#DIV/0!</v>
      </c>
      <c r="I23" s="9" t="e">
        <f>I11/E11-1</f>
        <v>#DIV/0!</v>
      </c>
      <c r="J23" s="9" t="e">
        <f>J11/F11-1</f>
        <v>#DIV/0!</v>
      </c>
      <c r="K23" s="9" t="e">
        <f>K11/G11-1</f>
        <v>#DIV/0!</v>
      </c>
      <c r="L23" s="9" t="e">
        <f>L11/H11-1</f>
        <v>#DIV/0!</v>
      </c>
      <c r="M23" s="9" t="e">
        <f>M11/I11-1</f>
        <v>#DIV/0!</v>
      </c>
      <c r="N23" s="9" t="e">
        <f>N11/J11-1</f>
        <v>#DIV/0!</v>
      </c>
      <c r="O23" s="9">
        <f>O11/K11-1</f>
        <v>2.3409019730660825</v>
      </c>
      <c r="P23" s="9">
        <f>P11/L11-1</f>
        <v>1.9706719465412696</v>
      </c>
      <c r="Q23" s="9">
        <f>Q11/M11-1</f>
        <v>0.77434344129694055</v>
      </c>
      <c r="R23" s="9">
        <f>R11/N11-1</f>
        <v>-8.0725105814214437E-2</v>
      </c>
      <c r="S23" s="9">
        <f>S11/O11-1</f>
        <v>-0.5906257323646591</v>
      </c>
      <c r="AB23" s="9"/>
      <c r="AC23" s="9">
        <f>AC11/AB11-1</f>
        <v>0.62090214444170511</v>
      </c>
      <c r="AD23" s="9">
        <f>AD11/AC11-1</f>
        <v>6.1395225060827325</v>
      </c>
      <c r="AE23" s="9">
        <f>AE11/AD11-1</f>
        <v>0.86631380525884127</v>
      </c>
    </row>
    <row r="24" spans="2:31" x14ac:dyDescent="0.25">
      <c r="B24" s="7" t="s">
        <v>81</v>
      </c>
      <c r="G24" s="9" t="e">
        <f>G14/G15</f>
        <v>#DIV/0!</v>
      </c>
      <c r="H24" s="9" t="e">
        <f>H14/H15</f>
        <v>#DIV/0!</v>
      </c>
      <c r="I24" s="9" t="e">
        <f>I14/I15</f>
        <v>#DIV/0!</v>
      </c>
      <c r="J24" s="9" t="e">
        <f>J14/J15</f>
        <v>#DIV/0!</v>
      </c>
      <c r="K24" s="10">
        <f>K14/K15</f>
        <v>9.1384896568912511E-3</v>
      </c>
      <c r="L24" s="10">
        <f>L14/L15</f>
        <v>8.3492209585168623E-3</v>
      </c>
      <c r="M24" s="10">
        <f>M14/M15</f>
        <v>5.4627475858180022E-3</v>
      </c>
      <c r="N24" s="10">
        <f>N14/N15</f>
        <v>6.2732407959351626E-3</v>
      </c>
      <c r="O24" s="10">
        <f>O14/O15</f>
        <v>3.9794793115021333E-3</v>
      </c>
      <c r="P24" s="10">
        <f>P14/P15</f>
        <v>4.6399571696261275E-3</v>
      </c>
      <c r="Q24" s="10">
        <f>Q14/Q15</f>
        <v>7.7940343406325066E-3</v>
      </c>
      <c r="R24" s="10">
        <f>R14/R15</f>
        <v>3.7716802789758704E-2</v>
      </c>
      <c r="S24" s="10">
        <f>S14/S15</f>
        <v>3.3593915064441156E-2</v>
      </c>
      <c r="AB24" s="9">
        <f>AB14/AB15</f>
        <v>0.11489019817889672</v>
      </c>
      <c r="AC24" s="9">
        <f>AC14/AC15</f>
        <v>4.8963010476801419E-2</v>
      </c>
      <c r="AD24" s="9">
        <f>AD14/AD15</f>
        <v>6.7473115320689902E-3</v>
      </c>
      <c r="AE24" s="9">
        <f>AE14/AE15</f>
        <v>1.1770504500487017E-2</v>
      </c>
    </row>
    <row r="28" spans="2:31" s="5" customFormat="1" x14ac:dyDescent="0.25">
      <c r="B28" s="5" t="s">
        <v>5</v>
      </c>
      <c r="N28" s="6">
        <f>N29-N45-N41</f>
        <v>4649.2999999999993</v>
      </c>
      <c r="Q28" s="6">
        <f>Q29-Q45-Q41</f>
        <v>11988.300000000001</v>
      </c>
      <c r="R28" s="6">
        <f>R29-R45-R41</f>
        <v>12459.400000000001</v>
      </c>
      <c r="S28" s="6">
        <f>S29-S45-S41</f>
        <v>15070.6</v>
      </c>
    </row>
    <row r="29" spans="2:31" x14ac:dyDescent="0.25">
      <c r="B29" s="7" t="s">
        <v>3</v>
      </c>
      <c r="N29" s="4">
        <v>7723.4</v>
      </c>
      <c r="Q29" s="4">
        <v>15136.6</v>
      </c>
      <c r="R29" s="4">
        <v>15236.1</v>
      </c>
      <c r="S29" s="4">
        <v>17689.400000000001</v>
      </c>
    </row>
    <row r="30" spans="2:31" x14ac:dyDescent="0.25">
      <c r="B30" s="7" t="s">
        <v>47</v>
      </c>
      <c r="N30" s="4">
        <v>2999.2</v>
      </c>
      <c r="Q30" s="4">
        <v>4065.2</v>
      </c>
      <c r="R30" s="4">
        <v>2895</v>
      </c>
      <c r="S30" s="4">
        <v>2265.6</v>
      </c>
    </row>
    <row r="31" spans="2:31" x14ac:dyDescent="0.25">
      <c r="B31" s="7" t="s">
        <v>48</v>
      </c>
      <c r="N31" s="4">
        <v>337.2</v>
      </c>
      <c r="Q31" s="4">
        <v>568.4</v>
      </c>
      <c r="R31" s="4">
        <v>440</v>
      </c>
      <c r="S31" s="4">
        <v>387.8</v>
      </c>
    </row>
    <row r="32" spans="2:31" x14ac:dyDescent="0.25">
      <c r="B32" s="7" t="s">
        <v>52</v>
      </c>
      <c r="N32" s="4">
        <f>353.6+0.3+16.8</f>
        <v>370.70000000000005</v>
      </c>
      <c r="Q32" s="4">
        <f>1279.4+2.8+20.9</f>
        <v>1303.1000000000001</v>
      </c>
      <c r="R32" s="4">
        <f>3067.1+132.5+5.5+16.4</f>
        <v>3221.5</v>
      </c>
      <c r="S32" s="4">
        <f>2110.6+165.9+112.8+16</f>
        <v>2405.3000000000002</v>
      </c>
    </row>
    <row r="33" spans="2:19" x14ac:dyDescent="0.25">
      <c r="B33" s="7" t="s">
        <v>49</v>
      </c>
      <c r="N33" s="4">
        <v>11764.8</v>
      </c>
      <c r="Q33" s="4">
        <v>14177.9</v>
      </c>
      <c r="R33" s="4">
        <v>13140.2</v>
      </c>
      <c r="S33" s="4">
        <v>12843.8</v>
      </c>
    </row>
    <row r="34" spans="2:19" x14ac:dyDescent="0.25">
      <c r="B34" s="7" t="s">
        <v>50</v>
      </c>
      <c r="N34" s="4">
        <v>332.4</v>
      </c>
      <c r="Q34" s="4">
        <v>329.3</v>
      </c>
      <c r="R34" s="4">
        <v>353.4</v>
      </c>
      <c r="S34" s="4">
        <v>634.4</v>
      </c>
    </row>
    <row r="35" spans="2:19" x14ac:dyDescent="0.25">
      <c r="B35" s="7" t="s">
        <v>51</v>
      </c>
      <c r="N35" s="4">
        <v>1597.2</v>
      </c>
      <c r="Q35" s="4">
        <v>1873.7</v>
      </c>
      <c r="R35" s="4">
        <v>1712.1</v>
      </c>
      <c r="S35" s="4">
        <v>1681.2</v>
      </c>
    </row>
    <row r="36" spans="2:19" x14ac:dyDescent="0.25">
      <c r="B36" s="7" t="s">
        <v>53</v>
      </c>
      <c r="N36" s="4">
        <f>15284-N33-N34-N35</f>
        <v>1589.6000000000006</v>
      </c>
      <c r="Q36" s="4">
        <f>18213.2-Q33-Q34-Q35</f>
        <v>1832.3000000000009</v>
      </c>
      <c r="R36" s="4">
        <f>16894.7-R33-R34-R35</f>
        <v>1689</v>
      </c>
      <c r="S36" s="4">
        <f>16793-S33-S34-S35</f>
        <v>1633.6000000000006</v>
      </c>
    </row>
    <row r="37" spans="2:19" s="5" customFormat="1" x14ac:dyDescent="0.25">
      <c r="B37" s="5" t="s">
        <v>63</v>
      </c>
      <c r="N37" s="6">
        <f>SUM(N29:N36)</f>
        <v>26714.500000000004</v>
      </c>
      <c r="Q37" s="6">
        <f>SUM(Q29:Q36)</f>
        <v>39286.5</v>
      </c>
      <c r="R37" s="6">
        <f>SUM(R29:R36)</f>
        <v>38687.300000000003</v>
      </c>
      <c r="S37" s="6">
        <f>SUM(S29:S36)</f>
        <v>39541.099999999991</v>
      </c>
    </row>
    <row r="38" spans="2:19" x14ac:dyDescent="0.25">
      <c r="B38" s="7" t="s">
        <v>58</v>
      </c>
      <c r="N38" s="4">
        <v>2323.9</v>
      </c>
      <c r="Q38" s="4">
        <v>2881.3</v>
      </c>
      <c r="R38" s="4">
        <v>2615.6999999999998</v>
      </c>
      <c r="S38" s="4">
        <v>2770.4</v>
      </c>
    </row>
    <row r="39" spans="2:19" x14ac:dyDescent="0.25">
      <c r="B39" s="7" t="s">
        <v>55</v>
      </c>
      <c r="N39" s="4">
        <v>598.6</v>
      </c>
      <c r="Q39" s="4">
        <v>761.1</v>
      </c>
      <c r="R39" s="4">
        <v>964.6</v>
      </c>
      <c r="S39" s="4">
        <v>956.1</v>
      </c>
    </row>
    <row r="40" spans="2:19" x14ac:dyDescent="0.25">
      <c r="B40" s="7" t="s">
        <v>36</v>
      </c>
      <c r="N40" s="4">
        <v>49.6</v>
      </c>
      <c r="Q40" s="4">
        <v>84.6</v>
      </c>
      <c r="R40" s="4">
        <v>165.9</v>
      </c>
      <c r="S40" s="4">
        <v>209.1</v>
      </c>
    </row>
    <row r="41" spans="2:19" x14ac:dyDescent="0.25">
      <c r="B41" s="7" t="s">
        <v>56</v>
      </c>
      <c r="N41" s="4">
        <v>502</v>
      </c>
      <c r="Q41" s="4">
        <v>567.79999999999995</v>
      </c>
      <c r="R41" s="4">
        <v>457.3</v>
      </c>
      <c r="S41" s="4">
        <v>487.2</v>
      </c>
    </row>
    <row r="42" spans="2:19" x14ac:dyDescent="0.25">
      <c r="B42" s="7" t="s">
        <v>57</v>
      </c>
      <c r="N42" s="4">
        <v>856.7</v>
      </c>
      <c r="Q42" s="4">
        <v>1034.3</v>
      </c>
      <c r="R42" s="4">
        <v>934.7</v>
      </c>
      <c r="S42" s="4">
        <v>905.6</v>
      </c>
    </row>
    <row r="43" spans="2:19" x14ac:dyDescent="0.25">
      <c r="B43" s="7" t="s">
        <v>59</v>
      </c>
      <c r="N43" s="4">
        <v>1445.8</v>
      </c>
      <c r="Q43" s="4">
        <v>1503.6</v>
      </c>
      <c r="R43" s="4">
        <v>952.9</v>
      </c>
      <c r="S43" s="4">
        <v>600</v>
      </c>
    </row>
    <row r="44" spans="2:19" x14ac:dyDescent="0.25">
      <c r="B44" s="7" t="s">
        <v>62</v>
      </c>
      <c r="N44" s="4">
        <f>5958.3-N38-N39-N40-N41-N42-N43</f>
        <v>181.70000000000027</v>
      </c>
      <c r="Q44" s="4">
        <f>7179.3-Q38-Q39-Q40-Q41-Q42-Q43</f>
        <v>346.60000000000014</v>
      </c>
      <c r="R44" s="4">
        <f>6397-R38-R39-R40-R41-R42-R43</f>
        <v>305.89999999999998</v>
      </c>
      <c r="S44" s="4">
        <f>6198-S38-S39-S40-S41-S42-S43</f>
        <v>269.60000000000002</v>
      </c>
    </row>
    <row r="45" spans="2:19" x14ac:dyDescent="0.25">
      <c r="B45" s="7" t="s">
        <v>4</v>
      </c>
      <c r="N45" s="4">
        <v>2572.1</v>
      </c>
      <c r="Q45" s="4">
        <v>2580.5</v>
      </c>
      <c r="R45" s="4">
        <v>2319.4</v>
      </c>
      <c r="S45" s="4">
        <v>2131.6</v>
      </c>
    </row>
    <row r="46" spans="2:19" x14ac:dyDescent="0.25">
      <c r="B46" s="7" t="s">
        <v>54</v>
      </c>
      <c r="N46" s="4">
        <v>1566.4</v>
      </c>
      <c r="Q46" s="4">
        <v>2015.3</v>
      </c>
      <c r="R46" s="4">
        <v>1725.4</v>
      </c>
      <c r="S46" s="4">
        <v>1600.8</v>
      </c>
    </row>
    <row r="47" spans="2:19" x14ac:dyDescent="0.25">
      <c r="B47" s="7" t="s">
        <v>61</v>
      </c>
      <c r="N47" s="4">
        <f>4594.2-N46-N45</f>
        <v>455.69999999999982</v>
      </c>
      <c r="Q47" s="4">
        <f>4868.8-Q46-Q45</f>
        <v>273</v>
      </c>
      <c r="R47" s="4">
        <f>4379.3-R46-R45</f>
        <v>334.5</v>
      </c>
      <c r="S47" s="4">
        <f>4073.3-S46-S45</f>
        <v>340.90000000000009</v>
      </c>
    </row>
    <row r="48" spans="2:19" s="5" customFormat="1" x14ac:dyDescent="0.25">
      <c r="B48" s="5" t="s">
        <v>64</v>
      </c>
      <c r="N48" s="5">
        <f>SUM(N38:N47)</f>
        <v>10552.5</v>
      </c>
      <c r="Q48" s="5">
        <f>SUM(Q38:Q47)</f>
        <v>12048.1</v>
      </c>
      <c r="R48" s="5">
        <f>SUM(R38:R47)</f>
        <v>10776.3</v>
      </c>
      <c r="S48" s="5">
        <f>SUM(S38:S47)</f>
        <v>10271.299999999999</v>
      </c>
    </row>
    <row r="49" spans="2:19" x14ac:dyDescent="0.25">
      <c r="B49" s="7" t="s">
        <v>65</v>
      </c>
      <c r="N49">
        <v>16162</v>
      </c>
      <c r="Q49">
        <v>27238.400000000001</v>
      </c>
      <c r="R49">
        <v>27911.1</v>
      </c>
      <c r="S49">
        <v>29269.7</v>
      </c>
    </row>
    <row r="52" spans="2:19" s="5" customFormat="1" x14ac:dyDescent="0.25">
      <c r="B52" s="5" t="s">
        <v>66</v>
      </c>
      <c r="O52" s="6">
        <v>7723.4</v>
      </c>
      <c r="S52" s="6">
        <v>15236.1</v>
      </c>
    </row>
    <row r="53" spans="2:19" x14ac:dyDescent="0.25">
      <c r="B53" s="7" t="s">
        <v>67</v>
      </c>
      <c r="O53" s="4">
        <v>4171.3</v>
      </c>
      <c r="S53" s="4">
        <v>1893.2</v>
      </c>
    </row>
    <row r="54" spans="2:19" x14ac:dyDescent="0.25">
      <c r="B54" s="7" t="s">
        <v>36</v>
      </c>
      <c r="O54" s="4">
        <v>16.600000000000001</v>
      </c>
      <c r="S54" s="4">
        <v>63.6</v>
      </c>
    </row>
    <row r="55" spans="2:19" x14ac:dyDescent="0.25">
      <c r="B55" s="7" t="s">
        <v>35</v>
      </c>
      <c r="O55" s="4">
        <v>31</v>
      </c>
      <c r="S55" s="4">
        <v>-58.3</v>
      </c>
    </row>
    <row r="56" spans="2:19" x14ac:dyDescent="0.25">
      <c r="B56" s="7" t="s">
        <v>68</v>
      </c>
      <c r="O56" s="4">
        <v>48</v>
      </c>
      <c r="S56" s="4">
        <v>-151.69999999999999</v>
      </c>
    </row>
    <row r="57" spans="2:19" x14ac:dyDescent="0.25">
      <c r="B57" s="7" t="s">
        <v>42</v>
      </c>
      <c r="O57" s="4">
        <v>459.5</v>
      </c>
      <c r="S57" s="4">
        <v>470.5</v>
      </c>
    </row>
    <row r="58" spans="2:19" x14ac:dyDescent="0.25">
      <c r="B58" s="7" t="s">
        <v>30</v>
      </c>
      <c r="O58" s="4">
        <f>-11.9-11.5-2.1</f>
        <v>-25.5</v>
      </c>
      <c r="S58" s="4">
        <f>-11-15.5-4</f>
        <v>-30.5</v>
      </c>
    </row>
    <row r="59" spans="2:19" x14ac:dyDescent="0.25">
      <c r="B59" s="7" t="s">
        <v>48</v>
      </c>
      <c r="O59" s="4">
        <v>-79.8</v>
      </c>
      <c r="S59" s="4">
        <v>44.8</v>
      </c>
    </row>
    <row r="60" spans="2:19" x14ac:dyDescent="0.25">
      <c r="B60" s="7" t="s">
        <v>69</v>
      </c>
      <c r="O60" s="4">
        <v>-335.4</v>
      </c>
      <c r="S60" s="4">
        <v>560.70000000000005</v>
      </c>
    </row>
    <row r="61" spans="2:19" x14ac:dyDescent="0.25">
      <c r="B61" s="7" t="s">
        <v>55</v>
      </c>
      <c r="O61" s="4">
        <v>79.900000000000006</v>
      </c>
      <c r="S61" s="4">
        <v>49.1</v>
      </c>
    </row>
    <row r="62" spans="2:19" x14ac:dyDescent="0.25">
      <c r="B62" s="7" t="s">
        <v>70</v>
      </c>
      <c r="O62" s="4">
        <v>130.4</v>
      </c>
      <c r="S62" s="4">
        <v>-248.1</v>
      </c>
    </row>
    <row r="63" spans="2:19" x14ac:dyDescent="0.25">
      <c r="B63" s="7" t="s">
        <v>71</v>
      </c>
      <c r="O63" s="4">
        <v>-8.4</v>
      </c>
      <c r="S63" s="4">
        <v>-26</v>
      </c>
    </row>
    <row r="64" spans="2:19" x14ac:dyDescent="0.25">
      <c r="B64" s="7" t="s">
        <v>49</v>
      </c>
      <c r="O64" s="4">
        <f>15.7-384.7</f>
        <v>-369</v>
      </c>
      <c r="S64" s="4">
        <f>24.8-218.7</f>
        <v>-193.89999999999998</v>
      </c>
    </row>
    <row r="65" spans="2:22" x14ac:dyDescent="0.25">
      <c r="B65" s="7" t="s">
        <v>72</v>
      </c>
      <c r="O65" s="4">
        <v>0</v>
      </c>
      <c r="S65" s="4">
        <v>-0.7</v>
      </c>
    </row>
    <row r="66" spans="2:22" x14ac:dyDescent="0.25">
      <c r="B66" s="7" t="s">
        <v>73</v>
      </c>
      <c r="O66" s="4">
        <v>0</v>
      </c>
      <c r="S66" s="4">
        <f>5.3-265.6</f>
        <v>-260.3</v>
      </c>
    </row>
    <row r="67" spans="2:22" x14ac:dyDescent="0.25">
      <c r="B67" s="7" t="s">
        <v>32</v>
      </c>
      <c r="O67" s="4">
        <v>0</v>
      </c>
      <c r="S67" s="4">
        <v>909.8</v>
      </c>
    </row>
    <row r="68" spans="2:22" x14ac:dyDescent="0.25">
      <c r="B68" s="7" t="s">
        <v>34</v>
      </c>
      <c r="O68" s="4">
        <v>3.3</v>
      </c>
      <c r="S68" s="4">
        <v>205</v>
      </c>
    </row>
    <row r="69" spans="2:22" x14ac:dyDescent="0.25">
      <c r="B69" s="7" t="s">
        <v>74</v>
      </c>
      <c r="O69" s="4">
        <v>-1</v>
      </c>
      <c r="S69" s="4">
        <v>0</v>
      </c>
    </row>
    <row r="70" spans="2:22" x14ac:dyDescent="0.25">
      <c r="B70" s="7" t="s">
        <v>4</v>
      </c>
      <c r="O70" s="4">
        <f>0.2-112.7</f>
        <v>-112.5</v>
      </c>
      <c r="S70" s="4">
        <v>-121.7</v>
      </c>
    </row>
    <row r="71" spans="2:22" x14ac:dyDescent="0.25">
      <c r="B71" s="7" t="s">
        <v>75</v>
      </c>
      <c r="O71" s="4">
        <v>-239.1</v>
      </c>
      <c r="S71" s="4">
        <v>-244</v>
      </c>
    </row>
    <row r="72" spans="2:22" x14ac:dyDescent="0.25">
      <c r="B72" s="7" t="s">
        <v>76</v>
      </c>
      <c r="O72" s="4">
        <v>-45.1</v>
      </c>
      <c r="S72" s="4">
        <v>-51.8</v>
      </c>
    </row>
    <row r="73" spans="2:22" x14ac:dyDescent="0.25">
      <c r="B73" s="7" t="s">
        <v>77</v>
      </c>
      <c r="O73" s="4">
        <v>-2.2999999999999998</v>
      </c>
      <c r="S73" s="4">
        <v>-43.3</v>
      </c>
    </row>
    <row r="74" spans="2:22" s="5" customFormat="1" x14ac:dyDescent="0.25">
      <c r="B74" s="5" t="s">
        <v>79</v>
      </c>
      <c r="O74" s="6">
        <f>SUM(O53:O73)</f>
        <v>3721.9000000000005</v>
      </c>
      <c r="S74" s="6">
        <f>SUM(S53:S73)</f>
        <v>2766.3999999999996</v>
      </c>
      <c r="V74" s="5" t="s">
        <v>60</v>
      </c>
    </row>
    <row r="75" spans="2:22" s="7" customFormat="1" x14ac:dyDescent="0.25">
      <c r="B75" s="7" t="s">
        <v>80</v>
      </c>
      <c r="O75" s="8">
        <v>192</v>
      </c>
      <c r="S75" s="8">
        <v>-313.60000000000002</v>
      </c>
    </row>
    <row r="76" spans="2:22" s="5" customFormat="1" x14ac:dyDescent="0.25">
      <c r="B76" s="5" t="s">
        <v>78</v>
      </c>
      <c r="O76" s="6">
        <f>O52+SUM(O53:O73)+O75</f>
        <v>11637.3</v>
      </c>
      <c r="S76" s="6">
        <f>S52+SUM(S53:S73)+S75</f>
        <v>17688.900000000001</v>
      </c>
    </row>
  </sheetData>
  <hyperlinks>
    <hyperlink ref="A1" location="Main!A1" display="Main" xr:uid="{AEF814D1-AB10-4C85-9A8C-29CADC5E6517}"/>
  </hyperlinks>
  <pageMargins left="0.7" right="0.7" top="0.75" bottom="0.75" header="0.3" footer="0.3"/>
  <pageSetup paperSize="9" orientation="portrait" r:id="rId1"/>
  <ignoredErrors>
    <ignoredError sqref="R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155F-28DD-4056-ABE3-FB6172E0748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DB029-0B2C-4291-B4A8-76E704119A0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KPIs</vt:lpstr>
      <vt:lpstr>Shanghai Container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2023-08-07T23:53:46Z</dcterms:modified>
</cp:coreProperties>
</file>