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AE0B563B-CC48-4602-9233-3B97A42B00AE}" xr6:coauthVersionLast="47" xr6:coauthVersionMax="47" xr10:uidLastSave="{00000000-0000-0000-0000-000000000000}"/>
  <bookViews>
    <workbookView xWindow="14295" yWindow="0" windowWidth="14610" windowHeight="15585" activeTab="1"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Model!$B$21</definedName>
    <definedName name="_xlchart.v1.1" hidden="1">Model!$B$22</definedName>
    <definedName name="_xlchart.v1.2" hidden="1">Model!$L$21:$W$21</definedName>
    <definedName name="_xlchart.v1.3" hidden="1">Model!$L$22:$W$22</definedName>
    <definedName name="_xlchart.v1.4" hidden="1">Model!$L$2:$W$2</definedName>
    <definedName name="_xlchart.v1.5" hidden="1">Model!$B$8</definedName>
    <definedName name="_xlchart.v1.6" hidden="1">Model!$B$9</definedName>
    <definedName name="_xlchart.v1.7" hidden="1">Model!$L$2:$W$2</definedName>
    <definedName name="_xlchart.v1.8" hidden="1">Model!$L$8:$W$8</definedName>
    <definedName name="_xlchart.v1.9" hidden="1">Model!$L$9:$W$9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8" i="6" l="1"/>
  <c r="S17" i="6"/>
  <c r="S16" i="6"/>
  <c r="S9" i="6"/>
  <c r="S8" i="6"/>
  <c r="S7" i="6"/>
  <c r="C32" i="1"/>
  <c r="C30" i="1"/>
  <c r="C29" i="1"/>
  <c r="C25" i="1"/>
  <c r="C24" i="1"/>
  <c r="C9" i="1"/>
  <c r="C7" i="1"/>
  <c r="W8" i="2"/>
  <c r="X8" i="2"/>
  <c r="X25" i="2" s="1"/>
  <c r="W25" i="2"/>
  <c r="X31" i="2"/>
  <c r="X21" i="2"/>
  <c r="V31" i="2"/>
  <c r="V14" i="2"/>
  <c r="V17" i="2" s="1"/>
  <c r="V19" i="2" s="1"/>
  <c r="V23" i="2"/>
  <c r="V25" i="2"/>
  <c r="V26" i="2"/>
  <c r="V27" i="2"/>
  <c r="V28" i="2"/>
  <c r="V8" i="2"/>
  <c r="W56" i="2"/>
  <c r="W55" i="2"/>
  <c r="V55" i="2"/>
  <c r="V44" i="2"/>
  <c r="V35" i="2"/>
  <c r="V34" i="2" s="1"/>
  <c r="W21" i="2"/>
  <c r="I19" i="2"/>
  <c r="H19" i="2"/>
  <c r="U8" i="2"/>
  <c r="U27" i="2" s="1"/>
  <c r="T8" i="2"/>
  <c r="T23" i="2" s="1"/>
  <c r="Q16" i="6"/>
  <c r="R16" i="6"/>
  <c r="Q17" i="6"/>
  <c r="R17" i="6"/>
  <c r="Q18" i="6"/>
  <c r="R18" i="6"/>
  <c r="Q7" i="6"/>
  <c r="R7" i="6"/>
  <c r="Q8" i="6"/>
  <c r="R8" i="6"/>
  <c r="Q9" i="6"/>
  <c r="R9" i="6"/>
  <c r="U20" i="2"/>
  <c r="J9" i="1" s="1"/>
  <c r="U45" i="2"/>
  <c r="T20" i="2"/>
  <c r="T45" i="2"/>
  <c r="W52" i="2"/>
  <c r="V52" i="2"/>
  <c r="U52" i="2"/>
  <c r="U55" i="2" s="1"/>
  <c r="T52" i="2"/>
  <c r="T55" i="2" s="1"/>
  <c r="W39" i="2"/>
  <c r="W47" i="2" s="1"/>
  <c r="U39" i="2"/>
  <c r="T39" i="2"/>
  <c r="W34" i="2"/>
  <c r="U34" i="2"/>
  <c r="T34" i="2"/>
  <c r="D144"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C21" i="1"/>
  <c r="C17" i="1"/>
  <c r="C15" i="1"/>
  <c r="C14" i="1"/>
  <c r="I31" i="2"/>
  <c r="G30" i="2"/>
  <c r="F29" i="2"/>
  <c r="E8" i="2"/>
  <c r="E28" i="2" s="1"/>
  <c r="E20" i="2"/>
  <c r="E15" i="2"/>
  <c r="F20" i="2"/>
  <c r="L20" i="2" s="1"/>
  <c r="G20" i="2"/>
  <c r="P20" i="2" s="1"/>
  <c r="I16" i="6"/>
  <c r="M18" i="6"/>
  <c r="M17" i="6"/>
  <c r="M16" i="6"/>
  <c r="J16" i="6"/>
  <c r="N16" i="6"/>
  <c r="N17" i="6"/>
  <c r="N18" i="6"/>
  <c r="M7" i="6"/>
  <c r="N7" i="6"/>
  <c r="M8" i="6"/>
  <c r="N8" i="6"/>
  <c r="M9" i="6"/>
  <c r="N9" i="6"/>
  <c r="G29" i="2"/>
  <c r="O17" i="6"/>
  <c r="O18" i="6"/>
  <c r="O16" i="6"/>
  <c r="K16" i="6"/>
  <c r="O7" i="6"/>
  <c r="O8" i="6"/>
  <c r="O9" i="6"/>
  <c r="O53" i="2"/>
  <c r="O51" i="2"/>
  <c r="O49" i="2"/>
  <c r="O48" i="2"/>
  <c r="O46" i="2"/>
  <c r="O38" i="2"/>
  <c r="O37" i="2"/>
  <c r="O36" i="2"/>
  <c r="O35" i="2"/>
  <c r="O34" i="2" s="1"/>
  <c r="S53" i="2"/>
  <c r="S51" i="2"/>
  <c r="S49" i="2"/>
  <c r="S48" i="2"/>
  <c r="S46" i="2"/>
  <c r="S38" i="2"/>
  <c r="S37" i="2"/>
  <c r="S36" i="2"/>
  <c r="S35" i="2"/>
  <c r="S34" i="2" s="1"/>
  <c r="L34" i="2"/>
  <c r="M34" i="2"/>
  <c r="N34" i="2"/>
  <c r="P34" i="2"/>
  <c r="Q34" i="2"/>
  <c r="R34" i="2"/>
  <c r="E34" i="2"/>
  <c r="D34" i="2"/>
  <c r="C34" i="2"/>
  <c r="F34" i="2"/>
  <c r="G34" i="2"/>
  <c r="N8" i="2"/>
  <c r="N28" i="2" s="1"/>
  <c r="M8" i="2"/>
  <c r="M27" i="2" s="1"/>
  <c r="L8" i="2"/>
  <c r="L14" i="2" s="1"/>
  <c r="L17" i="2" s="1"/>
  <c r="L19" i="2" s="1"/>
  <c r="L21" i="2" s="1"/>
  <c r="P8" i="2"/>
  <c r="P27" i="2" s="1"/>
  <c r="Q8" i="2"/>
  <c r="Q27" i="2" s="1"/>
  <c r="R8" i="2"/>
  <c r="R27" i="2" s="1"/>
  <c r="S8" i="2"/>
  <c r="S14" i="2" s="1"/>
  <c r="S17" i="2" s="1"/>
  <c r="S19" i="2" s="1"/>
  <c r="S21" i="2" s="1"/>
  <c r="O8" i="2"/>
  <c r="O27" i="2" s="1"/>
  <c r="C8" i="2"/>
  <c r="C28" i="2" s="1"/>
  <c r="P18" i="6"/>
  <c r="P17" i="6"/>
  <c r="L16" i="6"/>
  <c r="P16" i="6"/>
  <c r="P9" i="6"/>
  <c r="P8" i="6"/>
  <c r="P7" i="6"/>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H14" i="2"/>
  <c r="H17" i="2" s="1"/>
  <c r="I14" i="2"/>
  <c r="I17" i="2" s="1"/>
  <c r="V24" i="2" l="1"/>
  <c r="W31" i="2"/>
  <c r="V39" i="2"/>
  <c r="V47" i="2" s="1"/>
  <c r="V56" i="2" s="1"/>
  <c r="U26" i="2"/>
  <c r="T27" i="2"/>
  <c r="T26" i="2"/>
  <c r="J12" i="1"/>
  <c r="J3" i="1"/>
  <c r="J10" i="1"/>
  <c r="J11" i="1"/>
  <c r="J4" i="1"/>
  <c r="J6" i="1"/>
  <c r="U47" i="2"/>
  <c r="U56" i="2" s="1"/>
  <c r="C35" i="1" s="1"/>
  <c r="J7" i="1"/>
  <c r="T25" i="2"/>
  <c r="U25" i="2"/>
  <c r="S23" i="2"/>
  <c r="T47" i="2"/>
  <c r="T56" i="2" s="1"/>
  <c r="U28" i="2"/>
  <c r="T28" i="2"/>
  <c r="U23" i="2"/>
  <c r="C19" i="1"/>
  <c r="S26" i="2"/>
  <c r="O28" i="2"/>
  <c r="S28" i="2"/>
  <c r="R28" i="2"/>
  <c r="N23" i="2"/>
  <c r="L28" i="2"/>
  <c r="P28" i="2"/>
  <c r="M28" i="2"/>
  <c r="Q28" i="2"/>
  <c r="O14" i="2"/>
  <c r="O17" i="2" s="1"/>
  <c r="O19" i="2" s="1"/>
  <c r="O21" i="2" s="1"/>
  <c r="O31" i="2" s="1"/>
  <c r="N14" i="2"/>
  <c r="N17" i="2" s="1"/>
  <c r="N19" i="2" s="1"/>
  <c r="N21" i="2" s="1"/>
  <c r="N31" i="2" s="1"/>
  <c r="M14" i="2"/>
  <c r="M17" i="2" s="1"/>
  <c r="M19" i="2" s="1"/>
  <c r="M21" i="2" s="1"/>
  <c r="S27" i="2"/>
  <c r="R14" i="2"/>
  <c r="R17" i="2" s="1"/>
  <c r="R19" i="2" s="1"/>
  <c r="R21" i="2" s="1"/>
  <c r="L27" i="2"/>
  <c r="P14" i="2"/>
  <c r="P17" i="2" s="1"/>
  <c r="P19" i="2" s="1"/>
  <c r="P21" i="2" s="1"/>
  <c r="P31" i="2" s="1"/>
  <c r="N27" i="2"/>
  <c r="Q14" i="2"/>
  <c r="Q17" i="2" s="1"/>
  <c r="Q19" i="2" s="1"/>
  <c r="Q21" i="2" s="1"/>
  <c r="C8" i="1"/>
  <c r="I31" i="5"/>
  <c r="I30" i="5"/>
  <c r="I29" i="5"/>
  <c r="I28" i="5"/>
  <c r="I26" i="5"/>
  <c r="I25" i="5"/>
  <c r="I24" i="5"/>
  <c r="I23" i="5"/>
  <c r="I22" i="5"/>
  <c r="I21" i="5"/>
  <c r="I20" i="5"/>
  <c r="I19" i="5"/>
  <c r="I65" i="5"/>
  <c r="I64" i="5"/>
  <c r="Q31" i="2" l="1"/>
  <c r="R31" i="2"/>
  <c r="S31" i="2"/>
  <c r="U14" i="2"/>
  <c r="U17" i="2" s="1"/>
  <c r="U19" i="2" s="1"/>
  <c r="T14" i="2"/>
  <c r="T17" i="2" s="1"/>
  <c r="T19" i="2" s="1"/>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4" i="2"/>
  <c r="C17" i="2" s="1"/>
  <c r="C19" i="2" s="1"/>
  <c r="E14" i="2"/>
  <c r="E17" i="2" s="1"/>
  <c r="E19" i="2" s="1"/>
  <c r="F8" i="2"/>
  <c r="G8" i="2"/>
  <c r="L23" i="2"/>
  <c r="M23" i="2"/>
  <c r="O23" i="2"/>
  <c r="P23" i="2"/>
  <c r="Q23" i="2"/>
  <c r="R23" i="2"/>
  <c r="P25" i="2"/>
  <c r="Q25" i="2"/>
  <c r="R25" i="2"/>
  <c r="S25" i="2"/>
  <c r="L26" i="2"/>
  <c r="M26" i="2"/>
  <c r="N26" i="2"/>
  <c r="O26" i="2"/>
  <c r="P26" i="2"/>
  <c r="Q26" i="2"/>
  <c r="R26" i="2"/>
  <c r="L39" i="2"/>
  <c r="L47" i="2" s="1"/>
  <c r="M39" i="2"/>
  <c r="M47" i="2" s="1"/>
  <c r="N39" i="2"/>
  <c r="N47" i="2" s="1"/>
  <c r="O39" i="2"/>
  <c r="O47" i="2" s="1"/>
  <c r="P39" i="2"/>
  <c r="P47" i="2" s="1"/>
  <c r="Q39" i="2"/>
  <c r="Q47" i="2" s="1"/>
  <c r="R39" i="2"/>
  <c r="R47" i="2" s="1"/>
  <c r="S39" i="2"/>
  <c r="S47" i="2" s="1"/>
  <c r="L52" i="2"/>
  <c r="L55" i="2" s="1"/>
  <c r="M52" i="2"/>
  <c r="M55" i="2" s="1"/>
  <c r="N52" i="2"/>
  <c r="N55" i="2" s="1"/>
  <c r="O52" i="2"/>
  <c r="O55" i="2" s="1"/>
  <c r="P52" i="2"/>
  <c r="P55" i="2" s="1"/>
  <c r="Q52" i="2"/>
  <c r="Q55" i="2" s="1"/>
  <c r="R52" i="2"/>
  <c r="R55" i="2" s="1"/>
  <c r="S52" i="2"/>
  <c r="S55" i="2" s="1"/>
  <c r="C39" i="2"/>
  <c r="C47" i="2" s="1"/>
  <c r="D39" i="2"/>
  <c r="D47" i="2" s="1"/>
  <c r="E39" i="2"/>
  <c r="E47" i="2" s="1"/>
  <c r="I24" i="2"/>
  <c r="H24" i="2"/>
  <c r="I25" i="2"/>
  <c r="E30" i="2"/>
  <c r="F30" i="2"/>
  <c r="E29" i="2"/>
  <c r="C20" i="1" l="1"/>
  <c r="T21" i="2"/>
  <c r="T31" i="2" s="1"/>
  <c r="T24" i="2"/>
  <c r="U21" i="2"/>
  <c r="U31" i="2" s="1"/>
  <c r="U24" i="2"/>
  <c r="O56" i="2"/>
  <c r="G14" i="2"/>
  <c r="G28" i="2"/>
  <c r="F14" i="2"/>
  <c r="F17" i="2" s="1"/>
  <c r="F19" i="2" s="1"/>
  <c r="F28" i="2"/>
  <c r="D14" i="2"/>
  <c r="D17" i="2" s="1"/>
  <c r="D19" i="2" s="1"/>
  <c r="D20" i="2" s="1"/>
  <c r="D28" i="2"/>
  <c r="S56" i="2"/>
  <c r="P56" i="2"/>
  <c r="Q56" i="2"/>
  <c r="R56" i="2"/>
  <c r="K11" i="5"/>
  <c r="G26" i="2"/>
  <c r="G27" i="2"/>
  <c r="F27" i="2"/>
  <c r="E26" i="2"/>
  <c r="E27" i="2"/>
  <c r="D26" i="2"/>
  <c r="D27" i="2"/>
  <c r="C26" i="2"/>
  <c r="C27"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P24" i="2"/>
  <c r="L24" i="2"/>
  <c r="O24" i="2"/>
  <c r="S24" i="2"/>
  <c r="R24" i="2"/>
  <c r="Q24" i="2"/>
  <c r="N24" i="2"/>
  <c r="M24" i="2"/>
  <c r="C23" i="2"/>
  <c r="H25" i="2"/>
  <c r="F23" i="2"/>
  <c r="F26" i="2"/>
  <c r="E23" i="2"/>
  <c r="D23" i="2"/>
  <c r="G23" i="2"/>
  <c r="G25" i="2"/>
  <c r="G52" i="2"/>
  <c r="G39" i="2"/>
  <c r="E25" i="2"/>
  <c r="F25" i="2"/>
  <c r="D52" i="2"/>
  <c r="D55" i="2" s="1"/>
  <c r="D56" i="2" s="1"/>
  <c r="E52" i="2"/>
  <c r="F39" i="2"/>
  <c r="F47" i="2" s="1"/>
  <c r="G47" i="2" l="1"/>
  <c r="G17" i="2"/>
  <c r="C22" i="1"/>
  <c r="G55" i="2"/>
  <c r="G56" i="2" s="1"/>
  <c r="C33" i="1"/>
  <c r="M5" i="5"/>
  <c r="M6" i="5" s="1"/>
  <c r="M7" i="5" s="1"/>
  <c r="M8" i="5" s="1"/>
  <c r="M9" i="5" s="1"/>
  <c r="M10" i="5" s="1"/>
  <c r="M11" i="5" s="1"/>
  <c r="M12" i="5" s="1"/>
  <c r="M13" i="5" s="1"/>
  <c r="M14" i="5" s="1"/>
  <c r="M15" i="5" s="1"/>
  <c r="F52" i="2"/>
  <c r="F55" i="2" s="1"/>
  <c r="F56" i="2" s="1"/>
  <c r="E55" i="2"/>
  <c r="E56" i="2" s="1"/>
  <c r="C52" i="2"/>
  <c r="C55" i="2" s="1"/>
  <c r="C56" i="2" s="1"/>
  <c r="G19" i="2" l="1"/>
  <c r="C34" i="1" s="1"/>
  <c r="C23" i="1"/>
  <c r="C21" i="2"/>
  <c r="E21" i="2"/>
  <c r="D24" i="2"/>
  <c r="G31" i="2"/>
  <c r="G21" i="2"/>
  <c r="G24" i="2"/>
  <c r="H31" i="2" l="1"/>
  <c r="C16" i="1"/>
  <c r="C18" i="1" s="1"/>
  <c r="C13" i="1"/>
  <c r="C24" i="2"/>
  <c r="D31" i="2"/>
  <c r="E24" i="2"/>
  <c r="F31" i="2"/>
  <c r="F21" i="2"/>
  <c r="E31" i="2"/>
  <c r="F24"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<sst xmlns="http://schemas.openxmlformats.org/spreadsheetml/2006/main" count="252" uniqueCount="222">
  <si>
    <t>Price</t>
  </si>
  <si>
    <t>Shares</t>
  </si>
  <si>
    <t>MC</t>
  </si>
  <si>
    <t>CASH</t>
  </si>
  <si>
    <t>DEBT</t>
  </si>
  <si>
    <t>EV</t>
  </si>
  <si>
    <t>Q222</t>
  </si>
  <si>
    <t>Q322</t>
  </si>
  <si>
    <t>Q422</t>
  </si>
  <si>
    <t>Q123</t>
  </si>
  <si>
    <t>Q122</t>
  </si>
  <si>
    <t>FY21</t>
  </si>
  <si>
    <t>FY22</t>
  </si>
  <si>
    <t>FY23</t>
  </si>
  <si>
    <t>Revenue</t>
  </si>
  <si>
    <t>FY20</t>
  </si>
  <si>
    <t>EBITDA</t>
  </si>
  <si>
    <t>Income Tax</t>
  </si>
  <si>
    <t>Net Income</t>
  </si>
  <si>
    <t>Operational Income</t>
  </si>
  <si>
    <t>Cash</t>
  </si>
  <si>
    <t>AR</t>
  </si>
  <si>
    <t>Other</t>
  </si>
  <si>
    <t>Goodwill</t>
  </si>
  <si>
    <t>Total Assets</t>
  </si>
  <si>
    <t>Total Liablities</t>
  </si>
  <si>
    <t>AP</t>
  </si>
  <si>
    <t>Gross Margin</t>
  </si>
  <si>
    <t>Net Margin</t>
  </si>
  <si>
    <t>Revenue y/y</t>
  </si>
  <si>
    <t>FY24</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</si>
  <si>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</si>
  <si>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</si>
  <si>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</si>
  <si>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</si>
  <si>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</si>
  <si>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</si>
  <si>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</si>
  <si>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</si>
  <si>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</si>
  <si>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</si>
  <si>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</si>
  <si>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</si>
  <si>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</si>
  <si>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</si>
  <si>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</si>
  <si>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</si>
  <si>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</si>
  <si>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</si>
  <si>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</si>
  <si>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</si>
  <si>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</si>
  <si>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</si>
  <si>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</si>
  <si>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</si>
  <si>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</si>
  <si>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</si>
  <si>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Sales &amp; Marketing</t>
  </si>
  <si>
    <t>Current Assets</t>
  </si>
  <si>
    <t>Total Current Liabilities</t>
  </si>
  <si>
    <t>Operating Lease</t>
  </si>
  <si>
    <t>Q124</t>
  </si>
  <si>
    <t>EPS exp.</t>
  </si>
  <si>
    <t>Rev. Exp.</t>
  </si>
  <si>
    <t>Q224</t>
  </si>
  <si>
    <t>FY25</t>
  </si>
  <si>
    <t>PEG1</t>
  </si>
  <si>
    <t>PEG2</t>
  </si>
  <si>
    <t>EBIT</t>
  </si>
  <si>
    <t>EV/EBITDA</t>
  </si>
  <si>
    <t>R&amp;D</t>
  </si>
  <si>
    <t>Notes</t>
  </si>
  <si>
    <t>Prepaid Expense</t>
  </si>
  <si>
    <t>PP&amp;E</t>
  </si>
  <si>
    <t>Equity</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</si>
  <si>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</si>
  <si>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</si>
  <si>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</si>
  <si>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</si>
  <si>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</si>
  <si>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</si>
  <si>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</si>
  <si>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</si>
  <si>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</si>
  <si>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</si>
  <si>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</si>
  <si>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</si>
  <si>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</si>
  <si>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</si>
  <si>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</si>
  <si>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</si>
  <si>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</si>
  <si>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</si>
  <si>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</si>
  <si>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</si>
  <si>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</si>
  <si>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</si>
  <si>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</si>
  <si>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</si>
  <si>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</si>
  <si>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</si>
  <si>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</si>
  <si>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</si>
  <si>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</si>
  <si>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</si>
  <si>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</si>
  <si>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</si>
  <si>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</si>
  <si>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</si>
  <si>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</si>
  <si>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</si>
  <si>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</si>
  <si>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</si>
  <si>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</si>
  <si>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</si>
  <si>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</si>
  <si>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</si>
  <si>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</si>
  <si>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</si>
  <si>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</si>
  <si>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</si>
  <si>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</si>
  <si>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</si>
  <si>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</si>
  <si>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</si>
  <si>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</si>
  <si>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</si>
  <si>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Prod1 y/y</t>
  </si>
  <si>
    <t>Prod2 y/y</t>
  </si>
  <si>
    <t>R&amp;D / REV</t>
  </si>
  <si>
    <t>G&amp;A / REV</t>
  </si>
  <si>
    <t>G&amp;A</t>
  </si>
  <si>
    <t>Daily Active Users</t>
  </si>
  <si>
    <t>Monthly Active Users</t>
  </si>
  <si>
    <t>Paid Subscribers</t>
  </si>
  <si>
    <t>Paid Subscriber Prenetration (% of MAU)</t>
  </si>
  <si>
    <t>Daily Active Users y/y</t>
  </si>
  <si>
    <t>Monthly Active Users y/y</t>
  </si>
  <si>
    <t>Paid Subscribers y/y</t>
  </si>
  <si>
    <t>Operating Metrics</t>
  </si>
  <si>
    <t>Subscription Bookings</t>
  </si>
  <si>
    <t>Total Bookings</t>
  </si>
  <si>
    <t>Sub/Total</t>
  </si>
  <si>
    <t>Subscription y/y</t>
  </si>
  <si>
    <t>Total y/y</t>
  </si>
  <si>
    <t>Subscription</t>
  </si>
  <si>
    <t>Advertising</t>
  </si>
  <si>
    <t>Duolingo English Test</t>
  </si>
  <si>
    <t>In-App Purchases</t>
  </si>
  <si>
    <t>Interest Income/Expense</t>
  </si>
  <si>
    <t>Deffered Cost</t>
  </si>
  <si>
    <t>Deffered Revenues</t>
  </si>
  <si>
    <t>Long term obligation lease</t>
  </si>
  <si>
    <t>Sales &amp; Marketing / Rev</t>
  </si>
  <si>
    <t>Deferred Tax</t>
  </si>
  <si>
    <t>Intangible Assets</t>
  </si>
  <si>
    <t>Accrued Expense &amp; other</t>
  </si>
  <si>
    <t>Dr. Luis Alfonso von Ahn Arellano Ph.D.</t>
  </si>
  <si>
    <t>Co-Founder, Chairman of the Board, President &amp; CEO</t>
  </si>
  <si>
    <t>Mr. Matthew Skaruppa</t>
  </si>
  <si>
    <t>Chief Financial Officer</t>
  </si>
  <si>
    <t>Mr. Stephen Chen</t>
  </si>
  <si>
    <t>General Counsel</t>
  </si>
  <si>
    <t>Mr. Robert Meese</t>
  </si>
  <si>
    <t>Chief Business Officer</t>
  </si>
  <si>
    <t>Dr. Natalie Glance Ph.D.</t>
  </si>
  <si>
    <t>Chief Engineering Officer</t>
  </si>
  <si>
    <t>Dr. Severin Benedict Hacker Ph.D.</t>
  </si>
  <si>
    <t>Co-Founder, CTO &amp; Director</t>
  </si>
  <si>
    <t>Ms. Deborah Belevan CPA</t>
  </si>
  <si>
    <t>VP of Investor Relations</t>
  </si>
  <si>
    <t>Sam Dalsimer</t>
  </si>
  <si>
    <t>Global Head of Communications</t>
  </si>
  <si>
    <t>Ms. Christine Rogers-Raetsch</t>
  </si>
  <si>
    <t>Chief People Officer</t>
  </si>
  <si>
    <t>Ms. Linda Simensky</t>
  </si>
  <si>
    <t>Head of Animation &amp; Scripted Content</t>
  </si>
  <si>
    <t>Baillie Gifford and Company</t>
  </si>
  <si>
    <t>9.80%</t>
  </si>
  <si>
    <t>Vanguard Group Inc</t>
  </si>
  <si>
    <t>9.05%</t>
  </si>
  <si>
    <t>Durable Capital Partners Lp</t>
  </si>
  <si>
    <t>8.71%</t>
  </si>
  <si>
    <t>Blackrock Inc.</t>
  </si>
  <si>
    <t>6.88%</t>
  </si>
  <si>
    <t>Whale Rock Capital Management LLC</t>
  </si>
  <si>
    <t>2.81%</t>
  </si>
  <si>
    <t>Shaw D.E. &amp; Co., Inc.</t>
  </si>
  <si>
    <t>2.64%</t>
  </si>
  <si>
    <t>FMR, LLC</t>
  </si>
  <si>
    <t>2.54%</t>
  </si>
  <si>
    <t>Gilder, Gagnon, Howe &amp; Co.</t>
  </si>
  <si>
    <t>2.16%</t>
  </si>
  <si>
    <t>Foxhaven Asset Management, LP</t>
  </si>
  <si>
    <t>2.09%</t>
  </si>
  <si>
    <t>Geode Capital Management, LLC</t>
  </si>
  <si>
    <t>1.95%</t>
  </si>
  <si>
    <t>BOHUTINSKY AMY C</t>
  </si>
  <si>
    <t>CHEN STEPHEN C</t>
  </si>
  <si>
    <t>GLANCE NATALIE</t>
  </si>
  <si>
    <t>GORDON WILLIAM BINGHAM</t>
  </si>
  <si>
    <t>HACKER SEVERI</t>
  </si>
  <si>
    <t>MEESE ROBERT</t>
  </si>
  <si>
    <t>SHELTON JAMES H</t>
  </si>
  <si>
    <t>SKARUPPA MATTHEW</t>
  </si>
  <si>
    <t>VON AHN ARELLANO LUIS</t>
  </si>
  <si>
    <t>Q324</t>
  </si>
  <si>
    <t>Q424</t>
  </si>
  <si>
    <t>Earnings Growth</t>
  </si>
  <si>
    <t>ROE1</t>
  </si>
  <si>
    <t>Duolingo, Inc. operates as a mobile learning platform in the United States, the United Kingdom, and internationally. The company offers courses in 40 different languages, including Spanish, English, French, German, Italian, Portuguese, Japanese, and Chinese through its Duolingo app. It also provides a digital English language proficiency assessment exam. Duolingo, Inc. was incorporated in 2011 and is headquartered in Pittsburgh, Pennsylvania.</t>
  </si>
  <si>
    <t>Echter Superstar, reCHAPTA Founder, and google verkauft</t>
  </si>
  <si>
    <t>PHD Computer Science, ETH Zürich</t>
  </si>
  <si>
    <t>McKinsey</t>
  </si>
  <si>
    <t>Ex Google</t>
  </si>
  <si>
    <t>VP Goldman Sachs, Ex KKR, Ex Bain, Stanford</t>
  </si>
  <si>
    <t>Ex Google, PHD Physics, Stanford</t>
  </si>
  <si>
    <t>Q125</t>
  </si>
  <si>
    <t>Long Term Investments</t>
  </si>
  <si>
    <t>Deferred Tax Liabilities</t>
  </si>
  <si>
    <t>EPS (diluted)</t>
  </si>
  <si>
    <t>DUOL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</si>
</sst>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
    <numFmt numFmtId="166" formatCode="0.0000"/>
    <numFmt numFmtId="167" formatCode="0.0%"/>
    <numFmt numFmtId="168"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8" borderId="9" applyNumberFormat="0" applyAlignment="0" applyProtection="0"/>
  </cellStyleXfs>
  <cellXfs count="171">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0" borderId="13" xfId="0" applyFont="1" applyFill="1" applyBorder="1"/>
    <xf numFmtId="0" fontId="11" fillId="10" borderId="14" xfId="0" applyFont="1" applyFill="1" applyBorder="1"/>
    <xf numFmtId="0" fontId="11" fillId="10" borderId="15" xfId="0" applyFont="1" applyFill="1" applyBorder="1"/>
    <xf numFmtId="0" fontId="11" fillId="10" borderId="16" xfId="0" applyFont="1" applyFill="1" applyBorder="1"/>
    <xf numFmtId="0" fontId="12" fillId="10" borderId="17" xfId="0" applyFont="1" applyFill="1" applyBorder="1" applyAlignment="1">
      <alignment horizontal="center"/>
    </xf>
    <xf numFmtId="0" fontId="12" fillId="10" borderId="18" xfId="0" applyFont="1" applyFill="1" applyBorder="1" applyAlignment="1">
      <alignment horizontal="center"/>
    </xf>
    <xf numFmtId="0" fontId="11" fillId="10" borderId="19" xfId="0" applyFont="1" applyFill="1" applyBorder="1"/>
    <xf numFmtId="0" fontId="11" fillId="10" borderId="20" xfId="0" applyFont="1" applyFill="1" applyBorder="1"/>
    <xf numFmtId="166" fontId="11" fillId="10" borderId="21" xfId="0" applyNumberFormat="1" applyFont="1" applyFill="1" applyBorder="1"/>
    <xf numFmtId="166" fontId="11" fillId="10" borderId="22" xfId="0" applyNumberFormat="1" applyFont="1" applyFill="1" applyBorder="1"/>
    <xf numFmtId="0" fontId="11" fillId="10" borderId="22" xfId="0" applyFont="1" applyFill="1" applyBorder="1"/>
    <xf numFmtId="10" fontId="11" fillId="10" borderId="22" xfId="0" applyNumberFormat="1" applyFont="1" applyFill="1" applyBorder="1"/>
    <xf numFmtId="10" fontId="11" fillId="10" borderId="23" xfId="0" applyNumberFormat="1" applyFont="1" applyFill="1" applyBorder="1"/>
    <xf numFmtId="166" fontId="11" fillId="10" borderId="24" xfId="0" applyNumberFormat="1" applyFont="1" applyFill="1" applyBorder="1"/>
    <xf numFmtId="166" fontId="11" fillId="10" borderId="25" xfId="0" applyNumberFormat="1" applyFont="1" applyFill="1" applyBorder="1"/>
    <xf numFmtId="0" fontId="11" fillId="10" borderId="25" xfId="0" applyFont="1" applyFill="1" applyBorder="1"/>
    <xf numFmtId="0" fontId="11" fillId="10" borderId="25" xfId="0" quotePrefix="1" applyFont="1" applyFill="1" applyBorder="1"/>
    <xf numFmtId="10" fontId="11" fillId="10" borderId="25" xfId="0" applyNumberFormat="1" applyFont="1" applyFill="1" applyBorder="1"/>
    <xf numFmtId="10" fontId="11" fillId="10" borderId="26" xfId="0" applyNumberFormat="1" applyFont="1" applyFill="1" applyBorder="1"/>
    <xf numFmtId="0" fontId="11" fillId="10" borderId="27" xfId="0" applyFont="1" applyFill="1" applyBorder="1"/>
    <xf numFmtId="0" fontId="11" fillId="10" borderId="28" xfId="0" applyFont="1" applyFill="1" applyBorder="1"/>
    <xf numFmtId="10" fontId="11" fillId="10" borderId="29" xfId="0" applyNumberFormat="1" applyFont="1" applyFill="1" applyBorder="1"/>
    <xf numFmtId="166" fontId="11" fillId="10" borderId="30" xfId="0" applyNumberFormat="1" applyFont="1" applyFill="1" applyBorder="1"/>
    <xf numFmtId="0" fontId="11" fillId="10" borderId="31" xfId="0" applyFont="1" applyFill="1" applyBorder="1"/>
    <xf numFmtId="166" fontId="11" fillId="10" borderId="34" xfId="0" applyNumberFormat="1" applyFont="1" applyFill="1" applyBorder="1"/>
    <xf numFmtId="166" fontId="11" fillId="10" borderId="13" xfId="0" applyNumberFormat="1" applyFont="1" applyFill="1" applyBorder="1"/>
    <xf numFmtId="0" fontId="0" fillId="10" borderId="35" xfId="0" applyFill="1" applyBorder="1"/>
    <xf numFmtId="166" fontId="11" fillId="10" borderId="36" xfId="0" applyNumberFormat="1" applyFont="1" applyFill="1" applyBorder="1"/>
    <xf numFmtId="166" fontId="11" fillId="10" borderId="37" xfId="0" applyNumberFormat="1" applyFont="1" applyFill="1" applyBorder="1"/>
    <xf numFmtId="0" fontId="13" fillId="10" borderId="22" xfId="0" applyFont="1" applyFill="1" applyBorder="1"/>
    <xf numFmtId="0" fontId="13" fillId="10" borderId="23" xfId="0" applyFont="1" applyFill="1" applyBorder="1"/>
    <xf numFmtId="166" fontId="13" fillId="10" borderId="24" xfId="0" applyNumberFormat="1" applyFont="1" applyFill="1" applyBorder="1"/>
    <xf numFmtId="166" fontId="13" fillId="10" borderId="30" xfId="0" applyNumberFormat="1" applyFont="1" applyFill="1" applyBorder="1"/>
    <xf numFmtId="10" fontId="11" fillId="10" borderId="28" xfId="0" applyNumberFormat="1" applyFont="1" applyFill="1" applyBorder="1"/>
    <xf numFmtId="0" fontId="11" fillId="10" borderId="0" xfId="0" applyFont="1" applyFill="1"/>
    <xf numFmtId="1" fontId="11" fillId="10" borderId="24" xfId="0" applyNumberFormat="1" applyFont="1" applyFill="1" applyBorder="1"/>
    <xf numFmtId="10" fontId="11" fillId="10" borderId="38" xfId="0" applyNumberFormat="1" applyFont="1" applyFill="1" applyBorder="1"/>
    <xf numFmtId="9" fontId="13" fillId="10" borderId="39" xfId="0" applyNumberFormat="1" applyFont="1" applyFill="1" applyBorder="1"/>
    <xf numFmtId="10" fontId="0" fillId="10" borderId="41" xfId="0" applyNumberFormat="1" applyFill="1" applyBorder="1" applyAlignment="1">
      <alignment horizontal="centerContinuous"/>
    </xf>
    <xf numFmtId="9" fontId="13" fillId="10" borderId="42" xfId="0" applyNumberFormat="1" applyFont="1" applyFill="1" applyBorder="1"/>
    <xf numFmtId="10" fontId="0" fillId="10" borderId="40" xfId="0" applyNumberFormat="1" applyFill="1" applyBorder="1" applyAlignment="1">
      <alignment horizontal="centerContinuous"/>
    </xf>
    <xf numFmtId="9" fontId="13" fillId="10" borderId="34" xfId="0" applyNumberFormat="1" applyFont="1" applyFill="1" applyBorder="1"/>
    <xf numFmtId="10" fontId="0" fillId="10" borderId="2" xfId="0" applyNumberFormat="1" applyFill="1" applyBorder="1" applyAlignment="1">
      <alignment horizontal="centerContinuous"/>
    </xf>
    <xf numFmtId="9" fontId="13" fillId="10" borderId="1" xfId="0" applyNumberFormat="1" applyFont="1" applyFill="1" applyBorder="1"/>
    <xf numFmtId="10" fontId="0" fillId="10" borderId="31" xfId="0" applyNumberFormat="1" applyFill="1" applyBorder="1" applyAlignment="1">
      <alignment horizontal="centerContinuous"/>
    </xf>
    <xf numFmtId="9" fontId="13" fillId="10" borderId="13" xfId="0" applyNumberFormat="1" applyFont="1" applyFill="1" applyBorder="1"/>
    <xf numFmtId="10" fontId="0" fillId="10" borderId="35" xfId="0" applyNumberFormat="1" applyFill="1" applyBorder="1" applyAlignment="1">
      <alignment horizontal="centerContinuous"/>
    </xf>
    <xf numFmtId="0" fontId="11" fillId="10" borderId="43" xfId="0" applyFont="1" applyFill="1" applyBorder="1"/>
    <xf numFmtId="9" fontId="13" fillId="10" borderId="43" xfId="0" applyNumberFormat="1" applyFont="1" applyFill="1" applyBorder="1"/>
    <xf numFmtId="10" fontId="0" fillId="10" borderId="15" xfId="0" applyNumberFormat="1" applyFill="1" applyBorder="1" applyAlignment="1">
      <alignment horizontal="centerContinuous"/>
    </xf>
    <xf numFmtId="0" fontId="13" fillId="0" borderId="21" xfId="0" applyFont="1" applyBorder="1"/>
    <xf numFmtId="9" fontId="9" fillId="8" borderId="23" xfId="3" applyNumberFormat="1" applyBorder="1"/>
    <xf numFmtId="0" fontId="13" fillId="0" borderId="27" xfId="0" applyFont="1" applyBorder="1"/>
    <xf numFmtId="9" fontId="9" fillId="8" borderId="29" xfId="3" applyNumberFormat="1" applyBorder="1"/>
    <xf numFmtId="0" fontId="11" fillId="0" borderId="0" xfId="0" applyFont="1"/>
    <xf numFmtId="2" fontId="9" fillId="8"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0" borderId="31" xfId="0" applyNumberFormat="1" applyFont="1" applyFill="1" applyBorder="1"/>
    <xf numFmtId="2" fontId="11" fillId="10" borderId="31" xfId="0" applyNumberFormat="1" applyFont="1" applyFill="1" applyBorder="1"/>
    <xf numFmtId="0" fontId="0" fillId="0" borderId="0" xfId="0" applyAlignment="1">
      <alignment wrapText="1"/>
    </xf>
    <xf numFmtId="167" fontId="0" fillId="0" borderId="0" xfId="1" applyNumberFormat="1" applyFont="1"/>
    <xf numFmtId="10" fontId="0" fillId="0" borderId="0" xfId="1" applyNumberFormat="1" applyFont="1"/>
    <xf numFmtId="0" fontId="0" fillId="2" borderId="0" xfId="0" applyFill="1"/>
    <xf numFmtId="2" fontId="0" fillId="0" borderId="0" xfId="1" applyNumberFormat="1" applyFont="1"/>
    <xf numFmtId="1" fontId="0" fillId="0" borderId="0" xfId="0" applyNumberFormat="1"/>
    <xf numFmtId="1" fontId="2" fillId="0" borderId="0" xfId="0" applyNumberFormat="1" applyFont="1" applyAlignment="1">
      <alignment horizontal="right"/>
    </xf>
    <xf numFmtId="1" fontId="0" fillId="0" borderId="2" xfId="0" applyNumberFormat="1" applyBorder="1"/>
    <xf numFmtId="2" fontId="2" fillId="0" borderId="2" xfId="0" applyNumberFormat="1" applyFont="1" applyBorder="1" applyAlignment="1">
      <alignment horizontal="right"/>
    </xf>
    <xf numFmtId="0" fontId="5" fillId="3" borderId="0" xfId="0" applyFont="1" applyFill="1"/>
    <xf numFmtId="2" fontId="5" fillId="3" borderId="0" xfId="0" applyNumberFormat="1" applyFont="1" applyFill="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12" xfId="0" applyFont="1" applyFill="1" applyBorder="1" applyAlignment="1">
      <alignment horizontal="center"/>
    </xf>
    <xf numFmtId="166" fontId="11" fillId="10" borderId="32" xfId="0" applyNumberFormat="1" applyFont="1" applyFill="1" applyBorder="1" applyAlignment="1">
      <alignment horizontal="center"/>
    </xf>
    <xf numFmtId="166" fontId="11" fillId="10" borderId="44" xfId="0" applyNumberFormat="1" applyFont="1" applyFill="1" applyBorder="1" applyAlignment="1">
      <alignment horizontal="center"/>
    </xf>
    <xf numFmtId="166" fontId="11" fillId="10" borderId="33" xfId="0" applyNumberFormat="1" applyFont="1" applyFill="1" applyBorder="1" applyAlignment="1">
      <alignment horizontal="center"/>
    </xf>
    <xf numFmtId="166" fontId="11"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3" fontId="2" fillId="0" borderId="0" xfId="0" applyNumberFormat="1" applyFont="1" applyBorder="1"/>
    <xf numFmtId="3" fontId="5" fillId="0" borderId="0" xfId="0" applyNumberFormat="1" applyFont="1" applyBorder="1"/>
    <xf numFmtId="3" fontId="0" fillId="0" borderId="0" xfId="0" applyNumberFormat="1" applyBorder="1"/>
    <xf numFmtId="1" fontId="0" fillId="0" borderId="0" xfId="0" applyNumberFormat="1" applyBorder="1"/>
    <xf numFmtId="2" fontId="2" fillId="0" borderId="0" xfId="0" applyNumberFormat="1" applyFont="1" applyBorder="1"/>
    <xf numFmtId="2" fontId="2" fillId="0" borderId="0" xfId="0" applyNumberFormat="1" applyFont="1" applyBorder="1" applyAlignment="1">
      <alignment horizontal="right"/>
    </xf>
    <xf numFmtId="9" fontId="0" fillId="0" borderId="0" xfId="0" applyNumberFormat="1" applyBorder="1"/>
    <xf numFmtId="0" fontId="2" fillId="0" borderId="0" xfId="0" applyFont="1" applyBorder="1"/>
    <xf numFmtId="0" fontId="5" fillId="0" borderId="0" xfId="0" applyFont="1" applyBorder="1"/>
    <xf numFmtId="168" fontId="0" fillId="0" borderId="2" xfId="1" applyNumberFormat="1" applyFont="1" applyBorder="1"/>
    <xf numFmtId="168" fontId="0" fillId="0" borderId="2" xfId="0" applyNumberFormat="1" applyBorder="1"/>
    <xf numFmtId="3" fontId="5" fillId="3" borderId="2" xfId="0" applyNumberFormat="1" applyFont="1" applyFill="1" applyBorder="1"/>
    <xf numFmtId="168" fontId="0" fillId="0" borderId="0" xfId="1" applyNumberFormat="1" applyFont="1" applyBorder="1"/>
    <xf numFmtId="168" fontId="0" fillId="0" borderId="0" xfId="0" applyNumberFormat="1" applyBorder="1"/>
    <xf numFmtId="9" fontId="0" fillId="3" borderId="0" xfId="0" applyNumberFormat="1" applyFill="1"/>
    <xf numFmtId="9" fontId="0" fillId="3" borderId="0" xfId="0" applyNumberFormat="1" applyFill="1" applyBorder="1"/>
    <xf numFmtId="9" fontId="0" fillId="3" borderId="2" xfId="0" applyNumberFormat="1" applyFill="1" applyBorder="1"/>
    <xf numFmtId="10" fontId="0" fillId="3" borderId="0" xfId="1" applyNumberFormat="1" applyFont="1" applyFill="1"/>
    <xf numFmtId="10" fontId="0" fillId="2" borderId="0" xfId="1" applyNumberFormat="1" applyFont="1" applyFill="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Model!$B$8</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D0C7-4330-AAB4-E7E1AD34EBCB}"/>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3-D0C7-4330-AAB4-E7E1AD34EBCB}"/>
              </c:ext>
            </c:extLst>
          </c:dPt>
          <c:dPt>
            <c:idx val="10"/>
            <c:invertIfNegative val="0"/>
            <c:bubble3D val="0"/>
            <c:spPr>
              <a:solidFill>
                <a:schemeClr val="bg2"/>
              </a:solidFill>
              <a:ln>
                <a:noFill/>
              </a:ln>
              <a:effectLst/>
            </c:spPr>
            <c:extLst>
              <c:ext xmlns:c16="http://schemas.microsoft.com/office/drawing/2014/chart" uri="{C3380CC4-5D6E-409C-BE32-E72D297353CC}">
                <c16:uniqueId val="{00000004-1D4D-4343-9602-BE7B9B9959A2}"/>
              </c:ext>
            </c:extLst>
          </c:dPt>
          <c:dPt>
            <c:idx val="11"/>
            <c:invertIfNegative val="0"/>
            <c:bubble3D val="0"/>
            <c:spPr>
              <a:solidFill>
                <a:schemeClr val="bg2"/>
              </a:solidFill>
              <a:ln>
                <a:noFill/>
              </a:ln>
              <a:effectLst/>
            </c:spPr>
            <c:extLst>
              <c:ext xmlns:c16="http://schemas.microsoft.com/office/drawing/2014/chart" uri="{C3380CC4-5D6E-409C-BE32-E72D297353CC}">
                <c16:uniqueId val="{00000001-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Model!$L$8:$W$8</c:f>
              <c:numCache>
                <c:formatCode>#,##0</c:formatCode>
                <c:ptCount val="12"/>
                <c:pt idx="0">
                  <c:v>81.2</c:v>
                </c:pt>
                <c:pt idx="1">
                  <c:v>88.300000000000011</c:v>
                </c:pt>
                <c:pt idx="2">
                  <c:v>96.1</c:v>
                </c:pt>
                <c:pt idx="3">
                  <c:v>103.8</c:v>
                </c:pt>
                <c:pt idx="4">
                  <c:v>115.7</c:v>
                </c:pt>
                <c:pt idx="5">
                  <c:v>126.89999999999999</c:v>
                </c:pt>
                <c:pt idx="6">
                  <c:v>137.60000000000002</c:v>
                </c:pt>
                <c:pt idx="7">
                  <c:v>151.00000000000003</c:v>
                </c:pt>
                <c:pt idx="8">
                  <c:v>167.6</c:v>
                </c:pt>
                <c:pt idx="9">
                  <c:v>178.31800000000001</c:v>
                </c:pt>
                <c:pt idx="10">
                  <c:v>192.59399999999999</c:v>
                </c:pt>
                <c:pt idx="11">
                  <c:v>204.46</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Model!$L$25:$W$25</c:f>
              <c:numCache>
                <c:formatCode>0%</c:formatCode>
                <c:ptCount val="12"/>
                <c:pt idx="4">
                  <c:v>0.42487684729064035</c:v>
                </c:pt>
                <c:pt idx="5">
                  <c:v>0.43714609286523198</c:v>
                </c:pt>
                <c:pt idx="6">
                  <c:v>0.43184183142559873</c:v>
                </c:pt>
                <c:pt idx="7">
                  <c:v>0.45472061657032792</c:v>
                </c:pt>
                <c:pt idx="8">
                  <c:v>0.44857389801210013</c:v>
                </c:pt>
                <c:pt idx="9">
                  <c:v>0.40518518518518531</c:v>
                </c:pt>
                <c:pt idx="10">
                  <c:v>0.3996656976744184</c:v>
                </c:pt>
                <c:pt idx="11">
                  <c:v>0.35403973509933762</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Model!$B$8</c:f>
              <c:strCache>
                <c:ptCount val="1"/>
                <c:pt idx="0">
                  <c:v>Revenue</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4"/>
            <c:invertIfNegative val="0"/>
            <c:bubble3D val="0"/>
            <c:spPr>
              <a:solidFill>
                <a:schemeClr val="bg2"/>
              </a:solidFill>
              <a:ln>
                <a:noFill/>
              </a:ln>
              <a:effectLst/>
            </c:spPr>
            <c:extLst>
              <c:ext xmlns:c16="http://schemas.microsoft.com/office/drawing/2014/chart" uri="{C3380CC4-5D6E-409C-BE32-E72D297353CC}">
                <c16:uniqueId val="{00000001-8FA1-4450-8EE0-3FE2DAE0EFFF}"/>
              </c:ext>
            </c:extLst>
          </c:dPt>
          <c:dPt>
            <c:idx val="5"/>
            <c:invertIfNegative val="0"/>
            <c:bubble3D val="0"/>
            <c:spPr>
              <a:solidFill>
                <a:schemeClr val="bg2"/>
              </a:solidFill>
              <a:ln>
                <a:noFill/>
              </a:ln>
              <a:effectLst/>
            </c:spPr>
            <c:extLst>
              <c:ext xmlns:c16="http://schemas.microsoft.com/office/drawing/2014/chart" uri="{C3380CC4-5D6E-409C-BE32-E72D297353CC}">
                <c16:uniqueId val="{00000004-D11A-4DFC-B66E-A60A577D9261}"/>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Model!$C$2:$H$2</c15:sqref>
                  </c15:fullRef>
                </c:ext>
              </c:extLst>
              <c:f>Model!$D$2:$H$2</c:f>
              <c:strCache>
                <c:ptCount val="5"/>
                <c:pt idx="0">
                  <c:v>FY20</c:v>
                </c:pt>
                <c:pt idx="1">
                  <c:v>FY21</c:v>
                </c:pt>
                <c:pt idx="2">
                  <c:v>FY22</c:v>
                </c:pt>
                <c:pt idx="3">
                  <c:v>FY23</c:v>
                </c:pt>
                <c:pt idx="4">
                  <c:v>FY24</c:v>
                </c:pt>
              </c:strCache>
            </c:strRef>
          </c:cat>
          <c:val>
            <c:numRef>
              <c:extLst>
                <c:ext xmlns:c15="http://schemas.microsoft.com/office/drawing/2012/chart" uri="{02D57815-91ED-43cb-92C2-25804820EDAC}">
                  <c15:fullRef>
                    <c15:sqref>Model!$C$8:$I$8</c15:sqref>
                  </c15:fullRef>
                </c:ext>
              </c:extLst>
              <c:f>Model!$D$8:$I$8</c:f>
              <c:numCache>
                <c:formatCode>#,##0</c:formatCode>
                <c:ptCount val="6"/>
                <c:pt idx="0">
                  <c:v>161.696</c:v>
                </c:pt>
                <c:pt idx="1">
                  <c:v>250.79999999999998</c:v>
                </c:pt>
                <c:pt idx="2">
                  <c:v>369.4</c:v>
                </c:pt>
                <c:pt idx="3">
                  <c:v>531.20000000000005</c:v>
                </c:pt>
                <c:pt idx="4">
                  <c:v>736.37</c:v>
                </c:pt>
                <c:pt idx="5">
                  <c:v>945.77</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c:v>
              </c:pt>
              <c:pt idx="1">
                <c:v>3</c:v>
              </c:pt>
              <c:pt idx="2">
                <c:v>4</c:v>
              </c:pt>
              <c:pt idx="3">
                <c:v>5</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Model!$C$25:$I$25</c15:sqref>
                  </c15:fullRef>
                </c:ext>
              </c:extLst>
              <c:f>Model!$D$25:$I$25</c:f>
              <c:numCache>
                <c:formatCode>0%</c:formatCode>
                <c:ptCount val="6"/>
                <c:pt idx="1">
                  <c:v>0.55105877696417971</c:v>
                </c:pt>
                <c:pt idx="2">
                  <c:v>0.47288676236044669</c:v>
                </c:pt>
                <c:pt idx="3">
                  <c:v>0.43800757985923133</c:v>
                </c:pt>
                <c:pt idx="4">
                  <c:v>0.3971197289156625</c:v>
                </c:pt>
                <c:pt idx="5">
                  <c:v>0.28457858923398249</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 (diluted)</c:v>
                </c:pt>
              </c:strCache>
            </c:strRef>
          </c:tx>
          <c:spPr>
            <a:solidFill>
              <a:schemeClr val="accent1"/>
            </a:solidFill>
            <a:ln>
              <a:noFill/>
            </a:ln>
            <a:effectLst/>
          </c:spPr>
          <c:invertIfNegative val="0"/>
          <c:dPt>
            <c:idx val="10"/>
            <c:invertIfNegative val="0"/>
            <c:bubble3D val="0"/>
            <c:spPr>
              <a:solidFill>
                <a:schemeClr val="bg2"/>
              </a:solidFill>
              <a:ln>
                <a:noFill/>
              </a:ln>
              <a:effectLst/>
            </c:spPr>
            <c:extLst>
              <c:ext xmlns:c16="http://schemas.microsoft.com/office/drawing/2014/chart" uri="{C3380CC4-5D6E-409C-BE32-E72D297353CC}">
                <c16:uniqueId val="{00000004-699F-4382-ACCA-221B9B130F4E}"/>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Model!$L$21:$W$21</c:f>
              <c:numCache>
                <c:formatCode>0.00</c:formatCode>
                <c:ptCount val="12"/>
                <c:pt idx="0">
                  <c:v>-0.29958717065067497</c:v>
                </c:pt>
                <c:pt idx="1">
                  <c:v>-0.37235530467515671</c:v>
                </c:pt>
                <c:pt idx="2">
                  <c:v>-0.45304746276317781</c:v>
                </c:pt>
                <c:pt idx="3">
                  <c:v>-0.34339078193358941</c:v>
                </c:pt>
                <c:pt idx="4">
                  <c:v>-5.9310807945213075E-2</c:v>
                </c:pt>
                <c:pt idx="5">
                  <c:v>8.8301501722601927E-2</c:v>
                </c:pt>
                <c:pt idx="6">
                  <c:v>6.4908367483888868E-2</c:v>
                </c:pt>
                <c:pt idx="7">
                  <c:v>0.2829566346800354</c:v>
                </c:pt>
                <c:pt idx="8">
                  <c:v>0.6261983699409196</c:v>
                </c:pt>
                <c:pt idx="9">
                  <c:v>0.55908792460347301</c:v>
                </c:pt>
                <c:pt idx="10">
                  <c:v>0.49</c:v>
                </c:pt>
                <c:pt idx="11" formatCode="General">
                  <c:v>0.47</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Model!$L$23:$W$23</c:f>
              <c:numCache>
                <c:formatCode>0%</c:formatCode>
                <c:ptCount val="12"/>
                <c:pt idx="0">
                  <c:v>0.7353448275862069</c:v>
                </c:pt>
                <c:pt idx="1">
                  <c:v>0.72968289920724805</c:v>
                </c:pt>
                <c:pt idx="2">
                  <c:v>0.72630593132154009</c:v>
                </c:pt>
                <c:pt idx="3">
                  <c:v>0.73246628131021196</c:v>
                </c:pt>
                <c:pt idx="4">
                  <c:v>0.72781331028522045</c:v>
                </c:pt>
                <c:pt idx="5">
                  <c:v>0.73374310480693461</c:v>
                </c:pt>
                <c:pt idx="6">
                  <c:v>0.73652616279069771</c:v>
                </c:pt>
                <c:pt idx="7">
                  <c:v>0.73131788079470206</c:v>
                </c:pt>
                <c:pt idx="8">
                  <c:v>0.73036396181384244</c:v>
                </c:pt>
                <c:pt idx="9">
                  <c:v>0.73446875806144085</c:v>
                </c:pt>
                <c:pt idx="10">
                  <c:v>0.72906736450772092</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 (diluted)</c:v>
                </c:pt>
              </c:strCache>
            </c:strRef>
          </c:tx>
          <c:spPr>
            <a:solidFill>
              <a:schemeClr val="accent1"/>
            </a:solidFill>
            <a:ln>
              <a:noFill/>
            </a:ln>
            <a:effectLst/>
          </c:spPr>
          <c:invertIfNegative val="0"/>
          <c:dPt>
            <c:idx val="4"/>
            <c:invertIfNegative val="0"/>
            <c:bubble3D val="0"/>
            <c:spPr>
              <a:solidFill>
                <a:schemeClr val="bg2"/>
              </a:solidFill>
              <a:ln>
                <a:noFill/>
              </a:ln>
              <a:effectLst/>
            </c:spPr>
            <c:extLst>
              <c:ext xmlns:c16="http://schemas.microsoft.com/office/drawing/2014/chart" uri="{C3380CC4-5D6E-409C-BE32-E72D297353CC}">
                <c16:uniqueId val="{00000001-D6CB-423C-896B-CA9CB793AA1C}"/>
              </c:ext>
            </c:extLst>
          </c:dPt>
          <c:dPt>
            <c:idx val="5"/>
            <c:invertIfNegative val="0"/>
            <c:bubble3D val="0"/>
            <c:spPr>
              <a:solidFill>
                <a:schemeClr val="bg2"/>
              </a:solidFill>
              <a:ln>
                <a:noFill/>
              </a:ln>
              <a:effectLst/>
            </c:spPr>
            <c:extLst>
              <c:ext xmlns:c16="http://schemas.microsoft.com/office/drawing/2014/chart" uri="{C3380CC4-5D6E-409C-BE32-E72D297353CC}">
                <c16:uniqueId val="{00000000-D6CB-423C-896B-CA9CB793AA1C}"/>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Model!$C$2:$I$2</c15:sqref>
                  </c15:fullRef>
                </c:ext>
              </c:extLst>
              <c:f>Model!$D$2:$I$2</c:f>
              <c:strCache>
                <c:ptCount val="6"/>
                <c:pt idx="0">
                  <c:v>FY20</c:v>
                </c:pt>
                <c:pt idx="1">
                  <c:v>FY21</c:v>
                </c:pt>
                <c:pt idx="2">
                  <c:v>FY22</c:v>
                </c:pt>
                <c:pt idx="3">
                  <c:v>FY23</c:v>
                </c:pt>
                <c:pt idx="4">
                  <c:v>FY24</c:v>
                </c:pt>
                <c:pt idx="5">
                  <c:v>FY25</c:v>
                </c:pt>
              </c:strCache>
            </c:strRef>
          </c:cat>
          <c:val>
            <c:numRef>
              <c:extLst>
                <c:ext xmlns:c15="http://schemas.microsoft.com/office/drawing/2012/chart" uri="{02D57815-91ED-43cb-92C2-25804820EDAC}">
                  <c15:fullRef>
                    <c15:sqref>Model!$C$21:$I$21</c15:sqref>
                  </c15:fullRef>
                </c:ext>
              </c:extLst>
              <c:f>Model!$D$21:$I$21</c:f>
              <c:numCache>
                <c:formatCode>0.00</c:formatCode>
                <c:ptCount val="6"/>
                <c:pt idx="0">
                  <c:v>-1.24</c:v>
                </c:pt>
                <c:pt idx="1">
                  <c:v>-1.5561564398707235</c:v>
                </c:pt>
                <c:pt idx="2">
                  <c:v>-1.4683807200225993</c:v>
                </c:pt>
                <c:pt idx="3">
                  <c:v>0.37685569594131474</c:v>
                </c:pt>
                <c:pt idx="4">
                  <c:v>1.87</c:v>
                </c:pt>
                <c:pt idx="5" formatCode="General">
                  <c:v>2.83</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c:v>
              </c:pt>
              <c:pt idx="1">
                <c:v>3</c:v>
              </c:pt>
              <c:pt idx="2">
                <c:v>4</c:v>
              </c:pt>
              <c:pt idx="3">
                <c:v>5</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Model!$C$23:$I$23</c15:sqref>
                  </c15:fullRef>
                </c:ext>
              </c:extLst>
              <c:f>Model!$D$23:$I$23</c:f>
              <c:numCache>
                <c:formatCode>0%</c:formatCode>
                <c:ptCount val="6"/>
                <c:pt idx="0">
                  <c:v>0.71559593310904412</c:v>
                </c:pt>
                <c:pt idx="1">
                  <c:v>0.72413875598086119</c:v>
                </c:pt>
                <c:pt idx="2">
                  <c:v>0.73083107742284792</c:v>
                </c:pt>
                <c:pt idx="3">
                  <c:v>0.73248305722891571</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R&amp;D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Model!$L$26:$W$26</c:f>
              <c:numCache>
                <c:formatCode>0%</c:formatCode>
                <c:ptCount val="12"/>
                <c:pt idx="0">
                  <c:v>0.36676108374384236</c:v>
                </c:pt>
                <c:pt idx="1">
                  <c:v>0.38750849377123436</c:v>
                </c:pt>
                <c:pt idx="2">
                  <c:v>0.43679500520291364</c:v>
                </c:pt>
                <c:pt idx="3">
                  <c:v>0.42842003853564548</c:v>
                </c:pt>
                <c:pt idx="4">
                  <c:v>0.39623163353500435</c:v>
                </c:pt>
                <c:pt idx="5">
                  <c:v>0.37783293932230105</c:v>
                </c:pt>
                <c:pt idx="6">
                  <c:v>0.36558866279069763</c:v>
                </c:pt>
                <c:pt idx="7">
                  <c:v>0.33282119205298005</c:v>
                </c:pt>
                <c:pt idx="8">
                  <c:v>0.30356801909307879</c:v>
                </c:pt>
                <c:pt idx="9">
                  <c:v>0.30926210477910249</c:v>
                </c:pt>
                <c:pt idx="10">
                  <c:v>0.32647953726492002</c:v>
                </c:pt>
              </c:numCache>
            </c:numRef>
          </c:val>
          <c:smooth val="0"/>
          <c:extLst>
            <c:ext xmlns:c16="http://schemas.microsoft.com/office/drawing/2014/chart" uri="{C3380CC4-5D6E-409C-BE32-E72D297353CC}">
              <c16:uniqueId val="{00000001-35FE-4BEB-944F-3D772460C6A2}"/>
            </c:ext>
          </c:extLst>
        </c:ser>
        <c:ser>
          <c:idx val="0"/>
          <c:order val="1"/>
          <c:tx>
            <c:strRef>
              <c:f>Model!$B$27</c:f>
              <c:strCache>
                <c:ptCount val="1"/>
                <c:pt idx="0">
                  <c:v>Sales &amp; Marketing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Model!$L$27:$W$27</c:f>
              <c:numCache>
                <c:formatCode>0%</c:formatCode>
                <c:ptCount val="12"/>
                <c:pt idx="0">
                  <c:v>0.18399014778325121</c:v>
                </c:pt>
                <c:pt idx="1">
                  <c:v>0.1730124575311438</c:v>
                </c:pt>
                <c:pt idx="2">
                  <c:v>0.18440166493236212</c:v>
                </c:pt>
                <c:pt idx="3">
                  <c:v>0.18332369942196533</c:v>
                </c:pt>
                <c:pt idx="4">
                  <c:v>0.14348314606741572</c:v>
                </c:pt>
                <c:pt idx="5">
                  <c:v>0.13974783293932233</c:v>
                </c:pt>
                <c:pt idx="6">
                  <c:v>0.16231831395348836</c:v>
                </c:pt>
                <c:pt idx="7">
                  <c:v>0.12660927152317877</c:v>
                </c:pt>
                <c:pt idx="8">
                  <c:v>0.1189200477326969</c:v>
                </c:pt>
                <c:pt idx="9">
                  <c:v>0.1131349611368454</c:v>
                </c:pt>
                <c:pt idx="10">
                  <c:v>0.13278710655575979</c:v>
                </c:pt>
              </c:numCache>
            </c:numRef>
          </c:val>
          <c:smooth val="0"/>
          <c:extLst>
            <c:ext xmlns:c16="http://schemas.microsoft.com/office/drawing/2014/chart" uri="{C3380CC4-5D6E-409C-BE32-E72D297353CC}">
              <c16:uniqueId val="{00000000-C97F-4232-B2A8-402CB97C4F0F}"/>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Model!$L$28:$W$28</c:f>
              <c:numCache>
                <c:formatCode>0%</c:formatCode>
                <c:ptCount val="12"/>
                <c:pt idx="0">
                  <c:v>0.33073891625615764</c:v>
                </c:pt>
                <c:pt idx="1">
                  <c:v>0.34039637599093991</c:v>
                </c:pt>
                <c:pt idx="2">
                  <c:v>0.31454734651404792</c:v>
                </c:pt>
                <c:pt idx="3">
                  <c:v>0.29582851637764934</c:v>
                </c:pt>
                <c:pt idx="4">
                  <c:v>0.26139152981849612</c:v>
                </c:pt>
                <c:pt idx="5">
                  <c:v>0.25401891252955083</c:v>
                </c:pt>
                <c:pt idx="6">
                  <c:v>0.24273255813953484</c:v>
                </c:pt>
                <c:pt idx="7">
                  <c:v>0.2400331125827814</c:v>
                </c:pt>
                <c:pt idx="8">
                  <c:v>0.20951073985680191</c:v>
                </c:pt>
                <c:pt idx="9">
                  <c:v>0.2072533339315156</c:v>
                </c:pt>
                <c:pt idx="10">
                  <c:v>0.19932085111685721</c:v>
                </c:pt>
              </c:numCache>
            </c:numRef>
          </c:val>
          <c:smooth val="0"/>
          <c:extLst>
            <c:ext xmlns:c16="http://schemas.microsoft.com/office/drawing/2014/chart" uri="{C3380CC4-5D6E-409C-BE32-E72D297353CC}">
              <c16:uniqueId val="{00000001-C97F-4232-B2A8-402CB97C4F0F}"/>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45397</c:v>
                </c:pt>
                <c:pt idx="1">
                  <c:v>45390</c:v>
                </c:pt>
                <c:pt idx="2">
                  <c:v>45383</c:v>
                </c:pt>
                <c:pt idx="3">
                  <c:v>45376</c:v>
                </c:pt>
                <c:pt idx="4">
                  <c:v>45369</c:v>
                </c:pt>
                <c:pt idx="5">
                  <c:v>45362</c:v>
                </c:pt>
                <c:pt idx="6">
                  <c:v>45355</c:v>
                </c:pt>
                <c:pt idx="7">
                  <c:v>45348</c:v>
                </c:pt>
                <c:pt idx="8">
                  <c:v>45341</c:v>
                </c:pt>
                <c:pt idx="9">
                  <c:v>45334</c:v>
                </c:pt>
                <c:pt idx="10">
                  <c:v>45327</c:v>
                </c:pt>
                <c:pt idx="11">
                  <c:v>45320</c:v>
                </c:pt>
                <c:pt idx="12">
                  <c:v>45313</c:v>
                </c:pt>
                <c:pt idx="13">
                  <c:v>45306</c:v>
                </c:pt>
                <c:pt idx="14">
                  <c:v>45299</c:v>
                </c:pt>
                <c:pt idx="15">
                  <c:v>45292</c:v>
                </c:pt>
                <c:pt idx="16">
                  <c:v>45285</c:v>
                </c:pt>
                <c:pt idx="17">
                  <c:v>45278</c:v>
                </c:pt>
                <c:pt idx="18">
                  <c:v>45271</c:v>
                </c:pt>
                <c:pt idx="19">
                  <c:v>45264</c:v>
                </c:pt>
                <c:pt idx="20">
                  <c:v>45257</c:v>
                </c:pt>
                <c:pt idx="21">
                  <c:v>45250</c:v>
                </c:pt>
                <c:pt idx="22">
                  <c:v>45243</c:v>
                </c:pt>
                <c:pt idx="23">
                  <c:v>45236</c:v>
                </c:pt>
                <c:pt idx="24">
                  <c:v>45229</c:v>
                </c:pt>
                <c:pt idx="25">
                  <c:v>45222</c:v>
                </c:pt>
                <c:pt idx="26">
                  <c:v>45215</c:v>
                </c:pt>
                <c:pt idx="27">
                  <c:v>45208</c:v>
                </c:pt>
                <c:pt idx="28">
                  <c:v>45201</c:v>
                </c:pt>
                <c:pt idx="29">
                  <c:v>45194</c:v>
                </c:pt>
                <c:pt idx="30">
                  <c:v>45187</c:v>
                </c:pt>
                <c:pt idx="31">
                  <c:v>45180</c:v>
                </c:pt>
                <c:pt idx="32">
                  <c:v>45173</c:v>
                </c:pt>
                <c:pt idx="33">
                  <c:v>45166</c:v>
                </c:pt>
                <c:pt idx="34">
                  <c:v>45159</c:v>
                </c:pt>
                <c:pt idx="35">
                  <c:v>45152</c:v>
                </c:pt>
                <c:pt idx="36">
                  <c:v>45145</c:v>
                </c:pt>
                <c:pt idx="37">
                  <c:v>45138</c:v>
                </c:pt>
                <c:pt idx="38">
                  <c:v>45131</c:v>
                </c:pt>
                <c:pt idx="39">
                  <c:v>45124</c:v>
                </c:pt>
                <c:pt idx="40">
                  <c:v>45117</c:v>
                </c:pt>
                <c:pt idx="41">
                  <c:v>45110</c:v>
                </c:pt>
                <c:pt idx="42">
                  <c:v>45103</c:v>
                </c:pt>
                <c:pt idx="43">
                  <c:v>45096</c:v>
                </c:pt>
                <c:pt idx="44">
                  <c:v>45089</c:v>
                </c:pt>
                <c:pt idx="45">
                  <c:v>45082</c:v>
                </c:pt>
                <c:pt idx="46">
                  <c:v>45075</c:v>
                </c:pt>
                <c:pt idx="47">
                  <c:v>45068</c:v>
                </c:pt>
                <c:pt idx="48">
                  <c:v>45061</c:v>
                </c:pt>
                <c:pt idx="49">
                  <c:v>45054</c:v>
                </c:pt>
                <c:pt idx="50">
                  <c:v>45047</c:v>
                </c:pt>
                <c:pt idx="51">
                  <c:v>45040</c:v>
                </c:pt>
                <c:pt idx="52">
                  <c:v>45033</c:v>
                </c:pt>
                <c:pt idx="53">
                  <c:v>45026</c:v>
                </c:pt>
                <c:pt idx="54">
                  <c:v>45019</c:v>
                </c:pt>
                <c:pt idx="55">
                  <c:v>45012</c:v>
                </c:pt>
                <c:pt idx="56">
                  <c:v>45005</c:v>
                </c:pt>
                <c:pt idx="57">
                  <c:v>44998</c:v>
                </c:pt>
                <c:pt idx="58">
                  <c:v>44991</c:v>
                </c:pt>
                <c:pt idx="59">
                  <c:v>44984</c:v>
                </c:pt>
                <c:pt idx="60">
                  <c:v>44977</c:v>
                </c:pt>
                <c:pt idx="61">
                  <c:v>44970</c:v>
                </c:pt>
                <c:pt idx="62">
                  <c:v>44963</c:v>
                </c:pt>
                <c:pt idx="63">
                  <c:v>44956</c:v>
                </c:pt>
                <c:pt idx="64">
                  <c:v>44949</c:v>
                </c:pt>
                <c:pt idx="65">
                  <c:v>44942</c:v>
                </c:pt>
                <c:pt idx="66">
                  <c:v>44935</c:v>
                </c:pt>
                <c:pt idx="67">
                  <c:v>44928</c:v>
                </c:pt>
                <c:pt idx="68">
                  <c:v>44921</c:v>
                </c:pt>
                <c:pt idx="69">
                  <c:v>44914</c:v>
                </c:pt>
                <c:pt idx="70">
                  <c:v>44907</c:v>
                </c:pt>
                <c:pt idx="71">
                  <c:v>44900</c:v>
                </c:pt>
                <c:pt idx="72">
                  <c:v>44893</c:v>
                </c:pt>
                <c:pt idx="73">
                  <c:v>44886</c:v>
                </c:pt>
                <c:pt idx="74">
                  <c:v>44879</c:v>
                </c:pt>
                <c:pt idx="75">
                  <c:v>44872</c:v>
                </c:pt>
                <c:pt idx="76">
                  <c:v>44865</c:v>
                </c:pt>
                <c:pt idx="77">
                  <c:v>44858</c:v>
                </c:pt>
                <c:pt idx="78">
                  <c:v>44851</c:v>
                </c:pt>
                <c:pt idx="79">
                  <c:v>44844</c:v>
                </c:pt>
                <c:pt idx="80">
                  <c:v>44837</c:v>
                </c:pt>
                <c:pt idx="81">
                  <c:v>44830</c:v>
                </c:pt>
                <c:pt idx="82">
                  <c:v>44823</c:v>
                </c:pt>
                <c:pt idx="83">
                  <c:v>44816</c:v>
                </c:pt>
                <c:pt idx="84">
                  <c:v>44809</c:v>
                </c:pt>
                <c:pt idx="85">
                  <c:v>44802</c:v>
                </c:pt>
                <c:pt idx="86">
                  <c:v>44795</c:v>
                </c:pt>
                <c:pt idx="87">
                  <c:v>44788</c:v>
                </c:pt>
                <c:pt idx="88">
                  <c:v>44781</c:v>
                </c:pt>
                <c:pt idx="89">
                  <c:v>44774</c:v>
                </c:pt>
                <c:pt idx="90">
                  <c:v>44767</c:v>
                </c:pt>
                <c:pt idx="91">
                  <c:v>44760</c:v>
                </c:pt>
                <c:pt idx="92">
                  <c:v>44753</c:v>
                </c:pt>
                <c:pt idx="93">
                  <c:v>44746</c:v>
                </c:pt>
                <c:pt idx="94">
                  <c:v>44739</c:v>
                </c:pt>
                <c:pt idx="95">
                  <c:v>44732</c:v>
                </c:pt>
                <c:pt idx="96">
                  <c:v>44725</c:v>
                </c:pt>
                <c:pt idx="97">
                  <c:v>44718</c:v>
                </c:pt>
                <c:pt idx="98">
                  <c:v>44711</c:v>
                </c:pt>
                <c:pt idx="99">
                  <c:v>44704</c:v>
                </c:pt>
                <c:pt idx="100">
                  <c:v>44697</c:v>
                </c:pt>
                <c:pt idx="101">
                  <c:v>44690</c:v>
                </c:pt>
                <c:pt idx="102">
                  <c:v>44683</c:v>
                </c:pt>
                <c:pt idx="103">
                  <c:v>44676</c:v>
                </c:pt>
                <c:pt idx="104">
                  <c:v>44669</c:v>
                </c:pt>
                <c:pt idx="105">
                  <c:v>44662</c:v>
                </c:pt>
                <c:pt idx="106">
                  <c:v>44655</c:v>
                </c:pt>
                <c:pt idx="107">
                  <c:v>44648</c:v>
                </c:pt>
                <c:pt idx="108">
                  <c:v>44641</c:v>
                </c:pt>
                <c:pt idx="109">
                  <c:v>44634</c:v>
                </c:pt>
                <c:pt idx="110">
                  <c:v>44627</c:v>
                </c:pt>
                <c:pt idx="111">
                  <c:v>44620</c:v>
                </c:pt>
                <c:pt idx="112">
                  <c:v>44613</c:v>
                </c:pt>
                <c:pt idx="113">
                  <c:v>44606</c:v>
                </c:pt>
                <c:pt idx="114">
                  <c:v>44599</c:v>
                </c:pt>
                <c:pt idx="115">
                  <c:v>44592</c:v>
                </c:pt>
                <c:pt idx="116">
                  <c:v>44585</c:v>
                </c:pt>
                <c:pt idx="117">
                  <c:v>44578</c:v>
                </c:pt>
                <c:pt idx="118">
                  <c:v>44571</c:v>
                </c:pt>
                <c:pt idx="119">
                  <c:v>44564</c:v>
                </c:pt>
                <c:pt idx="120">
                  <c:v>44557</c:v>
                </c:pt>
                <c:pt idx="121">
                  <c:v>44550</c:v>
                </c:pt>
                <c:pt idx="122">
                  <c:v>44543</c:v>
                </c:pt>
                <c:pt idx="123">
                  <c:v>44536</c:v>
                </c:pt>
                <c:pt idx="124">
                  <c:v>44529</c:v>
                </c:pt>
                <c:pt idx="125">
                  <c:v>44522</c:v>
                </c:pt>
                <c:pt idx="126">
                  <c:v>44515</c:v>
                </c:pt>
                <c:pt idx="127">
                  <c:v>44508</c:v>
                </c:pt>
                <c:pt idx="128">
                  <c:v>44501</c:v>
                </c:pt>
                <c:pt idx="129">
                  <c:v>44494</c:v>
                </c:pt>
                <c:pt idx="130">
                  <c:v>44487</c:v>
                </c:pt>
                <c:pt idx="131">
                  <c:v>44480</c:v>
                </c:pt>
                <c:pt idx="132">
                  <c:v>44473</c:v>
                </c:pt>
                <c:pt idx="133">
                  <c:v>44466</c:v>
                </c:pt>
                <c:pt idx="134">
                  <c:v>44459</c:v>
                </c:pt>
                <c:pt idx="135">
                  <c:v>44452</c:v>
                </c:pt>
                <c:pt idx="136">
                  <c:v>44445</c:v>
                </c:pt>
                <c:pt idx="137">
                  <c:v>44438</c:v>
                </c:pt>
                <c:pt idx="138">
                  <c:v>44431</c:v>
                </c:pt>
                <c:pt idx="139">
                  <c:v>44424</c:v>
                </c:pt>
                <c:pt idx="140">
                  <c:v>44417</c:v>
                </c:pt>
                <c:pt idx="141">
                  <c:v>44410</c:v>
                </c:pt>
                <c:pt idx="142">
                  <c:v>44403</c:v>
                </c:pt>
              </c:numCache>
            </c:numRef>
          </c:cat>
          <c:val>
            <c:numRef>
              <c:f>Catalysts!$C$2:$C$10000</c:f>
              <c:numCache>
                <c:formatCode>0.00</c:formatCode>
                <c:ptCount val="9999"/>
                <c:pt idx="0">
                  <c:v>194.66000399999999</c:v>
                </c:pt>
                <c:pt idx="1">
                  <c:v>211.03999300000001</c:v>
                </c:pt>
                <c:pt idx="2">
                  <c:v>215.009995</c:v>
                </c:pt>
                <c:pt idx="3">
                  <c:v>220.58000200000001</c:v>
                </c:pt>
                <c:pt idx="4">
                  <c:v>232.08999600000001</c:v>
                </c:pt>
                <c:pt idx="5">
                  <c:v>216.33999600000001</c:v>
                </c:pt>
                <c:pt idx="6">
                  <c:v>213.529999</c:v>
                </c:pt>
                <c:pt idx="7">
                  <c:v>236.490005</c:v>
                </c:pt>
                <c:pt idx="8">
                  <c:v>177.13000500000001</c:v>
                </c:pt>
                <c:pt idx="9">
                  <c:v>184.89999399999999</c:v>
                </c:pt>
                <c:pt idx="10">
                  <c:v>191.740005</c:v>
                </c:pt>
                <c:pt idx="11">
                  <c:v>178.88999899999999</c:v>
                </c:pt>
                <c:pt idx="12">
                  <c:v>192.88999899999999</c:v>
                </c:pt>
                <c:pt idx="13">
                  <c:v>194.60000600000001</c:v>
                </c:pt>
                <c:pt idx="14">
                  <c:v>212.009995</c:v>
                </c:pt>
                <c:pt idx="15">
                  <c:v>204.134995</c:v>
                </c:pt>
                <c:pt idx="16">
                  <c:v>226.85000600000001</c:v>
                </c:pt>
                <c:pt idx="17">
                  <c:v>238.25</c:v>
                </c:pt>
                <c:pt idx="18">
                  <c:v>231.490005</c:v>
                </c:pt>
                <c:pt idx="19">
                  <c:v>214.75</c:v>
                </c:pt>
                <c:pt idx="20">
                  <c:v>213.300003</c:v>
                </c:pt>
                <c:pt idx="21">
                  <c:v>221.46000699999999</c:v>
                </c:pt>
                <c:pt idx="22">
                  <c:v>211.64999399999999</c:v>
                </c:pt>
                <c:pt idx="23">
                  <c:v>211.529999</c:v>
                </c:pt>
                <c:pt idx="24">
                  <c:v>159.33000200000001</c:v>
                </c:pt>
                <c:pt idx="25">
                  <c:v>143.570007</c:v>
                </c:pt>
                <c:pt idx="26">
                  <c:v>153.63000500000001</c:v>
                </c:pt>
                <c:pt idx="27">
                  <c:v>160.10000600000001</c:v>
                </c:pt>
                <c:pt idx="28">
                  <c:v>164.240005</c:v>
                </c:pt>
                <c:pt idx="29">
                  <c:v>165.86999499999999</c:v>
                </c:pt>
                <c:pt idx="30">
                  <c:v>152.66999799999999</c:v>
                </c:pt>
                <c:pt idx="31">
                  <c:v>159.529999</c:v>
                </c:pt>
                <c:pt idx="32">
                  <c:v>156.509995</c:v>
                </c:pt>
                <c:pt idx="33">
                  <c:v>148.91999799999999</c:v>
                </c:pt>
                <c:pt idx="34">
                  <c:v>135.070007</c:v>
                </c:pt>
                <c:pt idx="35">
                  <c:v>123.900002</c:v>
                </c:pt>
                <c:pt idx="36">
                  <c:v>138.80999800000001</c:v>
                </c:pt>
                <c:pt idx="37">
                  <c:v>137.36000100000001</c:v>
                </c:pt>
                <c:pt idx="38">
                  <c:v>150.96000699999999</c:v>
                </c:pt>
                <c:pt idx="39">
                  <c:v>149.5</c:v>
                </c:pt>
                <c:pt idx="40">
                  <c:v>149.509995</c:v>
                </c:pt>
                <c:pt idx="41">
                  <c:v>135.25</c:v>
                </c:pt>
                <c:pt idx="42">
                  <c:v>142.94000199999999</c:v>
                </c:pt>
                <c:pt idx="43">
                  <c:v>140.029999</c:v>
                </c:pt>
                <c:pt idx="44">
                  <c:v>152.78999300000001</c:v>
                </c:pt>
                <c:pt idx="45">
                  <c:v>155.820007</c:v>
                </c:pt>
                <c:pt idx="46">
                  <c:v>155.94000199999999</c:v>
                </c:pt>
                <c:pt idx="47">
                  <c:v>149.13999899999999</c:v>
                </c:pt>
                <c:pt idx="48">
                  <c:v>150.35000600000001</c:v>
                </c:pt>
                <c:pt idx="49">
                  <c:v>141.449997</c:v>
                </c:pt>
                <c:pt idx="50">
                  <c:v>123.55999799999999</c:v>
                </c:pt>
                <c:pt idx="51">
                  <c:v>136.16000399999999</c:v>
                </c:pt>
                <c:pt idx="52">
                  <c:v>140.820007</c:v>
                </c:pt>
                <c:pt idx="53">
                  <c:v>134.89999399999999</c:v>
                </c:pt>
                <c:pt idx="54">
                  <c:v>136.729996</c:v>
                </c:pt>
                <c:pt idx="55">
                  <c:v>142.58999600000001</c:v>
                </c:pt>
                <c:pt idx="56">
                  <c:v>136.509995</c:v>
                </c:pt>
                <c:pt idx="57">
                  <c:v>126.32</c:v>
                </c:pt>
                <c:pt idx="58">
                  <c:v>117.779999</c:v>
                </c:pt>
                <c:pt idx="59">
                  <c:v>119.269997</c:v>
                </c:pt>
                <c:pt idx="60">
                  <c:v>87.160004000000001</c:v>
                </c:pt>
                <c:pt idx="61">
                  <c:v>91.339995999999999</c:v>
                </c:pt>
                <c:pt idx="62">
                  <c:v>91.610000999999997</c:v>
                </c:pt>
                <c:pt idx="63">
                  <c:v>99.889999000000003</c:v>
                </c:pt>
                <c:pt idx="64">
                  <c:v>93.029999000000004</c:v>
                </c:pt>
                <c:pt idx="65">
                  <c:v>84.580001999999993</c:v>
                </c:pt>
                <c:pt idx="66">
                  <c:v>79.360000999999997</c:v>
                </c:pt>
                <c:pt idx="67">
                  <c:v>72.080001999999993</c:v>
                </c:pt>
                <c:pt idx="68">
                  <c:v>71.129997000000003</c:v>
                </c:pt>
                <c:pt idx="69">
                  <c:v>70.699996999999996</c:v>
                </c:pt>
                <c:pt idx="70">
                  <c:v>72.989998</c:v>
                </c:pt>
                <c:pt idx="71">
                  <c:v>68.669998000000007</c:v>
                </c:pt>
                <c:pt idx="72">
                  <c:v>70.699996999999996</c:v>
                </c:pt>
                <c:pt idx="73">
                  <c:v>69.690002000000007</c:v>
                </c:pt>
                <c:pt idx="74">
                  <c:v>67.699996999999996</c:v>
                </c:pt>
                <c:pt idx="75">
                  <c:v>73.430000000000007</c:v>
                </c:pt>
                <c:pt idx="76">
                  <c:v>79.839995999999999</c:v>
                </c:pt>
                <c:pt idx="77">
                  <c:v>83.150002000000001</c:v>
                </c:pt>
                <c:pt idx="78">
                  <c:v>82.25</c:v>
                </c:pt>
                <c:pt idx="79">
                  <c:v>78.309997999999993</c:v>
                </c:pt>
                <c:pt idx="80">
                  <c:v>98.5</c:v>
                </c:pt>
                <c:pt idx="81">
                  <c:v>95.230002999999996</c:v>
                </c:pt>
                <c:pt idx="82">
                  <c:v>89.209998999999996</c:v>
                </c:pt>
                <c:pt idx="83">
                  <c:v>99.309997999999993</c:v>
                </c:pt>
                <c:pt idx="84">
                  <c:v>99.550003000000004</c:v>
                </c:pt>
                <c:pt idx="85">
                  <c:v>92.839995999999999</c:v>
                </c:pt>
                <c:pt idx="86">
                  <c:v>93.269997000000004</c:v>
                </c:pt>
                <c:pt idx="87">
                  <c:v>95.699996999999996</c:v>
                </c:pt>
                <c:pt idx="88">
                  <c:v>108.415001</c:v>
                </c:pt>
                <c:pt idx="89">
                  <c:v>103.07</c:v>
                </c:pt>
                <c:pt idx="90">
                  <c:v>91.75</c:v>
                </c:pt>
                <c:pt idx="91">
                  <c:v>95.449996999999996</c:v>
                </c:pt>
                <c:pt idx="92">
                  <c:v>99.400002000000001</c:v>
                </c:pt>
                <c:pt idx="93">
                  <c:v>110.089996</c:v>
                </c:pt>
                <c:pt idx="94">
                  <c:v>95.059997999999993</c:v>
                </c:pt>
                <c:pt idx="95">
                  <c:v>101.730003</c:v>
                </c:pt>
                <c:pt idx="96">
                  <c:v>94.709998999999996</c:v>
                </c:pt>
                <c:pt idx="97">
                  <c:v>93.370002999999997</c:v>
                </c:pt>
                <c:pt idx="98">
                  <c:v>89.339995999999999</c:v>
                </c:pt>
                <c:pt idx="99">
                  <c:v>83.779999000000004</c:v>
                </c:pt>
                <c:pt idx="100">
                  <c:v>76.459998999999996</c:v>
                </c:pt>
                <c:pt idx="101">
                  <c:v>89.769997000000004</c:v>
                </c:pt>
                <c:pt idx="102">
                  <c:v>80.610000999999997</c:v>
                </c:pt>
                <c:pt idx="103">
                  <c:v>86.470000999999996</c:v>
                </c:pt>
                <c:pt idx="104">
                  <c:v>86</c:v>
                </c:pt>
                <c:pt idx="105">
                  <c:v>89.82</c:v>
                </c:pt>
                <c:pt idx="106">
                  <c:v>94.559997999999993</c:v>
                </c:pt>
                <c:pt idx="107">
                  <c:v>95.650002000000001</c:v>
                </c:pt>
                <c:pt idx="108">
                  <c:v>93.050003000000004</c:v>
                </c:pt>
                <c:pt idx="109">
                  <c:v>88.68</c:v>
                </c:pt>
                <c:pt idx="110">
                  <c:v>76.699996999999996</c:v>
                </c:pt>
                <c:pt idx="111">
                  <c:v>74.680000000000007</c:v>
                </c:pt>
                <c:pt idx="112">
                  <c:v>87.959998999999996</c:v>
                </c:pt>
                <c:pt idx="113">
                  <c:v>91</c:v>
                </c:pt>
                <c:pt idx="114">
                  <c:v>94</c:v>
                </c:pt>
                <c:pt idx="115">
                  <c:v>91.480002999999996</c:v>
                </c:pt>
                <c:pt idx="116">
                  <c:v>91.830001999999993</c:v>
                </c:pt>
                <c:pt idx="117">
                  <c:v>85.709998999999996</c:v>
                </c:pt>
                <c:pt idx="118">
                  <c:v>92.629997000000003</c:v>
                </c:pt>
                <c:pt idx="119">
                  <c:v>102.19000200000001</c:v>
                </c:pt>
                <c:pt idx="120">
                  <c:v>106.110001</c:v>
                </c:pt>
                <c:pt idx="121">
                  <c:v>108.959999</c:v>
                </c:pt>
                <c:pt idx="122">
                  <c:v>104.540001</c:v>
                </c:pt>
                <c:pt idx="123">
                  <c:v>95.690002000000007</c:v>
                </c:pt>
                <c:pt idx="124">
                  <c:v>109.05999799999999</c:v>
                </c:pt>
                <c:pt idx="125">
                  <c:v>122.58000199999999</c:v>
                </c:pt>
                <c:pt idx="126">
                  <c:v>135.96000699999999</c:v>
                </c:pt>
                <c:pt idx="127">
                  <c:v>155.020004</c:v>
                </c:pt>
                <c:pt idx="128">
                  <c:v>153.729996</c:v>
                </c:pt>
                <c:pt idx="129">
                  <c:v>173.69000199999999</c:v>
                </c:pt>
                <c:pt idx="130">
                  <c:v>178.259995</c:v>
                </c:pt>
                <c:pt idx="131">
                  <c:v>156.699997</c:v>
                </c:pt>
                <c:pt idx="132">
                  <c:v>166.520004</c:v>
                </c:pt>
                <c:pt idx="133">
                  <c:v>160.58000200000001</c:v>
                </c:pt>
                <c:pt idx="134">
                  <c:v>199.36999499999999</c:v>
                </c:pt>
                <c:pt idx="135">
                  <c:v>184.979996</c:v>
                </c:pt>
                <c:pt idx="136">
                  <c:v>173.36999499999999</c:v>
                </c:pt>
                <c:pt idx="137">
                  <c:v>163.05999800000001</c:v>
                </c:pt>
                <c:pt idx="138">
                  <c:v>120.099998</c:v>
                </c:pt>
                <c:pt idx="139">
                  <c:v>126.029999</c:v>
                </c:pt>
                <c:pt idx="140">
                  <c:v>136.63000500000001</c:v>
                </c:pt>
                <c:pt idx="141">
                  <c:v>134.38000500000001</c:v>
                </c:pt>
                <c:pt idx="142">
                  <c:v>140.25</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-26,96%</c:v>
                </c:pt>
                <c:pt idx="1">
                  <c:v>-26,96% to -21,43%</c:v>
                </c:pt>
                <c:pt idx="2">
                  <c:v>-21,43% to -15,89%</c:v>
                </c:pt>
                <c:pt idx="3">
                  <c:v>-15,89% to -10,36%</c:v>
                </c:pt>
                <c:pt idx="4">
                  <c:v>-10,36% to -4,83%</c:v>
                </c:pt>
                <c:pt idx="5">
                  <c:v>-4,83% to 0,70%</c:v>
                </c:pt>
                <c:pt idx="6">
                  <c:v>0,70% to 6,23%</c:v>
                </c:pt>
                <c:pt idx="7">
                  <c:v>6,23% to 11,77%</c:v>
                </c:pt>
                <c:pt idx="8">
                  <c:v>11,77% to 17,30%</c:v>
                </c:pt>
                <c:pt idx="9">
                  <c:v>17,30% to 22,83%</c:v>
                </c:pt>
                <c:pt idx="10">
                  <c:v>22,83% to 28,36%</c:v>
                </c:pt>
                <c:pt idx="11">
                  <c:v>Greater than 28,36%</c:v>
                </c:pt>
              </c:strCache>
            </c:strRef>
          </c:cat>
          <c:val>
            <c:numRef>
              <c:f>DoR!$J$4:$J$15</c:f>
              <c:numCache>
                <c:formatCode>General</c:formatCode>
                <c:ptCount val="12"/>
                <c:pt idx="0">
                  <c:v>0</c:v>
                </c:pt>
                <c:pt idx="1">
                  <c:v>0</c:v>
                </c:pt>
                <c:pt idx="2">
                  <c:v>2</c:v>
                </c:pt>
                <c:pt idx="3">
                  <c:v>8</c:v>
                </c:pt>
                <c:pt idx="4">
                  <c:v>24</c:v>
                </c:pt>
                <c:pt idx="5">
                  <c:v>43</c:v>
                </c:pt>
                <c:pt idx="6">
                  <c:v>29</c:v>
                </c:pt>
                <c:pt idx="7">
                  <c:v>28</c:v>
                </c:pt>
                <c:pt idx="8">
                  <c:v>5</c:v>
                </c:pt>
                <c:pt idx="9">
                  <c:v>0</c:v>
                </c:pt>
                <c:pt idx="10">
                  <c:v>0</c:v>
                </c:pt>
                <c:pt idx="11">
                  <c:v>4</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 (diluted)</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52388</xdr:rowOff>
    </xdr:from>
    <xdr:to>
      <xdr:col>27</xdr:col>
      <xdr:colOff>342900</xdr:colOff>
      <xdr:row>15</xdr:row>
      <xdr:rowOff>133350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28576</xdr:colOff>
      <xdr:row>30</xdr:row>
      <xdr:rowOff>47625</xdr:rowOff>
    </xdr:from>
    <xdr:to>
      <xdr:col>20</xdr:col>
      <xdr:colOff>47626</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6" y="5762625"/>
              <a:ext cx="5505450"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workbookViewId="0">
      <selection activeCell="B3" sqref="B3"/>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221</v>
      </c>
      <c r="C2" s="19"/>
      <c r="E2" s="24" t="s">
        <v>45</v>
      </c>
      <c r="F2" s="57" t="s">
        <v>46</v>
      </c>
      <c r="G2" s="25"/>
      <c r="H2" s="26" t="s">
        <v>53</v>
      </c>
      <c r="I2" s="26" t="s">
        <v>1</v>
      </c>
      <c r="J2" s="27" t="s">
        <v>46</v>
      </c>
      <c r="L2" s="30" t="s">
        <v>39</v>
      </c>
      <c r="M2" s="31" t="s">
        <v>55</v>
      </c>
      <c r="N2" s="32" t="s">
        <v>54</v>
      </c>
    </row>
    <row r="3" spans="2:14" ht="30" x14ac:dyDescent="0.25">
      <c r="B3" s="5" t="s">
        <v>38</v>
      </c>
      <c r="C3" s="20">
        <v>45605</v>
      </c>
      <c r="E3" s="5" t="s">
        <v>177</v>
      </c>
      <c r="F3" s="28" t="s">
        <v>178</v>
      </c>
      <c r="H3" t="s">
        <v>197</v>
      </c>
      <c r="I3" s="10">
        <v>4253</v>
      </c>
      <c r="J3" s="38">
        <f>I3/($C$7*1000000)</f>
        <v>9.6703046839472485E-5</v>
      </c>
      <c r="L3" s="5" t="s">
        <v>157</v>
      </c>
      <c r="M3" t="s">
        <v>158</v>
      </c>
      <c r="N3" s="37" t="s">
        <v>211</v>
      </c>
    </row>
    <row r="4" spans="2:14" x14ac:dyDescent="0.25">
      <c r="B4" s="5"/>
      <c r="C4" s="21">
        <v>0.93055555555555558</v>
      </c>
      <c r="E4" s="5" t="s">
        <v>179</v>
      </c>
      <c r="F4" s="28" t="s">
        <v>180</v>
      </c>
      <c r="H4" t="s">
        <v>198</v>
      </c>
      <c r="I4" s="10">
        <v>34045</v>
      </c>
      <c r="J4" s="38">
        <f>I4/($C$7*1000000)</f>
        <v>7.7410186448385627E-4</v>
      </c>
      <c r="L4" s="5" t="s">
        <v>159</v>
      </c>
      <c r="M4" t="s">
        <v>160</v>
      </c>
      <c r="N4" s="13" t="s">
        <v>215</v>
      </c>
    </row>
    <row r="5" spans="2:14" x14ac:dyDescent="0.25">
      <c r="B5" s="5"/>
      <c r="C5" s="13"/>
      <c r="E5" s="5" t="s">
        <v>181</v>
      </c>
      <c r="F5" s="28" t="s">
        <v>182</v>
      </c>
      <c r="I5" s="10"/>
      <c r="J5" s="38"/>
      <c r="L5" s="5" t="s">
        <v>161</v>
      </c>
      <c r="M5" t="s">
        <v>162</v>
      </c>
      <c r="N5" s="13"/>
    </row>
    <row r="6" spans="2:14" x14ac:dyDescent="0.25">
      <c r="B6" s="5" t="s">
        <v>0</v>
      </c>
      <c r="C6" s="13">
        <v>326.89</v>
      </c>
      <c r="E6" s="5" t="s">
        <v>183</v>
      </c>
      <c r="F6" s="28" t="s">
        <v>184</v>
      </c>
      <c r="H6" t="s">
        <v>199</v>
      </c>
      <c r="I6" s="10">
        <v>124635</v>
      </c>
      <c r="J6" s="38">
        <f>I6/($C$7*1000000)</f>
        <v>2.8339017735334242E-3</v>
      </c>
      <c r="L6" s="5" t="s">
        <v>163</v>
      </c>
      <c r="M6" t="s">
        <v>164</v>
      </c>
      <c r="N6" s="13" t="s">
        <v>214</v>
      </c>
    </row>
    <row r="7" spans="2:14" x14ac:dyDescent="0.25">
      <c r="B7" s="5" t="s">
        <v>1</v>
      </c>
      <c r="C7" s="15">
        <f>Model!V20</f>
        <v>43.98</v>
      </c>
      <c r="E7" s="5" t="s">
        <v>185</v>
      </c>
      <c r="F7" s="28" t="s">
        <v>186</v>
      </c>
      <c r="H7" t="s">
        <v>200</v>
      </c>
      <c r="I7" s="10">
        <v>7514</v>
      </c>
      <c r="J7" s="38">
        <f>I7/($C$7*1000000)</f>
        <v>1.7085038653933605E-4</v>
      </c>
      <c r="L7" s="5" t="s">
        <v>165</v>
      </c>
      <c r="M7" t="s">
        <v>166</v>
      </c>
      <c r="N7" s="13" t="s">
        <v>216</v>
      </c>
    </row>
    <row r="8" spans="2:14" x14ac:dyDescent="0.25">
      <c r="B8" s="5" t="s">
        <v>2</v>
      </c>
      <c r="C8" s="15">
        <f>C6*C7</f>
        <v>14376.622199999998</v>
      </c>
      <c r="E8" s="5" t="s">
        <v>187</v>
      </c>
      <c r="F8" s="28" t="s">
        <v>188</v>
      </c>
      <c r="H8" t="s">
        <v>201</v>
      </c>
      <c r="I8" s="10">
        <v>0</v>
      </c>
      <c r="J8" s="38"/>
      <c r="L8" s="5" t="s">
        <v>167</v>
      </c>
      <c r="M8" t="s">
        <v>168</v>
      </c>
      <c r="N8" s="13" t="s">
        <v>212</v>
      </c>
    </row>
    <row r="9" spans="2:14" x14ac:dyDescent="0.25">
      <c r="B9" s="5" t="s">
        <v>3</v>
      </c>
      <c r="C9" s="15">
        <f>Model!V35</f>
        <v>880.76300000000003</v>
      </c>
      <c r="E9" s="5" t="s">
        <v>189</v>
      </c>
      <c r="F9" s="28" t="s">
        <v>190</v>
      </c>
      <c r="H9" t="s">
        <v>202</v>
      </c>
      <c r="I9" s="10">
        <v>160116</v>
      </c>
      <c r="J9" s="38">
        <f>I9/($C$7*1000000)</f>
        <v>3.6406548431105047E-3</v>
      </c>
      <c r="L9" s="5" t="s">
        <v>169</v>
      </c>
      <c r="M9" t="s">
        <v>170</v>
      </c>
      <c r="N9" s="13"/>
    </row>
    <row r="10" spans="2:14" x14ac:dyDescent="0.25">
      <c r="B10" s="5" t="s">
        <v>4</v>
      </c>
      <c r="C10" s="15">
        <v>0</v>
      </c>
      <c r="E10" s="5" t="s">
        <v>191</v>
      </c>
      <c r="F10" s="28" t="s">
        <v>192</v>
      </c>
      <c r="H10" t="s">
        <v>203</v>
      </c>
      <c r="I10" s="10">
        <v>4253</v>
      </c>
      <c r="J10" s="38">
        <f>I10/($C$7*1000000)</f>
        <v>9.6703046839472485E-5</v>
      </c>
      <c r="L10" s="5" t="s">
        <v>171</v>
      </c>
      <c r="M10" t="s">
        <v>172</v>
      </c>
      <c r="N10" s="13"/>
    </row>
    <row r="11" spans="2:14" x14ac:dyDescent="0.25">
      <c r="B11" s="5" t="s">
        <v>33</v>
      </c>
      <c r="C11" s="15">
        <f>C9-C10</f>
        <v>880.76300000000003</v>
      </c>
      <c r="E11" s="5" t="s">
        <v>193</v>
      </c>
      <c r="F11" s="28" t="s">
        <v>194</v>
      </c>
      <c r="H11" t="s">
        <v>204</v>
      </c>
      <c r="I11" s="10">
        <v>64523</v>
      </c>
      <c r="J11" s="38">
        <f>I11/($C$7*1000000)</f>
        <v>1.4670986812187357E-3</v>
      </c>
      <c r="L11" s="5" t="s">
        <v>173</v>
      </c>
      <c r="M11" t="s">
        <v>174</v>
      </c>
      <c r="N11" s="13" t="s">
        <v>213</v>
      </c>
    </row>
    <row r="12" spans="2:14" x14ac:dyDescent="0.25">
      <c r="B12" s="5" t="s">
        <v>5</v>
      </c>
      <c r="C12" s="15">
        <f>C8-C9+C10</f>
        <v>13495.859199999997</v>
      </c>
      <c r="E12" s="5" t="s">
        <v>195</v>
      </c>
      <c r="F12" s="28" t="s">
        <v>196</v>
      </c>
      <c r="H12" t="s">
        <v>205</v>
      </c>
      <c r="I12" s="10">
        <v>0</v>
      </c>
      <c r="J12" s="13">
        <f>I12/($C$7*1000000)</f>
        <v>0</v>
      </c>
      <c r="L12" s="5" t="s">
        <v>175</v>
      </c>
      <c r="M12" t="s">
        <v>176</v>
      </c>
      <c r="N12" s="13"/>
    </row>
    <row r="13" spans="2:14" x14ac:dyDescent="0.25">
      <c r="B13" s="5" t="s">
        <v>44</v>
      </c>
      <c r="C13" s="36">
        <f>C6/Model!G21</f>
        <v>867.41424773610004</v>
      </c>
      <c r="E13" s="5"/>
      <c r="J13" s="13"/>
      <c r="L13" s="5"/>
      <c r="N13" s="13"/>
    </row>
    <row r="14" spans="2:14" x14ac:dyDescent="0.25">
      <c r="B14" s="5" t="s">
        <v>42</v>
      </c>
      <c r="C14" s="36">
        <f>C6/Model!H22</f>
        <v>162.6318407960199</v>
      </c>
      <c r="E14" s="22"/>
      <c r="F14" s="29"/>
      <c r="G14" s="29"/>
      <c r="H14" s="29"/>
      <c r="I14" s="29"/>
      <c r="J14" s="23"/>
      <c r="L14" s="22"/>
      <c r="M14" s="29"/>
      <c r="N14" s="23"/>
    </row>
    <row r="15" spans="2:14" x14ac:dyDescent="0.25">
      <c r="B15" s="5" t="s">
        <v>43</v>
      </c>
      <c r="C15" s="36">
        <f>C6/Model!I22</f>
        <v>108.60132890365449</v>
      </c>
    </row>
    <row r="16" spans="2:14" x14ac:dyDescent="0.25">
      <c r="B16" s="5" t="s">
        <v>40</v>
      </c>
      <c r="C16" s="6">
        <f>Model!H22/Model!G21-1</f>
        <v>4.3336065280356113</v>
      </c>
    </row>
    <row r="17" spans="2:14" x14ac:dyDescent="0.25">
      <c r="B17" s="5" t="s">
        <v>41</v>
      </c>
      <c r="C17" s="6">
        <f>Model!I22/Model!H22-1</f>
        <v>0.49751243781094523</v>
      </c>
      <c r="E17" s="33" t="s">
        <v>51</v>
      </c>
      <c r="L17" s="132" t="s">
        <v>210</v>
      </c>
      <c r="M17" s="133"/>
      <c r="N17" s="134"/>
    </row>
    <row r="18" spans="2:14" x14ac:dyDescent="0.25">
      <c r="B18" s="5" t="s">
        <v>66</v>
      </c>
      <c r="C18" s="51">
        <f>C14/(C16*100)</f>
        <v>0.37528058845189988</v>
      </c>
      <c r="L18" s="135"/>
      <c r="M18" s="136"/>
      <c r="N18" s="137"/>
    </row>
    <row r="19" spans="2:14" x14ac:dyDescent="0.25">
      <c r="B19" s="5" t="s">
        <v>67</v>
      </c>
      <c r="C19" s="51">
        <f>C15/(C17*100)</f>
        <v>2.1828867109634555</v>
      </c>
      <c r="L19" s="135"/>
      <c r="M19" s="136"/>
      <c r="N19" s="137"/>
    </row>
    <row r="20" spans="2:14" x14ac:dyDescent="0.25">
      <c r="B20" s="5" t="s">
        <v>75</v>
      </c>
      <c r="C20" s="6">
        <f>Model!H9/Model!G8-1</f>
        <v>0.3971197289156625</v>
      </c>
      <c r="L20" s="135"/>
      <c r="M20" s="136"/>
      <c r="N20" s="137"/>
    </row>
    <row r="21" spans="2:14" x14ac:dyDescent="0.25">
      <c r="B21" s="5" t="s">
        <v>76</v>
      </c>
      <c r="C21" s="6">
        <f>Model!I9/Model!H9-1</f>
        <v>0.28457858923398249</v>
      </c>
      <c r="L21" s="135"/>
      <c r="M21" s="136"/>
      <c r="N21" s="137"/>
    </row>
    <row r="22" spans="2:14" x14ac:dyDescent="0.25">
      <c r="B22" s="5" t="s">
        <v>68</v>
      </c>
      <c r="C22" s="15">
        <f>Model!G14</f>
        <v>-13.167999999999893</v>
      </c>
      <c r="L22" s="135"/>
      <c r="M22" s="136"/>
      <c r="N22" s="137"/>
    </row>
    <row r="23" spans="2:14" x14ac:dyDescent="0.25">
      <c r="B23" s="5" t="s">
        <v>16</v>
      </c>
      <c r="C23" s="15">
        <f>Model!G17</f>
        <v>17.868000000000109</v>
      </c>
      <c r="L23" s="135"/>
      <c r="M23" s="136"/>
      <c r="N23" s="137"/>
    </row>
    <row r="24" spans="2:14" x14ac:dyDescent="0.25">
      <c r="B24" s="5" t="s">
        <v>27</v>
      </c>
      <c r="C24" s="7">
        <f>Model!V23</f>
        <v>0.72906736450772092</v>
      </c>
      <c r="L24" s="135"/>
      <c r="M24" s="136"/>
      <c r="N24" s="137"/>
    </row>
    <row r="25" spans="2:14" x14ac:dyDescent="0.25">
      <c r="B25" s="5" t="s">
        <v>28</v>
      </c>
      <c r="C25" s="7">
        <f>Model!V24</f>
        <v>0.12129142133192096</v>
      </c>
      <c r="L25" s="135"/>
      <c r="M25" s="136"/>
      <c r="N25" s="137"/>
    </row>
    <row r="26" spans="2:14" x14ac:dyDescent="0.25">
      <c r="B26" s="5" t="s">
        <v>69</v>
      </c>
      <c r="C26" s="36">
        <f>C12/C23</f>
        <v>755.3088873964582</v>
      </c>
      <c r="L26" s="135"/>
      <c r="M26" s="136"/>
      <c r="N26" s="137"/>
    </row>
    <row r="27" spans="2:14" x14ac:dyDescent="0.25">
      <c r="B27" s="5" t="s">
        <v>77</v>
      </c>
      <c r="C27" s="117">
        <v>0</v>
      </c>
      <c r="E27" t="s">
        <v>71</v>
      </c>
      <c r="L27" s="135"/>
      <c r="M27" s="136"/>
      <c r="N27" s="137"/>
    </row>
    <row r="28" spans="2:14" x14ac:dyDescent="0.25">
      <c r="B28" s="5" t="s">
        <v>78</v>
      </c>
      <c r="C28" s="36">
        <v>0</v>
      </c>
      <c r="L28" s="138"/>
      <c r="M28" s="139"/>
      <c r="N28" s="140"/>
    </row>
    <row r="29" spans="2:14" x14ac:dyDescent="0.25">
      <c r="B29" s="5" t="s">
        <v>79</v>
      </c>
      <c r="C29" s="36">
        <f>Model!V39/Model!V52</f>
        <v>3.0936419462606648</v>
      </c>
    </row>
    <row r="30" spans="2:14" x14ac:dyDescent="0.25">
      <c r="B30" s="5" t="s">
        <v>80</v>
      </c>
      <c r="C30" s="36">
        <f>Model!V35/Model!V52</f>
        <v>2.5743292813028851</v>
      </c>
    </row>
    <row r="31" spans="2:14" x14ac:dyDescent="0.25">
      <c r="B31" s="5" t="s">
        <v>81</v>
      </c>
      <c r="C31" s="6"/>
    </row>
    <row r="32" spans="2:14" x14ac:dyDescent="0.25">
      <c r="B32" s="5" t="s">
        <v>82</v>
      </c>
      <c r="C32" s="36">
        <f>(Model!V39-Model!V52)/Main!C7</f>
        <v>16.287039563437929</v>
      </c>
    </row>
    <row r="33" spans="2:4" x14ac:dyDescent="0.25">
      <c r="B33" s="5" t="s">
        <v>83</v>
      </c>
      <c r="C33" s="36">
        <f>Model!G8/Model!G39</f>
        <v>0.59166984110011378</v>
      </c>
    </row>
    <row r="34" spans="2:4" x14ac:dyDescent="0.25">
      <c r="B34" s="5" t="s">
        <v>84</v>
      </c>
      <c r="C34" s="38">
        <f>Model!G19/Model!G47</f>
        <v>1.6937870365226218E-2</v>
      </c>
    </row>
    <row r="35" spans="2:4" x14ac:dyDescent="0.25">
      <c r="B35" s="5" t="s">
        <v>85</v>
      </c>
      <c r="C35" s="38">
        <f>Model!H19/Model!U56</f>
        <v>0.11269401677306294</v>
      </c>
      <c r="D35" t="s">
        <v>209</v>
      </c>
    </row>
    <row r="36" spans="2:4" x14ac:dyDescent="0.25">
      <c r="B36" s="22" t="s">
        <v>86</v>
      </c>
      <c r="C36" s="23"/>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77"/>
  <sheetViews>
    <sheetView tabSelected="1" zoomScaleNormal="100" workbookViewId="0">
      <pane xSplit="2" ySplit="2" topLeftCell="Q3" activePane="bottomRight" state="frozen"/>
      <selection pane="topRight" activeCell="B1" sqref="B1"/>
      <selection pane="bottomLeft" activeCell="A3" sqref="A3"/>
      <selection pane="bottomRight" activeCell="W9" sqref="W9"/>
    </sheetView>
  </sheetViews>
  <sheetFormatPr defaultColWidth="11.42578125" defaultRowHeight="15" x14ac:dyDescent="0.25"/>
  <cols>
    <col min="1" max="1" width="4.7109375" customWidth="1"/>
    <col min="2" max="2" width="27.28515625" customWidth="1"/>
    <col min="7" max="7" width="11.42578125" style="13"/>
    <col min="21" max="21" width="11.42578125" style="151"/>
    <col min="22" max="22" width="11.42578125" style="13"/>
  </cols>
  <sheetData>
    <row r="1" spans="1:24" x14ac:dyDescent="0.25">
      <c r="A1" s="8" t="s">
        <v>34</v>
      </c>
    </row>
    <row r="2" spans="1:24" x14ac:dyDescent="0.25">
      <c r="C2" t="s">
        <v>31</v>
      </c>
      <c r="D2" t="s">
        <v>15</v>
      </c>
      <c r="E2" t="s">
        <v>11</v>
      </c>
      <c r="F2" t="s">
        <v>12</v>
      </c>
      <c r="G2" s="13" t="s">
        <v>13</v>
      </c>
      <c r="H2" t="s">
        <v>30</v>
      </c>
      <c r="I2" t="s">
        <v>65</v>
      </c>
      <c r="L2" t="s">
        <v>10</v>
      </c>
      <c r="M2" t="s">
        <v>6</v>
      </c>
      <c r="N2" t="s">
        <v>7</v>
      </c>
      <c r="O2" t="s">
        <v>8</v>
      </c>
      <c r="P2" t="s">
        <v>9</v>
      </c>
      <c r="Q2" t="s">
        <v>32</v>
      </c>
      <c r="R2" t="s">
        <v>36</v>
      </c>
      <c r="S2" t="s">
        <v>37</v>
      </c>
      <c r="T2" t="s">
        <v>61</v>
      </c>
      <c r="U2" s="151" t="s">
        <v>64</v>
      </c>
      <c r="V2" s="13" t="s">
        <v>206</v>
      </c>
      <c r="W2" t="s">
        <v>207</v>
      </c>
      <c r="X2" t="s">
        <v>217</v>
      </c>
    </row>
    <row r="3" spans="1:24" x14ac:dyDescent="0.25">
      <c r="B3" s="9" t="s">
        <v>145</v>
      </c>
      <c r="E3">
        <v>180.7</v>
      </c>
      <c r="F3">
        <v>273.5</v>
      </c>
      <c r="G3" s="13">
        <v>404.7</v>
      </c>
      <c r="L3">
        <v>58</v>
      </c>
      <c r="M3">
        <v>65.2</v>
      </c>
      <c r="N3">
        <v>72.2</v>
      </c>
      <c r="O3">
        <v>78.099999999999994</v>
      </c>
      <c r="P3">
        <v>86.2</v>
      </c>
      <c r="Q3">
        <v>95.2</v>
      </c>
      <c r="R3">
        <v>105.9</v>
      </c>
      <c r="S3">
        <v>117.5</v>
      </c>
      <c r="T3" s="125">
        <v>131.69999999999999</v>
      </c>
      <c r="U3" s="164">
        <v>143.9</v>
      </c>
      <c r="V3" s="161">
        <v>157.61699999999999</v>
      </c>
    </row>
    <row r="4" spans="1:24" x14ac:dyDescent="0.25">
      <c r="B4" s="9" t="s">
        <v>146</v>
      </c>
      <c r="E4">
        <v>38.5</v>
      </c>
      <c r="F4">
        <v>44.7</v>
      </c>
      <c r="G4" s="13">
        <v>49.9</v>
      </c>
      <c r="L4">
        <v>11.7</v>
      </c>
      <c r="M4">
        <v>11.2</v>
      </c>
      <c r="N4">
        <v>10.6</v>
      </c>
      <c r="O4">
        <v>11.1</v>
      </c>
      <c r="P4">
        <v>11.6</v>
      </c>
      <c r="Q4">
        <v>13.1</v>
      </c>
      <c r="R4">
        <v>11.7</v>
      </c>
      <c r="S4">
        <v>13.5</v>
      </c>
      <c r="T4">
        <v>13</v>
      </c>
      <c r="U4" s="165">
        <v>13.257999999999999</v>
      </c>
      <c r="V4" s="162">
        <v>14.404999999999999</v>
      </c>
    </row>
    <row r="5" spans="1:24" x14ac:dyDescent="0.25">
      <c r="B5" s="9" t="s">
        <v>147</v>
      </c>
      <c r="E5">
        <v>24.7</v>
      </c>
      <c r="F5">
        <v>32.700000000000003</v>
      </c>
      <c r="G5" s="13">
        <v>41.2</v>
      </c>
      <c r="L5">
        <v>8.1</v>
      </c>
      <c r="M5">
        <v>8</v>
      </c>
      <c r="N5">
        <v>8.1999999999999993</v>
      </c>
      <c r="O5">
        <v>8.4</v>
      </c>
      <c r="P5">
        <v>10</v>
      </c>
      <c r="Q5">
        <v>9.8000000000000007</v>
      </c>
      <c r="R5">
        <v>10.6</v>
      </c>
      <c r="S5">
        <v>10.8</v>
      </c>
      <c r="T5">
        <v>12.8</v>
      </c>
      <c r="U5" s="165">
        <v>10.698</v>
      </c>
      <c r="V5" s="162">
        <v>10.772</v>
      </c>
    </row>
    <row r="6" spans="1:24" x14ac:dyDescent="0.25">
      <c r="B6" s="9" t="s">
        <v>148</v>
      </c>
      <c r="F6">
        <v>17.899999999999999</v>
      </c>
      <c r="G6" s="13">
        <v>34.700000000000003</v>
      </c>
      <c r="O6">
        <v>5.9</v>
      </c>
      <c r="Q6">
        <v>0</v>
      </c>
      <c r="S6">
        <v>8.9</v>
      </c>
      <c r="T6">
        <v>9.9</v>
      </c>
      <c r="U6" s="165">
        <v>10.176</v>
      </c>
      <c r="V6" s="162">
        <v>9.4109999999999996</v>
      </c>
    </row>
    <row r="7" spans="1:24" x14ac:dyDescent="0.25">
      <c r="B7" s="9" t="s">
        <v>22</v>
      </c>
      <c r="E7">
        <v>6.9</v>
      </c>
      <c r="F7">
        <v>0.6</v>
      </c>
      <c r="G7" s="13">
        <v>0.7</v>
      </c>
      <c r="L7">
        <v>3.4</v>
      </c>
      <c r="M7">
        <v>3.9</v>
      </c>
      <c r="N7">
        <v>5.0999999999999996</v>
      </c>
      <c r="O7">
        <v>0.3</v>
      </c>
      <c r="P7">
        <v>7.9</v>
      </c>
      <c r="Q7">
        <v>8.8000000000000007</v>
      </c>
      <c r="R7">
        <v>9.4</v>
      </c>
      <c r="S7">
        <v>0.3</v>
      </c>
      <c r="T7">
        <v>0.2</v>
      </c>
      <c r="U7" s="165">
        <v>0.28599999999999998</v>
      </c>
      <c r="V7" s="162">
        <v>0.38900000000000001</v>
      </c>
    </row>
    <row r="8" spans="1:24" s="1" customFormat="1" x14ac:dyDescent="0.25">
      <c r="B8" s="1" t="s">
        <v>14</v>
      </c>
      <c r="C8" s="11">
        <f>SUM(C3:C7)</f>
        <v>0</v>
      </c>
      <c r="D8" s="11">
        <v>161.696</v>
      </c>
      <c r="E8" s="11">
        <f>SUM(E3:E7)</f>
        <v>250.79999999999998</v>
      </c>
      <c r="F8" s="11">
        <f>SUM(F3:F7)</f>
        <v>369.4</v>
      </c>
      <c r="G8" s="14">
        <f>SUM(G3:G7)</f>
        <v>531.20000000000005</v>
      </c>
      <c r="H8" s="43">
        <v>736.37</v>
      </c>
      <c r="I8" s="43">
        <v>945.77</v>
      </c>
      <c r="L8" s="11">
        <f t="shared" ref="L8:N8" si="0">SUM(L3:L7)</f>
        <v>81.2</v>
      </c>
      <c r="M8" s="11">
        <f t="shared" si="0"/>
        <v>88.300000000000011</v>
      </c>
      <c r="N8" s="11">
        <f t="shared" si="0"/>
        <v>96.1</v>
      </c>
      <c r="O8" s="11">
        <f>SUM(O3:O7)</f>
        <v>103.8</v>
      </c>
      <c r="P8" s="11">
        <f t="shared" ref="P8:U8" si="1">SUM(P3:P7)</f>
        <v>115.7</v>
      </c>
      <c r="Q8" s="11">
        <f t="shared" si="1"/>
        <v>126.89999999999999</v>
      </c>
      <c r="R8" s="11">
        <f t="shared" si="1"/>
        <v>137.60000000000002</v>
      </c>
      <c r="S8" s="11">
        <f t="shared" si="1"/>
        <v>151.00000000000003</v>
      </c>
      <c r="T8" s="11">
        <f t="shared" si="1"/>
        <v>167.6</v>
      </c>
      <c r="U8" s="152">
        <f t="shared" si="1"/>
        <v>178.31800000000001</v>
      </c>
      <c r="V8" s="14">
        <f>SUM(V3:V7)</f>
        <v>192.59399999999999</v>
      </c>
      <c r="W8" s="43">
        <f>W9</f>
        <v>204.46</v>
      </c>
      <c r="X8" s="1">
        <f>X9</f>
        <v>220.26</v>
      </c>
    </row>
    <row r="9" spans="1:24" x14ac:dyDescent="0.25">
      <c r="B9" s="9" t="s">
        <v>63</v>
      </c>
      <c r="C9" s="10"/>
      <c r="D9" s="10"/>
      <c r="E9" s="10"/>
      <c r="F9" s="10"/>
      <c r="G9" s="15"/>
      <c r="H9" s="42">
        <v>742.15</v>
      </c>
      <c r="I9" s="42">
        <v>953.35</v>
      </c>
      <c r="L9" s="40"/>
      <c r="M9" s="40"/>
      <c r="N9" s="40"/>
      <c r="O9" s="40"/>
      <c r="P9" s="40"/>
      <c r="Q9" s="40"/>
      <c r="R9" s="40"/>
      <c r="S9" s="10"/>
      <c r="T9" s="10">
        <v>165.6</v>
      </c>
      <c r="U9" s="153">
        <v>176.92</v>
      </c>
      <c r="V9" s="163">
        <v>189.08</v>
      </c>
      <c r="W9">
        <v>204.46</v>
      </c>
      <c r="X9">
        <v>220.26</v>
      </c>
    </row>
    <row r="10" spans="1:24" x14ac:dyDescent="0.25">
      <c r="B10" t="s">
        <v>56</v>
      </c>
      <c r="C10" s="10"/>
      <c r="D10" s="10">
        <v>45.987000000000002</v>
      </c>
      <c r="E10" s="10">
        <v>69.186000000000007</v>
      </c>
      <c r="F10" s="10">
        <v>99.430999999999997</v>
      </c>
      <c r="G10" s="15">
        <v>142.10499999999999</v>
      </c>
      <c r="H10" s="10"/>
      <c r="I10" s="10"/>
      <c r="L10" s="10">
        <v>21.49</v>
      </c>
      <c r="M10" s="10">
        <v>23.869</v>
      </c>
      <c r="N10" s="10">
        <v>26.302</v>
      </c>
      <c r="O10" s="10">
        <v>27.77</v>
      </c>
      <c r="P10" s="10">
        <v>31.492000000000001</v>
      </c>
      <c r="Q10" s="10">
        <v>33.787999999999997</v>
      </c>
      <c r="R10" s="10">
        <v>36.253999999999998</v>
      </c>
      <c r="S10" s="10">
        <v>40.570999999999998</v>
      </c>
      <c r="T10" s="10">
        <v>45.191000000000003</v>
      </c>
      <c r="U10" s="154">
        <v>47.348999999999997</v>
      </c>
      <c r="V10" s="15">
        <v>52.18</v>
      </c>
    </row>
    <row r="11" spans="1:24" x14ac:dyDescent="0.25">
      <c r="B11" t="s">
        <v>70</v>
      </c>
      <c r="C11" s="10"/>
      <c r="D11" s="10">
        <v>53.024000000000001</v>
      </c>
      <c r="E11" s="10">
        <v>103.833</v>
      </c>
      <c r="F11" s="10">
        <v>150.44399999999999</v>
      </c>
      <c r="G11" s="15">
        <v>194.352</v>
      </c>
      <c r="H11" s="40"/>
      <c r="I11" s="40"/>
      <c r="L11" s="10">
        <v>29.780999999999999</v>
      </c>
      <c r="M11" s="10">
        <v>34.216999999999999</v>
      </c>
      <c r="N11" s="10">
        <v>41.975999999999999</v>
      </c>
      <c r="O11" s="10">
        <v>44.47</v>
      </c>
      <c r="P11" s="10">
        <v>45.844000000000001</v>
      </c>
      <c r="Q11" s="10">
        <v>47.947000000000003</v>
      </c>
      <c r="R11" s="10">
        <v>50.305</v>
      </c>
      <c r="S11" s="10">
        <v>50.256</v>
      </c>
      <c r="T11" s="126">
        <v>50.878</v>
      </c>
      <c r="U11" s="155">
        <v>55.146999999999998</v>
      </c>
      <c r="V11" s="128">
        <v>62.878</v>
      </c>
    </row>
    <row r="12" spans="1:24" x14ac:dyDescent="0.25">
      <c r="B12" t="s">
        <v>57</v>
      </c>
      <c r="C12" s="10"/>
      <c r="D12" s="10">
        <v>34.982999999999997</v>
      </c>
      <c r="E12" s="10">
        <v>59.17</v>
      </c>
      <c r="F12" s="10">
        <v>66.966999999999999</v>
      </c>
      <c r="G12" s="15">
        <v>75.787999999999997</v>
      </c>
      <c r="H12" s="40"/>
      <c r="I12" s="40"/>
      <c r="L12" s="10">
        <v>14.94</v>
      </c>
      <c r="M12" s="10">
        <v>15.276999999999999</v>
      </c>
      <c r="N12" s="10">
        <v>17.721</v>
      </c>
      <c r="O12" s="10">
        <v>19.029</v>
      </c>
      <c r="P12" s="10">
        <v>16.600999999999999</v>
      </c>
      <c r="Q12" s="10">
        <v>17.734000000000002</v>
      </c>
      <c r="R12" s="10">
        <v>22.335000000000001</v>
      </c>
      <c r="S12" s="10">
        <v>19.117999999999999</v>
      </c>
      <c r="T12" s="126">
        <v>19.931000000000001</v>
      </c>
      <c r="U12" s="155">
        <v>20.173999999999999</v>
      </c>
      <c r="V12" s="128">
        <v>25.574000000000002</v>
      </c>
    </row>
    <row r="13" spans="1:24" x14ac:dyDescent="0.25">
      <c r="B13" t="s">
        <v>131</v>
      </c>
      <c r="C13" s="10"/>
      <c r="D13" s="10">
        <v>43.713000000000001</v>
      </c>
      <c r="E13" s="10">
        <v>78.59</v>
      </c>
      <c r="F13" s="10">
        <v>117.848</v>
      </c>
      <c r="G13" s="15">
        <v>132.12299999999999</v>
      </c>
      <c r="H13" s="10"/>
      <c r="I13" s="10"/>
      <c r="L13" s="10">
        <v>26.856000000000002</v>
      </c>
      <c r="M13" s="10">
        <v>30.056999999999999</v>
      </c>
      <c r="N13" s="10">
        <v>30.228000000000002</v>
      </c>
      <c r="O13" s="10">
        <v>30.707000000000001</v>
      </c>
      <c r="P13" s="10">
        <v>30.242999999999999</v>
      </c>
      <c r="Q13" s="10">
        <v>32.234999999999999</v>
      </c>
      <c r="R13" s="10">
        <v>33.4</v>
      </c>
      <c r="S13" s="10">
        <v>36.244999999999997</v>
      </c>
      <c r="T13" s="126">
        <v>35.113999999999997</v>
      </c>
      <c r="U13" s="155">
        <v>36.957000000000001</v>
      </c>
      <c r="V13" s="128">
        <v>38.387999999999998</v>
      </c>
    </row>
    <row r="14" spans="1:24" s="1" customFormat="1" x14ac:dyDescent="0.25">
      <c r="B14" s="1" t="s">
        <v>19</v>
      </c>
      <c r="C14" s="11">
        <f t="shared" ref="C14:I14" si="2">C8-SUM(C10:C13)</f>
        <v>0</v>
      </c>
      <c r="D14" s="11">
        <f t="shared" si="2"/>
        <v>-16.010999999999996</v>
      </c>
      <c r="E14" s="11">
        <f t="shared" si="2"/>
        <v>-59.979000000000013</v>
      </c>
      <c r="F14" s="11">
        <f t="shared" si="2"/>
        <v>-65.29000000000002</v>
      </c>
      <c r="G14" s="14">
        <f t="shared" si="2"/>
        <v>-13.167999999999893</v>
      </c>
      <c r="H14" s="11">
        <f t="shared" si="2"/>
        <v>736.37</v>
      </c>
      <c r="I14" s="11">
        <f t="shared" si="2"/>
        <v>945.77</v>
      </c>
      <c r="J14" s="11"/>
      <c r="K14" s="11"/>
      <c r="L14" s="11">
        <f t="shared" ref="L14:V14" si="3">L8-SUM(L10:L13)</f>
        <v>-11.867000000000004</v>
      </c>
      <c r="M14" s="11">
        <f t="shared" si="3"/>
        <v>-15.11999999999999</v>
      </c>
      <c r="N14" s="11">
        <f t="shared" si="3"/>
        <v>-20.12700000000001</v>
      </c>
      <c r="O14" s="11">
        <f t="shared" si="3"/>
        <v>-18.176000000000002</v>
      </c>
      <c r="P14" s="11">
        <f t="shared" si="3"/>
        <v>-8.4799999999999898</v>
      </c>
      <c r="Q14" s="11">
        <f t="shared" si="3"/>
        <v>-4.8040000000000163</v>
      </c>
      <c r="R14" s="11">
        <f t="shared" si="3"/>
        <v>-4.6939999999999884</v>
      </c>
      <c r="S14" s="11">
        <f t="shared" si="3"/>
        <v>4.8100000000000307</v>
      </c>
      <c r="T14" s="11">
        <f t="shared" si="3"/>
        <v>16.48599999999999</v>
      </c>
      <c r="U14" s="152">
        <f t="shared" si="3"/>
        <v>18.691000000000031</v>
      </c>
      <c r="V14" s="14">
        <f t="shared" si="3"/>
        <v>13.573999999999984</v>
      </c>
    </row>
    <row r="15" spans="1:24" x14ac:dyDescent="0.25">
      <c r="B15" t="s">
        <v>22</v>
      </c>
      <c r="C15" s="10"/>
      <c r="D15" s="10">
        <v>0.30299999999999999</v>
      </c>
      <c r="E15" s="10">
        <f>0.318-0.288</f>
        <v>3.0000000000000027E-2</v>
      </c>
      <c r="F15" s="10">
        <v>-0.67600000000000005</v>
      </c>
      <c r="G15" s="15">
        <v>-5.5E-2</v>
      </c>
      <c r="H15" s="40"/>
      <c r="I15" s="40"/>
      <c r="L15" s="10">
        <v>-0.312</v>
      </c>
      <c r="M15" s="10">
        <v>-0.53900000000000003</v>
      </c>
      <c r="N15" s="10">
        <v>-0.49</v>
      </c>
      <c r="O15" s="10">
        <v>0.66500000000000004</v>
      </c>
      <c r="P15" s="10">
        <v>0.182</v>
      </c>
      <c r="Q15" s="10">
        <v>-0.26800000000000002</v>
      </c>
      <c r="R15" s="10">
        <v>-1.0229999999999999</v>
      </c>
      <c r="S15" s="10">
        <v>1.054</v>
      </c>
      <c r="T15" s="10">
        <v>-0.621</v>
      </c>
      <c r="U15" s="154">
        <v>-0.70699999999999996</v>
      </c>
      <c r="V15" s="15">
        <v>0.56899999999999995</v>
      </c>
    </row>
    <row r="16" spans="1:24" x14ac:dyDescent="0.25">
      <c r="B16" t="s">
        <v>149</v>
      </c>
      <c r="C16" s="10"/>
      <c r="D16" s="10"/>
      <c r="E16" s="10">
        <v>1.9E-2</v>
      </c>
      <c r="F16" s="10">
        <v>7.2350000000000003</v>
      </c>
      <c r="G16" s="15">
        <v>31.091000000000001</v>
      </c>
      <c r="H16" s="40"/>
      <c r="I16" s="40"/>
      <c r="L16" s="10">
        <v>3.3000000000000002E-2</v>
      </c>
      <c r="M16" s="10">
        <v>0.66900000000000004</v>
      </c>
      <c r="N16" s="10">
        <v>2.2599999999999998</v>
      </c>
      <c r="O16" s="10">
        <v>4.2729999999999997</v>
      </c>
      <c r="P16" s="10">
        <v>5.6390000000000002</v>
      </c>
      <c r="Q16" s="10">
        <v>7.5430000000000001</v>
      </c>
      <c r="R16" s="10">
        <v>8.625</v>
      </c>
      <c r="S16" s="10">
        <v>9.2840000000000007</v>
      </c>
      <c r="T16" s="10">
        <v>10.032999999999999</v>
      </c>
      <c r="U16" s="154">
        <v>10.721</v>
      </c>
      <c r="V16" s="15">
        <v>11.246</v>
      </c>
    </row>
    <row r="17" spans="2:24" s="1" customFormat="1" x14ac:dyDescent="0.25">
      <c r="B17" s="1" t="s">
        <v>16</v>
      </c>
      <c r="C17" s="11">
        <f t="shared" ref="C17:I17" si="4">C14+SUM(C15:C16)</f>
        <v>0</v>
      </c>
      <c r="D17" s="11">
        <f t="shared" si="4"/>
        <v>-15.707999999999995</v>
      </c>
      <c r="E17" s="11">
        <f t="shared" si="4"/>
        <v>-59.930000000000014</v>
      </c>
      <c r="F17" s="11">
        <f t="shared" si="4"/>
        <v>-58.731000000000023</v>
      </c>
      <c r="G17" s="14">
        <f t="shared" si="4"/>
        <v>17.868000000000109</v>
      </c>
      <c r="H17" s="11">
        <f t="shared" si="4"/>
        <v>736.37</v>
      </c>
      <c r="I17" s="11">
        <f t="shared" si="4"/>
        <v>945.77</v>
      </c>
      <c r="L17" s="11">
        <f t="shared" ref="L17:V17" si="5">L14+SUM(L15:L16)</f>
        <v>-12.146000000000004</v>
      </c>
      <c r="M17" s="11">
        <f t="shared" si="5"/>
        <v>-14.98999999999999</v>
      </c>
      <c r="N17" s="11">
        <f t="shared" si="5"/>
        <v>-18.35700000000001</v>
      </c>
      <c r="O17" s="11">
        <f t="shared" si="5"/>
        <v>-13.238000000000003</v>
      </c>
      <c r="P17" s="11">
        <f t="shared" si="5"/>
        <v>-2.6589999999999892</v>
      </c>
      <c r="Q17" s="11">
        <f t="shared" si="5"/>
        <v>2.4709999999999841</v>
      </c>
      <c r="R17" s="11">
        <f t="shared" si="5"/>
        <v>2.9080000000000119</v>
      </c>
      <c r="S17" s="11">
        <f t="shared" si="5"/>
        <v>15.148000000000032</v>
      </c>
      <c r="T17" s="11">
        <f t="shared" si="5"/>
        <v>25.897999999999989</v>
      </c>
      <c r="U17" s="152">
        <f t="shared" si="5"/>
        <v>28.70500000000003</v>
      </c>
      <c r="V17" s="14">
        <f t="shared" si="5"/>
        <v>25.388999999999985</v>
      </c>
    </row>
    <row r="18" spans="2:24" x14ac:dyDescent="0.25">
      <c r="B18" t="s">
        <v>17</v>
      </c>
      <c r="C18" s="10"/>
      <c r="D18" s="10">
        <v>6.8000000000000005E-2</v>
      </c>
      <c r="E18" s="10">
        <v>0.17699999999999999</v>
      </c>
      <c r="F18" s="10">
        <v>0.93799999999999994</v>
      </c>
      <c r="G18" s="15">
        <v>1.71</v>
      </c>
      <c r="H18" s="40"/>
      <c r="I18" s="40"/>
      <c r="L18" s="10">
        <v>2.8000000000000001E-2</v>
      </c>
      <c r="M18" s="10">
        <v>0.14099999999999999</v>
      </c>
      <c r="N18" s="10">
        <v>5.2999999999999999E-2</v>
      </c>
      <c r="O18" s="10">
        <v>0.71599999999999997</v>
      </c>
      <c r="P18" s="10">
        <v>-0.11600000000000001</v>
      </c>
      <c r="Q18" s="10">
        <v>-1.3149999999999999</v>
      </c>
      <c r="R18" s="10">
        <v>0.125</v>
      </c>
      <c r="S18" s="10">
        <v>3.016</v>
      </c>
      <c r="T18" s="10">
        <v>-1.105</v>
      </c>
      <c r="U18" s="154">
        <v>4.3630000000000004</v>
      </c>
      <c r="V18" s="15">
        <v>2.0289999999999999</v>
      </c>
    </row>
    <row r="19" spans="2:24" s="1" customFormat="1" x14ac:dyDescent="0.25">
      <c r="B19" s="1" t="s">
        <v>18</v>
      </c>
      <c r="C19" s="11">
        <f>C17-SUM(C18:C18)</f>
        <v>0</v>
      </c>
      <c r="D19" s="11">
        <f>D17-SUM(D18:D18)</f>
        <v>-15.775999999999994</v>
      </c>
      <c r="E19" s="11">
        <f>E17-SUM(E18:E18)</f>
        <v>-60.107000000000014</v>
      </c>
      <c r="F19" s="11">
        <f>F17-SUM(F18:F18)</f>
        <v>-59.669000000000025</v>
      </c>
      <c r="G19" s="14">
        <f>G17-SUM(G18:G18)</f>
        <v>16.158000000000108</v>
      </c>
      <c r="H19" s="56">
        <f>H22*H20</f>
        <v>86.429999999999993</v>
      </c>
      <c r="I19" s="56">
        <f>I22*I20</f>
        <v>129.42999999999998</v>
      </c>
      <c r="L19" s="11">
        <f t="shared" ref="L19:V19" si="6">L17-SUM(L18:L18)</f>
        <v>-12.174000000000005</v>
      </c>
      <c r="M19" s="11">
        <f t="shared" si="6"/>
        <v>-15.13099999999999</v>
      </c>
      <c r="N19" s="11">
        <f t="shared" si="6"/>
        <v>-18.410000000000011</v>
      </c>
      <c r="O19" s="11">
        <f t="shared" si="6"/>
        <v>-13.954000000000002</v>
      </c>
      <c r="P19" s="11">
        <f t="shared" si="6"/>
        <v>-2.542999999999989</v>
      </c>
      <c r="Q19" s="11">
        <f t="shared" si="6"/>
        <v>3.785999999999984</v>
      </c>
      <c r="R19" s="11">
        <f t="shared" si="6"/>
        <v>2.7830000000000119</v>
      </c>
      <c r="S19" s="11">
        <f t="shared" si="6"/>
        <v>12.132000000000032</v>
      </c>
      <c r="T19" s="11">
        <f t="shared" si="6"/>
        <v>27.002999999999989</v>
      </c>
      <c r="U19" s="152">
        <f t="shared" si="6"/>
        <v>24.342000000000031</v>
      </c>
      <c r="V19" s="14">
        <f t="shared" si="6"/>
        <v>23.359999999999985</v>
      </c>
    </row>
    <row r="20" spans="2:24" x14ac:dyDescent="0.25">
      <c r="B20" t="s">
        <v>1</v>
      </c>
      <c r="C20" s="10"/>
      <c r="D20" s="10">
        <f>D21*D19</f>
        <v>19.562239999999992</v>
      </c>
      <c r="E20" s="10">
        <f>22.592387+16.032907</f>
        <v>38.625293999999997</v>
      </c>
      <c r="F20" s="10">
        <f>32.201681+8.434238</f>
        <v>40.635919000000001</v>
      </c>
      <c r="G20" s="15">
        <f>36.680751+6.195077</f>
        <v>42.875827999999998</v>
      </c>
      <c r="H20" s="40">
        <v>43</v>
      </c>
      <c r="I20" s="40">
        <v>43</v>
      </c>
      <c r="L20" s="10">
        <f>F20</f>
        <v>40.635919000000001</v>
      </c>
      <c r="M20" s="10">
        <v>40.635919000000001</v>
      </c>
      <c r="N20" s="10">
        <v>40.635919000000001</v>
      </c>
      <c r="O20" s="10">
        <v>40.635919000000001</v>
      </c>
      <c r="P20" s="10">
        <f>G20</f>
        <v>42.875827999999998</v>
      </c>
      <c r="Q20" s="10">
        <v>42.875827999999998</v>
      </c>
      <c r="R20" s="10">
        <v>42.875827999999998</v>
      </c>
      <c r="S20" s="10">
        <v>42.875827999999998</v>
      </c>
      <c r="T20" s="10">
        <f>36.989041+6.133077</f>
        <v>43.122118</v>
      </c>
      <c r="U20" s="154">
        <f>37.436692+6.102077</f>
        <v>43.538769000000002</v>
      </c>
      <c r="V20" s="15">
        <v>43.98</v>
      </c>
    </row>
    <row r="21" spans="2:24" s="1" customFormat="1" x14ac:dyDescent="0.25">
      <c r="B21" s="1" t="s">
        <v>220</v>
      </c>
      <c r="C21" s="2" t="e">
        <f>C19/C20</f>
        <v>#DIV/0!</v>
      </c>
      <c r="D21" s="2">
        <v>-1.24</v>
      </c>
      <c r="E21" s="2">
        <f>E19/E20</f>
        <v>-1.5561564398707235</v>
      </c>
      <c r="F21" s="2">
        <f>F19/F20</f>
        <v>-1.4683807200225993</v>
      </c>
      <c r="G21" s="54">
        <f>G19/G20</f>
        <v>0.37685569594131474</v>
      </c>
      <c r="H21" s="131">
        <v>1.87</v>
      </c>
      <c r="I21" s="130">
        <v>2.83</v>
      </c>
      <c r="L21" s="2">
        <f>L19/L20</f>
        <v>-0.29958717065067497</v>
      </c>
      <c r="M21" s="2">
        <f t="shared" ref="M21:V21" si="7">M19/M20</f>
        <v>-0.37235530467515671</v>
      </c>
      <c r="N21" s="2">
        <f t="shared" si="7"/>
        <v>-0.45304746276317781</v>
      </c>
      <c r="O21" s="2">
        <f t="shared" si="7"/>
        <v>-0.34339078193358941</v>
      </c>
      <c r="P21" s="2">
        <f t="shared" si="7"/>
        <v>-5.9310807945213075E-2</v>
      </c>
      <c r="Q21" s="2">
        <f t="shared" si="7"/>
        <v>8.8301501722601927E-2</v>
      </c>
      <c r="R21" s="2">
        <f t="shared" si="7"/>
        <v>6.4908367483888868E-2</v>
      </c>
      <c r="S21" s="2">
        <f t="shared" si="7"/>
        <v>0.2829566346800354</v>
      </c>
      <c r="T21" s="2">
        <f t="shared" si="7"/>
        <v>0.6261983699409196</v>
      </c>
      <c r="U21" s="156">
        <f t="shared" si="7"/>
        <v>0.55908792460347301</v>
      </c>
      <c r="V21" s="35">
        <v>0.49</v>
      </c>
      <c r="W21" s="130">
        <f>W22</f>
        <v>0.47</v>
      </c>
      <c r="X21" s="1">
        <f>X22</f>
        <v>0.69</v>
      </c>
    </row>
    <row r="22" spans="2:24" s="1" customFormat="1" x14ac:dyDescent="0.25">
      <c r="B22" s="9" t="s">
        <v>62</v>
      </c>
      <c r="C22" s="2"/>
      <c r="D22" s="2"/>
      <c r="E22" s="2"/>
      <c r="F22" s="2"/>
      <c r="G22" s="35"/>
      <c r="H22" s="44">
        <v>2.0099999999999998</v>
      </c>
      <c r="I22" s="45">
        <v>3.01</v>
      </c>
      <c r="L22" s="50"/>
      <c r="M22" s="50"/>
      <c r="N22" s="50"/>
      <c r="O22" s="50"/>
      <c r="P22" s="50"/>
      <c r="Q22" s="50"/>
      <c r="R22" s="50"/>
      <c r="S22" s="127"/>
      <c r="T22" s="49">
        <v>0.27</v>
      </c>
      <c r="U22" s="157">
        <v>0.25</v>
      </c>
      <c r="V22" s="129">
        <v>0.35</v>
      </c>
      <c r="W22" s="1">
        <v>0.47</v>
      </c>
      <c r="X22" s="1">
        <v>0.69</v>
      </c>
    </row>
    <row r="23" spans="2:24" s="1" customFormat="1" x14ac:dyDescent="0.25">
      <c r="B23" t="s">
        <v>27</v>
      </c>
      <c r="C23" s="3" t="e">
        <f>1-C10/C8</f>
        <v>#DIV/0!</v>
      </c>
      <c r="D23" s="3">
        <f>1-D10/D8</f>
        <v>0.71559593310904412</v>
      </c>
      <c r="E23" s="3">
        <f>1-E10/E8</f>
        <v>0.72413875598086119</v>
      </c>
      <c r="F23" s="3">
        <f>1-F10/F8</f>
        <v>0.73083107742284792</v>
      </c>
      <c r="G23" s="6">
        <f>1-G10/G8</f>
        <v>0.73248305722891571</v>
      </c>
      <c r="H23" s="46"/>
      <c r="I23" s="46"/>
      <c r="L23" s="3">
        <f t="shared" ref="L23:U23" si="8">1-L10/L8</f>
        <v>0.7353448275862069</v>
      </c>
      <c r="M23" s="3">
        <f t="shared" si="8"/>
        <v>0.72968289920724805</v>
      </c>
      <c r="N23" s="3">
        <f t="shared" si="8"/>
        <v>0.72630593132154009</v>
      </c>
      <c r="O23" s="3">
        <f t="shared" si="8"/>
        <v>0.73246628131021196</v>
      </c>
      <c r="P23" s="3">
        <f t="shared" si="8"/>
        <v>0.72781331028522045</v>
      </c>
      <c r="Q23" s="3">
        <f t="shared" si="8"/>
        <v>0.73374310480693461</v>
      </c>
      <c r="R23" s="3">
        <f t="shared" si="8"/>
        <v>0.73652616279069771</v>
      </c>
      <c r="S23" s="39">
        <f>1-S10/S8</f>
        <v>0.73131788079470206</v>
      </c>
      <c r="T23" s="39">
        <f>1-T10/T8</f>
        <v>0.73036396181384244</v>
      </c>
      <c r="U23" s="39">
        <f t="shared" si="8"/>
        <v>0.73446875806144085</v>
      </c>
      <c r="V23" s="6">
        <f t="shared" ref="V23" si="9">1-V10/V8</f>
        <v>0.72906736450772092</v>
      </c>
    </row>
    <row r="24" spans="2:24" x14ac:dyDescent="0.25">
      <c r="B24" t="s">
        <v>28</v>
      </c>
      <c r="C24" s="4" t="e">
        <f>C19/C8</f>
        <v>#DIV/0!</v>
      </c>
      <c r="D24" s="4">
        <f>D19/D8</f>
        <v>-9.7565802493568138E-2</v>
      </c>
      <c r="E24" s="4">
        <f>E19/E8</f>
        <v>-0.23966108452950566</v>
      </c>
      <c r="F24" s="4">
        <f>F19/F8</f>
        <v>-0.16152950730915006</v>
      </c>
      <c r="G24" s="7">
        <f>G19/G8</f>
        <v>3.0417921686747187E-2</v>
      </c>
      <c r="H24" s="47">
        <f>H19/H9</f>
        <v>0.11645893687259987</v>
      </c>
      <c r="I24" s="47">
        <f>I19/I9</f>
        <v>0.13576336078040591</v>
      </c>
      <c r="L24" s="4">
        <f t="shared" ref="L24:U24" si="10">L19/L8</f>
        <v>-0.1499261083743843</v>
      </c>
      <c r="M24" s="4">
        <f t="shared" si="10"/>
        <v>-0.17135900339750834</v>
      </c>
      <c r="N24" s="4">
        <f t="shared" si="10"/>
        <v>-0.19157127991675352</v>
      </c>
      <c r="O24" s="4">
        <f t="shared" si="10"/>
        <v>-0.13443159922928713</v>
      </c>
      <c r="P24" s="4">
        <f t="shared" si="10"/>
        <v>-2.1979256698357728E-2</v>
      </c>
      <c r="Q24" s="4">
        <f t="shared" si="10"/>
        <v>2.9834515366430135E-2</v>
      </c>
      <c r="R24" s="4">
        <f t="shared" si="10"/>
        <v>2.0225290697674501E-2</v>
      </c>
      <c r="S24" s="4">
        <f t="shared" si="10"/>
        <v>8.0344370860927342E-2</v>
      </c>
      <c r="T24" s="4">
        <f t="shared" si="10"/>
        <v>0.16111575178997609</v>
      </c>
      <c r="U24" s="158">
        <f t="shared" si="10"/>
        <v>0.13650893347839269</v>
      </c>
      <c r="V24" s="7">
        <f t="shared" ref="V24" si="11">V19/V8</f>
        <v>0.12129142133192096</v>
      </c>
    </row>
    <row r="25" spans="2:24" x14ac:dyDescent="0.25">
      <c r="B25" t="s">
        <v>29</v>
      </c>
      <c r="C25" s="3"/>
      <c r="D25" s="3"/>
      <c r="E25" s="3">
        <f>E8/D8-1</f>
        <v>0.55105877696417971</v>
      </c>
      <c r="F25" s="39">
        <f>F8/E8-1</f>
        <v>0.47288676236044669</v>
      </c>
      <c r="G25" s="6">
        <f>G8/F8-1</f>
        <v>0.43800757985923133</v>
      </c>
      <c r="H25" s="48">
        <f>H9/G8-1</f>
        <v>0.3971197289156625</v>
      </c>
      <c r="I25" s="48">
        <f>I9/H9-1</f>
        <v>0.28457858923398249</v>
      </c>
      <c r="L25" s="4"/>
      <c r="M25" s="4"/>
      <c r="N25" s="4"/>
      <c r="O25" s="4"/>
      <c r="P25" s="166">
        <f t="shared" ref="P25:X25" si="12">P8/L8-1</f>
        <v>0.42487684729064035</v>
      </c>
      <c r="Q25" s="166">
        <f t="shared" si="12"/>
        <v>0.43714609286523198</v>
      </c>
      <c r="R25" s="166">
        <f t="shared" si="12"/>
        <v>0.43184183142559873</v>
      </c>
      <c r="S25" s="166">
        <f t="shared" si="12"/>
        <v>0.45472061657032792</v>
      </c>
      <c r="T25" s="166">
        <f t="shared" si="12"/>
        <v>0.44857389801210013</v>
      </c>
      <c r="U25" s="167">
        <f t="shared" si="12"/>
        <v>0.40518518518518531</v>
      </c>
      <c r="V25" s="168">
        <f t="shared" si="12"/>
        <v>0.3996656976744184</v>
      </c>
      <c r="W25" s="167">
        <f t="shared" si="12"/>
        <v>0.35403973509933762</v>
      </c>
      <c r="X25" s="167">
        <f t="shared" si="12"/>
        <v>0.31420047732696887</v>
      </c>
    </row>
    <row r="26" spans="2:24" x14ac:dyDescent="0.25">
      <c r="B26" t="s">
        <v>129</v>
      </c>
      <c r="C26" s="4" t="e">
        <f>C11/C8</f>
        <v>#DIV/0!</v>
      </c>
      <c r="D26" s="4">
        <f>D11/D8</f>
        <v>0.32792400554126261</v>
      </c>
      <c r="E26" s="4">
        <f>E11/E8</f>
        <v>0.41400717703349282</v>
      </c>
      <c r="F26" s="4">
        <f>F11/F8</f>
        <v>0.40726583649160802</v>
      </c>
      <c r="G26" s="7">
        <f>G11/G8</f>
        <v>0.36587349397590357</v>
      </c>
      <c r="H26" s="118"/>
      <c r="I26" s="118"/>
      <c r="L26" s="4">
        <f t="shared" ref="L26:S26" si="13">L11/L8</f>
        <v>0.36676108374384236</v>
      </c>
      <c r="M26" s="4">
        <f t="shared" si="13"/>
        <v>0.38750849377123436</v>
      </c>
      <c r="N26" s="4">
        <f t="shared" si="13"/>
        <v>0.43679500520291364</v>
      </c>
      <c r="O26" s="4">
        <f t="shared" si="13"/>
        <v>0.42842003853564548</v>
      </c>
      <c r="P26" s="4">
        <f t="shared" si="13"/>
        <v>0.39623163353500435</v>
      </c>
      <c r="Q26" s="4">
        <f t="shared" si="13"/>
        <v>0.37783293932230105</v>
      </c>
      <c r="R26" s="4">
        <f t="shared" si="13"/>
        <v>0.36558866279069763</v>
      </c>
      <c r="S26" s="4">
        <f t="shared" si="13"/>
        <v>0.33282119205298005</v>
      </c>
      <c r="T26" s="4">
        <f t="shared" ref="T26" si="14">T11/T8</f>
        <v>0.30356801909307879</v>
      </c>
      <c r="U26" s="158">
        <f>U11/U8</f>
        <v>0.30926210477910249</v>
      </c>
      <c r="V26" s="7">
        <f>V11/V8</f>
        <v>0.32647953726492002</v>
      </c>
    </row>
    <row r="27" spans="2:24" x14ac:dyDescent="0.25">
      <c r="B27" t="s">
        <v>153</v>
      </c>
      <c r="C27" s="4" t="e">
        <f>C12/C8</f>
        <v>#DIV/0!</v>
      </c>
      <c r="D27" s="4">
        <f>D12/D8</f>
        <v>0.21635043538491983</v>
      </c>
      <c r="E27" s="4">
        <f>E12/E8</f>
        <v>0.23592503987240832</v>
      </c>
      <c r="F27" s="4">
        <f>F12/F8</f>
        <v>0.181285868976719</v>
      </c>
      <c r="G27" s="7">
        <f>G12/G8</f>
        <v>0.14267319277108431</v>
      </c>
      <c r="H27" s="118"/>
      <c r="I27" s="118"/>
      <c r="L27" s="4">
        <f t="shared" ref="L27:S27" si="15">L12/L8</f>
        <v>0.18399014778325121</v>
      </c>
      <c r="M27" s="4">
        <f t="shared" si="15"/>
        <v>0.1730124575311438</v>
      </c>
      <c r="N27" s="4">
        <f t="shared" si="15"/>
        <v>0.18440166493236212</v>
      </c>
      <c r="O27" s="4">
        <f t="shared" si="15"/>
        <v>0.18332369942196533</v>
      </c>
      <c r="P27" s="4">
        <f t="shared" si="15"/>
        <v>0.14348314606741572</v>
      </c>
      <c r="Q27" s="4">
        <f t="shared" si="15"/>
        <v>0.13974783293932233</v>
      </c>
      <c r="R27" s="4">
        <f t="shared" si="15"/>
        <v>0.16231831395348836</v>
      </c>
      <c r="S27" s="4">
        <f t="shared" si="15"/>
        <v>0.12660927152317877</v>
      </c>
      <c r="T27" s="4">
        <f>T12/T8</f>
        <v>0.1189200477326969</v>
      </c>
      <c r="U27" s="158">
        <f t="shared" ref="U27:V27" si="16">U12/U8</f>
        <v>0.1131349611368454</v>
      </c>
      <c r="V27" s="7">
        <f t="shared" si="16"/>
        <v>0.13278710655575979</v>
      </c>
    </row>
    <row r="28" spans="2:24" x14ac:dyDescent="0.25">
      <c r="B28" t="s">
        <v>130</v>
      </c>
      <c r="C28" s="4" t="e">
        <f t="shared" ref="C28:G28" si="17">C13/C8</f>
        <v>#DIV/0!</v>
      </c>
      <c r="D28" s="4">
        <f t="shared" si="17"/>
        <v>0.27034063922422324</v>
      </c>
      <c r="E28" s="4">
        <f t="shared" si="17"/>
        <v>0.31335725677830945</v>
      </c>
      <c r="F28" s="4">
        <f t="shared" si="17"/>
        <v>0.31902544667027616</v>
      </c>
      <c r="G28" s="7">
        <f t="shared" si="17"/>
        <v>0.24872552710843371</v>
      </c>
      <c r="H28" s="118"/>
      <c r="I28" s="118"/>
      <c r="L28" s="4">
        <f t="shared" ref="L28:Q28" si="18">L13/L8</f>
        <v>0.33073891625615764</v>
      </c>
      <c r="M28" s="4">
        <f t="shared" si="18"/>
        <v>0.34039637599093991</v>
      </c>
      <c r="N28" s="4">
        <f t="shared" si="18"/>
        <v>0.31454734651404792</v>
      </c>
      <c r="O28" s="4">
        <f t="shared" si="18"/>
        <v>0.29582851637764934</v>
      </c>
      <c r="P28" s="4">
        <f t="shared" si="18"/>
        <v>0.26139152981849612</v>
      </c>
      <c r="Q28" s="4">
        <f t="shared" si="18"/>
        <v>0.25401891252955083</v>
      </c>
      <c r="R28" s="4">
        <f>R13/R8</f>
        <v>0.24273255813953484</v>
      </c>
      <c r="S28" s="4">
        <f>S13/S8</f>
        <v>0.2400331125827814</v>
      </c>
      <c r="T28" s="4">
        <f t="shared" ref="T28:U28" si="19">T13/T8</f>
        <v>0.20951073985680191</v>
      </c>
      <c r="U28" s="158">
        <f t="shared" si="19"/>
        <v>0.2072533339315156</v>
      </c>
      <c r="V28" s="7">
        <f t="shared" ref="V28" si="20">V13/V8</f>
        <v>0.19932085111685721</v>
      </c>
    </row>
    <row r="29" spans="2:24" x14ac:dyDescent="0.25">
      <c r="B29" t="s">
        <v>127</v>
      </c>
      <c r="C29" s="4"/>
      <c r="D29" s="4"/>
      <c r="E29" s="4" t="e">
        <f t="shared" ref="E29:G30" si="21">E3/D3-1</f>
        <v>#DIV/0!</v>
      </c>
      <c r="F29" s="4">
        <f t="shared" si="21"/>
        <v>0.51355838406198129</v>
      </c>
      <c r="G29" s="7">
        <f t="shared" si="21"/>
        <v>0.4797074954296161</v>
      </c>
      <c r="H29" s="118"/>
      <c r="I29" s="118"/>
      <c r="L29" s="4"/>
      <c r="M29" s="4"/>
      <c r="N29" s="4"/>
      <c r="O29" s="4"/>
      <c r="P29" s="4"/>
      <c r="Q29" s="4"/>
      <c r="R29" s="4"/>
      <c r="S29" s="4"/>
      <c r="T29" s="4"/>
    </row>
    <row r="30" spans="2:24" x14ac:dyDescent="0.25">
      <c r="B30" t="s">
        <v>128</v>
      </c>
      <c r="C30" s="4"/>
      <c r="D30" s="4"/>
      <c r="E30" s="4" t="e">
        <f t="shared" si="21"/>
        <v>#DIV/0!</v>
      </c>
      <c r="F30" s="4">
        <f t="shared" si="21"/>
        <v>0.16103896103896109</v>
      </c>
      <c r="G30" s="7">
        <f t="shared" si="21"/>
        <v>0.11633109619686799</v>
      </c>
      <c r="H30" s="118"/>
      <c r="I30" s="118"/>
      <c r="L30" s="4"/>
      <c r="M30" s="4"/>
      <c r="N30" s="4"/>
      <c r="O30" s="4"/>
      <c r="P30" s="4"/>
      <c r="Q30" s="4"/>
      <c r="R30" s="4"/>
      <c r="S30" s="4"/>
      <c r="T30" s="4"/>
    </row>
    <row r="31" spans="2:24" x14ac:dyDescent="0.25">
      <c r="B31" t="s">
        <v>208</v>
      </c>
      <c r="C31" s="3"/>
      <c r="D31" s="3" t="e">
        <f>-(D19/C19-1)</f>
        <v>#DIV/0!</v>
      </c>
      <c r="E31" s="3">
        <f>-(E19/D19-1)</f>
        <v>-2.8100278904665337</v>
      </c>
      <c r="F31" s="39">
        <f>F19/E19-1</f>
        <v>-7.2870048413660182E-3</v>
      </c>
      <c r="G31" s="6">
        <f>G19/F19-1</f>
        <v>-1.2707938795689571</v>
      </c>
      <c r="H31" s="55">
        <f>H22/G21-1</f>
        <v>4.3336065280356113</v>
      </c>
      <c r="I31" s="55">
        <f>I22/H22-1</f>
        <v>0.49751243781094523</v>
      </c>
      <c r="L31" s="4"/>
      <c r="M31" s="4"/>
      <c r="N31" s="4" t="e">
        <f t="shared" ref="N31:T31" si="22">N21/J21-1</f>
        <v>#DIV/0!</v>
      </c>
      <c r="O31" s="4" t="e">
        <f t="shared" si="22"/>
        <v>#DIV/0!</v>
      </c>
      <c r="P31" s="4">
        <f t="shared" si="22"/>
        <v>-0.80202487370739006</v>
      </c>
      <c r="Q31" s="4">
        <f t="shared" si="22"/>
        <v>-1.237143128119623</v>
      </c>
      <c r="R31" s="4">
        <f t="shared" si="22"/>
        <v>-1.1432705683594535</v>
      </c>
      <c r="S31" s="4">
        <f t="shared" si="22"/>
        <v>-1.8240076599806869</v>
      </c>
      <c r="T31" s="4">
        <f t="shared" si="22"/>
        <v>-11.557913332075247</v>
      </c>
      <c r="U31" s="158">
        <f>U21/Q21-1</f>
        <v>5.3315788938657098</v>
      </c>
      <c r="V31" s="7">
        <f>V21/R21-1</f>
        <v>6.549103744160945</v>
      </c>
      <c r="W31" s="4">
        <f>W21/S21-1</f>
        <v>0.66103191229805014</v>
      </c>
      <c r="X31" s="4">
        <f>X21/T21-1</f>
        <v>0.10188725030552193</v>
      </c>
    </row>
    <row r="34" spans="2:23" s="1" customFormat="1" x14ac:dyDescent="0.25">
      <c r="B34" s="1" t="s">
        <v>35</v>
      </c>
      <c r="C34" s="11">
        <f t="shared" ref="C34:E34" si="23">C35</f>
        <v>0</v>
      </c>
      <c r="D34" s="11">
        <f t="shared" si="23"/>
        <v>120.49</v>
      </c>
      <c r="E34" s="11">
        <f t="shared" si="23"/>
        <v>553.99199999999996</v>
      </c>
      <c r="F34" s="11">
        <f>F35</f>
        <v>608.17999999999995</v>
      </c>
      <c r="G34" s="14">
        <f>G35</f>
        <v>747.61</v>
      </c>
      <c r="L34" s="11">
        <f t="shared" ref="L34:W34" si="24">L35</f>
        <v>0</v>
      </c>
      <c r="M34" s="11">
        <f t="shared" si="24"/>
        <v>0</v>
      </c>
      <c r="N34" s="11">
        <f t="shared" si="24"/>
        <v>0</v>
      </c>
      <c r="O34" s="11">
        <f t="shared" si="24"/>
        <v>608.17999999999995</v>
      </c>
      <c r="P34" s="11">
        <f t="shared" si="24"/>
        <v>641.09100000000001</v>
      </c>
      <c r="Q34" s="11">
        <f t="shared" si="24"/>
        <v>678.66499999999996</v>
      </c>
      <c r="R34" s="11">
        <f t="shared" si="24"/>
        <v>701.73699999999997</v>
      </c>
      <c r="S34" s="11">
        <f t="shared" si="24"/>
        <v>747.61</v>
      </c>
      <c r="T34" s="11">
        <f t="shared" si="24"/>
        <v>829.71299999999997</v>
      </c>
      <c r="U34" s="152">
        <f t="shared" si="24"/>
        <v>888.24</v>
      </c>
      <c r="V34" s="14">
        <f t="shared" si="24"/>
        <v>880.76300000000003</v>
      </c>
      <c r="W34" s="11">
        <f t="shared" si="24"/>
        <v>0</v>
      </c>
    </row>
    <row r="35" spans="2:23" x14ac:dyDescent="0.25">
      <c r="B35" t="s">
        <v>20</v>
      </c>
      <c r="C35" s="10"/>
      <c r="D35" s="10">
        <v>120.49</v>
      </c>
      <c r="E35" s="10">
        <v>553.99199999999996</v>
      </c>
      <c r="F35" s="10">
        <v>608.17999999999995</v>
      </c>
      <c r="G35" s="15">
        <v>747.61</v>
      </c>
      <c r="L35" s="10"/>
      <c r="M35" s="10"/>
      <c r="N35" s="10"/>
      <c r="O35" s="10">
        <f>F35</f>
        <v>608.17999999999995</v>
      </c>
      <c r="P35" s="10">
        <v>641.09100000000001</v>
      </c>
      <c r="Q35" s="10">
        <v>678.66499999999996</v>
      </c>
      <c r="R35" s="10">
        <v>701.73699999999997</v>
      </c>
      <c r="S35" s="10">
        <f>G35</f>
        <v>747.61</v>
      </c>
      <c r="T35" s="10">
        <v>829.71299999999997</v>
      </c>
      <c r="U35" s="154">
        <v>888.24</v>
      </c>
      <c r="V35" s="15">
        <f>854.409+26.354</f>
        <v>880.76300000000003</v>
      </c>
      <c r="W35" s="10"/>
    </row>
    <row r="36" spans="2:23" x14ac:dyDescent="0.25">
      <c r="B36" t="s">
        <v>21</v>
      </c>
      <c r="C36" s="10"/>
      <c r="D36" s="10">
        <v>20.45</v>
      </c>
      <c r="E36" s="10">
        <v>33.162999999999997</v>
      </c>
      <c r="F36" s="10">
        <v>46.728000000000002</v>
      </c>
      <c r="G36" s="15">
        <v>88.974999999999994</v>
      </c>
      <c r="L36" s="10"/>
      <c r="M36" s="10"/>
      <c r="N36" s="10"/>
      <c r="O36" s="10">
        <f>F36</f>
        <v>46.728000000000002</v>
      </c>
      <c r="P36" s="10">
        <v>52.509</v>
      </c>
      <c r="Q36" s="10">
        <v>53.405999999999999</v>
      </c>
      <c r="R36" s="10">
        <v>61.710999999999999</v>
      </c>
      <c r="S36" s="10">
        <f>G36</f>
        <v>88.974999999999994</v>
      </c>
      <c r="T36" s="10">
        <v>76.421000000000006</v>
      </c>
      <c r="U36" s="154">
        <v>77.721999999999994</v>
      </c>
      <c r="V36" s="15">
        <v>94.215000000000003</v>
      </c>
      <c r="W36" s="10"/>
    </row>
    <row r="37" spans="2:23" x14ac:dyDescent="0.25">
      <c r="B37" t="s">
        <v>150</v>
      </c>
      <c r="C37" s="10"/>
      <c r="D37" s="10">
        <v>13.585000000000001</v>
      </c>
      <c r="E37" s="10">
        <v>24.219000000000001</v>
      </c>
      <c r="F37" s="10">
        <v>35.040999999999997</v>
      </c>
      <c r="G37" s="15">
        <v>53.930999999999997</v>
      </c>
      <c r="L37" s="10"/>
      <c r="M37" s="10"/>
      <c r="N37" s="10"/>
      <c r="O37" s="10">
        <f>F37</f>
        <v>35.040999999999997</v>
      </c>
      <c r="P37" s="10">
        <v>40.137</v>
      </c>
      <c r="Q37" s="10">
        <v>42.72</v>
      </c>
      <c r="R37" s="10">
        <v>46.124000000000002</v>
      </c>
      <c r="S37" s="10">
        <f>G37</f>
        <v>53.930999999999997</v>
      </c>
      <c r="T37" s="10">
        <v>60.396999999999998</v>
      </c>
      <c r="U37" s="154">
        <v>63.284999999999997</v>
      </c>
      <c r="V37" s="15">
        <v>67.328999999999994</v>
      </c>
      <c r="W37" s="10"/>
    </row>
    <row r="38" spans="2:23" x14ac:dyDescent="0.25">
      <c r="B38" t="s">
        <v>72</v>
      </c>
      <c r="C38" s="10"/>
      <c r="D38" s="10">
        <v>3.855</v>
      </c>
      <c r="E38" s="10">
        <v>7.9669999999999996</v>
      </c>
      <c r="F38" s="10">
        <v>7.234</v>
      </c>
      <c r="G38" s="15">
        <v>7.282</v>
      </c>
      <c r="L38" s="10"/>
      <c r="M38" s="10"/>
      <c r="N38" s="10"/>
      <c r="O38" s="10">
        <f>F38</f>
        <v>7.234</v>
      </c>
      <c r="P38" s="10">
        <v>7.4969999999999999</v>
      </c>
      <c r="Q38" s="10">
        <v>10.15</v>
      </c>
      <c r="R38" s="10">
        <v>9.5329999999999995</v>
      </c>
      <c r="S38" s="10">
        <f>G38</f>
        <v>7.282</v>
      </c>
      <c r="T38" s="10">
        <v>10.747</v>
      </c>
      <c r="U38" s="154">
        <v>12.317</v>
      </c>
      <c r="V38" s="15">
        <v>16.13</v>
      </c>
      <c r="W38" s="10"/>
    </row>
    <row r="39" spans="2:23" s="1" customFormat="1" x14ac:dyDescent="0.25">
      <c r="B39" s="1" t="s">
        <v>58</v>
      </c>
      <c r="C39" s="11">
        <f>SUM(C35:C38)</f>
        <v>0</v>
      </c>
      <c r="D39" s="11">
        <f>SUM(D35:D38)</f>
        <v>158.38</v>
      </c>
      <c r="E39" s="11">
        <f>SUM(E35:E38)</f>
        <v>619.34100000000001</v>
      </c>
      <c r="F39" s="11">
        <f>SUM(F35:F38)</f>
        <v>697.18299999999988</v>
      </c>
      <c r="G39" s="14">
        <f>SUM(G35:G38)</f>
        <v>897.79800000000012</v>
      </c>
      <c r="L39" s="11">
        <f t="shared" ref="L39:S39" si="25">SUM(L35:L38)</f>
        <v>0</v>
      </c>
      <c r="M39" s="11">
        <f t="shared" si="25"/>
        <v>0</v>
      </c>
      <c r="N39" s="11">
        <f t="shared" si="25"/>
        <v>0</v>
      </c>
      <c r="O39" s="11">
        <f t="shared" si="25"/>
        <v>697.18299999999988</v>
      </c>
      <c r="P39" s="11">
        <f t="shared" si="25"/>
        <v>741.23400000000004</v>
      </c>
      <c r="Q39" s="11">
        <f t="shared" si="25"/>
        <v>784.94099999999992</v>
      </c>
      <c r="R39" s="11">
        <f t="shared" si="25"/>
        <v>819.10500000000002</v>
      </c>
      <c r="S39" s="11">
        <f t="shared" si="25"/>
        <v>897.79800000000012</v>
      </c>
      <c r="T39" s="11">
        <f t="shared" ref="T39:W39" si="26">SUM(T35:T38)</f>
        <v>977.27800000000002</v>
      </c>
      <c r="U39" s="152">
        <f t="shared" si="26"/>
        <v>1041.5640000000001</v>
      </c>
      <c r="V39" s="14">
        <f t="shared" si="26"/>
        <v>1058.4370000000001</v>
      </c>
      <c r="W39" s="11">
        <f t="shared" si="26"/>
        <v>0</v>
      </c>
    </row>
    <row r="40" spans="2:23" x14ac:dyDescent="0.25">
      <c r="B40" t="s">
        <v>73</v>
      </c>
      <c r="C40" s="10"/>
      <c r="D40" s="10">
        <v>6.4279999999999999</v>
      </c>
      <c r="E40" s="10">
        <v>8.2110000000000003</v>
      </c>
      <c r="F40" s="10">
        <v>12.968999999999999</v>
      </c>
      <c r="G40" s="15"/>
      <c r="L40" s="10"/>
      <c r="M40" s="10"/>
      <c r="N40" s="10"/>
      <c r="O40" s="10"/>
      <c r="P40" s="10"/>
      <c r="Q40" s="10"/>
      <c r="R40" s="10"/>
      <c r="S40" s="10"/>
      <c r="T40" s="10">
        <v>13.209</v>
      </c>
      <c r="U40" s="154">
        <v>18.343</v>
      </c>
      <c r="V40" s="15">
        <v>48.624000000000002</v>
      </c>
      <c r="W40" s="10"/>
    </row>
    <row r="41" spans="2:23" x14ac:dyDescent="0.25">
      <c r="B41" t="s">
        <v>23</v>
      </c>
      <c r="C41" s="10"/>
      <c r="D41" s="10"/>
      <c r="E41" s="10">
        <v>0</v>
      </c>
      <c r="F41" s="10">
        <v>4.05</v>
      </c>
      <c r="G41" s="15"/>
      <c r="L41" s="10"/>
      <c r="M41" s="10"/>
      <c r="N41" s="10"/>
      <c r="O41" s="10"/>
      <c r="P41" s="10"/>
      <c r="Q41" s="10"/>
      <c r="R41" s="10"/>
      <c r="S41" s="10"/>
      <c r="T41" s="10">
        <v>4.05</v>
      </c>
      <c r="U41" s="154">
        <v>4.05</v>
      </c>
      <c r="V41" s="15">
        <v>10.538</v>
      </c>
      <c r="W41" s="10"/>
    </row>
    <row r="42" spans="2:23" x14ac:dyDescent="0.25">
      <c r="B42" t="s">
        <v>155</v>
      </c>
      <c r="C42" s="10"/>
      <c r="D42" s="10">
        <v>2.2959999999999998</v>
      </c>
      <c r="E42" s="10">
        <v>4.5659999999999998</v>
      </c>
      <c r="F42" s="10">
        <v>8.4969999999999999</v>
      </c>
      <c r="G42" s="15"/>
      <c r="L42" s="10"/>
      <c r="M42" s="10"/>
      <c r="N42" s="10"/>
      <c r="O42" s="10"/>
      <c r="P42" s="10"/>
      <c r="Q42" s="10"/>
      <c r="R42" s="10"/>
      <c r="S42" s="10"/>
      <c r="T42" s="10">
        <v>18.594999999999999</v>
      </c>
      <c r="U42" s="154">
        <v>20.585999999999999</v>
      </c>
      <c r="V42" s="15">
        <v>21.9</v>
      </c>
      <c r="W42" s="10"/>
    </row>
    <row r="43" spans="2:23" x14ac:dyDescent="0.25">
      <c r="B43" t="s">
        <v>218</v>
      </c>
      <c r="C43" s="10"/>
      <c r="D43" s="10"/>
      <c r="E43" s="10"/>
      <c r="F43" s="10"/>
      <c r="G43" s="15"/>
      <c r="L43" s="10"/>
      <c r="M43" s="10"/>
      <c r="N43" s="10"/>
      <c r="O43" s="10"/>
      <c r="P43" s="10"/>
      <c r="Q43" s="10"/>
      <c r="R43" s="10"/>
      <c r="S43" s="10"/>
      <c r="T43" s="10"/>
      <c r="U43" s="154"/>
      <c r="V43" s="15">
        <v>55.328000000000003</v>
      </c>
      <c r="W43" s="10"/>
    </row>
    <row r="44" spans="2:23" x14ac:dyDescent="0.25">
      <c r="B44" t="s">
        <v>60</v>
      </c>
      <c r="C44" s="10"/>
      <c r="D44" s="10">
        <v>8.0730000000000004</v>
      </c>
      <c r="E44" s="10">
        <v>28.369</v>
      </c>
      <c r="F44" s="10">
        <v>22</v>
      </c>
      <c r="G44" s="15"/>
      <c r="L44" s="10"/>
      <c r="M44" s="10"/>
      <c r="N44" s="10"/>
      <c r="O44" s="10"/>
      <c r="P44" s="10"/>
      <c r="Q44" s="10"/>
      <c r="R44" s="10"/>
      <c r="S44" s="10"/>
      <c r="T44" s="10">
        <v>49.784999999999997</v>
      </c>
      <c r="U44" s="154">
        <v>49.76</v>
      </c>
      <c r="V44" s="15">
        <f>19.495+2.735</f>
        <v>22.23</v>
      </c>
      <c r="W44" s="10"/>
    </row>
    <row r="45" spans="2:23" x14ac:dyDescent="0.25">
      <c r="B45" t="s">
        <v>154</v>
      </c>
      <c r="C45" s="10"/>
      <c r="D45" s="10"/>
      <c r="E45" s="10">
        <v>0</v>
      </c>
      <c r="F45" s="10">
        <v>0.63300000000000001</v>
      </c>
      <c r="G45" s="15"/>
      <c r="L45" s="10"/>
      <c r="M45" s="10"/>
      <c r="N45" s="10"/>
      <c r="O45" s="10"/>
      <c r="P45" s="10"/>
      <c r="Q45" s="10"/>
      <c r="R45" s="10"/>
      <c r="S45" s="10"/>
      <c r="T45" s="10">
        <f>2.735+0.766</f>
        <v>3.5009999999999999</v>
      </c>
      <c r="U45" s="154">
        <f>2.735+0.835</f>
        <v>3.57</v>
      </c>
      <c r="V45" s="15">
        <v>0.83499999999999996</v>
      </c>
      <c r="W45" s="10"/>
    </row>
    <row r="46" spans="2:23" x14ac:dyDescent="0.25">
      <c r="B46" t="s">
        <v>22</v>
      </c>
      <c r="C46" s="10"/>
      <c r="D46" s="10">
        <v>0.56200000000000006</v>
      </c>
      <c r="E46" s="10">
        <v>0.89400000000000002</v>
      </c>
      <c r="F46" s="10">
        <v>1.5069999999999999</v>
      </c>
      <c r="G46" s="15">
        <v>56.158999999999999</v>
      </c>
      <c r="L46" s="10"/>
      <c r="M46" s="10"/>
      <c r="N46" s="10"/>
      <c r="O46" s="10">
        <f>F46</f>
        <v>1.5069999999999999</v>
      </c>
      <c r="P46" s="10">
        <v>49.145000000000003</v>
      </c>
      <c r="Q46" s="10">
        <v>49.862000000000002</v>
      </c>
      <c r="R46" s="10">
        <v>51.609000000000002</v>
      </c>
      <c r="S46" s="10">
        <f>G46</f>
        <v>56.158999999999999</v>
      </c>
      <c r="T46" s="10">
        <v>2.2490000000000001</v>
      </c>
      <c r="U46" s="154">
        <v>1.57</v>
      </c>
      <c r="V46" s="15">
        <v>1.657</v>
      </c>
      <c r="W46" s="10"/>
    </row>
    <row r="47" spans="2:23" x14ac:dyDescent="0.25">
      <c r="B47" s="1" t="s">
        <v>24</v>
      </c>
      <c r="C47" s="11">
        <f>SUM(C39:C46)</f>
        <v>0</v>
      </c>
      <c r="D47" s="11">
        <f>SUM(D39:D46)</f>
        <v>175.739</v>
      </c>
      <c r="E47" s="11">
        <f>SUM(E39:E46)</f>
        <v>661.38100000000009</v>
      </c>
      <c r="F47" s="11">
        <f>SUM(F39:F46)</f>
        <v>746.83899999999983</v>
      </c>
      <c r="G47" s="14">
        <f>SUM(G39:G46)</f>
        <v>953.95700000000011</v>
      </c>
      <c r="L47" s="11">
        <f t="shared" ref="L47:S47" si="27">SUM(L39:L46)</f>
        <v>0</v>
      </c>
      <c r="M47" s="11">
        <f t="shared" si="27"/>
        <v>0</v>
      </c>
      <c r="N47" s="11">
        <f t="shared" si="27"/>
        <v>0</v>
      </c>
      <c r="O47" s="11">
        <f t="shared" si="27"/>
        <v>698.68999999999983</v>
      </c>
      <c r="P47" s="11">
        <f t="shared" si="27"/>
        <v>790.37900000000002</v>
      </c>
      <c r="Q47" s="11">
        <f t="shared" si="27"/>
        <v>834.80299999999988</v>
      </c>
      <c r="R47" s="11">
        <f t="shared" si="27"/>
        <v>870.71400000000006</v>
      </c>
      <c r="S47" s="11">
        <f t="shared" si="27"/>
        <v>953.95700000000011</v>
      </c>
      <c r="T47" s="11">
        <f t="shared" ref="T47:W47" si="28">SUM(T39:T46)</f>
        <v>1068.6669999999999</v>
      </c>
      <c r="U47" s="152">
        <f t="shared" si="28"/>
        <v>1139.443</v>
      </c>
      <c r="V47" s="14">
        <f t="shared" si="28"/>
        <v>1219.5490000000002</v>
      </c>
      <c r="W47" s="11">
        <f t="shared" si="28"/>
        <v>0</v>
      </c>
    </row>
    <row r="48" spans="2:23" x14ac:dyDescent="0.25">
      <c r="B48" t="s">
        <v>26</v>
      </c>
      <c r="C48" s="10"/>
      <c r="D48" s="10">
        <v>2.1960000000000002</v>
      </c>
      <c r="E48" s="10">
        <v>7.8179999999999996</v>
      </c>
      <c r="F48" s="10">
        <v>1.177</v>
      </c>
      <c r="G48" s="15">
        <v>2.4470000000000001</v>
      </c>
      <c r="L48" s="10"/>
      <c r="M48" s="10"/>
      <c r="N48" s="10"/>
      <c r="O48" s="10">
        <f>F48</f>
        <v>1.177</v>
      </c>
      <c r="P48" s="10">
        <v>0.98599999999999999</v>
      </c>
      <c r="Q48" s="10">
        <v>2.3050000000000002</v>
      </c>
      <c r="R48" s="10">
        <v>2.7120000000000002</v>
      </c>
      <c r="S48" s="10">
        <f>G48</f>
        <v>2.4470000000000001</v>
      </c>
      <c r="T48" s="10">
        <v>2.625</v>
      </c>
      <c r="U48" s="154">
        <v>3.4049999999999998</v>
      </c>
      <c r="V48" s="15">
        <v>3.649</v>
      </c>
      <c r="W48" s="10"/>
    </row>
    <row r="49" spans="2:24" x14ac:dyDescent="0.25">
      <c r="B49" t="s">
        <v>151</v>
      </c>
      <c r="C49" s="10"/>
      <c r="D49" s="10">
        <v>53.792000000000002</v>
      </c>
      <c r="E49" s="10">
        <v>98.266999999999996</v>
      </c>
      <c r="F49" s="10">
        <v>157.55000000000001</v>
      </c>
      <c r="G49" s="15">
        <v>249.19200000000001</v>
      </c>
      <c r="L49" s="10"/>
      <c r="M49" s="10"/>
      <c r="N49" s="10"/>
      <c r="O49" s="10">
        <f>F49</f>
        <v>157.55000000000001</v>
      </c>
      <c r="P49" s="10">
        <v>181.94200000000001</v>
      </c>
      <c r="Q49" s="10">
        <v>192.75299999999999</v>
      </c>
      <c r="R49" s="10">
        <v>208.88800000000001</v>
      </c>
      <c r="S49" s="10">
        <f>G49</f>
        <v>249.19200000000001</v>
      </c>
      <c r="T49" s="10">
        <v>279.31299999999999</v>
      </c>
      <c r="U49" s="154">
        <v>291.47699999999998</v>
      </c>
      <c r="V49" s="15">
        <v>310.60300000000001</v>
      </c>
      <c r="W49" s="10"/>
    </row>
    <row r="50" spans="2:24" x14ac:dyDescent="0.25">
      <c r="B50" t="s">
        <v>17</v>
      </c>
      <c r="C50" s="10"/>
      <c r="D50" s="10">
        <v>6.8000000000000005E-2</v>
      </c>
      <c r="E50" s="10">
        <v>0.113</v>
      </c>
      <c r="F50" s="10">
        <v>1.069</v>
      </c>
      <c r="G50" s="15"/>
      <c r="L50" s="10"/>
      <c r="M50" s="10"/>
      <c r="N50" s="10"/>
      <c r="O50" s="10"/>
      <c r="P50" s="10"/>
      <c r="Q50" s="10"/>
      <c r="R50" s="10"/>
      <c r="S50" s="10"/>
      <c r="T50" s="10">
        <v>0.36199999999999999</v>
      </c>
      <c r="U50" s="154">
        <v>3.7999999999999999E-2</v>
      </c>
      <c r="V50" s="15">
        <v>3.5999999999999997E-2</v>
      </c>
      <c r="W50" s="10"/>
    </row>
    <row r="51" spans="2:24" x14ac:dyDescent="0.25">
      <c r="B51" t="s">
        <v>156</v>
      </c>
      <c r="C51" s="10"/>
      <c r="D51" s="10">
        <v>8.6340000000000003</v>
      </c>
      <c r="E51" s="10">
        <v>12.933</v>
      </c>
      <c r="F51" s="10">
        <v>21.97</v>
      </c>
      <c r="G51" s="15">
        <v>25.722999999999999</v>
      </c>
      <c r="L51" s="10"/>
      <c r="M51" s="10"/>
      <c r="N51" s="10"/>
      <c r="O51" s="10">
        <f>F51</f>
        <v>21.97</v>
      </c>
      <c r="P51" s="10">
        <v>19.885000000000002</v>
      </c>
      <c r="Q51" s="10">
        <v>22.047999999999998</v>
      </c>
      <c r="R51" s="10">
        <v>23.334</v>
      </c>
      <c r="S51" s="10">
        <f>G51</f>
        <v>25.722999999999999</v>
      </c>
      <c r="T51" s="10">
        <v>21.422000000000001</v>
      </c>
      <c r="U51" s="154">
        <v>22.803999999999998</v>
      </c>
      <c r="V51" s="15">
        <v>27.844999999999999</v>
      </c>
      <c r="W51" s="10"/>
    </row>
    <row r="52" spans="2:24" s="1" customFormat="1" x14ac:dyDescent="0.25">
      <c r="B52" s="1" t="s">
        <v>59</v>
      </c>
      <c r="C52" s="11">
        <f>SUM(C48:C51)</f>
        <v>0</v>
      </c>
      <c r="D52" s="11">
        <f>SUM(D48:D51)</f>
        <v>64.69</v>
      </c>
      <c r="E52" s="11">
        <f>SUM(E48:E51)</f>
        <v>119.131</v>
      </c>
      <c r="F52" s="11">
        <f>SUM(F48:F51)</f>
        <v>181.76599999999999</v>
      </c>
      <c r="G52" s="14">
        <f>SUM(G48:G51)</f>
        <v>277.36200000000002</v>
      </c>
      <c r="L52" s="11">
        <f t="shared" ref="L52:S52" si="29">SUM(L48:L51)</f>
        <v>0</v>
      </c>
      <c r="M52" s="11">
        <f t="shared" si="29"/>
        <v>0</v>
      </c>
      <c r="N52" s="11">
        <f t="shared" si="29"/>
        <v>0</v>
      </c>
      <c r="O52" s="11">
        <f t="shared" si="29"/>
        <v>180.697</v>
      </c>
      <c r="P52" s="11">
        <f t="shared" si="29"/>
        <v>202.81299999999999</v>
      </c>
      <c r="Q52" s="11">
        <f t="shared" si="29"/>
        <v>217.10599999999999</v>
      </c>
      <c r="R52" s="11">
        <f t="shared" si="29"/>
        <v>234.934</v>
      </c>
      <c r="S52" s="11">
        <f t="shared" si="29"/>
        <v>277.36200000000002</v>
      </c>
      <c r="T52" s="11">
        <f t="shared" ref="T52:W52" si="30">SUM(T48:T51)</f>
        <v>303.72200000000004</v>
      </c>
      <c r="U52" s="152">
        <f t="shared" si="30"/>
        <v>317.72399999999993</v>
      </c>
      <c r="V52" s="14">
        <f t="shared" si="30"/>
        <v>342.13300000000004</v>
      </c>
      <c r="W52" s="11">
        <f t="shared" si="30"/>
        <v>0</v>
      </c>
    </row>
    <row r="53" spans="2:24" x14ac:dyDescent="0.25">
      <c r="B53" t="s">
        <v>152</v>
      </c>
      <c r="C53" s="10"/>
      <c r="D53" s="10">
        <v>8.1310000000000002</v>
      </c>
      <c r="E53" s="10">
        <v>29.123999999999999</v>
      </c>
      <c r="F53" s="10">
        <v>23.503</v>
      </c>
      <c r="G53" s="15">
        <v>21.094000000000001</v>
      </c>
      <c r="L53" s="10"/>
      <c r="M53" s="10"/>
      <c r="N53" s="10"/>
      <c r="O53" s="10">
        <f>F53</f>
        <v>23.503</v>
      </c>
      <c r="P53" s="10">
        <v>22.378</v>
      </c>
      <c r="Q53" s="10">
        <v>21.292000000000002</v>
      </c>
      <c r="R53" s="10">
        <v>20.960999999999999</v>
      </c>
      <c r="S53" s="10">
        <f>G53</f>
        <v>21.094000000000001</v>
      </c>
      <c r="T53" s="10">
        <v>53.893000000000001</v>
      </c>
      <c r="U53" s="154">
        <v>54.774999999999999</v>
      </c>
      <c r="V53" s="15">
        <v>54.651000000000003</v>
      </c>
      <c r="W53" s="10"/>
    </row>
    <row r="54" spans="2:24" x14ac:dyDescent="0.25">
      <c r="B54" t="s">
        <v>219</v>
      </c>
      <c r="C54" s="10"/>
      <c r="D54" s="10"/>
      <c r="E54" s="10"/>
      <c r="F54" s="10"/>
      <c r="G54" s="15"/>
      <c r="L54" s="10"/>
      <c r="M54" s="10"/>
      <c r="N54" s="10"/>
      <c r="O54" s="10"/>
      <c r="P54" s="10"/>
      <c r="Q54" s="10"/>
      <c r="R54" s="10"/>
      <c r="S54" s="10"/>
      <c r="T54" s="10"/>
      <c r="U54" s="154"/>
      <c r="V54" s="15">
        <v>0.312</v>
      </c>
      <c r="W54" s="10"/>
    </row>
    <row r="55" spans="2:24" x14ac:dyDescent="0.25">
      <c r="B55" s="1" t="s">
        <v>25</v>
      </c>
      <c r="C55" s="11">
        <f>SUM(C52:C53)</f>
        <v>0</v>
      </c>
      <c r="D55" s="11">
        <f>SUM(D52:D53)</f>
        <v>72.820999999999998</v>
      </c>
      <c r="E55" s="11">
        <f>SUM(E52:E53)</f>
        <v>148.255</v>
      </c>
      <c r="F55" s="11">
        <f>SUM(F52:F53)</f>
        <v>205.26900000000001</v>
      </c>
      <c r="G55" s="14">
        <f>SUM(G52:G53)</f>
        <v>298.45600000000002</v>
      </c>
      <c r="L55" s="11">
        <f>SUM(L52:L53)</f>
        <v>0</v>
      </c>
      <c r="M55" s="11">
        <f>SUM(M52:M53)</f>
        <v>0</v>
      </c>
      <c r="N55" s="11">
        <f>SUM(N52:N53)</f>
        <v>0</v>
      </c>
      <c r="O55" s="11">
        <f>SUM(O52:O53)</f>
        <v>204.2</v>
      </c>
      <c r="P55" s="11">
        <f>SUM(P52:P53)</f>
        <v>225.19099999999997</v>
      </c>
      <c r="Q55" s="11">
        <f>SUM(Q52:Q53)</f>
        <v>238.398</v>
      </c>
      <c r="R55" s="11">
        <f>SUM(R52:R53)</f>
        <v>255.89499999999998</v>
      </c>
      <c r="S55" s="11">
        <f>SUM(S52:S53)</f>
        <v>298.45600000000002</v>
      </c>
      <c r="T55" s="11">
        <f>SUM(T52:T53)</f>
        <v>357.61500000000001</v>
      </c>
      <c r="U55" s="152">
        <f>SUM(U52:U53)</f>
        <v>372.49899999999991</v>
      </c>
      <c r="V55" s="14">
        <f>SUM(V52:V54)</f>
        <v>397.09600000000006</v>
      </c>
      <c r="W55" s="152">
        <f>SUM(W52:W54)</f>
        <v>0</v>
      </c>
      <c r="X55" s="151"/>
    </row>
    <row r="56" spans="2:24" x14ac:dyDescent="0.25">
      <c r="B56" t="s">
        <v>74</v>
      </c>
      <c r="C56" s="10">
        <f>C47-C55</f>
        <v>0</v>
      </c>
      <c r="D56" s="10">
        <f>D47-D55</f>
        <v>102.91800000000001</v>
      </c>
      <c r="E56" s="10">
        <f>E47-E55</f>
        <v>513.12600000000009</v>
      </c>
      <c r="F56" s="10">
        <f>F47-F55</f>
        <v>541.56999999999982</v>
      </c>
      <c r="G56" s="15">
        <f>G47-G55</f>
        <v>655.50100000000009</v>
      </c>
      <c r="O56" s="10">
        <f>O47-O55</f>
        <v>494.48999999999984</v>
      </c>
      <c r="P56" s="10">
        <f>P47-P55</f>
        <v>565.1880000000001</v>
      </c>
      <c r="Q56" s="10">
        <f>Q47-Q55</f>
        <v>596.40499999999986</v>
      </c>
      <c r="R56" s="10">
        <f>R47-R55</f>
        <v>614.81900000000007</v>
      </c>
      <c r="S56" s="10">
        <f>S47-S55</f>
        <v>655.50100000000009</v>
      </c>
      <c r="T56" s="10">
        <f>T47-T55</f>
        <v>711.05199999999991</v>
      </c>
      <c r="U56" s="154">
        <f>U47-U55</f>
        <v>766.94400000000007</v>
      </c>
      <c r="V56" s="15">
        <f>V47-V55</f>
        <v>822.4530000000002</v>
      </c>
      <c r="W56" s="154">
        <f>W47-W55</f>
        <v>0</v>
      </c>
      <c r="X56" s="151"/>
    </row>
    <row r="58" spans="2:24" s="1" customFormat="1" x14ac:dyDescent="0.25">
      <c r="C58" s="52"/>
      <c r="D58" s="52"/>
      <c r="E58" s="52"/>
      <c r="F58" s="52"/>
      <c r="G58" s="53"/>
      <c r="U58" s="159"/>
      <c r="V58" s="16"/>
    </row>
    <row r="76" spans="7:22" s="9" customFormat="1" x14ac:dyDescent="0.25">
      <c r="G76" s="41"/>
      <c r="U76" s="160"/>
      <c r="V76" s="41"/>
    </row>
    <row r="77" spans="7:22" s="1" customFormat="1" x14ac:dyDescent="0.25">
      <c r="G77" s="16"/>
      <c r="U77" s="159"/>
      <c r="V77"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X20" sqref="X20"/>
    </sheetView>
  </sheetViews>
  <sheetFormatPr defaultRowHeight="15" x14ac:dyDescent="0.25"/>
  <sheetData>
    <row r="1" spans="1:1" x14ac:dyDescent="0.25">
      <c r="A1" s="8" t="s">
        <v>34</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T18"/>
  <sheetViews>
    <sheetView workbookViewId="0">
      <pane xSplit="1" ySplit="1" topLeftCell="M2" activePane="bottomRight" state="frozen"/>
      <selection pane="topRight" activeCell="B1" sqref="B1"/>
      <selection pane="bottomLeft" activeCell="A2" sqref="A2"/>
      <selection pane="bottomRight" activeCell="Q8" sqref="Q8"/>
    </sheetView>
  </sheetViews>
  <sheetFormatPr defaultRowHeight="15" x14ac:dyDescent="0.25"/>
  <cols>
    <col min="1" max="1" width="26.85546875" bestFit="1" customWidth="1"/>
  </cols>
  <sheetData>
    <row r="1" spans="1:20" x14ac:dyDescent="0.25">
      <c r="B1">
        <v>2020</v>
      </c>
      <c r="C1">
        <v>2021</v>
      </c>
      <c r="D1">
        <v>2022</v>
      </c>
      <c r="E1">
        <v>2023</v>
      </c>
      <c r="I1" t="s">
        <v>10</v>
      </c>
      <c r="J1" t="s">
        <v>6</v>
      </c>
      <c r="K1" t="s">
        <v>7</v>
      </c>
      <c r="L1" t="s">
        <v>8</v>
      </c>
      <c r="M1" t="s">
        <v>9</v>
      </c>
      <c r="N1" t="s">
        <v>32</v>
      </c>
      <c r="O1" t="s">
        <v>36</v>
      </c>
      <c r="P1" t="s">
        <v>37</v>
      </c>
      <c r="Q1" t="s">
        <v>61</v>
      </c>
      <c r="R1" t="s">
        <v>64</v>
      </c>
      <c r="S1" t="s">
        <v>206</v>
      </c>
      <c r="T1" t="s">
        <v>207</v>
      </c>
    </row>
    <row r="2" spans="1:20" x14ac:dyDescent="0.25">
      <c r="A2" t="s">
        <v>132</v>
      </c>
      <c r="I2">
        <v>12.5</v>
      </c>
      <c r="J2">
        <v>13.2</v>
      </c>
      <c r="K2">
        <v>14.9</v>
      </c>
      <c r="L2">
        <v>16.3</v>
      </c>
      <c r="M2">
        <v>20.3</v>
      </c>
      <c r="N2">
        <v>21.4</v>
      </c>
      <c r="O2">
        <v>24.2</v>
      </c>
      <c r="P2">
        <v>26.9</v>
      </c>
      <c r="Q2">
        <v>31.4</v>
      </c>
      <c r="R2">
        <v>34.1</v>
      </c>
      <c r="S2">
        <v>37.200000000000003</v>
      </c>
    </row>
    <row r="3" spans="1:20" x14ac:dyDescent="0.25">
      <c r="A3" t="s">
        <v>133</v>
      </c>
      <c r="I3">
        <v>49.2</v>
      </c>
      <c r="J3">
        <v>49.5</v>
      </c>
      <c r="K3">
        <v>56.5</v>
      </c>
      <c r="L3">
        <v>60.7</v>
      </c>
      <c r="M3">
        <v>72.599999999999994</v>
      </c>
      <c r="N3">
        <v>74.099999999999994</v>
      </c>
      <c r="O3">
        <v>83.1</v>
      </c>
      <c r="P3">
        <v>88.4</v>
      </c>
      <c r="Q3">
        <v>97.6</v>
      </c>
      <c r="R3">
        <v>103.6</v>
      </c>
      <c r="S3">
        <v>113.1</v>
      </c>
    </row>
    <row r="4" spans="1:20" x14ac:dyDescent="0.25">
      <c r="A4" t="s">
        <v>134</v>
      </c>
      <c r="I4">
        <v>2.9</v>
      </c>
      <c r="J4">
        <v>3.3</v>
      </c>
      <c r="K4">
        <v>3.7</v>
      </c>
      <c r="L4">
        <v>4.2</v>
      </c>
      <c r="M4">
        <v>4.8</v>
      </c>
      <c r="N4">
        <v>5.2</v>
      </c>
      <c r="O4">
        <v>5.8</v>
      </c>
      <c r="P4">
        <v>6.6</v>
      </c>
      <c r="Q4">
        <v>7.4</v>
      </c>
      <c r="R4">
        <v>8</v>
      </c>
      <c r="S4">
        <v>8.6</v>
      </c>
    </row>
    <row r="5" spans="1:20" ht="30" x14ac:dyDescent="0.25">
      <c r="A5" s="121" t="s">
        <v>135</v>
      </c>
      <c r="B5" s="122"/>
      <c r="C5" s="122"/>
      <c r="D5" s="122"/>
      <c r="E5" s="122"/>
      <c r="F5" s="122"/>
      <c r="G5" s="122"/>
      <c r="H5" s="122"/>
      <c r="I5" s="122">
        <v>6.8000000000000005E-2</v>
      </c>
      <c r="J5" s="122">
        <v>7.1999999999999995E-2</v>
      </c>
      <c r="K5" s="122">
        <v>7.3999999999999996E-2</v>
      </c>
      <c r="L5" s="122">
        <v>7.8E-2</v>
      </c>
      <c r="M5" s="122">
        <v>0.08</v>
      </c>
      <c r="N5" s="122">
        <v>7.9000000000000001E-2</v>
      </c>
      <c r="O5" s="122">
        <v>0.08</v>
      </c>
      <c r="P5" s="122">
        <v>8.3000000000000004E-2</v>
      </c>
      <c r="Q5" s="122">
        <v>8.5999999999999993E-2</v>
      </c>
      <c r="R5" s="122">
        <v>8.5999999999999993E-2</v>
      </c>
      <c r="S5" s="122">
        <v>8.5000000000000006E-2</v>
      </c>
    </row>
    <row r="7" spans="1:20" x14ac:dyDescent="0.25">
      <c r="A7" t="s">
        <v>136</v>
      </c>
      <c r="M7" s="169">
        <f t="shared" ref="M7:N7" si="0">M2/I2-1</f>
        <v>0.62400000000000011</v>
      </c>
      <c r="N7" s="169">
        <f t="shared" si="0"/>
        <v>0.6212121212121211</v>
      </c>
      <c r="O7" s="169">
        <f t="shared" ref="O7:P9" si="1">O2/K2-1</f>
        <v>0.62416107382550323</v>
      </c>
      <c r="P7" s="169">
        <f t="shared" si="1"/>
        <v>0.65030674846625747</v>
      </c>
      <c r="Q7" s="169">
        <f t="shared" ref="Q7:Q9" si="2">Q2/M2-1</f>
        <v>0.54679802955665013</v>
      </c>
      <c r="R7" s="170">
        <f t="shared" ref="R7:S9" si="3">R2/N2-1</f>
        <v>0.59345794392523388</v>
      </c>
      <c r="S7" s="170">
        <f t="shared" si="3"/>
        <v>0.53719008264462831</v>
      </c>
    </row>
    <row r="8" spans="1:20" x14ac:dyDescent="0.25">
      <c r="A8" t="s">
        <v>137</v>
      </c>
      <c r="M8" s="169">
        <f t="shared" ref="M8:N8" si="4">M3/I3-1</f>
        <v>0.47560975609756073</v>
      </c>
      <c r="N8" s="169">
        <f t="shared" si="4"/>
        <v>0.49696969696969684</v>
      </c>
      <c r="O8" s="169">
        <f t="shared" si="1"/>
        <v>0.47079646017699095</v>
      </c>
      <c r="P8" s="169">
        <f t="shared" si="1"/>
        <v>0.45634266886326191</v>
      </c>
      <c r="Q8" s="170">
        <f t="shared" si="2"/>
        <v>0.34435261707988984</v>
      </c>
      <c r="R8" s="170">
        <f t="shared" si="3"/>
        <v>0.3981106612685561</v>
      </c>
      <c r="S8" s="170">
        <f t="shared" si="3"/>
        <v>0.36101083032490977</v>
      </c>
    </row>
    <row r="9" spans="1:20" x14ac:dyDescent="0.25">
      <c r="A9" t="s">
        <v>138</v>
      </c>
      <c r="M9" s="123">
        <f t="shared" ref="M9:N9" si="5">M4/I4-1</f>
        <v>0.65517241379310343</v>
      </c>
      <c r="N9" s="123">
        <f t="shared" si="5"/>
        <v>0.57575757575757591</v>
      </c>
      <c r="O9" s="123">
        <f t="shared" si="1"/>
        <v>0.56756756756756754</v>
      </c>
      <c r="P9" s="123">
        <f t="shared" si="1"/>
        <v>0.57142857142857117</v>
      </c>
      <c r="Q9" s="123">
        <f t="shared" si="2"/>
        <v>0.54166666666666674</v>
      </c>
      <c r="R9" s="123">
        <f t="shared" si="3"/>
        <v>0.53846153846153832</v>
      </c>
      <c r="S9" s="123">
        <f t="shared" si="3"/>
        <v>0.48275862068965525</v>
      </c>
    </row>
    <row r="12" spans="1:20" x14ac:dyDescent="0.25">
      <c r="A12" s="124" t="s">
        <v>139</v>
      </c>
    </row>
    <row r="13" spans="1:20" x14ac:dyDescent="0.25">
      <c r="A13" t="s">
        <v>140</v>
      </c>
      <c r="I13">
        <v>78.5</v>
      </c>
      <c r="J13">
        <v>74.099999999999994</v>
      </c>
      <c r="K13">
        <v>78.900000000000006</v>
      </c>
      <c r="L13">
        <v>100.3</v>
      </c>
      <c r="M13">
        <v>110.1</v>
      </c>
      <c r="N13">
        <v>106.3</v>
      </c>
      <c r="O13">
        <v>121.3</v>
      </c>
      <c r="P13">
        <v>157.80000000000001</v>
      </c>
      <c r="Q13">
        <v>167.6</v>
      </c>
      <c r="R13">
        <v>178.3</v>
      </c>
      <c r="S13">
        <v>192.6</v>
      </c>
    </row>
    <row r="14" spans="1:20" x14ac:dyDescent="0.25">
      <c r="A14" t="s">
        <v>141</v>
      </c>
      <c r="I14">
        <v>102.1</v>
      </c>
      <c r="J14">
        <v>97.5</v>
      </c>
      <c r="K14">
        <v>102.7</v>
      </c>
      <c r="L14">
        <v>126.4</v>
      </c>
      <c r="M14">
        <v>140.1</v>
      </c>
      <c r="N14">
        <v>137.5</v>
      </c>
      <c r="O14">
        <v>153.6</v>
      </c>
      <c r="P14">
        <v>191</v>
      </c>
      <c r="Q14">
        <v>197.5</v>
      </c>
      <c r="R14">
        <v>190.1</v>
      </c>
      <c r="S14">
        <v>211.5</v>
      </c>
    </row>
    <row r="16" spans="1:20" x14ac:dyDescent="0.25">
      <c r="A16" t="s">
        <v>142</v>
      </c>
      <c r="I16" s="123">
        <f t="shared" ref="I16:P16" si="6">I13/I14</f>
        <v>0.76885406464250738</v>
      </c>
      <c r="J16" s="123">
        <f t="shared" si="6"/>
        <v>0.7599999999999999</v>
      </c>
      <c r="K16" s="123">
        <f t="shared" si="6"/>
        <v>0.76825705939629996</v>
      </c>
      <c r="L16" s="123">
        <f t="shared" si="6"/>
        <v>0.793512658227848</v>
      </c>
      <c r="M16" s="123">
        <f t="shared" si="6"/>
        <v>0.7858672376873661</v>
      </c>
      <c r="N16" s="123">
        <f t="shared" si="6"/>
        <v>0.77309090909090905</v>
      </c>
      <c r="O16" s="123">
        <f t="shared" si="6"/>
        <v>0.78971354166666663</v>
      </c>
      <c r="P16" s="123">
        <f t="shared" si="6"/>
        <v>0.8261780104712042</v>
      </c>
      <c r="Q16" s="123">
        <f t="shared" ref="Q16:S16" si="7">Q13/Q14</f>
        <v>0.84860759493670879</v>
      </c>
      <c r="R16" s="169">
        <f t="shared" si="7"/>
        <v>0.9379274066280906</v>
      </c>
      <c r="S16" s="169">
        <f t="shared" si="7"/>
        <v>0.91063829787234041</v>
      </c>
    </row>
    <row r="17" spans="1:19" x14ac:dyDescent="0.25">
      <c r="A17" t="s">
        <v>143</v>
      </c>
      <c r="M17" s="123">
        <f t="shared" ref="M17:P18" si="8">M13/I13-1</f>
        <v>0.40254777070063685</v>
      </c>
      <c r="N17" s="123">
        <f t="shared" si="8"/>
        <v>0.43454790823211886</v>
      </c>
      <c r="O17" s="169">
        <f t="shared" si="8"/>
        <v>0.53738910012674257</v>
      </c>
      <c r="P17" s="169">
        <f t="shared" si="8"/>
        <v>0.57328015952143585</v>
      </c>
      <c r="Q17" s="169">
        <f t="shared" ref="Q17:Q18" si="9">Q13/M13-1</f>
        <v>0.52225249772933702</v>
      </c>
      <c r="R17" s="169">
        <f t="shared" ref="R17:S18" si="10">R13/N13-1</f>
        <v>0.67732831608654775</v>
      </c>
      <c r="S17" s="169">
        <f t="shared" si="10"/>
        <v>0.58779884583676822</v>
      </c>
    </row>
    <row r="18" spans="1:19" x14ac:dyDescent="0.25">
      <c r="A18" t="s">
        <v>144</v>
      </c>
      <c r="M18" s="123">
        <f t="shared" si="8"/>
        <v>0.37218413320274246</v>
      </c>
      <c r="N18" s="123">
        <f t="shared" si="8"/>
        <v>0.41025641025641035</v>
      </c>
      <c r="O18" s="123">
        <f t="shared" si="8"/>
        <v>0.49561830574488797</v>
      </c>
      <c r="P18" s="123">
        <f t="shared" si="8"/>
        <v>0.51107594936708844</v>
      </c>
      <c r="Q18" s="123">
        <f t="shared" si="9"/>
        <v>0.4097073518915062</v>
      </c>
      <c r="R18" s="123">
        <f t="shared" si="10"/>
        <v>0.38254545454545452</v>
      </c>
      <c r="S18" s="123">
        <f t="shared" si="10"/>
        <v>0.376953125</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topLeftCell="A16" workbookViewId="0">
      <selection activeCell="J45" sqref="J45"/>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34</v>
      </c>
      <c r="B1" t="s">
        <v>47</v>
      </c>
      <c r="C1" s="17" t="s">
        <v>48</v>
      </c>
    </row>
    <row r="2" spans="1:13" x14ac:dyDescent="0.25">
      <c r="B2" s="12">
        <v>45397</v>
      </c>
      <c r="C2" s="18">
        <v>194.66000399999999</v>
      </c>
      <c r="E2" t="s">
        <v>47</v>
      </c>
      <c r="F2" t="s">
        <v>49</v>
      </c>
      <c r="M2" t="s">
        <v>50</v>
      </c>
    </row>
    <row r="3" spans="1:13" x14ac:dyDescent="0.25">
      <c r="B3" s="12">
        <v>45390</v>
      </c>
      <c r="C3" s="18">
        <v>211.03999300000001</v>
      </c>
      <c r="E3" s="12">
        <v>45328</v>
      </c>
      <c r="F3" t="s">
        <v>52</v>
      </c>
      <c r="M3" s="12"/>
    </row>
    <row r="4" spans="1:13" x14ac:dyDescent="0.25">
      <c r="B4" s="12">
        <v>45383</v>
      </c>
      <c r="C4" s="18">
        <v>215.009995</v>
      </c>
      <c r="E4" s="12">
        <v>45302</v>
      </c>
      <c r="F4" t="s">
        <v>52</v>
      </c>
      <c r="M4" s="12"/>
    </row>
    <row r="5" spans="1:13" x14ac:dyDescent="0.25">
      <c r="B5" s="12">
        <v>45376</v>
      </c>
      <c r="C5" s="18">
        <v>220.58000200000001</v>
      </c>
      <c r="M5" s="12"/>
    </row>
    <row r="6" spans="1:13" x14ac:dyDescent="0.25">
      <c r="B6" s="12">
        <v>45369</v>
      </c>
      <c r="C6" s="18">
        <v>232.08999600000001</v>
      </c>
      <c r="M6" s="12"/>
    </row>
    <row r="7" spans="1:13" x14ac:dyDescent="0.25">
      <c r="B7" s="12">
        <v>45362</v>
      </c>
      <c r="C7" s="18">
        <v>216.33999600000001</v>
      </c>
      <c r="M7" s="12"/>
    </row>
    <row r="8" spans="1:13" x14ac:dyDescent="0.25">
      <c r="B8" s="12">
        <v>45355</v>
      </c>
      <c r="C8" s="18">
        <v>213.529999</v>
      </c>
      <c r="M8" s="12"/>
    </row>
    <row r="9" spans="1:13" x14ac:dyDescent="0.25">
      <c r="B9" s="12">
        <v>45348</v>
      </c>
      <c r="C9" s="18">
        <v>236.490005</v>
      </c>
      <c r="M9" s="12"/>
    </row>
    <row r="10" spans="1:13" x14ac:dyDescent="0.25">
      <c r="B10" s="12">
        <v>45341</v>
      </c>
      <c r="C10" s="18">
        <v>177.13000500000001</v>
      </c>
      <c r="M10" s="12"/>
    </row>
    <row r="11" spans="1:13" x14ac:dyDescent="0.25">
      <c r="B11" s="12">
        <v>45334</v>
      </c>
      <c r="C11" s="18">
        <v>184.89999399999999</v>
      </c>
      <c r="M11" s="12"/>
    </row>
    <row r="12" spans="1:13" x14ac:dyDescent="0.25">
      <c r="B12" s="12">
        <v>45327</v>
      </c>
      <c r="C12" s="18">
        <v>191.740005</v>
      </c>
      <c r="M12" s="12"/>
    </row>
    <row r="13" spans="1:13" x14ac:dyDescent="0.25">
      <c r="B13" s="12">
        <v>45320</v>
      </c>
      <c r="C13" s="18">
        <v>178.88999899999999</v>
      </c>
    </row>
    <row r="14" spans="1:13" x14ac:dyDescent="0.25">
      <c r="B14" s="12">
        <v>45313</v>
      </c>
      <c r="C14" s="18">
        <v>192.88999899999999</v>
      </c>
    </row>
    <row r="15" spans="1:13" x14ac:dyDescent="0.25">
      <c r="B15" s="12">
        <v>45306</v>
      </c>
      <c r="C15" s="18">
        <v>194.60000600000001</v>
      </c>
    </row>
    <row r="16" spans="1:13" x14ac:dyDescent="0.25">
      <c r="B16" s="12">
        <v>45299</v>
      </c>
      <c r="C16" s="18">
        <v>212.009995</v>
      </c>
    </row>
    <row r="17" spans="2:3" x14ac:dyDescent="0.25">
      <c r="B17" s="12">
        <v>45292</v>
      </c>
      <c r="C17" s="18">
        <v>204.134995</v>
      </c>
    </row>
    <row r="18" spans="2:3" x14ac:dyDescent="0.25">
      <c r="B18" s="12">
        <v>45285</v>
      </c>
      <c r="C18" s="18">
        <v>226.85000600000001</v>
      </c>
    </row>
    <row r="19" spans="2:3" x14ac:dyDescent="0.25">
      <c r="B19" s="12">
        <v>45278</v>
      </c>
      <c r="C19" s="18">
        <v>238.25</v>
      </c>
    </row>
    <row r="20" spans="2:3" x14ac:dyDescent="0.25">
      <c r="B20" s="12">
        <v>45271</v>
      </c>
      <c r="C20" s="18">
        <v>231.490005</v>
      </c>
    </row>
    <row r="21" spans="2:3" x14ac:dyDescent="0.25">
      <c r="B21" s="12">
        <v>45264</v>
      </c>
      <c r="C21" s="18">
        <v>214.75</v>
      </c>
    </row>
    <row r="22" spans="2:3" x14ac:dyDescent="0.25">
      <c r="B22" s="12">
        <v>45257</v>
      </c>
      <c r="C22" s="18">
        <v>213.300003</v>
      </c>
    </row>
    <row r="23" spans="2:3" x14ac:dyDescent="0.25">
      <c r="B23" s="12">
        <v>45250</v>
      </c>
      <c r="C23" s="18">
        <v>221.46000699999999</v>
      </c>
    </row>
    <row r="24" spans="2:3" x14ac:dyDescent="0.25">
      <c r="B24" s="12">
        <v>45243</v>
      </c>
      <c r="C24" s="18">
        <v>211.64999399999999</v>
      </c>
    </row>
    <row r="25" spans="2:3" x14ac:dyDescent="0.25">
      <c r="B25" s="12">
        <v>45236</v>
      </c>
      <c r="C25" s="18">
        <v>211.529999</v>
      </c>
    </row>
    <row r="26" spans="2:3" x14ac:dyDescent="0.25">
      <c r="B26" s="12">
        <v>45229</v>
      </c>
      <c r="C26" s="18">
        <v>159.33000200000001</v>
      </c>
    </row>
    <row r="27" spans="2:3" x14ac:dyDescent="0.25">
      <c r="B27" s="12">
        <v>45222</v>
      </c>
      <c r="C27" s="18">
        <v>143.570007</v>
      </c>
    </row>
    <row r="28" spans="2:3" x14ac:dyDescent="0.25">
      <c r="B28" s="12">
        <v>45215</v>
      </c>
      <c r="C28" s="18">
        <v>153.63000500000001</v>
      </c>
    </row>
    <row r="29" spans="2:3" x14ac:dyDescent="0.25">
      <c r="B29" s="12">
        <v>45208</v>
      </c>
      <c r="C29" s="18">
        <v>160.10000600000001</v>
      </c>
    </row>
    <row r="30" spans="2:3" x14ac:dyDescent="0.25">
      <c r="B30" s="12">
        <v>45201</v>
      </c>
      <c r="C30" s="18">
        <v>164.240005</v>
      </c>
    </row>
    <row r="31" spans="2:3" x14ac:dyDescent="0.25">
      <c r="B31" s="12">
        <v>45194</v>
      </c>
      <c r="C31" s="18">
        <v>165.86999499999999</v>
      </c>
    </row>
    <row r="32" spans="2:3" x14ac:dyDescent="0.25">
      <c r="B32" s="12">
        <v>45187</v>
      </c>
      <c r="C32" s="18">
        <v>152.66999799999999</v>
      </c>
    </row>
    <row r="33" spans="2:3" x14ac:dyDescent="0.25">
      <c r="B33" s="12">
        <v>45180</v>
      </c>
      <c r="C33" s="18">
        <v>159.529999</v>
      </c>
    </row>
    <row r="34" spans="2:3" x14ac:dyDescent="0.25">
      <c r="B34" s="12">
        <v>45173</v>
      </c>
      <c r="C34" s="18">
        <v>156.509995</v>
      </c>
    </row>
    <row r="35" spans="2:3" x14ac:dyDescent="0.25">
      <c r="B35" s="12">
        <v>45166</v>
      </c>
      <c r="C35" s="18">
        <v>148.91999799999999</v>
      </c>
    </row>
    <row r="36" spans="2:3" x14ac:dyDescent="0.25">
      <c r="B36" s="12">
        <v>45159</v>
      </c>
      <c r="C36" s="18">
        <v>135.070007</v>
      </c>
    </row>
    <row r="37" spans="2:3" x14ac:dyDescent="0.25">
      <c r="B37" s="12">
        <v>45152</v>
      </c>
      <c r="C37" s="18">
        <v>123.900002</v>
      </c>
    </row>
    <row r="38" spans="2:3" x14ac:dyDescent="0.25">
      <c r="B38" s="12">
        <v>45145</v>
      </c>
      <c r="C38" s="18">
        <v>138.80999800000001</v>
      </c>
    </row>
    <row r="39" spans="2:3" x14ac:dyDescent="0.25">
      <c r="B39" s="12">
        <v>45138</v>
      </c>
      <c r="C39" s="18">
        <v>137.36000100000001</v>
      </c>
    </row>
    <row r="40" spans="2:3" x14ac:dyDescent="0.25">
      <c r="B40" s="12">
        <v>45131</v>
      </c>
      <c r="C40" s="18">
        <v>150.96000699999999</v>
      </c>
    </row>
    <row r="41" spans="2:3" x14ac:dyDescent="0.25">
      <c r="B41" s="12">
        <v>45124</v>
      </c>
      <c r="C41" s="18">
        <v>149.5</v>
      </c>
    </row>
    <row r="42" spans="2:3" x14ac:dyDescent="0.25">
      <c r="B42" s="12">
        <v>45117</v>
      </c>
      <c r="C42" s="18">
        <v>149.509995</v>
      </c>
    </row>
    <row r="43" spans="2:3" x14ac:dyDescent="0.25">
      <c r="B43" s="12">
        <v>45110</v>
      </c>
      <c r="C43" s="18">
        <v>135.25</v>
      </c>
    </row>
    <row r="44" spans="2:3" x14ac:dyDescent="0.25">
      <c r="B44" s="12">
        <v>45103</v>
      </c>
      <c r="C44" s="18">
        <v>142.94000199999999</v>
      </c>
    </row>
    <row r="45" spans="2:3" x14ac:dyDescent="0.25">
      <c r="B45" s="12">
        <v>45096</v>
      </c>
      <c r="C45" s="18">
        <v>140.029999</v>
      </c>
    </row>
    <row r="46" spans="2:3" x14ac:dyDescent="0.25">
      <c r="B46" s="12">
        <v>45089</v>
      </c>
      <c r="C46" s="18">
        <v>152.78999300000001</v>
      </c>
    </row>
    <row r="47" spans="2:3" x14ac:dyDescent="0.25">
      <c r="B47" s="12">
        <v>45082</v>
      </c>
      <c r="C47" s="18">
        <v>155.820007</v>
      </c>
    </row>
    <row r="48" spans="2:3" x14ac:dyDescent="0.25">
      <c r="B48" s="12">
        <v>45075</v>
      </c>
      <c r="C48" s="18">
        <v>155.94000199999999</v>
      </c>
    </row>
    <row r="49" spans="2:3" x14ac:dyDescent="0.25">
      <c r="B49" s="12">
        <v>45068</v>
      </c>
      <c r="C49" s="18">
        <v>149.13999899999999</v>
      </c>
    </row>
    <row r="50" spans="2:3" x14ac:dyDescent="0.25">
      <c r="B50" s="12">
        <v>45061</v>
      </c>
      <c r="C50" s="18">
        <v>150.35000600000001</v>
      </c>
    </row>
    <row r="51" spans="2:3" x14ac:dyDescent="0.25">
      <c r="B51" s="12">
        <v>45054</v>
      </c>
      <c r="C51" s="18">
        <v>141.449997</v>
      </c>
    </row>
    <row r="52" spans="2:3" x14ac:dyDescent="0.25">
      <c r="B52" s="12">
        <v>45047</v>
      </c>
      <c r="C52" s="18">
        <v>123.55999799999999</v>
      </c>
    </row>
    <row r="53" spans="2:3" x14ac:dyDescent="0.25">
      <c r="B53" s="12">
        <v>45040</v>
      </c>
      <c r="C53" s="18">
        <v>136.16000399999999</v>
      </c>
    </row>
    <row r="54" spans="2:3" x14ac:dyDescent="0.25">
      <c r="B54" s="12">
        <v>45033</v>
      </c>
      <c r="C54" s="18">
        <v>140.820007</v>
      </c>
    </row>
    <row r="55" spans="2:3" x14ac:dyDescent="0.25">
      <c r="B55" s="12">
        <v>45026</v>
      </c>
      <c r="C55" s="18">
        <v>134.89999399999999</v>
      </c>
    </row>
    <row r="56" spans="2:3" x14ac:dyDescent="0.25">
      <c r="B56" s="12">
        <v>45019</v>
      </c>
      <c r="C56" s="18">
        <v>136.729996</v>
      </c>
    </row>
    <row r="57" spans="2:3" x14ac:dyDescent="0.25">
      <c r="B57" s="12">
        <v>45012</v>
      </c>
      <c r="C57" s="18">
        <v>142.58999600000001</v>
      </c>
    </row>
    <row r="58" spans="2:3" x14ac:dyDescent="0.25">
      <c r="B58" s="12">
        <v>45005</v>
      </c>
      <c r="C58" s="18">
        <v>136.509995</v>
      </c>
    </row>
    <row r="59" spans="2:3" x14ac:dyDescent="0.25">
      <c r="B59" s="12">
        <v>44998</v>
      </c>
      <c r="C59" s="18">
        <v>126.32</v>
      </c>
    </row>
    <row r="60" spans="2:3" x14ac:dyDescent="0.25">
      <c r="B60" s="12">
        <v>44991</v>
      </c>
      <c r="C60" s="18">
        <v>117.779999</v>
      </c>
    </row>
    <row r="61" spans="2:3" x14ac:dyDescent="0.25">
      <c r="B61" s="12">
        <v>44984</v>
      </c>
      <c r="C61" s="18">
        <v>119.269997</v>
      </c>
    </row>
    <row r="62" spans="2:3" x14ac:dyDescent="0.25">
      <c r="B62" s="12">
        <v>44977</v>
      </c>
      <c r="C62" s="18">
        <v>87.160004000000001</v>
      </c>
    </row>
    <row r="63" spans="2:3" x14ac:dyDescent="0.25">
      <c r="B63" s="12">
        <v>44970</v>
      </c>
      <c r="C63" s="18">
        <v>91.339995999999999</v>
      </c>
    </row>
    <row r="64" spans="2:3" x14ac:dyDescent="0.25">
      <c r="B64" s="12">
        <v>44963</v>
      </c>
      <c r="C64" s="18">
        <v>91.610000999999997</v>
      </c>
    </row>
    <row r="65" spans="2:3" x14ac:dyDescent="0.25">
      <c r="B65" s="12">
        <v>44956</v>
      </c>
      <c r="C65" s="18">
        <v>99.889999000000003</v>
      </c>
    </row>
    <row r="66" spans="2:3" x14ac:dyDescent="0.25">
      <c r="B66" s="12">
        <v>44949</v>
      </c>
      <c r="C66" s="18">
        <v>93.029999000000004</v>
      </c>
    </row>
    <row r="67" spans="2:3" x14ac:dyDescent="0.25">
      <c r="B67" s="12">
        <v>44942</v>
      </c>
      <c r="C67" s="18">
        <v>84.580001999999993</v>
      </c>
    </row>
    <row r="68" spans="2:3" x14ac:dyDescent="0.25">
      <c r="B68" s="12">
        <v>44935</v>
      </c>
      <c r="C68" s="18">
        <v>79.360000999999997</v>
      </c>
    </row>
    <row r="69" spans="2:3" x14ac:dyDescent="0.25">
      <c r="B69" s="12">
        <v>44928</v>
      </c>
      <c r="C69" s="18">
        <v>72.080001999999993</v>
      </c>
    </row>
    <row r="70" spans="2:3" x14ac:dyDescent="0.25">
      <c r="B70" s="12">
        <v>44921</v>
      </c>
      <c r="C70" s="18">
        <v>71.129997000000003</v>
      </c>
    </row>
    <row r="71" spans="2:3" x14ac:dyDescent="0.25">
      <c r="B71" s="12">
        <v>44914</v>
      </c>
      <c r="C71" s="18">
        <v>70.699996999999996</v>
      </c>
    </row>
    <row r="72" spans="2:3" x14ac:dyDescent="0.25">
      <c r="B72" s="12">
        <v>44907</v>
      </c>
      <c r="C72" s="18">
        <v>72.989998</v>
      </c>
    </row>
    <row r="73" spans="2:3" x14ac:dyDescent="0.25">
      <c r="B73" s="12">
        <v>44900</v>
      </c>
      <c r="C73" s="18">
        <v>68.669998000000007</v>
      </c>
    </row>
    <row r="74" spans="2:3" x14ac:dyDescent="0.25">
      <c r="B74" s="12">
        <v>44893</v>
      </c>
      <c r="C74" s="18">
        <v>70.699996999999996</v>
      </c>
    </row>
    <row r="75" spans="2:3" x14ac:dyDescent="0.25">
      <c r="B75" s="12">
        <v>44886</v>
      </c>
      <c r="C75" s="18">
        <v>69.690002000000007</v>
      </c>
    </row>
    <row r="76" spans="2:3" x14ac:dyDescent="0.25">
      <c r="B76" s="12">
        <v>44879</v>
      </c>
      <c r="C76" s="18">
        <v>67.699996999999996</v>
      </c>
    </row>
    <row r="77" spans="2:3" x14ac:dyDescent="0.25">
      <c r="B77" s="12">
        <v>44872</v>
      </c>
      <c r="C77" s="18">
        <v>73.430000000000007</v>
      </c>
    </row>
    <row r="78" spans="2:3" x14ac:dyDescent="0.25">
      <c r="B78" s="12">
        <v>44865</v>
      </c>
      <c r="C78" s="18">
        <v>79.839995999999999</v>
      </c>
    </row>
    <row r="79" spans="2:3" x14ac:dyDescent="0.25">
      <c r="B79" s="12">
        <v>44858</v>
      </c>
      <c r="C79" s="18">
        <v>83.150002000000001</v>
      </c>
    </row>
    <row r="80" spans="2:3" x14ac:dyDescent="0.25">
      <c r="B80" s="12">
        <v>44851</v>
      </c>
      <c r="C80" s="18">
        <v>82.25</v>
      </c>
    </row>
    <row r="81" spans="2:3" x14ac:dyDescent="0.25">
      <c r="B81" s="12">
        <v>44844</v>
      </c>
      <c r="C81" s="18">
        <v>78.309997999999993</v>
      </c>
    </row>
    <row r="82" spans="2:3" x14ac:dyDescent="0.25">
      <c r="B82" s="12">
        <v>44837</v>
      </c>
      <c r="C82" s="18">
        <v>98.5</v>
      </c>
    </row>
    <row r="83" spans="2:3" x14ac:dyDescent="0.25">
      <c r="B83" s="12">
        <v>44830</v>
      </c>
      <c r="C83" s="18">
        <v>95.230002999999996</v>
      </c>
    </row>
    <row r="84" spans="2:3" x14ac:dyDescent="0.25">
      <c r="B84" s="12">
        <v>44823</v>
      </c>
      <c r="C84" s="18">
        <v>89.209998999999996</v>
      </c>
    </row>
    <row r="85" spans="2:3" x14ac:dyDescent="0.25">
      <c r="B85" s="12">
        <v>44816</v>
      </c>
      <c r="C85" s="18">
        <v>99.309997999999993</v>
      </c>
    </row>
    <row r="86" spans="2:3" x14ac:dyDescent="0.25">
      <c r="B86" s="12">
        <v>44809</v>
      </c>
      <c r="C86" s="18">
        <v>99.550003000000004</v>
      </c>
    </row>
    <row r="87" spans="2:3" x14ac:dyDescent="0.25">
      <c r="B87" s="12">
        <v>44802</v>
      </c>
      <c r="C87" s="18">
        <v>92.839995999999999</v>
      </c>
    </row>
    <row r="88" spans="2:3" x14ac:dyDescent="0.25">
      <c r="B88" s="12">
        <v>44795</v>
      </c>
      <c r="C88" s="18">
        <v>93.269997000000004</v>
      </c>
    </row>
    <row r="89" spans="2:3" x14ac:dyDescent="0.25">
      <c r="B89" s="12">
        <v>44788</v>
      </c>
      <c r="C89" s="18">
        <v>95.699996999999996</v>
      </c>
    </row>
    <row r="90" spans="2:3" x14ac:dyDescent="0.25">
      <c r="B90" s="12">
        <v>44781</v>
      </c>
      <c r="C90" s="18">
        <v>108.415001</v>
      </c>
    </row>
    <row r="91" spans="2:3" x14ac:dyDescent="0.25">
      <c r="B91" s="12">
        <v>44774</v>
      </c>
      <c r="C91" s="18">
        <v>103.07</v>
      </c>
    </row>
    <row r="92" spans="2:3" x14ac:dyDescent="0.25">
      <c r="B92" s="12">
        <v>44767</v>
      </c>
      <c r="C92" s="18">
        <v>91.75</v>
      </c>
    </row>
    <row r="93" spans="2:3" x14ac:dyDescent="0.25">
      <c r="B93" s="12">
        <v>44760</v>
      </c>
      <c r="C93" s="18">
        <v>95.449996999999996</v>
      </c>
    </row>
    <row r="94" spans="2:3" x14ac:dyDescent="0.25">
      <c r="B94" s="12">
        <v>44753</v>
      </c>
      <c r="C94" s="18">
        <v>99.400002000000001</v>
      </c>
    </row>
    <row r="95" spans="2:3" x14ac:dyDescent="0.25">
      <c r="B95" s="12">
        <v>44746</v>
      </c>
      <c r="C95" s="18">
        <v>110.089996</v>
      </c>
    </row>
    <row r="96" spans="2:3" x14ac:dyDescent="0.25">
      <c r="B96" s="12">
        <v>44739</v>
      </c>
      <c r="C96" s="18">
        <v>95.059997999999993</v>
      </c>
    </row>
    <row r="97" spans="2:3" x14ac:dyDescent="0.25">
      <c r="B97" s="12">
        <v>44732</v>
      </c>
      <c r="C97" s="18">
        <v>101.730003</v>
      </c>
    </row>
    <row r="98" spans="2:3" x14ac:dyDescent="0.25">
      <c r="B98" s="12">
        <v>44725</v>
      </c>
      <c r="C98" s="18">
        <v>94.709998999999996</v>
      </c>
    </row>
    <row r="99" spans="2:3" x14ac:dyDescent="0.25">
      <c r="B99" s="12">
        <v>44718</v>
      </c>
      <c r="C99" s="18">
        <v>93.370002999999997</v>
      </c>
    </row>
    <row r="100" spans="2:3" x14ac:dyDescent="0.25">
      <c r="B100" s="12">
        <v>44711</v>
      </c>
      <c r="C100" s="18">
        <v>89.339995999999999</v>
      </c>
    </row>
    <row r="101" spans="2:3" x14ac:dyDescent="0.25">
      <c r="B101" s="12">
        <v>44704</v>
      </c>
      <c r="C101" s="18">
        <v>83.779999000000004</v>
      </c>
    </row>
    <row r="102" spans="2:3" x14ac:dyDescent="0.25">
      <c r="B102" s="12">
        <v>44697</v>
      </c>
      <c r="C102" s="18">
        <v>76.459998999999996</v>
      </c>
    </row>
    <row r="103" spans="2:3" x14ac:dyDescent="0.25">
      <c r="B103" s="12">
        <v>44690</v>
      </c>
      <c r="C103" s="18">
        <v>89.769997000000004</v>
      </c>
    </row>
    <row r="104" spans="2:3" x14ac:dyDescent="0.25">
      <c r="B104" s="12">
        <v>44683</v>
      </c>
      <c r="C104" s="18">
        <v>80.610000999999997</v>
      </c>
    </row>
    <row r="105" spans="2:3" x14ac:dyDescent="0.25">
      <c r="B105" s="12">
        <v>44676</v>
      </c>
      <c r="C105" s="18">
        <v>86.470000999999996</v>
      </c>
    </row>
    <row r="106" spans="2:3" x14ac:dyDescent="0.25">
      <c r="B106" s="12">
        <v>44669</v>
      </c>
      <c r="C106" s="18">
        <v>86</v>
      </c>
    </row>
    <row r="107" spans="2:3" x14ac:dyDescent="0.25">
      <c r="B107" s="12">
        <v>44662</v>
      </c>
      <c r="C107" s="18">
        <v>89.82</v>
      </c>
    </row>
    <row r="108" spans="2:3" x14ac:dyDescent="0.25">
      <c r="B108" s="12">
        <v>44655</v>
      </c>
      <c r="C108" s="18">
        <v>94.559997999999993</v>
      </c>
    </row>
    <row r="109" spans="2:3" x14ac:dyDescent="0.25">
      <c r="B109" s="12">
        <v>44648</v>
      </c>
      <c r="C109" s="18">
        <v>95.650002000000001</v>
      </c>
    </row>
    <row r="110" spans="2:3" x14ac:dyDescent="0.25">
      <c r="B110" s="12">
        <v>44641</v>
      </c>
      <c r="C110" s="18">
        <v>93.050003000000004</v>
      </c>
    </row>
    <row r="111" spans="2:3" x14ac:dyDescent="0.25">
      <c r="B111" s="12">
        <v>44634</v>
      </c>
      <c r="C111" s="18">
        <v>88.68</v>
      </c>
    </row>
    <row r="112" spans="2:3" x14ac:dyDescent="0.25">
      <c r="B112" s="12">
        <v>44627</v>
      </c>
      <c r="C112" s="18">
        <v>76.699996999999996</v>
      </c>
    </row>
    <row r="113" spans="2:3" x14ac:dyDescent="0.25">
      <c r="B113" s="12">
        <v>44620</v>
      </c>
      <c r="C113" s="18">
        <v>74.680000000000007</v>
      </c>
    </row>
    <row r="114" spans="2:3" x14ac:dyDescent="0.25">
      <c r="B114" s="12">
        <v>44613</v>
      </c>
      <c r="C114" s="18">
        <v>87.959998999999996</v>
      </c>
    </row>
    <row r="115" spans="2:3" x14ac:dyDescent="0.25">
      <c r="B115" s="12">
        <v>44606</v>
      </c>
      <c r="C115" s="18">
        <v>91</v>
      </c>
    </row>
    <row r="116" spans="2:3" x14ac:dyDescent="0.25">
      <c r="B116" s="12">
        <v>44599</v>
      </c>
      <c r="C116" s="18">
        <v>94</v>
      </c>
    </row>
    <row r="117" spans="2:3" x14ac:dyDescent="0.25">
      <c r="B117" s="12">
        <v>44592</v>
      </c>
      <c r="C117" s="18">
        <v>91.480002999999996</v>
      </c>
    </row>
    <row r="118" spans="2:3" x14ac:dyDescent="0.25">
      <c r="B118" s="12">
        <v>44585</v>
      </c>
      <c r="C118" s="18">
        <v>91.830001999999993</v>
      </c>
    </row>
    <row r="119" spans="2:3" x14ac:dyDescent="0.25">
      <c r="B119" s="12">
        <v>44578</v>
      </c>
      <c r="C119" s="18">
        <v>85.709998999999996</v>
      </c>
    </row>
    <row r="120" spans="2:3" x14ac:dyDescent="0.25">
      <c r="B120" s="12">
        <v>44571</v>
      </c>
      <c r="C120" s="18">
        <v>92.629997000000003</v>
      </c>
    </row>
    <row r="121" spans="2:3" x14ac:dyDescent="0.25">
      <c r="B121" s="12">
        <v>44564</v>
      </c>
      <c r="C121" s="18">
        <v>102.19000200000001</v>
      </c>
    </row>
    <row r="122" spans="2:3" x14ac:dyDescent="0.25">
      <c r="B122" s="12">
        <v>44557</v>
      </c>
      <c r="C122" s="18">
        <v>106.110001</v>
      </c>
    </row>
    <row r="123" spans="2:3" x14ac:dyDescent="0.25">
      <c r="B123" s="12">
        <v>44550</v>
      </c>
      <c r="C123" s="18">
        <v>108.959999</v>
      </c>
    </row>
    <row r="124" spans="2:3" x14ac:dyDescent="0.25">
      <c r="B124" s="12">
        <v>44543</v>
      </c>
      <c r="C124" s="18">
        <v>104.540001</v>
      </c>
    </row>
    <row r="125" spans="2:3" x14ac:dyDescent="0.25">
      <c r="B125" s="12">
        <v>44536</v>
      </c>
      <c r="C125" s="18">
        <v>95.690002000000007</v>
      </c>
    </row>
    <row r="126" spans="2:3" x14ac:dyDescent="0.25">
      <c r="B126" s="12">
        <v>44529</v>
      </c>
      <c r="C126" s="18">
        <v>109.05999799999999</v>
      </c>
    </row>
    <row r="127" spans="2:3" x14ac:dyDescent="0.25">
      <c r="B127" s="12">
        <v>44522</v>
      </c>
      <c r="C127" s="18">
        <v>122.58000199999999</v>
      </c>
    </row>
    <row r="128" spans="2:3" x14ac:dyDescent="0.25">
      <c r="B128" s="12">
        <v>44515</v>
      </c>
      <c r="C128" s="18">
        <v>135.96000699999999</v>
      </c>
    </row>
    <row r="129" spans="2:3" x14ac:dyDescent="0.25">
      <c r="B129" s="12">
        <v>44508</v>
      </c>
      <c r="C129" s="18">
        <v>155.020004</v>
      </c>
    </row>
    <row r="130" spans="2:3" x14ac:dyDescent="0.25">
      <c r="B130" s="12">
        <v>44501</v>
      </c>
      <c r="C130" s="18">
        <v>153.729996</v>
      </c>
    </row>
    <row r="131" spans="2:3" x14ac:dyDescent="0.25">
      <c r="B131" s="12">
        <v>44494</v>
      </c>
      <c r="C131" s="18">
        <v>173.69000199999999</v>
      </c>
    </row>
    <row r="132" spans="2:3" x14ac:dyDescent="0.25">
      <c r="B132" s="12">
        <v>44487</v>
      </c>
      <c r="C132" s="18">
        <v>178.259995</v>
      </c>
    </row>
    <row r="133" spans="2:3" x14ac:dyDescent="0.25">
      <c r="B133" s="12">
        <v>44480</v>
      </c>
      <c r="C133" s="18">
        <v>156.699997</v>
      </c>
    </row>
    <row r="134" spans="2:3" x14ac:dyDescent="0.25">
      <c r="B134" s="12">
        <v>44473</v>
      </c>
      <c r="C134" s="18">
        <v>166.520004</v>
      </c>
    </row>
    <row r="135" spans="2:3" x14ac:dyDescent="0.25">
      <c r="B135" s="12">
        <v>44466</v>
      </c>
      <c r="C135" s="18">
        <v>160.58000200000001</v>
      </c>
    </row>
    <row r="136" spans="2:3" x14ac:dyDescent="0.25">
      <c r="B136" s="12">
        <v>44459</v>
      </c>
      <c r="C136" s="18">
        <v>199.36999499999999</v>
      </c>
    </row>
    <row r="137" spans="2:3" x14ac:dyDescent="0.25">
      <c r="B137" s="12">
        <v>44452</v>
      </c>
      <c r="C137" s="18">
        <v>184.979996</v>
      </c>
    </row>
    <row r="138" spans="2:3" x14ac:dyDescent="0.25">
      <c r="B138" s="12">
        <v>44445</v>
      </c>
      <c r="C138" s="18">
        <v>173.36999499999999</v>
      </c>
    </row>
    <row r="139" spans="2:3" x14ac:dyDescent="0.25">
      <c r="B139" s="12">
        <v>44438</v>
      </c>
      <c r="C139" s="18">
        <v>163.05999800000001</v>
      </c>
    </row>
    <row r="140" spans="2:3" x14ac:dyDescent="0.25">
      <c r="B140" s="12">
        <v>44431</v>
      </c>
      <c r="C140" s="18">
        <v>120.099998</v>
      </c>
    </row>
    <row r="141" spans="2:3" x14ac:dyDescent="0.25">
      <c r="B141" s="12">
        <v>44424</v>
      </c>
      <c r="C141" s="18">
        <v>126.029999</v>
      </c>
    </row>
    <row r="142" spans="2:3" x14ac:dyDescent="0.25">
      <c r="B142" s="12">
        <v>44417</v>
      </c>
      <c r="C142" s="18">
        <v>136.63000500000001</v>
      </c>
    </row>
    <row r="143" spans="2:3" x14ac:dyDescent="0.25">
      <c r="B143" s="12">
        <v>44410</v>
      </c>
      <c r="C143" s="18">
        <v>134.38000500000001</v>
      </c>
    </row>
    <row r="144" spans="2:3" x14ac:dyDescent="0.25">
      <c r="B144" s="12">
        <v>44403</v>
      </c>
      <c r="C144" s="18">
        <v>140.25</v>
      </c>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45"/>
  <sheetViews>
    <sheetView topLeftCell="A45" workbookViewId="0">
      <selection activeCell="I62" sqref="I62"/>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34</v>
      </c>
      <c r="B1" s="1" t="s">
        <v>47</v>
      </c>
      <c r="C1" s="1" t="s">
        <v>0</v>
      </c>
      <c r="D1" s="1" t="s">
        <v>87</v>
      </c>
      <c r="H1" s="141" t="s">
        <v>88</v>
      </c>
      <c r="I1" s="142"/>
      <c r="J1" s="142"/>
      <c r="K1" s="142"/>
      <c r="L1" s="142"/>
      <c r="M1" s="143"/>
    </row>
    <row r="2" spans="1:13" ht="15.75" thickBot="1" x14ac:dyDescent="0.3">
      <c r="B2" s="12">
        <v>45404</v>
      </c>
      <c r="C2" s="18">
        <v>216.38</v>
      </c>
      <c r="D2" s="123">
        <f>C2/C3-1</f>
        <v>0.11157914082853915</v>
      </c>
      <c r="H2" s="58"/>
      <c r="I2" s="59"/>
      <c r="J2" s="59"/>
      <c r="K2" s="59"/>
      <c r="L2" s="59"/>
      <c r="M2" s="60"/>
    </row>
    <row r="3" spans="1:13" ht="15.75" thickBot="1" x14ac:dyDescent="0.3">
      <c r="B3" s="12">
        <v>45397</v>
      </c>
      <c r="C3" s="18">
        <v>194.66000399999999</v>
      </c>
      <c r="D3" s="123">
        <f t="shared" ref="D3:D66" si="0">C3/C4-1</f>
        <v>-7.7615568343958441E-2</v>
      </c>
      <c r="H3" s="61" t="s">
        <v>89</v>
      </c>
      <c r="I3" s="62" t="s">
        <v>90</v>
      </c>
      <c r="J3" s="63" t="s">
        <v>91</v>
      </c>
      <c r="K3" s="64" t="s">
        <v>92</v>
      </c>
      <c r="L3" s="64" t="s">
        <v>93</v>
      </c>
      <c r="M3" s="65" t="s">
        <v>94</v>
      </c>
    </row>
    <row r="4" spans="1:13" x14ac:dyDescent="0.25">
      <c r="B4" s="12">
        <v>45390</v>
      </c>
      <c r="C4" s="18">
        <v>211.03999300000001</v>
      </c>
      <c r="D4" s="123">
        <f t="shared" si="0"/>
        <v>-1.8464267207670915E-2</v>
      </c>
      <c r="H4" s="66">
        <f>$I$19-3*$I$23</f>
        <v>-0.26958302426293923</v>
      </c>
      <c r="I4" s="67">
        <f>H4</f>
        <v>-0.26958302426293923</v>
      </c>
      <c r="J4" s="68">
        <f>COUNTIF(D:D,"&lt;="&amp;H4)</f>
        <v>0</v>
      </c>
      <c r="K4" s="68" t="str">
        <f>"Less than "&amp;TEXT(H4,"0,00%")</f>
        <v>Less than -26,96%</v>
      </c>
      <c r="L4" s="69">
        <f>J4/$I$31</f>
        <v>0</v>
      </c>
      <c r="M4" s="70">
        <f>L4</f>
        <v>0</v>
      </c>
    </row>
    <row r="5" spans="1:13" x14ac:dyDescent="0.25">
      <c r="B5" s="12">
        <v>45383</v>
      </c>
      <c r="C5" s="18">
        <v>215.009995</v>
      </c>
      <c r="D5" s="123">
        <f t="shared" si="0"/>
        <v>-2.5251640898978689E-2</v>
      </c>
      <c r="H5" s="71">
        <f>$I$19-2.4*$I$23</f>
        <v>-0.21426380716784171</v>
      </c>
      <c r="I5" s="72">
        <f>H5</f>
        <v>-0.21426380716784171</v>
      </c>
      <c r="J5" s="73">
        <f>COUNTIFS(D:D,"&lt;="&amp;H5,D:D,"&gt;"&amp;H4)</f>
        <v>0</v>
      </c>
      <c r="K5" s="74" t="str">
        <f t="shared" ref="K5:K14" si="1">TEXT(H4,"0,00%")&amp;" to "&amp;TEXT(H5,"0,00%")</f>
        <v>-26,96% to -21,43%</v>
      </c>
      <c r="L5" s="75">
        <f>J5/$I$31</f>
        <v>0</v>
      </c>
      <c r="M5" s="76">
        <f>M4+L5</f>
        <v>0</v>
      </c>
    </row>
    <row r="6" spans="1:13" x14ac:dyDescent="0.25">
      <c r="B6" s="12">
        <v>45376</v>
      </c>
      <c r="C6" s="18">
        <v>220.58000200000001</v>
      </c>
      <c r="D6" s="123">
        <f t="shared" si="0"/>
        <v>-4.9592805370206494E-2</v>
      </c>
      <c r="H6" s="71">
        <f>$I$19-1.8*$I$23</f>
        <v>-0.15894459007274417</v>
      </c>
      <c r="I6" s="72">
        <f t="shared" ref="I6:I14" si="2">H6</f>
        <v>-0.15894459007274417</v>
      </c>
      <c r="J6" s="73">
        <f t="shared" ref="J6:J14" si="3">COUNTIFS(D:D,"&lt;="&amp;H6,D:D,"&gt;"&amp;H5)</f>
        <v>2</v>
      </c>
      <c r="K6" s="74" t="str">
        <f t="shared" si="1"/>
        <v>-21,43% to -15,89%</v>
      </c>
      <c r="L6" s="75">
        <f t="shared" ref="L6:L15" si="4">J6/$I$31</f>
        <v>1.3986013986013986E-2</v>
      </c>
      <c r="M6" s="76">
        <f t="shared" ref="M6:M15" si="5">M5+L6</f>
        <v>1.3986013986013986E-2</v>
      </c>
    </row>
    <row r="7" spans="1:13" x14ac:dyDescent="0.25">
      <c r="B7" s="12">
        <v>45369</v>
      </c>
      <c r="C7" s="18">
        <v>232.08999600000001</v>
      </c>
      <c r="D7" s="123">
        <f t="shared" si="0"/>
        <v>7.2802072160526476E-2</v>
      </c>
      <c r="H7" s="71">
        <f>$I$19-1.2*$I$23</f>
        <v>-0.10362537297764662</v>
      </c>
      <c r="I7" s="72">
        <f t="shared" si="2"/>
        <v>-0.10362537297764662</v>
      </c>
      <c r="J7" s="73">
        <f t="shared" si="3"/>
        <v>8</v>
      </c>
      <c r="K7" s="74" t="str">
        <f t="shared" si="1"/>
        <v>-15,89% to -10,36%</v>
      </c>
      <c r="L7" s="75">
        <f t="shared" si="4"/>
        <v>5.5944055944055944E-2</v>
      </c>
      <c r="M7" s="76">
        <f t="shared" si="5"/>
        <v>6.9930069930069935E-2</v>
      </c>
    </row>
    <row r="8" spans="1:13" x14ac:dyDescent="0.25">
      <c r="B8" s="12">
        <v>45362</v>
      </c>
      <c r="C8" s="18">
        <v>216.33999600000001</v>
      </c>
      <c r="D8" s="123">
        <f t="shared" si="0"/>
        <v>1.3159729373669826E-2</v>
      </c>
      <c r="H8" s="71">
        <f>$I$19-0.6*$I$23</f>
        <v>-4.8306155882549093E-2</v>
      </c>
      <c r="I8" s="72">
        <f t="shared" si="2"/>
        <v>-4.8306155882549093E-2</v>
      </c>
      <c r="J8" s="73">
        <f t="shared" si="3"/>
        <v>24</v>
      </c>
      <c r="K8" s="74" t="str">
        <f t="shared" si="1"/>
        <v>-10,36% to -4,83%</v>
      </c>
      <c r="L8" s="75">
        <f t="shared" si="4"/>
        <v>0.16783216783216784</v>
      </c>
      <c r="M8" s="76">
        <f t="shared" si="5"/>
        <v>0.23776223776223776</v>
      </c>
    </row>
    <row r="9" spans="1:13" x14ac:dyDescent="0.25">
      <c r="B9" s="12">
        <v>45355</v>
      </c>
      <c r="C9" s="18">
        <v>213.529999</v>
      </c>
      <c r="D9" s="123">
        <f t="shared" si="0"/>
        <v>-9.7086580889539031E-2</v>
      </c>
      <c r="H9" s="71">
        <f>$I$19</f>
        <v>7.0130612125484468E-3</v>
      </c>
      <c r="I9" s="72">
        <f t="shared" si="2"/>
        <v>7.0130612125484468E-3</v>
      </c>
      <c r="J9" s="73">
        <f t="shared" si="3"/>
        <v>43</v>
      </c>
      <c r="K9" s="74" t="str">
        <f t="shared" si="1"/>
        <v>-4,83% to 0,70%</v>
      </c>
      <c r="L9" s="75">
        <f t="shared" si="4"/>
        <v>0.30069930069930068</v>
      </c>
      <c r="M9" s="76">
        <f t="shared" si="5"/>
        <v>0.53846153846153844</v>
      </c>
    </row>
    <row r="10" spans="1:13" x14ac:dyDescent="0.25">
      <c r="B10" s="12">
        <v>45348</v>
      </c>
      <c r="C10" s="18">
        <v>236.490005</v>
      </c>
      <c r="D10" s="123">
        <f t="shared" si="0"/>
        <v>0.33512108803926233</v>
      </c>
      <c r="H10" s="71">
        <f>$I$19+0.6*$I$23</f>
        <v>6.2332278307645983E-2</v>
      </c>
      <c r="I10" s="72">
        <f t="shared" si="2"/>
        <v>6.2332278307645983E-2</v>
      </c>
      <c r="J10" s="73">
        <f t="shared" si="3"/>
        <v>29</v>
      </c>
      <c r="K10" s="74" t="str">
        <f t="shared" si="1"/>
        <v>0,70% to 6,23%</v>
      </c>
      <c r="L10" s="75">
        <f t="shared" si="4"/>
        <v>0.20279720279720279</v>
      </c>
      <c r="M10" s="76">
        <f t="shared" si="5"/>
        <v>0.74125874125874125</v>
      </c>
    </row>
    <row r="11" spans="1:13" x14ac:dyDescent="0.25">
      <c r="B11" s="12">
        <v>45341</v>
      </c>
      <c r="C11" s="18">
        <v>177.13000500000001</v>
      </c>
      <c r="D11" s="123">
        <f t="shared" si="0"/>
        <v>-4.2022656853087703E-2</v>
      </c>
      <c r="H11" s="71">
        <f>$I$19+1.2*$I$23</f>
        <v>0.11765149540274353</v>
      </c>
      <c r="I11" s="72">
        <f t="shared" si="2"/>
        <v>0.11765149540274353</v>
      </c>
      <c r="J11" s="73">
        <f t="shared" si="3"/>
        <v>28</v>
      </c>
      <c r="K11" s="74" t="str">
        <f t="shared" si="1"/>
        <v>6,23% to 11,77%</v>
      </c>
      <c r="L11" s="75">
        <f t="shared" si="4"/>
        <v>0.19580419580419581</v>
      </c>
      <c r="M11" s="76">
        <f t="shared" si="5"/>
        <v>0.93706293706293708</v>
      </c>
    </row>
    <row r="12" spans="1:13" x14ac:dyDescent="0.25">
      <c r="B12" s="12">
        <v>45334</v>
      </c>
      <c r="C12" s="18">
        <v>184.89999399999999</v>
      </c>
      <c r="D12" s="123">
        <f t="shared" si="0"/>
        <v>-3.5673364043147915E-2</v>
      </c>
      <c r="H12" s="71">
        <f>$I$19+1.8*$I$23</f>
        <v>0.17297071249784104</v>
      </c>
      <c r="I12" s="72">
        <f t="shared" si="2"/>
        <v>0.17297071249784104</v>
      </c>
      <c r="J12" s="73">
        <f t="shared" si="3"/>
        <v>5</v>
      </c>
      <c r="K12" s="74" t="str">
        <f t="shared" si="1"/>
        <v>11,77% to 17,30%</v>
      </c>
      <c r="L12" s="75">
        <f t="shared" si="4"/>
        <v>3.4965034965034968E-2</v>
      </c>
      <c r="M12" s="76">
        <f t="shared" si="5"/>
        <v>0.97202797202797209</v>
      </c>
    </row>
    <row r="13" spans="1:13" x14ac:dyDescent="0.25">
      <c r="B13" s="12">
        <v>45327</v>
      </c>
      <c r="C13" s="18">
        <v>191.740005</v>
      </c>
      <c r="D13" s="123">
        <f t="shared" si="0"/>
        <v>7.1831885917781335E-2</v>
      </c>
      <c r="H13" s="71">
        <f>$I$19+2.4*$I$23</f>
        <v>0.22828992959293859</v>
      </c>
      <c r="I13" s="72">
        <f t="shared" si="2"/>
        <v>0.22828992959293859</v>
      </c>
      <c r="J13" s="73">
        <f t="shared" si="3"/>
        <v>0</v>
      </c>
      <c r="K13" s="74" t="str">
        <f t="shared" si="1"/>
        <v>17,30% to 22,83%</v>
      </c>
      <c r="L13" s="75">
        <f t="shared" si="4"/>
        <v>0</v>
      </c>
      <c r="M13" s="76">
        <f t="shared" si="5"/>
        <v>0.97202797202797209</v>
      </c>
    </row>
    <row r="14" spans="1:13" x14ac:dyDescent="0.25">
      <c r="B14" s="12">
        <v>45320</v>
      </c>
      <c r="C14" s="18">
        <v>178.88999899999999</v>
      </c>
      <c r="D14" s="123">
        <f t="shared" si="0"/>
        <v>-7.2580227448702517E-2</v>
      </c>
      <c r="H14" s="71">
        <f>$I$19+3*$I$23</f>
        <v>0.28360914668803616</v>
      </c>
      <c r="I14" s="72">
        <f t="shared" si="2"/>
        <v>0.28360914668803616</v>
      </c>
      <c r="J14" s="73">
        <f t="shared" si="3"/>
        <v>0</v>
      </c>
      <c r="K14" s="74" t="str">
        <f t="shared" si="1"/>
        <v>22,83% to 28,36%</v>
      </c>
      <c r="L14" s="75">
        <f t="shared" si="4"/>
        <v>0</v>
      </c>
      <c r="M14" s="76">
        <f t="shared" si="5"/>
        <v>0.97202797202797209</v>
      </c>
    </row>
    <row r="15" spans="1:13" ht="15.75" thickBot="1" x14ac:dyDescent="0.3">
      <c r="B15" s="12">
        <v>45313</v>
      </c>
      <c r="C15" s="18">
        <v>192.88999899999999</v>
      </c>
      <c r="D15" s="123">
        <f t="shared" si="0"/>
        <v>-8.7872916098472587E-3</v>
      </c>
      <c r="H15" s="77"/>
      <c r="I15" s="78" t="s">
        <v>95</v>
      </c>
      <c r="J15" s="78">
        <f>COUNTIF(D:D,"&gt;"&amp;H14)</f>
        <v>4</v>
      </c>
      <c r="K15" s="78" t="str">
        <f>"Greater than "&amp;TEXT(H14,"0,00%")</f>
        <v>Greater than 28,36%</v>
      </c>
      <c r="L15" s="79">
        <f t="shared" si="4"/>
        <v>2.7972027972027972E-2</v>
      </c>
      <c r="M15" s="79">
        <f t="shared" si="5"/>
        <v>1</v>
      </c>
    </row>
    <row r="16" spans="1:13" ht="15.75" thickBot="1" x14ac:dyDescent="0.3">
      <c r="B16" s="12">
        <v>45306</v>
      </c>
      <c r="C16" s="18">
        <v>194.60000600000001</v>
      </c>
      <c r="D16" s="123">
        <f t="shared" si="0"/>
        <v>-8.2118718034968063E-2</v>
      </c>
      <c r="H16" s="80"/>
      <c r="M16" s="81"/>
    </row>
    <row r="17" spans="2:13" x14ac:dyDescent="0.25">
      <c r="B17" s="12">
        <v>45299</v>
      </c>
      <c r="C17" s="18">
        <v>212.009995</v>
      </c>
      <c r="D17" s="123">
        <f t="shared" si="0"/>
        <v>3.857741295165984E-2</v>
      </c>
      <c r="H17" s="144" t="s">
        <v>126</v>
      </c>
      <c r="I17" s="145"/>
      <c r="M17" s="81"/>
    </row>
    <row r="18" spans="2:13" x14ac:dyDescent="0.25">
      <c r="B18" s="12">
        <v>45292</v>
      </c>
      <c r="C18" s="18">
        <v>204.134995</v>
      </c>
      <c r="D18" s="123">
        <f t="shared" si="0"/>
        <v>-0.1001322918192914</v>
      </c>
      <c r="H18" s="146"/>
      <c r="I18" s="147"/>
      <c r="M18" s="81"/>
    </row>
    <row r="19" spans="2:13" x14ac:dyDescent="0.25">
      <c r="B19" s="12">
        <v>45285</v>
      </c>
      <c r="C19" s="18">
        <v>226.85000600000001</v>
      </c>
      <c r="D19" s="123">
        <f t="shared" si="0"/>
        <v>-4.7848873032528827E-2</v>
      </c>
      <c r="H19" s="82" t="s">
        <v>96</v>
      </c>
      <c r="I19" s="119">
        <f>AVERAGE(D:D)</f>
        <v>7.0130612125484468E-3</v>
      </c>
      <c r="M19" s="81"/>
    </row>
    <row r="20" spans="2:13" x14ac:dyDescent="0.25">
      <c r="B20" s="12">
        <v>45278</v>
      </c>
      <c r="C20" s="18">
        <v>238.25</v>
      </c>
      <c r="D20" s="123">
        <f t="shared" si="0"/>
        <v>2.9202103131839241E-2</v>
      </c>
      <c r="H20" s="82" t="s">
        <v>97</v>
      </c>
      <c r="I20" s="119">
        <f>_xlfn.STDEV.S(D:D)/SQRT(COUNT(D:D))</f>
        <v>7.7100422159371634E-3</v>
      </c>
      <c r="M20" s="81"/>
    </row>
    <row r="21" spans="2:13" x14ac:dyDescent="0.25">
      <c r="B21" s="12">
        <v>45271</v>
      </c>
      <c r="C21" s="18">
        <v>231.490005</v>
      </c>
      <c r="D21" s="123">
        <f t="shared" si="0"/>
        <v>7.795112922002323E-2</v>
      </c>
      <c r="H21" s="82" t="s">
        <v>98</v>
      </c>
      <c r="I21" s="119">
        <f>MEDIAN(D:D)</f>
        <v>-7.6949466757081364E-4</v>
      </c>
      <c r="M21" s="81"/>
    </row>
    <row r="22" spans="2:13" x14ac:dyDescent="0.25">
      <c r="B22" s="12">
        <v>45264</v>
      </c>
      <c r="C22" s="18">
        <v>214.75</v>
      </c>
      <c r="D22" s="123">
        <f t="shared" si="0"/>
        <v>6.7979230173755845E-3</v>
      </c>
      <c r="H22" s="82" t="s">
        <v>99</v>
      </c>
      <c r="I22" s="119" t="e">
        <f>MODE(D:D)</f>
        <v>#N/A</v>
      </c>
      <c r="M22" s="81"/>
    </row>
    <row r="23" spans="2:13" x14ac:dyDescent="0.25">
      <c r="B23" s="12">
        <v>45257</v>
      </c>
      <c r="C23" s="18">
        <v>213.300003</v>
      </c>
      <c r="D23" s="123">
        <f t="shared" si="0"/>
        <v>-3.6846399991308565E-2</v>
      </c>
      <c r="H23" s="82" t="s">
        <v>100</v>
      </c>
      <c r="I23" s="119">
        <f>_xlfn.STDEV.S(D:D)</f>
        <v>9.2198695158495894E-2</v>
      </c>
      <c r="M23" s="81"/>
    </row>
    <row r="24" spans="2:13" x14ac:dyDescent="0.25">
      <c r="B24" s="12">
        <v>45250</v>
      </c>
      <c r="C24" s="18">
        <v>221.46000699999999</v>
      </c>
      <c r="D24" s="123">
        <f t="shared" si="0"/>
        <v>4.6350169043708922E-2</v>
      </c>
      <c r="H24" s="82" t="s">
        <v>101</v>
      </c>
      <c r="I24" s="119">
        <f>_xlfn.VAR.S(D:D)</f>
        <v>8.5005993889292544E-3</v>
      </c>
      <c r="M24" s="81"/>
    </row>
    <row r="25" spans="2:13" x14ac:dyDescent="0.25">
      <c r="B25" s="12">
        <v>45243</v>
      </c>
      <c r="C25" s="18">
        <v>211.64999399999999</v>
      </c>
      <c r="D25" s="123">
        <f t="shared" si="0"/>
        <v>5.6727178446203119E-4</v>
      </c>
      <c r="H25" s="82" t="s">
        <v>102</v>
      </c>
      <c r="I25" s="120">
        <f>KURT(D:D)</f>
        <v>3.5761692065844546</v>
      </c>
      <c r="M25" s="81"/>
    </row>
    <row r="26" spans="2:13" x14ac:dyDescent="0.25">
      <c r="B26" s="12">
        <v>45236</v>
      </c>
      <c r="C26" s="18">
        <v>211.529999</v>
      </c>
      <c r="D26" s="123">
        <f t="shared" si="0"/>
        <v>0.32762189383516094</v>
      </c>
      <c r="H26" s="82" t="s">
        <v>103</v>
      </c>
      <c r="I26" s="120">
        <f>SKEW(D:D)</f>
        <v>1.1921520470223386</v>
      </c>
      <c r="M26" s="81"/>
    </row>
    <row r="27" spans="2:13" x14ac:dyDescent="0.25">
      <c r="B27" s="12">
        <v>45229</v>
      </c>
      <c r="C27" s="18">
        <v>159.33000200000001</v>
      </c>
      <c r="D27" s="123">
        <f t="shared" si="0"/>
        <v>0.10977219636131941</v>
      </c>
      <c r="H27" s="82" t="s">
        <v>92</v>
      </c>
      <c r="I27" s="119">
        <f>I29-I28</f>
        <v>0.57337747950199325</v>
      </c>
      <c r="M27" s="81"/>
    </row>
    <row r="28" spans="2:13" x14ac:dyDescent="0.25">
      <c r="B28" s="12">
        <v>45222</v>
      </c>
      <c r="C28" s="18">
        <v>143.570007</v>
      </c>
      <c r="D28" s="123">
        <f t="shared" si="0"/>
        <v>-6.548198706365993E-2</v>
      </c>
      <c r="H28" s="82" t="s">
        <v>104</v>
      </c>
      <c r="I28" s="119">
        <f>MIN(D:D)</f>
        <v>-0.20497463959390871</v>
      </c>
      <c r="M28" s="81"/>
    </row>
    <row r="29" spans="2:13" x14ac:dyDescent="0.25">
      <c r="B29" s="12">
        <v>45215</v>
      </c>
      <c r="C29" s="18">
        <v>153.63000500000001</v>
      </c>
      <c r="D29" s="123">
        <f t="shared" si="0"/>
        <v>-4.0412247080115593E-2</v>
      </c>
      <c r="H29" s="82" t="s">
        <v>105</v>
      </c>
      <c r="I29" s="119">
        <f>MAX(D:D)</f>
        <v>0.36840283990808453</v>
      </c>
      <c r="M29" s="81"/>
    </row>
    <row r="30" spans="2:13" x14ac:dyDescent="0.25">
      <c r="B30" s="12">
        <v>45208</v>
      </c>
      <c r="C30" s="18">
        <v>160.10000600000001</v>
      </c>
      <c r="D30" s="123">
        <f t="shared" si="0"/>
        <v>-2.5207007269635651E-2</v>
      </c>
      <c r="H30" s="82" t="s">
        <v>106</v>
      </c>
      <c r="I30" s="120">
        <f>SUM(D:D)</f>
        <v>1.0028677533944279</v>
      </c>
      <c r="M30" s="81"/>
    </row>
    <row r="31" spans="2:13" ht="15.75" thickBot="1" x14ac:dyDescent="0.3">
      <c r="B31" s="12">
        <v>45201</v>
      </c>
      <c r="C31" s="18">
        <v>164.240005</v>
      </c>
      <c r="D31" s="123">
        <f t="shared" si="0"/>
        <v>-9.8269129386541199E-3</v>
      </c>
      <c r="H31" s="83" t="s">
        <v>107</v>
      </c>
      <c r="I31" s="60">
        <f>COUNT(D:D)</f>
        <v>143</v>
      </c>
      <c r="M31" s="81"/>
    </row>
    <row r="32" spans="2:13" ht="15.75" thickBot="1" x14ac:dyDescent="0.3">
      <c r="B32" s="12">
        <v>45194</v>
      </c>
      <c r="C32" s="18">
        <v>165.86999499999999</v>
      </c>
      <c r="D32" s="123">
        <f t="shared" si="0"/>
        <v>8.6460975783860361E-2</v>
      </c>
      <c r="H32" s="85"/>
      <c r="M32" s="81"/>
    </row>
    <row r="33" spans="2:13" x14ac:dyDescent="0.25">
      <c r="B33" s="12">
        <v>45187</v>
      </c>
      <c r="C33" s="18">
        <v>152.66999799999999</v>
      </c>
      <c r="D33" s="123">
        <f t="shared" si="0"/>
        <v>-4.3001322904791195E-2</v>
      </c>
      <c r="H33" s="86"/>
      <c r="I33" s="87" t="s">
        <v>108</v>
      </c>
      <c r="J33" s="87" t="s">
        <v>107</v>
      </c>
      <c r="K33" s="87" t="s">
        <v>109</v>
      </c>
      <c r="L33" s="88" t="s">
        <v>110</v>
      </c>
      <c r="M33" s="81"/>
    </row>
    <row r="34" spans="2:13" x14ac:dyDescent="0.25">
      <c r="B34" s="12">
        <v>45180</v>
      </c>
      <c r="C34" s="18">
        <v>159.529999</v>
      </c>
      <c r="D34" s="123">
        <f t="shared" si="0"/>
        <v>1.929591781023321E-2</v>
      </c>
      <c r="H34" s="89" t="s">
        <v>111</v>
      </c>
      <c r="I34" s="75">
        <f>AVERAGEIF(D:D,"&gt;0")</f>
        <v>7.5861524839146252E-2</v>
      </c>
      <c r="J34" s="73">
        <f>COUNTIF(D:D,"&gt;0")</f>
        <v>70</v>
      </c>
      <c r="K34" s="75">
        <f>J34/$I$31</f>
        <v>0.48951048951048953</v>
      </c>
      <c r="L34" s="76">
        <f>K34*I34</f>
        <v>3.7135012159022644E-2</v>
      </c>
      <c r="M34" s="81"/>
    </row>
    <row r="35" spans="2:13" x14ac:dyDescent="0.25">
      <c r="B35" s="12">
        <v>45173</v>
      </c>
      <c r="C35" s="18">
        <v>156.509995</v>
      </c>
      <c r="D35" s="123">
        <f t="shared" si="0"/>
        <v>5.0966942666760051E-2</v>
      </c>
      <c r="H35" s="89" t="s">
        <v>112</v>
      </c>
      <c r="I35" s="75">
        <f>AVERAGEIF(D:D,"&lt;0")</f>
        <v>-5.9006013497887852E-2</v>
      </c>
      <c r="J35" s="73">
        <f>COUNTIF(D:D,"&lt;0")</f>
        <v>73</v>
      </c>
      <c r="K35" s="75">
        <f>J35/$I$31</f>
        <v>0.51048951048951052</v>
      </c>
      <c r="L35" s="76">
        <f t="shared" ref="L35:L36" si="6">K35*I35</f>
        <v>-3.012195094647422E-2</v>
      </c>
      <c r="M35" s="81"/>
    </row>
    <row r="36" spans="2:13" ht="15.75" thickBot="1" x14ac:dyDescent="0.3">
      <c r="B36" s="12">
        <v>45166</v>
      </c>
      <c r="C36" s="18">
        <v>148.91999799999999</v>
      </c>
      <c r="D36" s="123">
        <f t="shared" si="0"/>
        <v>0.10253935205615261</v>
      </c>
      <c r="H36" s="90" t="s">
        <v>113</v>
      </c>
      <c r="I36" s="78">
        <v>0</v>
      </c>
      <c r="J36" s="78">
        <f>COUNTIF(D:D,"0")</f>
        <v>0</v>
      </c>
      <c r="K36" s="91">
        <f>J36/$I$31</f>
        <v>0</v>
      </c>
      <c r="L36" s="79">
        <f t="shared" si="6"/>
        <v>0</v>
      </c>
      <c r="M36" s="81"/>
    </row>
    <row r="37" spans="2:13" ht="15.75" thickBot="1" x14ac:dyDescent="0.3">
      <c r="B37" s="12">
        <v>45159</v>
      </c>
      <c r="C37" s="18">
        <v>135.070007</v>
      </c>
      <c r="D37" s="123">
        <f t="shared" si="0"/>
        <v>9.0153388375247889E-2</v>
      </c>
      <c r="H37" s="85"/>
      <c r="I37" s="92"/>
      <c r="J37" s="92"/>
      <c r="K37" s="92"/>
      <c r="L37" s="92"/>
      <c r="M37" s="81"/>
    </row>
    <row r="38" spans="2:13" x14ac:dyDescent="0.25">
      <c r="B38" s="12">
        <v>45152</v>
      </c>
      <c r="C38" s="18">
        <v>123.900002</v>
      </c>
      <c r="D38" s="123">
        <f t="shared" si="0"/>
        <v>-0.10741298332127347</v>
      </c>
      <c r="H38" s="66" t="s">
        <v>114</v>
      </c>
      <c r="I38" s="87" t="s">
        <v>115</v>
      </c>
      <c r="J38" s="87" t="s">
        <v>116</v>
      </c>
      <c r="K38" s="87" t="s">
        <v>117</v>
      </c>
      <c r="L38" s="87" t="s">
        <v>118</v>
      </c>
      <c r="M38" s="88" t="s">
        <v>119</v>
      </c>
    </row>
    <row r="39" spans="2:13" x14ac:dyDescent="0.25">
      <c r="B39" s="12">
        <v>45145</v>
      </c>
      <c r="C39" s="18">
        <v>138.80999800000001</v>
      </c>
      <c r="D39" s="123">
        <f t="shared" si="0"/>
        <v>1.0556180761821521E-2</v>
      </c>
      <c r="H39" s="93">
        <v>1</v>
      </c>
      <c r="I39" s="75">
        <f>$I$19+($H39*$I$23)</f>
        <v>9.9211756371044346E-2</v>
      </c>
      <c r="J39" s="75">
        <f>$I$19-($H39*$I$23)</f>
        <v>-8.5185633945947442E-2</v>
      </c>
      <c r="K39" s="73">
        <f>COUNTIFS(D:D,"&lt;"&amp;I39,D:D,"&gt;"&amp;J39)</f>
        <v>109</v>
      </c>
      <c r="L39" s="75">
        <f>K39/$I$31</f>
        <v>0.76223776223776218</v>
      </c>
      <c r="M39" s="76">
        <v>0.68269999999999997</v>
      </c>
    </row>
    <row r="40" spans="2:13" x14ac:dyDescent="0.25">
      <c r="B40" s="12">
        <v>45138</v>
      </c>
      <c r="C40" s="18">
        <v>137.36000100000001</v>
      </c>
      <c r="D40" s="123">
        <f t="shared" si="0"/>
        <v>-9.0090125658247922E-2</v>
      </c>
      <c r="H40" s="93">
        <v>2</v>
      </c>
      <c r="I40" s="75">
        <f>$I$19+($H40*$I$23)</f>
        <v>0.19141045152954023</v>
      </c>
      <c r="J40" s="75">
        <f>$I$19-($H40*$I$23)</f>
        <v>-0.17738432910444335</v>
      </c>
      <c r="K40" s="73">
        <f>COUNTIFS(D:D,"&lt;"&amp;I40,D:D,"&gt;"&amp;J40)</f>
        <v>137</v>
      </c>
      <c r="L40" s="75">
        <f>K40/$I$31</f>
        <v>0.95804195804195802</v>
      </c>
      <c r="M40" s="76">
        <v>0.95450000000000002</v>
      </c>
    </row>
    <row r="41" spans="2:13" x14ac:dyDescent="0.25">
      <c r="B41" s="12">
        <v>45131</v>
      </c>
      <c r="C41" s="18">
        <v>150.96000699999999</v>
      </c>
      <c r="D41" s="123">
        <f t="shared" si="0"/>
        <v>9.7659331103678859E-3</v>
      </c>
      <c r="H41" s="93">
        <v>3</v>
      </c>
      <c r="I41" s="75">
        <f>$I$19+($H41*$I$23)</f>
        <v>0.28360914668803616</v>
      </c>
      <c r="J41" s="75">
        <f>$I$19-($H41*$I$23)</f>
        <v>-0.26958302426293923</v>
      </c>
      <c r="K41" s="73">
        <f>COUNTIFS(D:D,"&lt;"&amp;I41,D:D,"&gt;"&amp;J41)</f>
        <v>139</v>
      </c>
      <c r="L41" s="75">
        <f>K41/$I$31</f>
        <v>0.97202797202797198</v>
      </c>
      <c r="M41" s="94">
        <v>0.99729999999999996</v>
      </c>
    </row>
    <row r="42" spans="2:13" ht="15.75" thickBot="1" x14ac:dyDescent="0.3">
      <c r="B42" s="12">
        <v>45124</v>
      </c>
      <c r="C42" s="18">
        <v>149.5</v>
      </c>
      <c r="D42" s="123">
        <f t="shared" si="0"/>
        <v>-6.6851717840044067E-5</v>
      </c>
      <c r="H42" s="71"/>
      <c r="M42" s="94"/>
    </row>
    <row r="43" spans="2:13" ht="15.75" thickBot="1" x14ac:dyDescent="0.3">
      <c r="B43" s="12">
        <v>45117</v>
      </c>
      <c r="C43" s="18">
        <v>149.509995</v>
      </c>
      <c r="D43" s="123">
        <f t="shared" si="0"/>
        <v>0.1054343438077634</v>
      </c>
      <c r="H43" s="148" t="s">
        <v>120</v>
      </c>
      <c r="I43" s="149"/>
      <c r="J43" s="149"/>
      <c r="K43" s="149"/>
      <c r="L43" s="149"/>
      <c r="M43" s="150"/>
    </row>
    <row r="44" spans="2:13" x14ac:dyDescent="0.25">
      <c r="B44" s="12">
        <v>45110</v>
      </c>
      <c r="C44" s="18">
        <v>135.25</v>
      </c>
      <c r="D44" s="123">
        <f t="shared" si="0"/>
        <v>-5.3798809937053105E-2</v>
      </c>
      <c r="H44" s="95">
        <v>0.01</v>
      </c>
      <c r="I44" s="96">
        <f t="shared" ref="I44:I58" si="7">_xlfn.PERCENTILE.INC(D:D,H44)</f>
        <v>-0.17625708598154247</v>
      </c>
      <c r="J44" s="97">
        <v>0.2</v>
      </c>
      <c r="K44" s="96">
        <f t="shared" ref="K44:K56" si="8">_xlfn.PERCENTILE.INC(D:D,J44)</f>
        <v>-6.5532251052551671E-2</v>
      </c>
      <c r="L44" s="97">
        <v>0.85</v>
      </c>
      <c r="M44" s="98">
        <f t="shared" ref="M44:M58" si="9">_xlfn.PERCENTILE.INC(D:D,L44)</f>
        <v>7.790344746207456E-2</v>
      </c>
    </row>
    <row r="45" spans="2:13" x14ac:dyDescent="0.25">
      <c r="B45" s="12">
        <v>45103</v>
      </c>
      <c r="C45" s="18">
        <v>142.94000199999999</v>
      </c>
      <c r="D45" s="123">
        <f t="shared" si="0"/>
        <v>2.0781282730709671E-2</v>
      </c>
      <c r="H45" s="99">
        <v>0.02</v>
      </c>
      <c r="I45" s="100">
        <f t="shared" si="7"/>
        <v>-0.14870136684728594</v>
      </c>
      <c r="J45" s="101">
        <v>0.25</v>
      </c>
      <c r="K45" s="100">
        <f t="shared" si="8"/>
        <v>-4.6407647425667942E-2</v>
      </c>
      <c r="L45" s="101">
        <v>0.86</v>
      </c>
      <c r="M45" s="102">
        <f t="shared" si="9"/>
        <v>8.1363249329655496E-2</v>
      </c>
    </row>
    <row r="46" spans="2:13" x14ac:dyDescent="0.25">
      <c r="B46" s="12">
        <v>45096</v>
      </c>
      <c r="C46" s="18">
        <v>140.029999</v>
      </c>
      <c r="D46" s="123">
        <f t="shared" si="0"/>
        <v>-8.3513283491020274E-2</v>
      </c>
      <c r="H46" s="99">
        <v>0.03</v>
      </c>
      <c r="I46" s="100">
        <f t="shared" si="7"/>
        <v>-0.1228585611805046</v>
      </c>
      <c r="J46" s="101">
        <v>0.3</v>
      </c>
      <c r="K46" s="100">
        <f t="shared" si="8"/>
        <v>-4.0049487554004413E-2</v>
      </c>
      <c r="L46" s="101">
        <v>0.87</v>
      </c>
      <c r="M46" s="102">
        <f t="shared" si="9"/>
        <v>8.8454878583209648E-2</v>
      </c>
    </row>
    <row r="47" spans="2:13" x14ac:dyDescent="0.25">
      <c r="B47" s="12">
        <v>45089</v>
      </c>
      <c r="C47" s="18">
        <v>152.78999300000001</v>
      </c>
      <c r="D47" s="123">
        <f t="shared" si="0"/>
        <v>-1.9445603028371061E-2</v>
      </c>
      <c r="H47" s="99">
        <v>0.04</v>
      </c>
      <c r="I47" s="100">
        <f t="shared" si="7"/>
        <v>-0.11898075207832921</v>
      </c>
      <c r="J47" s="101">
        <v>0.35</v>
      </c>
      <c r="K47" s="100">
        <f t="shared" si="8"/>
        <v>-3.3186318329401797E-2</v>
      </c>
      <c r="L47" s="101">
        <v>0.88</v>
      </c>
      <c r="M47" s="102">
        <f t="shared" si="9"/>
        <v>9.239283072182787E-2</v>
      </c>
    </row>
    <row r="48" spans="2:13" x14ac:dyDescent="0.25">
      <c r="B48" s="12">
        <v>45082</v>
      </c>
      <c r="C48" s="18">
        <v>155.820007</v>
      </c>
      <c r="D48" s="123">
        <f t="shared" si="0"/>
        <v>-7.6949466757081364E-4</v>
      </c>
      <c r="H48" s="99">
        <v>0.05</v>
      </c>
      <c r="I48" s="100">
        <f t="shared" si="7"/>
        <v>-0.11445520810419088</v>
      </c>
      <c r="J48" s="101">
        <v>0.4</v>
      </c>
      <c r="K48" s="100">
        <f t="shared" si="8"/>
        <v>-2.5279682784335612E-2</v>
      </c>
      <c r="L48" s="101">
        <v>0.89</v>
      </c>
      <c r="M48" s="102">
        <f t="shared" si="9"/>
        <v>9.7320570385347596E-2</v>
      </c>
    </row>
    <row r="49" spans="2:13" x14ac:dyDescent="0.25">
      <c r="B49" s="12">
        <v>45075</v>
      </c>
      <c r="C49" s="18">
        <v>155.94000199999999</v>
      </c>
      <c r="D49" s="123">
        <f t="shared" si="0"/>
        <v>4.5594763615359746E-2</v>
      </c>
      <c r="H49" s="99">
        <v>0.06</v>
      </c>
      <c r="I49" s="100">
        <f t="shared" si="7"/>
        <v>-0.10879651845152354</v>
      </c>
      <c r="J49" s="101">
        <v>0.45</v>
      </c>
      <c r="K49" s="100">
        <f t="shared" si="8"/>
        <v>-9.9837971567683058E-3</v>
      </c>
      <c r="L49" s="101">
        <v>0.9</v>
      </c>
      <c r="M49" s="102">
        <f t="shared" si="9"/>
        <v>0.10078017418895337</v>
      </c>
    </row>
    <row r="50" spans="2:13" x14ac:dyDescent="0.25">
      <c r="B50" s="12">
        <v>45068</v>
      </c>
      <c r="C50" s="18">
        <v>149.13999899999999</v>
      </c>
      <c r="D50" s="123">
        <f t="shared" si="0"/>
        <v>-8.0479344975883382E-3</v>
      </c>
      <c r="H50" s="99">
        <v>7.0000000000000007E-2</v>
      </c>
      <c r="I50" s="100">
        <f t="shared" si="7"/>
        <v>-0.10204440895798403</v>
      </c>
      <c r="J50" s="101">
        <v>0.5</v>
      </c>
      <c r="K50" s="100">
        <f t="shared" si="8"/>
        <v>-7.6949466757081364E-4</v>
      </c>
      <c r="L50" s="101">
        <v>0.91</v>
      </c>
      <c r="M50" s="102">
        <f t="shared" si="9"/>
        <v>0.10317625024150698</v>
      </c>
    </row>
    <row r="51" spans="2:13" x14ac:dyDescent="0.25">
      <c r="B51" s="12">
        <v>45061</v>
      </c>
      <c r="C51" s="18">
        <v>150.35000600000001</v>
      </c>
      <c r="D51" s="123">
        <f t="shared" si="0"/>
        <v>6.2919824593562934E-2</v>
      </c>
      <c r="H51" s="99">
        <v>0.08</v>
      </c>
      <c r="I51" s="100">
        <f t="shared" si="7"/>
        <v>-9.9512745258046473E-2</v>
      </c>
      <c r="J51" s="101">
        <v>0.55000000000000004</v>
      </c>
      <c r="K51" s="100">
        <f t="shared" si="8"/>
        <v>9.8449578755132553E-3</v>
      </c>
      <c r="L51" s="101">
        <v>0.92</v>
      </c>
      <c r="M51" s="102">
        <f t="shared" si="9"/>
        <v>0.10821056944203931</v>
      </c>
    </row>
    <row r="52" spans="2:13" x14ac:dyDescent="0.25">
      <c r="B52" s="12">
        <v>45054</v>
      </c>
      <c r="C52" s="18">
        <v>141.449997</v>
      </c>
      <c r="D52" s="123">
        <f t="shared" si="0"/>
        <v>0.14478795151809565</v>
      </c>
      <c r="H52" s="99">
        <v>0.09</v>
      </c>
      <c r="I52" s="100">
        <f t="shared" si="7"/>
        <v>-9.7390301868346102E-2</v>
      </c>
      <c r="J52" s="101">
        <v>0.6</v>
      </c>
      <c r="K52" s="100">
        <f t="shared" si="8"/>
        <v>1.7254033487822357E-2</v>
      </c>
      <c r="L52" s="101">
        <v>0.93</v>
      </c>
      <c r="M52" s="102">
        <f t="shared" si="9"/>
        <v>0.11170240197046544</v>
      </c>
    </row>
    <row r="53" spans="2:13" x14ac:dyDescent="0.25">
      <c r="B53" s="12">
        <v>45047</v>
      </c>
      <c r="C53" s="18">
        <v>123.55999799999999</v>
      </c>
      <c r="D53" s="123">
        <f t="shared" si="0"/>
        <v>-9.253823171156772E-2</v>
      </c>
      <c r="H53" s="99">
        <v>0.1</v>
      </c>
      <c r="I53" s="100">
        <f t="shared" si="7"/>
        <v>-9.6379519752041148E-2</v>
      </c>
      <c r="J53" s="101">
        <v>0.65</v>
      </c>
      <c r="K53" s="100">
        <f t="shared" si="8"/>
        <v>3.0877489353101004E-2</v>
      </c>
      <c r="L53" s="101">
        <v>0.94</v>
      </c>
      <c r="M53" s="102">
        <f t="shared" si="9"/>
        <v>0.11831121482599063</v>
      </c>
    </row>
    <row r="54" spans="2:13" x14ac:dyDescent="0.25">
      <c r="B54" s="12">
        <v>45040</v>
      </c>
      <c r="C54" s="18">
        <v>136.16000399999999</v>
      </c>
      <c r="D54" s="123">
        <f t="shared" si="0"/>
        <v>-3.3091910015314974E-2</v>
      </c>
      <c r="H54" s="99">
        <v>0.11</v>
      </c>
      <c r="I54" s="100">
        <f t="shared" si="7"/>
        <v>-9.2923188237950857E-2</v>
      </c>
      <c r="J54" s="101">
        <v>0.7</v>
      </c>
      <c r="K54" s="100">
        <f t="shared" si="8"/>
        <v>4.5303098061554296E-2</v>
      </c>
      <c r="L54" s="101">
        <v>0.95</v>
      </c>
      <c r="M54" s="102">
        <f t="shared" si="9"/>
        <v>0.13616683810220143</v>
      </c>
    </row>
    <row r="55" spans="2:13" x14ac:dyDescent="0.25">
      <c r="B55" s="12">
        <v>45033</v>
      </c>
      <c r="C55" s="18">
        <v>140.820007</v>
      </c>
      <c r="D55" s="123">
        <f t="shared" si="0"/>
        <v>4.3884457103830599E-2</v>
      </c>
      <c r="H55" s="99">
        <v>0.12</v>
      </c>
      <c r="I55" s="100">
        <f t="shared" si="7"/>
        <v>-8.9827051971558824E-2</v>
      </c>
      <c r="J55" s="101">
        <v>0.75</v>
      </c>
      <c r="K55" s="100">
        <f t="shared" si="8"/>
        <v>6.2914696961257399E-2</v>
      </c>
      <c r="L55" s="101">
        <v>0.96</v>
      </c>
      <c r="M55" s="102">
        <f t="shared" si="9"/>
        <v>0.14843756857005316</v>
      </c>
    </row>
    <row r="56" spans="2:13" x14ac:dyDescent="0.25">
      <c r="B56" s="12">
        <v>45026</v>
      </c>
      <c r="C56" s="18">
        <v>134.89999399999999</v>
      </c>
      <c r="D56" s="123">
        <f t="shared" si="0"/>
        <v>-1.3384056560639457E-2</v>
      </c>
      <c r="H56" s="99">
        <v>0.13</v>
      </c>
      <c r="I56" s="100">
        <f t="shared" si="7"/>
        <v>-8.3227107193970001E-2</v>
      </c>
      <c r="J56" s="101">
        <v>0.8</v>
      </c>
      <c r="K56" s="100">
        <f t="shared" si="8"/>
        <v>7.1660573956005891E-2</v>
      </c>
      <c r="L56" s="101">
        <v>0.97</v>
      </c>
      <c r="M56" s="102">
        <f t="shared" si="9"/>
        <v>0.15761206168287051</v>
      </c>
    </row>
    <row r="57" spans="2:13" x14ac:dyDescent="0.25">
      <c r="B57" s="12">
        <v>45019</v>
      </c>
      <c r="C57" s="18">
        <v>136.729996</v>
      </c>
      <c r="D57" s="123">
        <f t="shared" si="0"/>
        <v>-4.1096852264446482E-2</v>
      </c>
      <c r="H57" s="99">
        <v>0.14000000000000001</v>
      </c>
      <c r="I57" s="100">
        <f t="shared" si="7"/>
        <v>-8.2211411203507292E-2</v>
      </c>
      <c r="J57" s="101"/>
      <c r="K57" s="100"/>
      <c r="L57" s="101">
        <v>0.98</v>
      </c>
      <c r="M57" s="102">
        <f t="shared" si="9"/>
        <v>0.32882176490781712</v>
      </c>
    </row>
    <row r="58" spans="2:13" ht="15.75" thickBot="1" x14ac:dyDescent="0.3">
      <c r="B58" s="12">
        <v>45012</v>
      </c>
      <c r="C58" s="18">
        <v>142.58999600000001</v>
      </c>
      <c r="D58" s="123">
        <f t="shared" si="0"/>
        <v>4.4538870578670897E-2</v>
      </c>
      <c r="H58" s="103">
        <v>0.15</v>
      </c>
      <c r="I58" s="104">
        <f t="shared" si="7"/>
        <v>-7.9609930189779188E-2</v>
      </c>
      <c r="J58" s="105"/>
      <c r="K58" s="84"/>
      <c r="L58" s="106">
        <v>0.99</v>
      </c>
      <c r="M58" s="107">
        <f t="shared" si="9"/>
        <v>0.34821797117244579</v>
      </c>
    </row>
    <row r="59" spans="2:13" ht="15.75" thickBot="1" x14ac:dyDescent="0.3">
      <c r="B59" s="12">
        <v>45005</v>
      </c>
      <c r="C59" s="18">
        <v>136.509995</v>
      </c>
      <c r="D59" s="123">
        <f t="shared" si="0"/>
        <v>8.0668104813172992E-2</v>
      </c>
    </row>
    <row r="60" spans="2:13" x14ac:dyDescent="0.25">
      <c r="B60" s="12">
        <v>44998</v>
      </c>
      <c r="C60" s="18">
        <v>126.32</v>
      </c>
      <c r="D60" s="123">
        <f t="shared" si="0"/>
        <v>7.2508074991578075E-2</v>
      </c>
      <c r="H60" s="108" t="s">
        <v>121</v>
      </c>
      <c r="I60" s="109">
        <v>0.1</v>
      </c>
    </row>
    <row r="61" spans="2:13" ht="15.75" thickBot="1" x14ac:dyDescent="0.3">
      <c r="B61" s="12">
        <v>44991</v>
      </c>
      <c r="C61" s="18">
        <v>117.779999</v>
      </c>
      <c r="D61" s="123">
        <f t="shared" si="0"/>
        <v>-1.2492647249752187E-2</v>
      </c>
      <c r="H61" s="110" t="s">
        <v>122</v>
      </c>
      <c r="I61" s="111">
        <v>0.45</v>
      </c>
    </row>
    <row r="62" spans="2:13" ht="15.75" thickBot="1" x14ac:dyDescent="0.3">
      <c r="B62" s="12">
        <v>44984</v>
      </c>
      <c r="C62" s="18">
        <v>119.269997</v>
      </c>
      <c r="D62" s="123">
        <f t="shared" si="0"/>
        <v>0.36840283990808453</v>
      </c>
      <c r="H62" s="112"/>
    </row>
    <row r="63" spans="2:13" x14ac:dyDescent="0.25">
      <c r="B63" s="12">
        <v>44977</v>
      </c>
      <c r="C63" s="18">
        <v>87.160004000000001</v>
      </c>
      <c r="D63" s="123">
        <f t="shared" si="0"/>
        <v>-4.5762997405868089E-2</v>
      </c>
      <c r="H63" s="108" t="s">
        <v>123</v>
      </c>
      <c r="I63" s="113">
        <v>210.03</v>
      </c>
    </row>
    <row r="64" spans="2:13" x14ac:dyDescent="0.25">
      <c r="B64" s="12">
        <v>44970</v>
      </c>
      <c r="C64" s="18">
        <v>91.339995999999999</v>
      </c>
      <c r="D64" s="123">
        <f t="shared" si="0"/>
        <v>-2.9473310452207135E-3</v>
      </c>
      <c r="H64" s="114" t="s">
        <v>124</v>
      </c>
      <c r="I64" s="115">
        <f>I63*(1-I60)</f>
        <v>189.02700000000002</v>
      </c>
    </row>
    <row r="65" spans="2:9" ht="15.75" thickBot="1" x14ac:dyDescent="0.3">
      <c r="B65" s="12">
        <v>44963</v>
      </c>
      <c r="C65" s="18">
        <v>91.610000999999997</v>
      </c>
      <c r="D65" s="123">
        <f t="shared" si="0"/>
        <v>-8.2891161106128375E-2</v>
      </c>
      <c r="H65" s="110" t="s">
        <v>125</v>
      </c>
      <c r="I65" s="116">
        <f>I63*(1+I61)</f>
        <v>304.54349999999999</v>
      </c>
    </row>
    <row r="66" spans="2:9" x14ac:dyDescent="0.25">
      <c r="B66" s="12">
        <v>44956</v>
      </c>
      <c r="C66" s="18">
        <v>99.889999000000003</v>
      </c>
      <c r="D66" s="123">
        <f t="shared" si="0"/>
        <v>7.3739654667737797E-2</v>
      </c>
    </row>
    <row r="67" spans="2:9" x14ac:dyDescent="0.25">
      <c r="B67" s="12">
        <v>44949</v>
      </c>
      <c r="C67" s="18">
        <v>93.029999000000004</v>
      </c>
      <c r="D67" s="123">
        <f t="shared" ref="D67:D130" si="10">C67/C68-1</f>
        <v>9.9905377159958064E-2</v>
      </c>
    </row>
    <row r="68" spans="2:9" x14ac:dyDescent="0.25">
      <c r="B68" s="12">
        <v>44942</v>
      </c>
      <c r="C68" s="18">
        <v>84.580001999999993</v>
      </c>
      <c r="D68" s="123">
        <f t="shared" si="10"/>
        <v>6.5776221449392436E-2</v>
      </c>
    </row>
    <row r="69" spans="2:9" x14ac:dyDescent="0.25">
      <c r="B69" s="12">
        <v>44935</v>
      </c>
      <c r="C69" s="18">
        <v>79.360000999999997</v>
      </c>
      <c r="D69" s="123">
        <f t="shared" si="10"/>
        <v>0.10099887344620218</v>
      </c>
    </row>
    <row r="70" spans="2:9" x14ac:dyDescent="0.25">
      <c r="B70" s="12">
        <v>44928</v>
      </c>
      <c r="C70" s="18">
        <v>72.080001999999993</v>
      </c>
      <c r="D70" s="123">
        <f t="shared" si="10"/>
        <v>1.3355898215488438E-2</v>
      </c>
    </row>
    <row r="71" spans="2:9" x14ac:dyDescent="0.25">
      <c r="B71" s="12">
        <v>44921</v>
      </c>
      <c r="C71" s="18">
        <v>71.129997000000003</v>
      </c>
      <c r="D71" s="123">
        <f t="shared" si="10"/>
        <v>6.0820370331842177E-3</v>
      </c>
    </row>
    <row r="72" spans="2:9" x14ac:dyDescent="0.25">
      <c r="B72" s="12">
        <v>44914</v>
      </c>
      <c r="C72" s="18">
        <v>70.699996999999996</v>
      </c>
      <c r="D72" s="123">
        <f t="shared" si="10"/>
        <v>-3.1374175404142446E-2</v>
      </c>
    </row>
    <row r="73" spans="2:9" x14ac:dyDescent="0.25">
      <c r="B73" s="12">
        <v>44907</v>
      </c>
      <c r="C73" s="18">
        <v>72.989998</v>
      </c>
      <c r="D73" s="123">
        <f t="shared" si="10"/>
        <v>6.2909569328951864E-2</v>
      </c>
    </row>
    <row r="74" spans="2:9" x14ac:dyDescent="0.25">
      <c r="B74" s="12">
        <v>44900</v>
      </c>
      <c r="C74" s="18">
        <v>68.669998000000007</v>
      </c>
      <c r="D74" s="123">
        <f t="shared" si="10"/>
        <v>-2.8712858361224392E-2</v>
      </c>
    </row>
    <row r="75" spans="2:9" x14ac:dyDescent="0.25">
      <c r="B75" s="12">
        <v>44893</v>
      </c>
      <c r="C75" s="18">
        <v>70.699996999999996</v>
      </c>
      <c r="D75" s="123">
        <f t="shared" si="10"/>
        <v>1.4492681460964718E-2</v>
      </c>
    </row>
    <row r="76" spans="2:9" x14ac:dyDescent="0.25">
      <c r="B76" s="12">
        <v>44886</v>
      </c>
      <c r="C76" s="18">
        <v>69.690002000000007</v>
      </c>
      <c r="D76" s="123">
        <f t="shared" si="10"/>
        <v>2.9394462159282098E-2</v>
      </c>
    </row>
    <row r="77" spans="2:9" x14ac:dyDescent="0.25">
      <c r="B77" s="12">
        <v>44879</v>
      </c>
      <c r="C77" s="18">
        <v>67.699996999999996</v>
      </c>
      <c r="D77" s="123">
        <f t="shared" si="10"/>
        <v>-7.8033542148985613E-2</v>
      </c>
    </row>
    <row r="78" spans="2:9" x14ac:dyDescent="0.25">
      <c r="B78" s="12">
        <v>44872</v>
      </c>
      <c r="C78" s="18">
        <v>73.430000000000007</v>
      </c>
      <c r="D78" s="123">
        <f t="shared" si="10"/>
        <v>-8.0285525064405006E-2</v>
      </c>
    </row>
    <row r="79" spans="2:9" x14ac:dyDescent="0.25">
      <c r="B79" s="12">
        <v>44865</v>
      </c>
      <c r="C79" s="18">
        <v>79.839995999999999</v>
      </c>
      <c r="D79" s="123">
        <f t="shared" si="10"/>
        <v>-3.9807647869930296E-2</v>
      </c>
    </row>
    <row r="80" spans="2:9" x14ac:dyDescent="0.25">
      <c r="B80" s="12">
        <v>44858</v>
      </c>
      <c r="C80" s="18">
        <v>83.150002000000001</v>
      </c>
      <c r="D80" s="123">
        <f t="shared" si="10"/>
        <v>1.0942273556231008E-2</v>
      </c>
    </row>
    <row r="81" spans="2:4" x14ac:dyDescent="0.25">
      <c r="B81" s="12">
        <v>44851</v>
      </c>
      <c r="C81" s="18">
        <v>82.25</v>
      </c>
      <c r="D81" s="123">
        <f t="shared" si="10"/>
        <v>5.0312885974023391E-2</v>
      </c>
    </row>
    <row r="82" spans="2:4" x14ac:dyDescent="0.25">
      <c r="B82" s="12">
        <v>44844</v>
      </c>
      <c r="C82" s="18">
        <v>78.309997999999993</v>
      </c>
      <c r="D82" s="123">
        <f t="shared" si="10"/>
        <v>-0.20497463959390871</v>
      </c>
    </row>
    <row r="83" spans="2:4" x14ac:dyDescent="0.25">
      <c r="B83" s="12">
        <v>44837</v>
      </c>
      <c r="C83" s="18">
        <v>98.5</v>
      </c>
      <c r="D83" s="123">
        <f t="shared" si="10"/>
        <v>3.4337886138678497E-2</v>
      </c>
    </row>
    <row r="84" spans="2:4" x14ac:dyDescent="0.25">
      <c r="B84" s="12">
        <v>44830</v>
      </c>
      <c r="C84" s="18">
        <v>95.230002999999996</v>
      </c>
      <c r="D84" s="123">
        <f t="shared" si="10"/>
        <v>6.7481269672472477E-2</v>
      </c>
    </row>
    <row r="85" spans="2:4" x14ac:dyDescent="0.25">
      <c r="B85" s="12">
        <v>44823</v>
      </c>
      <c r="C85" s="18">
        <v>89.209998999999996</v>
      </c>
      <c r="D85" s="123">
        <f t="shared" si="10"/>
        <v>-0.10170173399862514</v>
      </c>
    </row>
    <row r="86" spans="2:4" x14ac:dyDescent="0.25">
      <c r="B86" s="12">
        <v>44816</v>
      </c>
      <c r="C86" s="18">
        <v>99.309997999999993</v>
      </c>
      <c r="D86" s="123">
        <f t="shared" si="10"/>
        <v>-2.4108989730519115E-3</v>
      </c>
    </row>
    <row r="87" spans="2:4" x14ac:dyDescent="0.25">
      <c r="B87" s="12">
        <v>44809</v>
      </c>
      <c r="C87" s="18">
        <v>99.550003000000004</v>
      </c>
      <c r="D87" s="123">
        <f t="shared" si="10"/>
        <v>7.2274960029080626E-2</v>
      </c>
    </row>
    <row r="88" spans="2:4" x14ac:dyDescent="0.25">
      <c r="B88" s="12">
        <v>44802</v>
      </c>
      <c r="C88" s="18">
        <v>92.839995999999999</v>
      </c>
      <c r="D88" s="123">
        <f t="shared" si="10"/>
        <v>-4.6102821253442006E-3</v>
      </c>
    </row>
    <row r="89" spans="2:4" x14ac:dyDescent="0.25">
      <c r="B89" s="12">
        <v>44795</v>
      </c>
      <c r="C89" s="18">
        <v>93.269997000000004</v>
      </c>
      <c r="D89" s="123">
        <f t="shared" si="10"/>
        <v>-2.5391850325763299E-2</v>
      </c>
    </row>
    <row r="90" spans="2:4" x14ac:dyDescent="0.25">
      <c r="B90" s="12">
        <v>44788</v>
      </c>
      <c r="C90" s="18">
        <v>95.699996999999996</v>
      </c>
      <c r="D90" s="123">
        <f t="shared" si="10"/>
        <v>-0.11728085488833784</v>
      </c>
    </row>
    <row r="91" spans="2:4" x14ac:dyDescent="0.25">
      <c r="B91" s="12">
        <v>44781</v>
      </c>
      <c r="C91" s="18">
        <v>108.415001</v>
      </c>
      <c r="D91" s="123">
        <f t="shared" si="10"/>
        <v>5.1857970311439017E-2</v>
      </c>
    </row>
    <row r="92" spans="2:4" x14ac:dyDescent="0.25">
      <c r="B92" s="12">
        <v>44774</v>
      </c>
      <c r="C92" s="18">
        <v>103.07</v>
      </c>
      <c r="D92" s="123">
        <f t="shared" si="10"/>
        <v>0.12337874659400527</v>
      </c>
    </row>
    <row r="93" spans="2:4" x14ac:dyDescent="0.25">
      <c r="B93" s="12">
        <v>44767</v>
      </c>
      <c r="C93" s="18">
        <v>91.75</v>
      </c>
      <c r="D93" s="123">
        <f t="shared" si="10"/>
        <v>-3.8763720443071303E-2</v>
      </c>
    </row>
    <row r="94" spans="2:4" x14ac:dyDescent="0.25">
      <c r="B94" s="12">
        <v>44760</v>
      </c>
      <c r="C94" s="18">
        <v>95.449996999999996</v>
      </c>
      <c r="D94" s="123">
        <f t="shared" si="10"/>
        <v>-3.9738480085744876E-2</v>
      </c>
    </row>
    <row r="95" spans="2:4" x14ac:dyDescent="0.25">
      <c r="B95" s="12">
        <v>44753</v>
      </c>
      <c r="C95" s="18">
        <v>99.400002000000001</v>
      </c>
      <c r="D95" s="123">
        <f t="shared" si="10"/>
        <v>-9.7102319814781346E-2</v>
      </c>
    </row>
    <row r="96" spans="2:4" x14ac:dyDescent="0.25">
      <c r="B96" s="12">
        <v>44746</v>
      </c>
      <c r="C96" s="18">
        <v>110.089996</v>
      </c>
      <c r="D96" s="123">
        <f t="shared" si="10"/>
        <v>0.158110649234392</v>
      </c>
    </row>
    <row r="97" spans="2:4" x14ac:dyDescent="0.25">
      <c r="B97" s="12">
        <v>44739</v>
      </c>
      <c r="C97" s="18">
        <v>95.059997999999993</v>
      </c>
      <c r="D97" s="123">
        <f t="shared" si="10"/>
        <v>-6.5565760378479498E-2</v>
      </c>
    </row>
    <row r="98" spans="2:4" x14ac:dyDescent="0.25">
      <c r="B98" s="12">
        <v>44732</v>
      </c>
      <c r="C98" s="18">
        <v>101.730003</v>
      </c>
      <c r="D98" s="123">
        <f t="shared" si="10"/>
        <v>7.4121043967068312E-2</v>
      </c>
    </row>
    <row r="99" spans="2:4" x14ac:dyDescent="0.25">
      <c r="B99" s="12">
        <v>44725</v>
      </c>
      <c r="C99" s="18">
        <v>94.709998999999996</v>
      </c>
      <c r="D99" s="123">
        <f t="shared" si="10"/>
        <v>1.4351461464556126E-2</v>
      </c>
    </row>
    <row r="100" spans="2:4" x14ac:dyDescent="0.25">
      <c r="B100" s="12">
        <v>44718</v>
      </c>
      <c r="C100" s="18">
        <v>93.370002999999997</v>
      </c>
      <c r="D100" s="123">
        <f t="shared" si="10"/>
        <v>4.5108654359017342E-2</v>
      </c>
    </row>
    <row r="101" spans="2:4" x14ac:dyDescent="0.25">
      <c r="B101" s="12">
        <v>44711</v>
      </c>
      <c r="C101" s="18">
        <v>89.339995999999999</v>
      </c>
      <c r="D101" s="123">
        <f t="shared" si="10"/>
        <v>6.63642524034882E-2</v>
      </c>
    </row>
    <row r="102" spans="2:4" x14ac:dyDescent="0.25">
      <c r="B102" s="12">
        <v>44704</v>
      </c>
      <c r="C102" s="18">
        <v>83.779999000000004</v>
      </c>
      <c r="D102" s="123">
        <f t="shared" si="10"/>
        <v>9.5736333975102506E-2</v>
      </c>
    </row>
    <row r="103" spans="2:4" x14ac:dyDescent="0.25">
      <c r="B103" s="12">
        <v>44697</v>
      </c>
      <c r="C103" s="18">
        <v>76.459998999999996</v>
      </c>
      <c r="D103" s="123">
        <f t="shared" si="10"/>
        <v>-0.148267778153095</v>
      </c>
    </row>
    <row r="104" spans="2:4" x14ac:dyDescent="0.25">
      <c r="B104" s="12">
        <v>44690</v>
      </c>
      <c r="C104" s="18">
        <v>89.769997000000004</v>
      </c>
      <c r="D104" s="123">
        <f t="shared" si="10"/>
        <v>0.11363349319397731</v>
      </c>
    </row>
    <row r="105" spans="2:4" x14ac:dyDescent="0.25">
      <c r="B105" s="12">
        <v>44683</v>
      </c>
      <c r="C105" s="18">
        <v>80.610000999999997</v>
      </c>
      <c r="D105" s="123">
        <f t="shared" si="10"/>
        <v>-6.7769167714014533E-2</v>
      </c>
    </row>
    <row r="106" spans="2:4" x14ac:dyDescent="0.25">
      <c r="B106" s="12">
        <v>44676</v>
      </c>
      <c r="C106" s="18">
        <v>86.470000999999996</v>
      </c>
      <c r="D106" s="123">
        <f t="shared" si="10"/>
        <v>5.465127906976619E-3</v>
      </c>
    </row>
    <row r="107" spans="2:4" x14ac:dyDescent="0.25">
      <c r="B107" s="12">
        <v>44669</v>
      </c>
      <c r="C107" s="18">
        <v>86</v>
      </c>
      <c r="D107" s="123">
        <f t="shared" si="10"/>
        <v>-4.2529503451347095E-2</v>
      </c>
    </row>
    <row r="108" spans="2:4" x14ac:dyDescent="0.25">
      <c r="B108" s="12">
        <v>44662</v>
      </c>
      <c r="C108" s="18">
        <v>89.82</v>
      </c>
      <c r="D108" s="123">
        <f t="shared" si="10"/>
        <v>-5.0126883462920602E-2</v>
      </c>
    </row>
    <row r="109" spans="2:4" x14ac:dyDescent="0.25">
      <c r="B109" s="12">
        <v>44655</v>
      </c>
      <c r="C109" s="18">
        <v>94.559997999999993</v>
      </c>
      <c r="D109" s="123">
        <f t="shared" si="10"/>
        <v>-1.1395755119796069E-2</v>
      </c>
    </row>
    <row r="110" spans="2:4" x14ac:dyDescent="0.25">
      <c r="B110" s="12">
        <v>44648</v>
      </c>
      <c r="C110" s="18">
        <v>95.650002000000001</v>
      </c>
      <c r="D110" s="123">
        <f t="shared" si="10"/>
        <v>2.7941955036798749E-2</v>
      </c>
    </row>
    <row r="111" spans="2:4" x14ac:dyDescent="0.25">
      <c r="B111" s="12">
        <v>44641</v>
      </c>
      <c r="C111" s="18">
        <v>93.050003000000004</v>
      </c>
      <c r="D111" s="123">
        <f t="shared" si="10"/>
        <v>4.9278337843933206E-2</v>
      </c>
    </row>
    <row r="112" spans="2:4" x14ac:dyDescent="0.25">
      <c r="B112" s="12">
        <v>44634</v>
      </c>
      <c r="C112" s="18">
        <v>88.68</v>
      </c>
      <c r="D112" s="123">
        <f t="shared" si="10"/>
        <v>0.15619300480546316</v>
      </c>
    </row>
    <row r="113" spans="2:4" x14ac:dyDescent="0.25">
      <c r="B113" s="12">
        <v>44627</v>
      </c>
      <c r="C113" s="18">
        <v>76.699996999999996</v>
      </c>
      <c r="D113" s="123">
        <f t="shared" si="10"/>
        <v>2.7048701124799068E-2</v>
      </c>
    </row>
    <row r="114" spans="2:4" x14ac:dyDescent="0.25">
      <c r="B114" s="12">
        <v>44620</v>
      </c>
      <c r="C114" s="18">
        <v>74.680000000000007</v>
      </c>
      <c r="D114" s="123">
        <f t="shared" si="10"/>
        <v>-0.15097770749178829</v>
      </c>
    </row>
    <row r="115" spans="2:4" x14ac:dyDescent="0.25">
      <c r="B115" s="12">
        <v>44613</v>
      </c>
      <c r="C115" s="18">
        <v>87.959998999999996</v>
      </c>
      <c r="D115" s="123">
        <f t="shared" si="10"/>
        <v>-3.3406604395604389E-2</v>
      </c>
    </row>
    <row r="116" spans="2:4" x14ac:dyDescent="0.25">
      <c r="B116" s="12">
        <v>44606</v>
      </c>
      <c r="C116" s="18">
        <v>91</v>
      </c>
      <c r="D116" s="123">
        <f t="shared" si="10"/>
        <v>-3.1914893617021267E-2</v>
      </c>
    </row>
    <row r="117" spans="2:4" x14ac:dyDescent="0.25">
      <c r="B117" s="12">
        <v>44599</v>
      </c>
      <c r="C117" s="18">
        <v>94</v>
      </c>
      <c r="D117" s="123">
        <f t="shared" si="10"/>
        <v>2.7546971112364371E-2</v>
      </c>
    </row>
    <row r="118" spans="2:4" x14ac:dyDescent="0.25">
      <c r="B118" s="12">
        <v>44592</v>
      </c>
      <c r="C118" s="18">
        <v>91.480002999999996</v>
      </c>
      <c r="D118" s="123">
        <f t="shared" si="10"/>
        <v>-3.8113796403924649E-3</v>
      </c>
    </row>
    <row r="119" spans="2:4" x14ac:dyDescent="0.25">
      <c r="B119" s="12">
        <v>44585</v>
      </c>
      <c r="C119" s="18">
        <v>91.830001999999993</v>
      </c>
      <c r="D119" s="123">
        <f t="shared" si="10"/>
        <v>7.1403606013342724E-2</v>
      </c>
    </row>
    <row r="120" spans="2:4" x14ac:dyDescent="0.25">
      <c r="B120" s="12">
        <v>44578</v>
      </c>
      <c r="C120" s="18">
        <v>85.709998999999996</v>
      </c>
      <c r="D120" s="123">
        <f t="shared" si="10"/>
        <v>-7.4705799677398321E-2</v>
      </c>
    </row>
    <row r="121" spans="2:4" x14ac:dyDescent="0.25">
      <c r="B121" s="12">
        <v>44571</v>
      </c>
      <c r="C121" s="18">
        <v>92.629997000000003</v>
      </c>
      <c r="D121" s="123">
        <f t="shared" si="10"/>
        <v>-9.3551275202049644E-2</v>
      </c>
    </row>
    <row r="122" spans="2:4" x14ac:dyDescent="0.25">
      <c r="B122" s="12">
        <v>44564</v>
      </c>
      <c r="C122" s="18">
        <v>102.19000200000001</v>
      </c>
      <c r="D122" s="123">
        <f t="shared" si="10"/>
        <v>-3.6942785440177262E-2</v>
      </c>
    </row>
    <row r="123" spans="2:4" x14ac:dyDescent="0.25">
      <c r="B123" s="12">
        <v>44557</v>
      </c>
      <c r="C123" s="18">
        <v>106.110001</v>
      </c>
      <c r="D123" s="123">
        <f t="shared" si="10"/>
        <v>-2.6156369549893199E-2</v>
      </c>
    </row>
    <row r="124" spans="2:4" x14ac:dyDescent="0.25">
      <c r="B124" s="12">
        <v>44550</v>
      </c>
      <c r="C124" s="18">
        <v>108.959999</v>
      </c>
      <c r="D124" s="123">
        <f t="shared" si="10"/>
        <v>4.228044727108804E-2</v>
      </c>
    </row>
    <row r="125" spans="2:4" x14ac:dyDescent="0.25">
      <c r="B125" s="12">
        <v>44543</v>
      </c>
      <c r="C125" s="18">
        <v>104.540001</v>
      </c>
      <c r="D125" s="123">
        <f t="shared" si="10"/>
        <v>9.2486140819602047E-2</v>
      </c>
    </row>
    <row r="126" spans="2:4" x14ac:dyDescent="0.25">
      <c r="B126" s="12">
        <v>44536</v>
      </c>
      <c r="C126" s="18">
        <v>95.690002000000007</v>
      </c>
      <c r="D126" s="123">
        <f t="shared" si="10"/>
        <v>-0.12259303360706086</v>
      </c>
    </row>
    <row r="127" spans="2:4" x14ac:dyDescent="0.25">
      <c r="B127" s="12">
        <v>44529</v>
      </c>
      <c r="C127" s="18">
        <v>109.05999799999999</v>
      </c>
      <c r="D127" s="123">
        <f t="shared" si="10"/>
        <v>-0.11029534817596109</v>
      </c>
    </row>
    <row r="128" spans="2:4" x14ac:dyDescent="0.25">
      <c r="B128" s="12">
        <v>44522</v>
      </c>
      <c r="C128" s="18">
        <v>122.58000199999999</v>
      </c>
      <c r="D128" s="123">
        <f t="shared" si="10"/>
        <v>-9.8411329149166615E-2</v>
      </c>
    </row>
    <row r="129" spans="2:4" x14ac:dyDescent="0.25">
      <c r="B129" s="12">
        <v>44515</v>
      </c>
      <c r="C129" s="18">
        <v>135.96000699999999</v>
      </c>
      <c r="D129" s="123">
        <f t="shared" si="10"/>
        <v>-0.12295185465225511</v>
      </c>
    </row>
    <row r="130" spans="2:4" x14ac:dyDescent="0.25">
      <c r="B130" s="12">
        <v>44508</v>
      </c>
      <c r="C130" s="18">
        <v>155.020004</v>
      </c>
      <c r="D130" s="123">
        <f t="shared" si="10"/>
        <v>8.3913877159016437E-3</v>
      </c>
    </row>
    <row r="131" spans="2:4" x14ac:dyDescent="0.25">
      <c r="B131" s="12">
        <v>44501</v>
      </c>
      <c r="C131" s="18">
        <v>153.729996</v>
      </c>
      <c r="D131" s="123">
        <f t="shared" ref="D131:D144" si="11">C131/C132-1</f>
        <v>-0.11491741476288309</v>
      </c>
    </row>
    <row r="132" spans="2:4" x14ac:dyDescent="0.25">
      <c r="B132" s="12">
        <v>44494</v>
      </c>
      <c r="C132" s="18">
        <v>173.69000199999999</v>
      </c>
      <c r="D132" s="123">
        <f t="shared" si="11"/>
        <v>-2.5636671873574435E-2</v>
      </c>
    </row>
    <row r="133" spans="2:4" x14ac:dyDescent="0.25">
      <c r="B133" s="12">
        <v>44487</v>
      </c>
      <c r="C133" s="18">
        <v>178.259995</v>
      </c>
      <c r="D133" s="123">
        <f t="shared" si="11"/>
        <v>0.13758773715866757</v>
      </c>
    </row>
    <row r="134" spans="2:4" x14ac:dyDescent="0.25">
      <c r="B134" s="12">
        <v>44480</v>
      </c>
      <c r="C134" s="18">
        <v>156.699997</v>
      </c>
      <c r="D134" s="123">
        <f t="shared" si="11"/>
        <v>-5.8971935888255222E-2</v>
      </c>
    </row>
    <row r="135" spans="2:4" x14ac:dyDescent="0.25">
      <c r="B135" s="12">
        <v>44473</v>
      </c>
      <c r="C135" s="18">
        <v>166.520004</v>
      </c>
      <c r="D135" s="123">
        <f t="shared" si="11"/>
        <v>3.6990919952784695E-2</v>
      </c>
    </row>
    <row r="136" spans="2:4" x14ac:dyDescent="0.25">
      <c r="B136" s="12">
        <v>44466</v>
      </c>
      <c r="C136" s="18">
        <v>160.58000200000001</v>
      </c>
      <c r="D136" s="123">
        <f t="shared" si="11"/>
        <v>-0.19456284281895064</v>
      </c>
    </row>
    <row r="137" spans="2:4" x14ac:dyDescent="0.25">
      <c r="B137" s="12">
        <v>44459</v>
      </c>
      <c r="C137" s="18">
        <v>199.36999499999999</v>
      </c>
      <c r="D137" s="123">
        <f t="shared" si="11"/>
        <v>7.7792190026860997E-2</v>
      </c>
    </row>
    <row r="138" spans="2:4" x14ac:dyDescent="0.25">
      <c r="B138" s="12">
        <v>44452</v>
      </c>
      <c r="C138" s="18">
        <v>184.979996</v>
      </c>
      <c r="D138" s="123">
        <f t="shared" si="11"/>
        <v>6.6966610917881253E-2</v>
      </c>
    </row>
    <row r="139" spans="2:4" x14ac:dyDescent="0.25">
      <c r="B139" s="12">
        <v>44445</v>
      </c>
      <c r="C139" s="18">
        <v>173.36999499999999</v>
      </c>
      <c r="D139" s="123">
        <f t="shared" si="11"/>
        <v>6.3228241913752425E-2</v>
      </c>
    </row>
    <row r="140" spans="2:4" x14ac:dyDescent="0.25">
      <c r="B140" s="12">
        <v>44438</v>
      </c>
      <c r="C140" s="18">
        <v>163.05999800000001</v>
      </c>
      <c r="D140" s="123">
        <f t="shared" si="11"/>
        <v>0.3577019210275092</v>
      </c>
    </row>
    <row r="141" spans="2:4" x14ac:dyDescent="0.25">
      <c r="B141" s="12">
        <v>44431</v>
      </c>
      <c r="C141" s="18">
        <v>120.099998</v>
      </c>
      <c r="D141" s="123">
        <f t="shared" si="11"/>
        <v>-4.7052297445467794E-2</v>
      </c>
    </row>
    <row r="142" spans="2:4" x14ac:dyDescent="0.25">
      <c r="B142" s="12">
        <v>44424</v>
      </c>
      <c r="C142" s="18">
        <v>126.029999</v>
      </c>
      <c r="D142" s="123">
        <f t="shared" si="11"/>
        <v>-7.7581831311504423E-2</v>
      </c>
    </row>
    <row r="143" spans="2:4" x14ac:dyDescent="0.25">
      <c r="B143" s="12">
        <v>44417</v>
      </c>
      <c r="C143" s="18">
        <v>136.63000500000001</v>
      </c>
      <c r="D143" s="123">
        <f t="shared" si="11"/>
        <v>1.6743562407219637E-2</v>
      </c>
    </row>
    <row r="144" spans="2:4" x14ac:dyDescent="0.25">
      <c r="B144" s="12">
        <v>44410</v>
      </c>
      <c r="C144" s="18">
        <v>134.38000500000001</v>
      </c>
      <c r="D144" s="123">
        <f t="shared" si="11"/>
        <v>-4.1853796791443743E-2</v>
      </c>
    </row>
    <row r="145" spans="2:3" x14ac:dyDescent="0.25">
      <c r="B145" s="12">
        <v>44403</v>
      </c>
      <c r="C145" s="18">
        <v>140.25</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2024-11-09T21:37:04Z</dcterms:modified>
</cp:coreProperties>
</file>