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72723F6B-FEBC-4848-91A1-80875B2CEC3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5" hidden="1">DoR!$A$1:$C$1</definedName>
    <definedName name="_xlchart.v1.0" hidden="1">Model!$A$17</definedName>
    <definedName name="_xlchart.v1.1" hidden="1">Model!$A$18</definedName>
    <definedName name="_xlchart.v1.2" hidden="1">Model!$K$17:$W$17</definedName>
    <definedName name="_xlchart.v1.3" hidden="1">Model!$K$18:$W$18</definedName>
    <definedName name="_xlchart.v1.4" hidden="1">Model!$K$2:$W$2</definedName>
    <definedName name="_xlchart.v1.5" hidden="1">Model!$A$3</definedName>
    <definedName name="_xlchart.v1.6" hidden="1">Model!$A$4</definedName>
    <definedName name="_xlchart.v1.7" hidden="1">Model!$K$2:$W$2</definedName>
    <definedName name="_xlchart.v1.8" hidden="1">Model!$K$3:$W$3</definedName>
    <definedName name="_xlchart.v1.9" hidden="1">Model!$K$4:$W$4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5" i="1"/>
  <c r="C24" i="1"/>
  <c r="C9" i="1"/>
  <c r="C11" i="1" s="1"/>
  <c r="S3" i="6"/>
  <c r="R55" i="2"/>
  <c r="W55" i="2"/>
  <c r="V55" i="2"/>
  <c r="U55" i="2"/>
  <c r="T55" i="2"/>
  <c r="S55" i="2"/>
  <c r="X55" i="2"/>
  <c r="Y55" i="2"/>
  <c r="AA17" i="2"/>
  <c r="Z17" i="2"/>
  <c r="AA9" i="2"/>
  <c r="AA12" i="2" s="1"/>
  <c r="AA15" i="2" s="1"/>
  <c r="Z9" i="2"/>
  <c r="Z12" i="2" s="1"/>
  <c r="Z15" i="2" s="1"/>
  <c r="G3" i="6"/>
  <c r="H3" i="6"/>
  <c r="I3" i="6"/>
  <c r="J3" i="6"/>
  <c r="K3" i="6"/>
  <c r="L3" i="6"/>
  <c r="M3" i="6"/>
  <c r="N3" i="6"/>
  <c r="O3" i="6"/>
  <c r="P3" i="6"/>
  <c r="Q3" i="6"/>
  <c r="R3" i="6"/>
  <c r="F3" i="6"/>
  <c r="C22" i="1"/>
  <c r="Z22" i="2"/>
  <c r="Z20" i="2"/>
  <c r="Z23" i="2"/>
  <c r="Z24" i="2"/>
  <c r="Z25" i="2"/>
  <c r="Z26" i="2"/>
  <c r="X22" i="2"/>
  <c r="X2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K31" i="2"/>
  <c r="F31" i="2"/>
  <c r="E31" i="2"/>
  <c r="D31" i="2"/>
  <c r="C31" i="2"/>
  <c r="B31" i="2"/>
  <c r="C13" i="1"/>
  <c r="C7" i="1"/>
  <c r="J3" i="1" s="1"/>
  <c r="C35" i="1"/>
  <c r="Z36" i="2"/>
  <c r="Z40" i="2"/>
  <c r="Z46" i="2"/>
  <c r="Z52" i="2" s="1"/>
  <c r="Z55" i="2"/>
  <c r="Q55" i="2"/>
  <c r="P55" i="2"/>
  <c r="E55" i="2"/>
  <c r="F55" i="2"/>
  <c r="X23" i="2"/>
  <c r="Y23" i="2"/>
  <c r="X24" i="2"/>
  <c r="Y24" i="2"/>
  <c r="X25" i="2"/>
  <c r="Y25" i="2"/>
  <c r="X20" i="2"/>
  <c r="Y20" i="2"/>
  <c r="Y9" i="2"/>
  <c r="Y12" i="2" s="1"/>
  <c r="Y15" i="2" s="1"/>
  <c r="X46" i="2"/>
  <c r="X52" i="2" s="1"/>
  <c r="Y46" i="2"/>
  <c r="Y52" i="2" s="1"/>
  <c r="Y36" i="2"/>
  <c r="Y40" i="2" s="1"/>
  <c r="X36" i="2"/>
  <c r="X40" i="2" s="1"/>
  <c r="W25" i="2"/>
  <c r="Y22" i="2"/>
  <c r="J4" i="1"/>
  <c r="W46" i="2"/>
  <c r="W52" i="2" s="1"/>
  <c r="W36" i="2"/>
  <c r="W40" i="2" s="1"/>
  <c r="W24" i="2"/>
  <c r="W23" i="2"/>
  <c r="W22" i="2"/>
  <c r="W20" i="2"/>
  <c r="W9" i="2"/>
  <c r="W12" i="2" s="1"/>
  <c r="W15" i="2" s="1"/>
  <c r="W27" i="2" s="1"/>
  <c r="C183" i="5"/>
  <c r="C184" i="5"/>
  <c r="C185" i="5"/>
  <c r="C186" i="5"/>
  <c r="C187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3" i="5"/>
  <c r="C2" i="5"/>
  <c r="C21" i="1"/>
  <c r="C20" i="1"/>
  <c r="C17" i="1"/>
  <c r="C15" i="1"/>
  <c r="C14" i="1"/>
  <c r="J9" i="1"/>
  <c r="J5" i="1"/>
  <c r="C10" i="1"/>
  <c r="L25" i="2"/>
  <c r="M25" i="2"/>
  <c r="O25" i="2"/>
  <c r="P25" i="2"/>
  <c r="Q25" i="2"/>
  <c r="S25" i="2"/>
  <c r="T25" i="2"/>
  <c r="U25" i="2"/>
  <c r="K25" i="2"/>
  <c r="E23" i="2"/>
  <c r="D23" i="2"/>
  <c r="C23" i="2"/>
  <c r="B23" i="2"/>
  <c r="F23" i="2"/>
  <c r="T23" i="2"/>
  <c r="S23" i="2"/>
  <c r="Q23" i="2"/>
  <c r="P23" i="2"/>
  <c r="O23" i="2"/>
  <c r="M23" i="2"/>
  <c r="L23" i="2"/>
  <c r="K23" i="2"/>
  <c r="U23" i="2"/>
  <c r="U24" i="2"/>
  <c r="N16" i="2"/>
  <c r="N14" i="2"/>
  <c r="N13" i="2"/>
  <c r="N11" i="2"/>
  <c r="N8" i="2"/>
  <c r="N25" i="2" s="1"/>
  <c r="N7" i="2"/>
  <c r="N6" i="2"/>
  <c r="N5" i="2"/>
  <c r="N3" i="2"/>
  <c r="K10" i="2"/>
  <c r="O39" i="2"/>
  <c r="O32" i="2"/>
  <c r="L10" i="2"/>
  <c r="P39" i="2"/>
  <c r="P32" i="2"/>
  <c r="M10" i="2"/>
  <c r="Q39" i="2"/>
  <c r="Q32" i="2"/>
  <c r="R14" i="2"/>
  <c r="R13" i="2"/>
  <c r="R11" i="2"/>
  <c r="R8" i="2"/>
  <c r="R7" i="2"/>
  <c r="R6" i="2"/>
  <c r="R5" i="2"/>
  <c r="R3" i="2"/>
  <c r="R16" i="2"/>
  <c r="V16" i="2"/>
  <c r="V14" i="2"/>
  <c r="V13" i="2"/>
  <c r="V11" i="2"/>
  <c r="V8" i="2"/>
  <c r="V25" i="2" s="1"/>
  <c r="V7" i="2"/>
  <c r="V6" i="2"/>
  <c r="V5" i="2"/>
  <c r="V3" i="2"/>
  <c r="O10" i="2"/>
  <c r="S10" i="2"/>
  <c r="S39" i="2"/>
  <c r="S32" i="2"/>
  <c r="P10" i="2"/>
  <c r="T10" i="2"/>
  <c r="Q22" i="2"/>
  <c r="Q10" i="2"/>
  <c r="U10" i="2"/>
  <c r="N51" i="2"/>
  <c r="N50" i="2"/>
  <c r="N49" i="2"/>
  <c r="N48" i="2"/>
  <c r="N47" i="2"/>
  <c r="N45" i="2"/>
  <c r="N44" i="2"/>
  <c r="N43" i="2"/>
  <c r="N42" i="2"/>
  <c r="N41" i="2"/>
  <c r="N38" i="2"/>
  <c r="N37" i="2"/>
  <c r="N35" i="2"/>
  <c r="N34" i="2"/>
  <c r="N33" i="2"/>
  <c r="R51" i="2"/>
  <c r="R50" i="2"/>
  <c r="R49" i="2"/>
  <c r="R48" i="2"/>
  <c r="R47" i="2"/>
  <c r="R45" i="2"/>
  <c r="R44" i="2"/>
  <c r="R43" i="2"/>
  <c r="R42" i="2"/>
  <c r="R41" i="2"/>
  <c r="R39" i="2"/>
  <c r="R38" i="2"/>
  <c r="R37" i="2"/>
  <c r="R35" i="2"/>
  <c r="R34" i="2"/>
  <c r="R33" i="2"/>
  <c r="R32" i="2"/>
  <c r="V51" i="2"/>
  <c r="V50" i="2"/>
  <c r="V49" i="2"/>
  <c r="V48" i="2"/>
  <c r="V47" i="2"/>
  <c r="V45" i="2"/>
  <c r="V44" i="2"/>
  <c r="V43" i="2"/>
  <c r="V42" i="2"/>
  <c r="V41" i="2"/>
  <c r="V39" i="2"/>
  <c r="V38" i="2"/>
  <c r="V37" i="2"/>
  <c r="V35" i="2"/>
  <c r="V34" i="2"/>
  <c r="V33" i="2"/>
  <c r="V32" i="2"/>
  <c r="B37" i="2"/>
  <c r="B32" i="2"/>
  <c r="H26" i="2"/>
  <c r="C39" i="2"/>
  <c r="C32" i="2"/>
  <c r="D39" i="2"/>
  <c r="N39" i="2" s="1"/>
  <c r="D32" i="2"/>
  <c r="L9" i="2"/>
  <c r="M9" i="2"/>
  <c r="O9" i="2"/>
  <c r="P9" i="2"/>
  <c r="Q9" i="2"/>
  <c r="S9" i="2"/>
  <c r="T9" i="2"/>
  <c r="U9" i="2"/>
  <c r="X9" i="2"/>
  <c r="X12" i="2" s="1"/>
  <c r="X15" i="2" s="1"/>
  <c r="K9" i="2"/>
  <c r="B11" i="2"/>
  <c r="B10" i="2"/>
  <c r="C11" i="2"/>
  <c r="C10" i="2"/>
  <c r="D10" i="2"/>
  <c r="E10" i="2"/>
  <c r="F10" i="2"/>
  <c r="C9" i="2"/>
  <c r="D9" i="2"/>
  <c r="E9" i="2"/>
  <c r="F9" i="2"/>
  <c r="G9" i="2"/>
  <c r="G12" i="2" s="1"/>
  <c r="H9" i="2"/>
  <c r="H12" i="2" s="1"/>
  <c r="B9" i="2"/>
  <c r="Y53" i="2" l="1"/>
  <c r="C19" i="1"/>
  <c r="Z27" i="2"/>
  <c r="Z21" i="2"/>
  <c r="Z53" i="2"/>
  <c r="X27" i="2"/>
  <c r="X17" i="2"/>
  <c r="Y27" i="2"/>
  <c r="Y17" i="2"/>
  <c r="Y21" i="2"/>
  <c r="X53" i="2"/>
  <c r="R25" i="2"/>
  <c r="R23" i="2"/>
  <c r="J6" i="1"/>
  <c r="J7" i="1"/>
  <c r="V10" i="2"/>
  <c r="J8" i="1"/>
  <c r="C8" i="1"/>
  <c r="C12" i="1" s="1"/>
  <c r="C26" i="1" s="1"/>
  <c r="J10" i="1"/>
  <c r="V23" i="2"/>
  <c r="W53" i="2"/>
  <c r="W17" i="2"/>
  <c r="W21" i="2"/>
  <c r="N10" i="2"/>
  <c r="N23" i="2"/>
  <c r="R10" i="2"/>
  <c r="N32" i="2"/>
  <c r="F12" i="2"/>
  <c r="N9" i="2"/>
  <c r="R9" i="2"/>
  <c r="V9" i="2"/>
  <c r="B12" i="2"/>
  <c r="B15" i="2" s="1"/>
  <c r="B17" i="2" s="1"/>
  <c r="D12" i="2"/>
  <c r="D15" i="2" s="1"/>
  <c r="D27" i="2" s="1"/>
  <c r="C12" i="2"/>
  <c r="C15" i="2" s="1"/>
  <c r="C27" i="2" s="1"/>
  <c r="E12" i="2"/>
  <c r="E15" i="2" s="1"/>
  <c r="E27" i="2" s="1"/>
  <c r="H65" i="5"/>
  <c r="H64" i="5"/>
  <c r="F15" i="2" l="1"/>
  <c r="C23" i="1"/>
  <c r="I41" i="5"/>
  <c r="H41" i="5"/>
  <c r="I40" i="5"/>
  <c r="H40" i="5"/>
  <c r="I39" i="5"/>
  <c r="H39" i="5"/>
  <c r="I34" i="5"/>
  <c r="J34" i="5" s="1"/>
  <c r="G4" i="5"/>
  <c r="H4" i="5"/>
  <c r="J12" i="5"/>
  <c r="J11" i="5"/>
  <c r="J10" i="5"/>
  <c r="J5" i="5"/>
  <c r="J4" i="5"/>
  <c r="G14" i="5"/>
  <c r="H14" i="5" s="1"/>
  <c r="G13" i="5"/>
  <c r="J13" i="5" s="1"/>
  <c r="G12" i="5"/>
  <c r="G11" i="5"/>
  <c r="G10" i="5"/>
  <c r="G9" i="5"/>
  <c r="G8" i="5"/>
  <c r="G7" i="5"/>
  <c r="G6" i="5"/>
  <c r="J7" i="5" s="1"/>
  <c r="G5" i="5"/>
  <c r="H35" i="5"/>
  <c r="I36" i="5"/>
  <c r="L58" i="5"/>
  <c r="F27" i="2" l="1"/>
  <c r="L51" i="5"/>
  <c r="I10" i="5"/>
  <c r="K10" i="5" s="1"/>
  <c r="H47" i="5"/>
  <c r="H55" i="5"/>
  <c r="J48" i="5"/>
  <c r="J56" i="5"/>
  <c r="I11" i="5"/>
  <c r="K11" i="5" s="1"/>
  <c r="H48" i="5"/>
  <c r="H56" i="5"/>
  <c r="J49" i="5"/>
  <c r="L44" i="5"/>
  <c r="L52" i="5"/>
  <c r="H49" i="5"/>
  <c r="H57" i="5"/>
  <c r="J50" i="5"/>
  <c r="L45" i="5"/>
  <c r="L53" i="5"/>
  <c r="J41" i="5"/>
  <c r="K41" i="5" s="1"/>
  <c r="H50" i="5"/>
  <c r="H58" i="5"/>
  <c r="J51" i="5"/>
  <c r="L46" i="5"/>
  <c r="L54" i="5"/>
  <c r="I5" i="5"/>
  <c r="K5" i="5" s="1"/>
  <c r="H51" i="5"/>
  <c r="J44" i="5"/>
  <c r="J52" i="5"/>
  <c r="L47" i="5"/>
  <c r="L55" i="5"/>
  <c r="I12" i="5"/>
  <c r="K12" i="5" s="1"/>
  <c r="I7" i="5"/>
  <c r="K7" i="5" s="1"/>
  <c r="H44" i="5"/>
  <c r="H52" i="5"/>
  <c r="J45" i="5"/>
  <c r="J53" i="5"/>
  <c r="L48" i="5"/>
  <c r="L56" i="5"/>
  <c r="H45" i="5"/>
  <c r="H53" i="5"/>
  <c r="J46" i="5"/>
  <c r="J54" i="5"/>
  <c r="L49" i="5"/>
  <c r="L57" i="5"/>
  <c r="I8" i="5"/>
  <c r="K8" i="5" s="1"/>
  <c r="I9" i="5"/>
  <c r="K9" i="5" s="1"/>
  <c r="H46" i="5"/>
  <c r="H54" i="5"/>
  <c r="J47" i="5"/>
  <c r="J55" i="5"/>
  <c r="L50" i="5"/>
  <c r="J40" i="5"/>
  <c r="K40" i="5" s="1"/>
  <c r="J36" i="5"/>
  <c r="K36" i="5" s="1"/>
  <c r="I14" i="5"/>
  <c r="K14" i="5" s="1"/>
  <c r="I13" i="5"/>
  <c r="K13" i="5" s="1"/>
  <c r="I35" i="5"/>
  <c r="J35" i="5" s="1"/>
  <c r="K35" i="5" s="1"/>
  <c r="J6" i="5"/>
  <c r="J14" i="5"/>
  <c r="I15" i="5"/>
  <c r="K15" i="5" s="1"/>
  <c r="I6" i="5"/>
  <c r="K6" i="5" s="1"/>
  <c r="J15" i="5"/>
  <c r="J8" i="5"/>
  <c r="J9" i="5"/>
  <c r="I4" i="5"/>
  <c r="K4" i="5" s="1"/>
  <c r="L4" i="5" s="1"/>
  <c r="H34" i="5"/>
  <c r="K34" i="5" s="1"/>
  <c r="H5" i="5"/>
  <c r="H9" i="5"/>
  <c r="H13" i="5"/>
  <c r="H8" i="5"/>
  <c r="H12" i="5"/>
  <c r="H7" i="5"/>
  <c r="H11" i="5"/>
  <c r="H6" i="5"/>
  <c r="H10" i="5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B24" i="2" l="1"/>
  <c r="C24" i="2"/>
  <c r="D24" i="2"/>
  <c r="F24" i="2"/>
  <c r="K12" i="2"/>
  <c r="K15" i="2" s="1"/>
  <c r="L12" i="2"/>
  <c r="L15" i="2" s="1"/>
  <c r="L27" i="2" s="1"/>
  <c r="M12" i="2"/>
  <c r="M15" i="2" s="1"/>
  <c r="M27" i="2" s="1"/>
  <c r="N12" i="2"/>
  <c r="N15" i="2" s="1"/>
  <c r="N27" i="2" s="1"/>
  <c r="O12" i="2"/>
  <c r="O15" i="2" s="1"/>
  <c r="P12" i="2"/>
  <c r="P15" i="2" s="1"/>
  <c r="Q12" i="2"/>
  <c r="Q15" i="2" s="1"/>
  <c r="R12" i="2"/>
  <c r="R15" i="2" s="1"/>
  <c r="S12" i="2"/>
  <c r="S15" i="2" s="1"/>
  <c r="W26" i="2" s="1"/>
  <c r="T12" i="2"/>
  <c r="T15" i="2" s="1"/>
  <c r="U12" i="2"/>
  <c r="U15" i="2" s="1"/>
  <c r="U27" i="2" s="1"/>
  <c r="V12" i="2"/>
  <c r="V15" i="2" s="1"/>
  <c r="K20" i="2"/>
  <c r="L20" i="2"/>
  <c r="M20" i="2"/>
  <c r="N20" i="2"/>
  <c r="O20" i="2"/>
  <c r="P20" i="2"/>
  <c r="Q20" i="2"/>
  <c r="R20" i="2"/>
  <c r="S20" i="2"/>
  <c r="T20" i="2"/>
  <c r="U20" i="2"/>
  <c r="V20" i="2"/>
  <c r="O22" i="2"/>
  <c r="P22" i="2"/>
  <c r="R22" i="2"/>
  <c r="S22" i="2"/>
  <c r="T22" i="2"/>
  <c r="U22" i="2"/>
  <c r="V22" i="2"/>
  <c r="K24" i="2"/>
  <c r="L24" i="2"/>
  <c r="M24" i="2"/>
  <c r="N24" i="2"/>
  <c r="O24" i="2"/>
  <c r="P24" i="2"/>
  <c r="Q24" i="2"/>
  <c r="R24" i="2"/>
  <c r="S24" i="2"/>
  <c r="T24" i="2"/>
  <c r="V24" i="2"/>
  <c r="K36" i="2"/>
  <c r="K40" i="2" s="1"/>
  <c r="L36" i="2"/>
  <c r="L40" i="2" s="1"/>
  <c r="M36" i="2"/>
  <c r="M40" i="2" s="1"/>
  <c r="N36" i="2"/>
  <c r="N40" i="2" s="1"/>
  <c r="O36" i="2"/>
  <c r="O40" i="2" s="1"/>
  <c r="P36" i="2"/>
  <c r="P40" i="2" s="1"/>
  <c r="P53" i="2" s="1"/>
  <c r="Q36" i="2"/>
  <c r="Q40" i="2" s="1"/>
  <c r="Q53" i="2" s="1"/>
  <c r="R36" i="2"/>
  <c r="R40" i="2" s="1"/>
  <c r="S36" i="2"/>
  <c r="S40" i="2" s="1"/>
  <c r="T36" i="2"/>
  <c r="T40" i="2" s="1"/>
  <c r="U36" i="2"/>
  <c r="U40" i="2" s="1"/>
  <c r="V36" i="2"/>
  <c r="K46" i="2"/>
  <c r="K52" i="2" s="1"/>
  <c r="L46" i="2"/>
  <c r="L52" i="2" s="1"/>
  <c r="M46" i="2"/>
  <c r="M52" i="2" s="1"/>
  <c r="N46" i="2"/>
  <c r="N52" i="2" s="1"/>
  <c r="O46" i="2"/>
  <c r="O52" i="2" s="1"/>
  <c r="P46" i="2"/>
  <c r="P52" i="2" s="1"/>
  <c r="Q46" i="2"/>
  <c r="Q52" i="2" s="1"/>
  <c r="R46" i="2"/>
  <c r="R52" i="2" s="1"/>
  <c r="S46" i="2"/>
  <c r="S52" i="2" s="1"/>
  <c r="T46" i="2"/>
  <c r="T52" i="2" s="1"/>
  <c r="U46" i="2"/>
  <c r="U52" i="2" s="1"/>
  <c r="V46" i="2"/>
  <c r="V52" i="2" s="1"/>
  <c r="B36" i="2"/>
  <c r="B40" i="2" s="1"/>
  <c r="C36" i="2"/>
  <c r="C40" i="2" s="1"/>
  <c r="D36" i="2"/>
  <c r="D40" i="2" s="1"/>
  <c r="H21" i="2"/>
  <c r="G21" i="2"/>
  <c r="H22" i="2"/>
  <c r="N53" i="2" l="1"/>
  <c r="V40" i="2"/>
  <c r="V53" i="2" s="1"/>
  <c r="T17" i="2"/>
  <c r="X26" i="2" s="1"/>
  <c r="T27" i="2"/>
  <c r="S17" i="2"/>
  <c r="S27" i="2"/>
  <c r="R17" i="2"/>
  <c r="R27" i="2"/>
  <c r="Q17" i="2"/>
  <c r="Q27" i="2"/>
  <c r="V17" i="2"/>
  <c r="V27" i="2"/>
  <c r="K17" i="2"/>
  <c r="K27" i="2"/>
  <c r="P17" i="2"/>
  <c r="P27" i="2"/>
  <c r="O17" i="2"/>
  <c r="O27" i="2"/>
  <c r="U26" i="2"/>
  <c r="U17" i="2"/>
  <c r="Y26" i="2" s="1"/>
  <c r="U53" i="2"/>
  <c r="T53" i="2"/>
  <c r="S53" i="2"/>
  <c r="N21" i="2"/>
  <c r="N17" i="2"/>
  <c r="O53" i="2"/>
  <c r="L21" i="2"/>
  <c r="L17" i="2"/>
  <c r="M21" i="2"/>
  <c r="M17" i="2"/>
  <c r="R53" i="2"/>
  <c r="K21" i="2"/>
  <c r="O26" i="2"/>
  <c r="S21" i="2"/>
  <c r="S26" i="2"/>
  <c r="O21" i="2"/>
  <c r="R21" i="2"/>
  <c r="R26" i="2"/>
  <c r="V26" i="2"/>
  <c r="V21" i="2"/>
  <c r="U21" i="2"/>
  <c r="T21" i="2"/>
  <c r="T26" i="2"/>
  <c r="Q26" i="2"/>
  <c r="Q21" i="2"/>
  <c r="P26" i="2"/>
  <c r="P21" i="2"/>
  <c r="B20" i="2"/>
  <c r="G22" i="2"/>
  <c r="E20" i="2"/>
  <c r="E24" i="2"/>
  <c r="D20" i="2"/>
  <c r="C20" i="2"/>
  <c r="F20" i="2"/>
  <c r="F22" i="2"/>
  <c r="F46" i="2"/>
  <c r="F52" i="2" s="1"/>
  <c r="F36" i="2"/>
  <c r="F40" i="2" s="1"/>
  <c r="C34" i="1" s="1"/>
  <c r="D22" i="2"/>
  <c r="E22" i="2"/>
  <c r="C22" i="2"/>
  <c r="C46" i="2"/>
  <c r="C52" i="2" s="1"/>
  <c r="C53" i="2" s="1"/>
  <c r="D46" i="2"/>
  <c r="E36" i="2"/>
  <c r="E40" i="2" s="1"/>
  <c r="F53" i="2" l="1"/>
  <c r="C17" i="2"/>
  <c r="E17" i="2"/>
  <c r="D17" i="2"/>
  <c r="E46" i="2"/>
  <c r="E52" i="2" s="1"/>
  <c r="E53" i="2" s="1"/>
  <c r="D52" i="2"/>
  <c r="D53" i="2" s="1"/>
  <c r="B46" i="2"/>
  <c r="B52" i="2" s="1"/>
  <c r="B53" i="2" s="1"/>
  <c r="F26" i="2" l="1"/>
  <c r="F17" i="2"/>
  <c r="E26" i="2"/>
  <c r="F21" i="2"/>
  <c r="E21" i="2"/>
  <c r="D26" i="2"/>
  <c r="D21" i="2"/>
  <c r="B21" i="2"/>
  <c r="C26" i="2"/>
  <c r="C21" i="2"/>
  <c r="G26" i="2" l="1"/>
  <c r="C16" i="1"/>
  <c r="C18" i="1" s="1"/>
  <c r="J39" i="5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<sst xmlns="http://schemas.openxmlformats.org/spreadsheetml/2006/main" count="241" uniqueCount="210">
  <si>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</si>
  <si>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</si>
  <si>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</si>
  <si>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</si>
  <si>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</si>
  <si>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</si>
  <si>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</si>
  <si>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</si>
  <si>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</si>
  <si>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</si>
  <si>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</si>
  <si>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</si>
  <si>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</si>
  <si>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</si>
  <si>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</si>
  <si>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</si>
  <si>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</si>
  <si>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</si>
  <si>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</si>
  <si>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</si>
  <si>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</si>
  <si>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</si>
  <si>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</si>
  <si>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</si>
  <si>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</si>
  <si>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</si>
  <si>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</si>
  <si>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</si>
  <si>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</si>
  <si>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</si>
  <si>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</si>
  <si>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</si>
  <si>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</si>
  <si>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</si>
  <si>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</si>
  <si>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</si>
  <si>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</si>
  <si>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</si>
  <si>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</si>
  <si>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</si>
  <si>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</si>
  <si>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</si>
  <si>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</si>
  <si>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</si>
  <si>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</si>
  <si>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</si>
  <si>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</si>
  <si>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</si>
  <si>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</si>
  <si>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</si>
  <si>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</si>
  <si>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</si>
  <si>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</si>
  <si>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</si>
  <si>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</si>
  <si>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</si>
  <si>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</si>
  <si>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</si>
  <si>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</si>
  <si>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</si>
  <si>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</si>
  <si>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</si>
  <si>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</si>
  <si>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</si>
  <si>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</si>
  <si>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</si>
  <si>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</si>
  <si>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</si>
  <si>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</si>
  <si>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</si>
  <si>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</si>
  <si>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</si>
  <si>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</si>
  <si>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</si>
  <si>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</si>
  <si>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</si>
  <si>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</si>
  <si>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</si>
  <si>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</si>
  <si>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</si>
  <si>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</si>
  <si>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</si>
  <si>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</si>
  <si>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</si>
  <si>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</si>
  <si>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</si>
  <si>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</si>
  <si>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</si>
  <si>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</si>
  <si>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</si>
  <si>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</si>
  <si>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</si>
  <si>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</si>
  <si>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PLTR</t>
  </si>
  <si>
    <t>w/w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</si>
  <si>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</si>
  <si>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</si>
  <si>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</si>
  <si>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</si>
  <si>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</si>
  <si>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</si>
  <si>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</si>
  <si>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</si>
  <si>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</si>
  <si>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</si>
  <si>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</si>
  <si>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</si>
  <si>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</si>
  <si>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</si>
  <si>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Intervals</t>
  </si>
  <si>
    <t>Bin</t>
  </si>
  <si>
    <t>Frequency</t>
  </si>
  <si>
    <t>Probability</t>
  </si>
  <si>
    <t>Cumulative Percentage</t>
  </si>
  <si>
    <t>More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</si>
  <si>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</si>
  <si>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</si>
  <si>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</si>
  <si>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</si>
  <si>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</si>
  <si>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</si>
  <si>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</si>
  <si>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</si>
  <si>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</si>
  <si>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</si>
  <si>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</si>
  <si>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</si>
  <si>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</si>
  <si>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</si>
  <si>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</si>
  <si>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</si>
  <si>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</si>
  <si>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</si>
  <si>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(should use monthly)</t>
  </si>
  <si>
    <t>Close to Close Weekly returns</t>
  </si>
  <si>
    <t>Vanguard Group Inc</t>
  </si>
  <si>
    <t>9.18%</t>
  </si>
  <si>
    <t>Blackrock Inc.</t>
  </si>
  <si>
    <t>5.33%</t>
  </si>
  <si>
    <t>Renaissance Technologies, LLC</t>
  </si>
  <si>
    <t>2.07%</t>
  </si>
  <si>
    <t>State Street Corporation</t>
  </si>
  <si>
    <t>1.89%</t>
  </si>
  <si>
    <t>Geode Capital Management, LLC</t>
  </si>
  <si>
    <t>1.33%</t>
  </si>
  <si>
    <t>Jane Street Group, LLC</t>
  </si>
  <si>
    <t>1.04%</t>
  </si>
  <si>
    <t>Morgan Stanley</t>
  </si>
  <si>
    <t>1.03%</t>
  </si>
  <si>
    <t>Shaw D.E. &amp; Co., Inc.</t>
  </si>
  <si>
    <t>0.98%</t>
  </si>
  <si>
    <t>Sumitomo Mitsui Trust Holdings, Inc.</t>
  </si>
  <si>
    <t>0.60%</t>
  </si>
  <si>
    <t>Legal &amp; General Group PLC</t>
  </si>
  <si>
    <t>0.56%</t>
  </si>
  <si>
    <t>COHEN STEPHEN ANDREW</t>
  </si>
  <si>
    <t>GLAZER DAVID ALAN</t>
  </si>
  <si>
    <t>KARP ALEXANDER C.</t>
  </si>
  <si>
    <t>MOORE ALEXANDER D</t>
  </si>
  <si>
    <t>PLANISHEK HEATHER A</t>
  </si>
  <si>
    <t>SANKAR SHYAM</t>
  </si>
  <si>
    <t>SCHIFF ALEXANDRA W</t>
  </si>
  <si>
    <t>TAYLOR RYAN DOUGLAS J.D.</t>
  </si>
  <si>
    <t>Mr. Peter Andreas Thiel</t>
  </si>
  <si>
    <t>Co-Founder &amp; Chairman</t>
  </si>
  <si>
    <t>Dr. Alexander C. Karp</t>
  </si>
  <si>
    <t>Co-Founder, CEO &amp; Director</t>
  </si>
  <si>
    <t>Mr. Stephen Andrew Cohen</t>
  </si>
  <si>
    <t>Co-Founder, President, Secretary &amp; Director</t>
  </si>
  <si>
    <t>Mr. David A. Glazer</t>
  </si>
  <si>
    <t>CFO &amp; Treasurer</t>
  </si>
  <si>
    <t>Mr. Shyam Sankar</t>
  </si>
  <si>
    <t>CTO &amp; Executive VP</t>
  </si>
  <si>
    <t>Mr. Ryan D. Taylor</t>
  </si>
  <si>
    <t>Chief Revenue Officer &amp; Chief Legal Officer</t>
  </si>
  <si>
    <t>Mr. Joseph Lonsdale</t>
  </si>
  <si>
    <t>Co-Founder</t>
  </si>
  <si>
    <t>Ms. Heather Planishek</t>
  </si>
  <si>
    <t>Chief Accounting Officer</t>
  </si>
  <si>
    <t>Mr. Rodney Nelson</t>
  </si>
  <si>
    <t>Head of Investor Relations</t>
  </si>
  <si>
    <t>Mr. David B. MacNaughton</t>
  </si>
  <si>
    <t>President of Palantir Canada</t>
  </si>
  <si>
    <t>Peter Thiel</t>
  </si>
  <si>
    <t>Products: Gotham (CIA), Metropolis (Finance), Apollo (SaaS continous delivery), Froundry (health)</t>
  </si>
  <si>
    <t>G&amp;A</t>
  </si>
  <si>
    <t>Interest net</t>
  </si>
  <si>
    <t>Provisions</t>
  </si>
  <si>
    <t>Marketable Securities</t>
  </si>
  <si>
    <t>Operating Lease right of use</t>
  </si>
  <si>
    <t>AL</t>
  </si>
  <si>
    <t>Deffered Revenue</t>
  </si>
  <si>
    <t>Customer deposits</t>
  </si>
  <si>
    <t>Operating lease</t>
  </si>
  <si>
    <t>Debt</t>
  </si>
  <si>
    <t>Interest Rate MS</t>
  </si>
  <si>
    <t>R&amp;D / REV</t>
  </si>
  <si>
    <t>Net Margin + R&amp;D</t>
  </si>
  <si>
    <t>G&amp;A / REV</t>
  </si>
  <si>
    <t>Q324</t>
  </si>
  <si>
    <t>Q424</t>
  </si>
  <si>
    <t>Number of US Commercial Customers</t>
  </si>
  <si>
    <t>Q220</t>
  </si>
  <si>
    <t>Q320</t>
  </si>
  <si>
    <t>Q420</t>
  </si>
  <si>
    <t>NOCC y/y</t>
  </si>
  <si>
    <t>Customer Count</t>
  </si>
  <si>
    <t>Commercial Customer Count</t>
  </si>
  <si>
    <t>Q125</t>
  </si>
  <si>
    <t>Shares (basic)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</si>
</sst>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60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166" fontId="0" fillId="0" borderId="2" xfId="0" applyNumberFormat="1" applyBorder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5" xfId="0" applyFont="1" applyFill="1" applyBorder="1"/>
    <xf numFmtId="0" fontId="11" fillId="10" borderId="11" xfId="0" applyFont="1" applyFill="1" applyBorder="1"/>
    <xf numFmtId="0" fontId="11" fillId="10" borderId="16" xfId="0" applyFont="1" applyFill="1" applyBorder="1"/>
    <xf numFmtId="0" fontId="11" fillId="10" borderId="17" xfId="0" applyFont="1" applyFill="1" applyBorder="1"/>
    <xf numFmtId="0" fontId="12" fillId="10" borderId="10" xfId="0" applyFont="1" applyFill="1" applyBorder="1" applyAlignment="1">
      <alignment horizontal="center"/>
    </xf>
    <xf numFmtId="0" fontId="11" fillId="10" borderId="18" xfId="0" applyFont="1" applyFill="1" applyBorder="1"/>
    <xf numFmtId="0" fontId="11" fillId="10" borderId="19" xfId="0" applyFont="1" applyFill="1" applyBorder="1"/>
    <xf numFmtId="167" fontId="11" fillId="10" borderId="20" xfId="0" applyNumberFormat="1" applyFont="1" applyFill="1" applyBorder="1"/>
    <xf numFmtId="167" fontId="11" fillId="10" borderId="21" xfId="0" applyNumberFormat="1" applyFont="1" applyFill="1" applyBorder="1"/>
    <xf numFmtId="0" fontId="11" fillId="10" borderId="21" xfId="0" applyFont="1" applyFill="1" applyBorder="1"/>
    <xf numFmtId="10" fontId="11" fillId="10" borderId="21" xfId="0" applyNumberFormat="1" applyFont="1" applyFill="1" applyBorder="1"/>
    <xf numFmtId="10" fontId="11" fillId="10" borderId="22" xfId="0" applyNumberFormat="1" applyFont="1" applyFill="1" applyBorder="1"/>
    <xf numFmtId="167" fontId="11" fillId="10" borderId="23" xfId="0" applyNumberFormat="1" applyFont="1" applyFill="1" applyBorder="1"/>
    <xf numFmtId="167" fontId="11" fillId="10" borderId="24" xfId="0" applyNumberFormat="1" applyFont="1" applyFill="1" applyBorder="1"/>
    <xf numFmtId="0" fontId="11" fillId="10" borderId="24" xfId="0" applyFont="1" applyFill="1" applyBorder="1"/>
    <xf numFmtId="0" fontId="11" fillId="10" borderId="24" xfId="0" quotePrefix="1" applyFont="1" applyFill="1" applyBorder="1"/>
    <xf numFmtId="10" fontId="11" fillId="10" borderId="24" xfId="0" applyNumberFormat="1" applyFont="1" applyFill="1" applyBorder="1"/>
    <xf numFmtId="10" fontId="11" fillId="10" borderId="25" xfId="0" applyNumberFormat="1" applyFont="1" applyFill="1" applyBorder="1"/>
    <xf numFmtId="0" fontId="11" fillId="10" borderId="26" xfId="0" applyFont="1" applyFill="1" applyBorder="1"/>
    <xf numFmtId="0" fontId="11" fillId="10" borderId="27" xfId="0" applyFont="1" applyFill="1" applyBorder="1"/>
    <xf numFmtId="10" fontId="11" fillId="10" borderId="27" xfId="0" applyNumberFormat="1" applyFont="1" applyFill="1" applyBorder="1"/>
    <xf numFmtId="10" fontId="11" fillId="10" borderId="28" xfId="0" applyNumberFormat="1" applyFont="1" applyFill="1" applyBorder="1"/>
    <xf numFmtId="0" fontId="12" fillId="10" borderId="29" xfId="0" applyFont="1" applyFill="1" applyBorder="1" applyAlignment="1">
      <alignment horizontal="center"/>
    </xf>
    <xf numFmtId="0" fontId="13" fillId="10" borderId="21" xfId="0" applyFont="1" applyFill="1" applyBorder="1"/>
    <xf numFmtId="0" fontId="13" fillId="10" borderId="22" xfId="0" applyFont="1" applyFill="1" applyBorder="1"/>
    <xf numFmtId="0" fontId="11" fillId="10" borderId="30" xfId="0" applyFont="1" applyFill="1" applyBorder="1"/>
    <xf numFmtId="0" fontId="11" fillId="10" borderId="0" xfId="0" applyFont="1" applyFill="1"/>
    <xf numFmtId="10" fontId="11" fillId="10" borderId="33" xfId="0" applyNumberFormat="1" applyFont="1" applyFill="1" applyBorder="1"/>
    <xf numFmtId="9" fontId="13" fillId="10" borderId="34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9" fontId="13" fillId="10" borderId="37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9" fontId="13" fillId="10" borderId="31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0" xfId="0" applyNumberFormat="1" applyFill="1" applyBorder="1" applyAlignment="1">
      <alignment horizontal="centerContinuous"/>
    </xf>
    <xf numFmtId="9" fontId="13" fillId="10" borderId="15" xfId="0" applyNumberFormat="1" applyFont="1" applyFill="1" applyBorder="1"/>
    <xf numFmtId="10" fontId="0" fillId="10" borderId="38" xfId="0" applyNumberFormat="1" applyFill="1" applyBorder="1" applyAlignment="1">
      <alignment horizontal="centerContinuous"/>
    </xf>
    <xf numFmtId="0" fontId="11" fillId="10" borderId="39" xfId="0" applyFont="1" applyFill="1" applyBorder="1"/>
    <xf numFmtId="0" fontId="0" fillId="10" borderId="38" xfId="0" applyFill="1" applyBorder="1"/>
    <xf numFmtId="9" fontId="13" fillId="10" borderId="39" xfId="0" applyNumberFormat="1" applyFont="1" applyFill="1" applyBorder="1"/>
    <xf numFmtId="10" fontId="0" fillId="10" borderId="16" xfId="0" applyNumberFormat="1" applyFill="1" applyBorder="1" applyAlignment="1">
      <alignment horizontal="centerContinuous"/>
    </xf>
    <xf numFmtId="0" fontId="13" fillId="0" borderId="20" xfId="0" applyFont="1" applyBorder="1"/>
    <xf numFmtId="9" fontId="9" fillId="8" borderId="22" xfId="3" applyNumberFormat="1" applyBorder="1"/>
    <xf numFmtId="0" fontId="13" fillId="0" borderId="26" xfId="0" applyFont="1" applyBorder="1"/>
    <xf numFmtId="9" fontId="9" fillId="8" borderId="28" xfId="3" applyNumberFormat="1" applyBorder="1"/>
    <xf numFmtId="0" fontId="11" fillId="0" borderId="0" xfId="0" applyFont="1"/>
    <xf numFmtId="2" fontId="9" fillId="8" borderId="22" xfId="3" applyNumberFormat="1" applyBorder="1"/>
    <xf numFmtId="0" fontId="13" fillId="0" borderId="23" xfId="0" applyFont="1" applyBorder="1"/>
    <xf numFmtId="2" fontId="0" fillId="0" borderId="25" xfId="0" applyNumberFormat="1" applyBorder="1"/>
    <xf numFmtId="2" fontId="0" fillId="0" borderId="28" xfId="0" applyNumberFormat="1" applyBorder="1"/>
    <xf numFmtId="167" fontId="13" fillId="10" borderId="23" xfId="0" applyNumberFormat="1" applyFont="1" applyFill="1" applyBorder="1"/>
    <xf numFmtId="1" fontId="11" fillId="10" borderId="23" xfId="0" applyNumberFormat="1" applyFont="1" applyFill="1" applyBorder="1"/>
    <xf numFmtId="167" fontId="11" fillId="10" borderId="32" xfId="0" applyNumberFormat="1" applyFont="1" applyFill="1" applyBorder="1"/>
    <xf numFmtId="167" fontId="11" fillId="10" borderId="40" xfId="0" applyNumberFormat="1" applyFont="1" applyFill="1" applyBorder="1"/>
    <xf numFmtId="167" fontId="13" fillId="10" borderId="32" xfId="0" applyNumberFormat="1" applyFont="1" applyFill="1" applyBorder="1"/>
    <xf numFmtId="167" fontId="11" fillId="10" borderId="41" xfId="0" applyNumberFormat="1" applyFont="1" applyFill="1" applyBorder="1"/>
    <xf numFmtId="167" fontId="11" fillId="10" borderId="15" xfId="0" applyNumberFormat="1" applyFont="1" applyFill="1" applyBorder="1"/>
    <xf numFmtId="167" fontId="11" fillId="10" borderId="31" xfId="0" applyNumberFormat="1" applyFont="1" applyFill="1" applyBorder="1"/>
    <xf numFmtId="165" fontId="0" fillId="10" borderId="2" xfId="1" applyNumberFormat="1" applyFont="1" applyFill="1" applyBorder="1" applyAlignment="1"/>
    <xf numFmtId="164" fontId="0" fillId="10" borderId="2" xfId="0" applyNumberFormat="1" applyFill="1" applyBorder="1"/>
    <xf numFmtId="10" fontId="2" fillId="0" borderId="0" xfId="1" applyNumberFormat="1" applyFont="1" applyBorder="1"/>
    <xf numFmtId="10" fontId="0" fillId="0" borderId="2" xfId="1" applyNumberFormat="1" applyFont="1" applyBorder="1"/>
    <xf numFmtId="165" fontId="0" fillId="0" borderId="0" xfId="1" applyNumberFormat="1" applyFont="1"/>
    <xf numFmtId="9" fontId="5" fillId="0" borderId="0" xfId="1" applyFont="1" applyFill="1"/>
    <xf numFmtId="9" fontId="5" fillId="0" borderId="0" xfId="0" applyNumberFormat="1" applyFont="1"/>
    <xf numFmtId="9" fontId="5" fillId="0" borderId="0" xfId="1" applyFont="1" applyFill="1" applyBorder="1"/>
    <xf numFmtId="9" fontId="5" fillId="0" borderId="1" xfId="1" applyFont="1" applyFill="1" applyBorder="1"/>
    <xf numFmtId="2" fontId="5" fillId="0" borderId="2" xfId="0" applyNumberFormat="1" applyFont="1" applyBorder="1"/>
    <xf numFmtId="3" fontId="5" fillId="3" borderId="0" xfId="0" applyNumberFormat="1" applyFont="1" applyFill="1"/>
    <xf numFmtId="3" fontId="0" fillId="3" borderId="0" xfId="0" applyNumberFormat="1" applyFill="1"/>
    <xf numFmtId="3" fontId="5" fillId="3" borderId="2" xfId="0" applyNumberFormat="1" applyFont="1" applyFill="1" applyBorder="1"/>
    <xf numFmtId="2" fontId="0" fillId="0" borderId="0" xfId="0" applyNumberFormat="1" applyAlignment="1">
      <alignment horizontal="right"/>
    </xf>
    <xf numFmtId="20" fontId="0" fillId="0" borderId="0" xfId="0" applyNumberFormat="1"/>
    <xf numFmtId="9" fontId="0" fillId="6" borderId="0" xfId="0" applyNumberFormat="1" applyFill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7" fontId="11" fillId="10" borderId="42" xfId="0" applyNumberFormat="1" applyFont="1" applyFill="1" applyBorder="1" applyAlignment="1">
      <alignment horizontal="center"/>
    </xf>
    <xf numFmtId="167" fontId="11" fillId="10" borderId="44" xfId="0" applyNumberFormat="1" applyFont="1" applyFill="1" applyBorder="1" applyAlignment="1">
      <alignment horizontal="center"/>
    </xf>
    <xf numFmtId="167" fontId="11" fillId="10" borderId="43" xfId="0" applyNumberFormat="1" applyFont="1" applyFill="1" applyBorder="1" applyAlignment="1">
      <alignment horizontal="center"/>
    </xf>
    <xf numFmtId="167" fontId="11" fillId="10" borderId="4" xfId="0" applyNumberFormat="1" applyFont="1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5" fillId="3" borderId="0" xfId="0" applyNumberFormat="1" applyFont="1" applyFill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5" fillId="0" borderId="0" xfId="0" applyNumberFormat="1" applyFont="1" applyBorder="1"/>
    <xf numFmtId="9" fontId="0" fillId="0" borderId="0" xfId="0" applyNumberFormat="1" applyBorder="1"/>
    <xf numFmtId="0" fontId="5" fillId="0" borderId="0" xfId="0" applyFont="1" applyBorder="1"/>
    <xf numFmtId="0" fontId="2" fillId="0" borderId="0" xfId="0" applyFont="1" applyBorder="1"/>
    <xf numFmtId="9" fontId="0" fillId="6" borderId="2" xfId="0" applyNumberFormat="1" applyFill="1" applyBorder="1"/>
    <xf numFmtId="0" fontId="0" fillId="0" borderId="0" xfId="0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0">
                  <c:v>341.23399999999998</c:v>
                </c:pt>
                <c:pt idx="1">
                  <c:v>375.642</c:v>
                </c:pt>
                <c:pt idx="2">
                  <c:v>392.14600000000002</c:v>
                </c:pt>
                <c:pt idx="3">
                  <c:v>432.8669999999999</c:v>
                </c:pt>
                <c:pt idx="4">
                  <c:v>446.35700000000003</c:v>
                </c:pt>
                <c:pt idx="5">
                  <c:v>473.01</c:v>
                </c:pt>
                <c:pt idx="6">
                  <c:v>477.88</c:v>
                </c:pt>
                <c:pt idx="7">
                  <c:v>508.62399999999997</c:v>
                </c:pt>
                <c:pt idx="8">
                  <c:v>525.18600000000004</c:v>
                </c:pt>
                <c:pt idx="9">
                  <c:v>533.31700000000001</c:v>
                </c:pt>
                <c:pt idx="10">
                  <c:v>558.15899999999999</c:v>
                </c:pt>
                <c:pt idx="11">
                  <c:v>608.35</c:v>
                </c:pt>
                <c:pt idx="12">
                  <c:v>634.33799999999997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Model!$K$22:$W$22</c:f>
              <c:numCache>
                <c:formatCode>0%</c:formatCode>
                <c:ptCount val="13"/>
                <c:pt idx="4">
                  <c:v>0.30806719142875583</c:v>
                </c:pt>
                <c:pt idx="5">
                  <c:v>0.25920424233711881</c:v>
                </c:pt>
                <c:pt idx="6">
                  <c:v>0.21862775598884077</c:v>
                </c:pt>
                <c:pt idx="7">
                  <c:v>0.17501218619113978</c:v>
                </c:pt>
                <c:pt idx="8">
                  <c:v>0.1766052733574246</c:v>
                </c:pt>
                <c:pt idx="9">
                  <c:v>0.12749624743662924</c:v>
                </c:pt>
                <c:pt idx="10">
                  <c:v>0.16798987193437687</c:v>
                </c:pt>
                <c:pt idx="11">
                  <c:v>0.19607018150932731</c:v>
                </c:pt>
                <c:pt idx="12">
                  <c:v>0.20783493847893864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Model!$B$3:$G$3</c:f>
              <c:numCache>
                <c:formatCode>#,##0</c:formatCode>
                <c:ptCount val="6"/>
                <c:pt idx="0">
                  <c:v>742.55499999999995</c:v>
                </c:pt>
                <c:pt idx="1">
                  <c:v>1092.673</c:v>
                </c:pt>
                <c:pt idx="2">
                  <c:v>1541.8889999999999</c:v>
                </c:pt>
                <c:pt idx="3">
                  <c:v>1905.8710000000001</c:v>
                </c:pt>
                <c:pt idx="4">
                  <c:v>2225.0120000000002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Model!$B$22:$G$22</c:f>
              <c:numCache>
                <c:formatCode>0%</c:formatCode>
                <c:ptCount val="6"/>
                <c:pt idx="1">
                  <c:v>0.47150446768252863</c:v>
                </c:pt>
                <c:pt idx="2">
                  <c:v>0.41111659206368234</c:v>
                </c:pt>
                <c:pt idx="3">
                  <c:v>0.23606238840798532</c:v>
                </c:pt>
                <c:pt idx="4">
                  <c:v>0.16745152216493153</c:v>
                </c:pt>
                <c:pt idx="5">
                  <c:v>0.25842017930689809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Model!$K$15:$W$15</c:f>
              <c:numCache>
                <c:formatCode>#,##0</c:formatCode>
                <c:ptCount val="13"/>
                <c:pt idx="0">
                  <c:v>-123.47400000000002</c:v>
                </c:pt>
                <c:pt idx="1">
                  <c:v>-138.57999999999998</c:v>
                </c:pt>
                <c:pt idx="2">
                  <c:v>-102.13700000000004</c:v>
                </c:pt>
                <c:pt idx="3">
                  <c:v>-90.176000000000101</c:v>
                </c:pt>
                <c:pt idx="4">
                  <c:v>-97.332999999999998</c:v>
                </c:pt>
                <c:pt idx="5">
                  <c:v>-179.32900000000001</c:v>
                </c:pt>
                <c:pt idx="6">
                  <c:v>-123.87500000000001</c:v>
                </c:pt>
                <c:pt idx="7">
                  <c:v>44.820000000000057</c:v>
                </c:pt>
                <c:pt idx="8">
                  <c:v>16.802000000000067</c:v>
                </c:pt>
                <c:pt idx="9">
                  <c:v>28.126999999999978</c:v>
                </c:pt>
                <c:pt idx="10">
                  <c:v>71.504999999999981</c:v>
                </c:pt>
                <c:pt idx="11">
                  <c:v>108.49100000000001</c:v>
                </c:pt>
                <c:pt idx="12">
                  <c:v>105.52999999999994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Model!$K$20:$W$20</c:f>
              <c:numCache>
                <c:formatCode>0%</c:formatCode>
                <c:ptCount val="13"/>
                <c:pt idx="0">
                  <c:v>0.78281472537906538</c:v>
                </c:pt>
                <c:pt idx="1">
                  <c:v>0.75794506471587308</c:v>
                </c:pt>
                <c:pt idx="2">
                  <c:v>0.77864366842961552</c:v>
                </c:pt>
                <c:pt idx="3">
                  <c:v>0.79771384744043783</c:v>
                </c:pt>
                <c:pt idx="4">
                  <c:v>0.78850337286073702</c:v>
                </c:pt>
                <c:pt idx="5">
                  <c:v>0.78388617576795416</c:v>
                </c:pt>
                <c:pt idx="6">
                  <c:v>0.77481585335230596</c:v>
                </c:pt>
                <c:pt idx="7">
                  <c:v>0.79491530089024509</c:v>
                </c:pt>
                <c:pt idx="8">
                  <c:v>0.79503452110299966</c:v>
                </c:pt>
                <c:pt idx="9">
                  <c:v>0.79955823647099189</c:v>
                </c:pt>
                <c:pt idx="10">
                  <c:v>0.80664649320354953</c:v>
                </c:pt>
                <c:pt idx="11">
                  <c:v>0.82142023506205308</c:v>
                </c:pt>
                <c:pt idx="12">
                  <c:v>0.81672862101907817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Model!$B$15:$G$15</c:f>
              <c:numCache>
                <c:formatCode>#,##0</c:formatCode>
                <c:ptCount val="6"/>
                <c:pt idx="0">
                  <c:v>-579.64599999999996</c:v>
                </c:pt>
                <c:pt idx="1">
                  <c:v>-1166.3910000000001</c:v>
                </c:pt>
                <c:pt idx="2">
                  <c:v>-520.37900000000013</c:v>
                </c:pt>
                <c:pt idx="3">
                  <c:v>-368.48299999999983</c:v>
                </c:pt>
                <c:pt idx="4">
                  <c:v>209.8250000000001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Model!$B$26:$G$26</c:f>
              <c:numCache>
                <c:formatCode>0%</c:formatCode>
                <c:ptCount val="6"/>
                <c:pt idx="1">
                  <c:v>-1.0122471301449507</c:v>
                </c:pt>
                <c:pt idx="2">
                  <c:v>0.55385543955671801</c:v>
                </c:pt>
                <c:pt idx="3">
                  <c:v>-0.29189494579912001</c:v>
                </c:pt>
                <c:pt idx="4">
                  <c:v>-1.5694292545382016</c:v>
                </c:pt>
                <c:pt idx="5">
                  <c:v>2.7867509591326085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Model!$A$6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Model!$K$24:$U$24</c:f>
              <c:numCache>
                <c:formatCode>0%</c:formatCode>
                <c:ptCount val="11"/>
                <c:pt idx="0">
                  <c:v>0.39883774770392172</c:v>
                </c:pt>
                <c:pt idx="1">
                  <c:v>0.4322706193663115</c:v>
                </c:pt>
                <c:pt idx="2">
                  <c:v>0.39129048874653827</c:v>
                </c:pt>
                <c:pt idx="3">
                  <c:v>0.37561883904293919</c:v>
                </c:pt>
                <c:pt idx="4">
                  <c:v>0.35954404210082963</c:v>
                </c:pt>
                <c:pt idx="5">
                  <c:v>0.35702205027377859</c:v>
                </c:pt>
                <c:pt idx="6">
                  <c:v>0.38276973298736083</c:v>
                </c:pt>
                <c:pt idx="7">
                  <c:v>0.37401498946176343</c:v>
                </c:pt>
                <c:pt idx="8">
                  <c:v>0.35624140780599628</c:v>
                </c:pt>
                <c:pt idx="9">
                  <c:v>0.34531620030863447</c:v>
                </c:pt>
                <c:pt idx="10">
                  <c:v>0.31599060482765662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Model!$A$7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Model!$K$23:$V$23</c:f>
              <c:numCache>
                <c:formatCode>0%</c:formatCode>
                <c:ptCount val="12"/>
                <c:pt idx="0">
                  <c:v>0.28857323713346267</c:v>
                </c:pt>
                <c:pt idx="1">
                  <c:v>0.29422695012804745</c:v>
                </c:pt>
                <c:pt idx="2">
                  <c:v>0.24051246219520281</c:v>
                </c:pt>
                <c:pt idx="3">
                  <c:v>0.19446157826768976</c:v>
                </c:pt>
                <c:pt idx="4">
                  <c:v>0.19849806320949373</c:v>
                </c:pt>
                <c:pt idx="5">
                  <c:v>0.18640409293672439</c:v>
                </c:pt>
                <c:pt idx="6">
                  <c:v>0.21106344689043274</c:v>
                </c:pt>
                <c:pt idx="7">
                  <c:v>0.16130579760294439</c:v>
                </c:pt>
                <c:pt idx="8">
                  <c:v>0.17155826697589041</c:v>
                </c:pt>
                <c:pt idx="9">
                  <c:v>0.18663009054652299</c:v>
                </c:pt>
                <c:pt idx="10">
                  <c:v>0.18938689513203227</c:v>
                </c:pt>
                <c:pt idx="11">
                  <c:v>0.17963836607216246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3-4811-8BF8-34DBAE979F8A}"/>
            </c:ext>
          </c:extLst>
        </c:ser>
        <c:ser>
          <c:idx val="2"/>
          <c:order val="2"/>
          <c:tx>
            <c:strRef>
              <c:f>Model!$A$8</c:f>
              <c:strCache>
                <c:ptCount val="1"/>
                <c:pt idx="0">
                  <c:v>G&amp;A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Model!$K$25:$V$25</c:f>
              <c:numCache>
                <c:formatCode>0%</c:formatCode>
                <c:ptCount val="12"/>
                <c:pt idx="0">
                  <c:v>0.42952636607137623</c:v>
                </c:pt>
                <c:pt idx="1">
                  <c:v>0.42050942120423174</c:v>
                </c:pt>
                <c:pt idx="2">
                  <c:v>0.3812967619203052</c:v>
                </c:pt>
                <c:pt idx="3">
                  <c:v>0.36380227644981039</c:v>
                </c:pt>
                <c:pt idx="4">
                  <c:v>0.31881879302889837</c:v>
                </c:pt>
                <c:pt idx="5">
                  <c:v>0.32871398067694135</c:v>
                </c:pt>
                <c:pt idx="6">
                  <c:v>0.31112203900560809</c:v>
                </c:pt>
                <c:pt idx="7">
                  <c:v>0.29464201453332917</c:v>
                </c:pt>
                <c:pt idx="8">
                  <c:v>0.25939952702471125</c:v>
                </c:pt>
                <c:pt idx="9">
                  <c:v>0.24872261713014959</c:v>
                </c:pt>
                <c:pt idx="10">
                  <c:v>0.2296352831361673</c:v>
                </c:pt>
                <c:pt idx="11">
                  <c:v>0.20920687104462893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4811-8BF8-34DBAE979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34</c:v>
                </c:pt>
                <c:pt idx="5">
                  <c:v>47</c:v>
                </c:pt>
                <c:pt idx="6">
                  <c:v>52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FF0-B002-4341C446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52386</xdr:rowOff>
    </xdr:from>
    <xdr:to>
      <xdr:col>27</xdr:col>
      <xdr:colOff>342900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176211</xdr:rowOff>
    </xdr:from>
    <xdr:to>
      <xdr:col>11</xdr:col>
      <xdr:colOff>1381126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698-8430-E511-3862-E996BF6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20" sqref="E20"/>
    </sheetView>
  </sheetViews>
  <sheetFormatPr defaultColWidth="9.140625" defaultRowHeight="15" x14ac:dyDescent="0.25"/>
  <cols>
    <col min="1" max="1" width="5" customWidth="1"/>
    <col min="2" max="2" width="27.42578125" customWidth="1"/>
    <col min="3" max="3" width="14.140625" customWidth="1"/>
    <col min="4" max="4" width="6.28515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93</v>
      </c>
      <c r="C2" s="19"/>
      <c r="E2" s="23" t="s">
        <v>49</v>
      </c>
      <c r="F2" s="54" t="s">
        <v>50</v>
      </c>
      <c r="G2" s="24"/>
      <c r="H2" s="25" t="s">
        <v>57</v>
      </c>
      <c r="I2" s="25" t="s">
        <v>1</v>
      </c>
      <c r="J2" s="26" t="s">
        <v>50</v>
      </c>
      <c r="L2" s="29" t="s">
        <v>43</v>
      </c>
      <c r="M2" s="30" t="s">
        <v>59</v>
      </c>
      <c r="N2" s="31" t="s">
        <v>58</v>
      </c>
    </row>
    <row r="3" spans="2:14" x14ac:dyDescent="0.25">
      <c r="B3" s="5" t="s">
        <v>42</v>
      </c>
      <c r="C3" s="20">
        <v>45605</v>
      </c>
      <c r="E3" s="5" t="s">
        <v>135</v>
      </c>
      <c r="F3" s="27" t="s">
        <v>136</v>
      </c>
      <c r="H3" t="s">
        <v>155</v>
      </c>
      <c r="I3" s="10">
        <v>592</v>
      </c>
      <c r="J3" s="37">
        <f t="shared" ref="J3:J10" si="0">I3/($C$7*100000)</f>
        <v>2.652814672216068E-6</v>
      </c>
      <c r="L3" s="5" t="s">
        <v>163</v>
      </c>
      <c r="M3" t="s">
        <v>164</v>
      </c>
      <c r="N3" s="36"/>
    </row>
    <row r="4" spans="2:14" x14ac:dyDescent="0.25">
      <c r="B4" s="5"/>
      <c r="C4" s="128">
        <v>0.94374999999999998</v>
      </c>
      <c r="E4" s="5" t="s">
        <v>137</v>
      </c>
      <c r="F4" s="27" t="s">
        <v>138</v>
      </c>
      <c r="H4" t="s">
        <v>156</v>
      </c>
      <c r="I4" s="10">
        <v>4344</v>
      </c>
      <c r="J4" s="37">
        <f t="shared" si="0"/>
        <v>1.9465923878558445E-5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139</v>
      </c>
      <c r="F5" s="27" t="s">
        <v>140</v>
      </c>
      <c r="H5" t="s">
        <v>157</v>
      </c>
      <c r="I5" s="10">
        <v>6432260</v>
      </c>
      <c r="J5" s="37">
        <f t="shared" si="0"/>
        <v>2.8823638012683322E-2</v>
      </c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58.86</v>
      </c>
      <c r="E6" s="5" t="s">
        <v>141</v>
      </c>
      <c r="F6" s="27" t="s">
        <v>142</v>
      </c>
      <c r="H6" t="s">
        <v>158</v>
      </c>
      <c r="I6" s="10">
        <v>1635520</v>
      </c>
      <c r="J6" s="37">
        <f t="shared" si="0"/>
        <v>7.3289382647007163E-3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Model!X16</f>
        <v>2231.5920000000001</v>
      </c>
      <c r="E7" s="5" t="s">
        <v>143</v>
      </c>
      <c r="F7" s="27" t="s">
        <v>144</v>
      </c>
      <c r="H7" t="s">
        <v>159</v>
      </c>
      <c r="I7" s="10">
        <v>670136</v>
      </c>
      <c r="J7" s="37">
        <f t="shared" si="0"/>
        <v>3.0029503601016671E-3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131351.50512000002</v>
      </c>
      <c r="E8" s="5" t="s">
        <v>145</v>
      </c>
      <c r="F8" s="27" t="s">
        <v>146</v>
      </c>
      <c r="H8" t="s">
        <v>160</v>
      </c>
      <c r="I8" s="10">
        <v>1502680</v>
      </c>
      <c r="J8" s="37">
        <f t="shared" si="0"/>
        <v>6.7336681615635836E-3</v>
      </c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Model!Y32+Model!Y33</f>
        <v>4564.6589999999997</v>
      </c>
      <c r="E9" s="5" t="s">
        <v>147</v>
      </c>
      <c r="F9" s="27" t="s">
        <v>148</v>
      </c>
      <c r="H9" t="s">
        <v>161</v>
      </c>
      <c r="I9" s="10">
        <v>191783</v>
      </c>
      <c r="J9" s="37">
        <f t="shared" si="0"/>
        <v>8.5939992615137537E-4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f>0</f>
        <v>0</v>
      </c>
      <c r="E10" s="5" t="s">
        <v>149</v>
      </c>
      <c r="F10" s="27" t="s">
        <v>150</v>
      </c>
      <c r="H10" t="s">
        <v>162</v>
      </c>
      <c r="I10" s="10">
        <v>18146</v>
      </c>
      <c r="J10" s="37">
        <f t="shared" si="0"/>
        <v>8.1314147030460765E-5</v>
      </c>
      <c r="L10" s="5" t="s">
        <v>177</v>
      </c>
      <c r="M10" t="s">
        <v>178</v>
      </c>
      <c r="N10" s="13"/>
    </row>
    <row r="11" spans="2:14" x14ac:dyDescent="0.25">
      <c r="B11" s="5" t="s">
        <v>37</v>
      </c>
      <c r="C11" s="15">
        <f>C9-C10</f>
        <v>4564.6589999999997</v>
      </c>
      <c r="E11" s="5" t="s">
        <v>151</v>
      </c>
      <c r="F11" s="27" t="s">
        <v>152</v>
      </c>
      <c r="H11" t="s">
        <v>183</v>
      </c>
      <c r="I11" s="10"/>
      <c r="J11" s="37">
        <v>0.09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126786.84612000002</v>
      </c>
      <c r="E12" s="5" t="s">
        <v>153</v>
      </c>
      <c r="F12" s="27" t="s">
        <v>154</v>
      </c>
      <c r="J12" s="13"/>
      <c r="L12" s="5" t="s">
        <v>181</v>
      </c>
      <c r="M12" t="s">
        <v>182</v>
      </c>
      <c r="N12" s="13"/>
    </row>
    <row r="13" spans="2:14" x14ac:dyDescent="0.25">
      <c r="B13" s="5" t="s">
        <v>48</v>
      </c>
      <c r="C13" s="46">
        <f>C6/Model!F17</f>
        <v>602.400436363636</v>
      </c>
      <c r="E13" s="5"/>
      <c r="J13" s="13"/>
      <c r="L13" s="5"/>
      <c r="N13" s="13"/>
    </row>
    <row r="14" spans="2:14" x14ac:dyDescent="0.25">
      <c r="B14" s="5" t="s">
        <v>46</v>
      </c>
      <c r="C14" s="46">
        <f>C6/Model!G18</f>
        <v>159.08108108108109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5" t="s">
        <v>47</v>
      </c>
      <c r="C15" s="46">
        <f>C6/Model!H18</f>
        <v>127.95652173913042</v>
      </c>
    </row>
    <row r="16" spans="2:14" x14ac:dyDescent="0.25">
      <c r="B16" s="5" t="s">
        <v>44</v>
      </c>
      <c r="C16" s="6">
        <f>Model!G18/Model!F17-1</f>
        <v>2.7867509591326085</v>
      </c>
    </row>
    <row r="17" spans="2:14" x14ac:dyDescent="0.25">
      <c r="B17" s="5" t="s">
        <v>45</v>
      </c>
      <c r="C17" s="6">
        <f>Model!H18/Model!G18-1</f>
        <v>0.2432432432432432</v>
      </c>
      <c r="E17" s="32" t="s">
        <v>55</v>
      </c>
      <c r="L17" s="130"/>
      <c r="M17" s="131"/>
      <c r="N17" s="132"/>
    </row>
    <row r="18" spans="2:14" x14ac:dyDescent="0.25">
      <c r="B18" s="5" t="s">
        <v>71</v>
      </c>
      <c r="C18" s="46">
        <f>C14/(C16*100)</f>
        <v>0.57084785620956935</v>
      </c>
      <c r="L18" s="133"/>
      <c r="M18" s="134"/>
      <c r="N18" s="135"/>
    </row>
    <row r="19" spans="2:14" x14ac:dyDescent="0.25">
      <c r="B19" s="5" t="s">
        <v>72</v>
      </c>
      <c r="C19" s="46">
        <f>C15/(C17*100)</f>
        <v>5.2604347826086961</v>
      </c>
      <c r="L19" s="133"/>
      <c r="M19" s="134"/>
      <c r="N19" s="135"/>
    </row>
    <row r="20" spans="2:14" x14ac:dyDescent="0.25">
      <c r="B20" s="5" t="s">
        <v>81</v>
      </c>
      <c r="C20" s="6">
        <f>Model!G4/Model!F3-1</f>
        <v>0.25842017930689809</v>
      </c>
      <c r="L20" s="133"/>
      <c r="M20" s="134"/>
      <c r="N20" s="135"/>
    </row>
    <row r="21" spans="2:14" x14ac:dyDescent="0.25">
      <c r="B21" s="5" t="s">
        <v>82</v>
      </c>
      <c r="C21" s="6">
        <f>Model!H4/Model!G4-1</f>
        <v>0.23928571428571432</v>
      </c>
      <c r="L21" s="133"/>
      <c r="M21" s="134"/>
      <c r="N21" s="135"/>
    </row>
    <row r="22" spans="2:14" x14ac:dyDescent="0.25">
      <c r="B22" s="5" t="s">
        <v>73</v>
      </c>
      <c r="C22" s="44">
        <f>Model!F12</f>
        <v>237.09100000000012</v>
      </c>
      <c r="L22" s="133"/>
      <c r="M22" s="134"/>
      <c r="N22" s="135"/>
    </row>
    <row r="23" spans="2:14" x14ac:dyDescent="0.25">
      <c r="B23" s="5" t="s">
        <v>19</v>
      </c>
      <c r="C23" s="15">
        <f>Model!F12</f>
        <v>237.09100000000012</v>
      </c>
      <c r="L23" s="133"/>
      <c r="M23" s="134"/>
      <c r="N23" s="135"/>
    </row>
    <row r="24" spans="2:14" x14ac:dyDescent="0.25">
      <c r="B24" s="5" t="s">
        <v>29</v>
      </c>
      <c r="C24" s="7">
        <f>Model!Y20</f>
        <v>0.79788316177727303</v>
      </c>
      <c r="L24" s="133"/>
      <c r="M24" s="134"/>
      <c r="N24" s="135"/>
    </row>
    <row r="25" spans="2:14" x14ac:dyDescent="0.25">
      <c r="B25" s="5" t="s">
        <v>30</v>
      </c>
      <c r="C25" s="7">
        <f>Model!Y21</f>
        <v>0.19782472061263981</v>
      </c>
      <c r="L25" s="133"/>
      <c r="M25" s="134"/>
      <c r="N25" s="135"/>
    </row>
    <row r="26" spans="2:14" x14ac:dyDescent="0.25">
      <c r="B26" s="5" t="s">
        <v>74</v>
      </c>
      <c r="C26" s="35">
        <f>Main!C12/Model!F12</f>
        <v>534.76026555204521</v>
      </c>
      <c r="L26" s="133"/>
      <c r="M26" s="134"/>
      <c r="N26" s="135"/>
    </row>
    <row r="27" spans="2:14" x14ac:dyDescent="0.25">
      <c r="B27" s="5" t="s">
        <v>83</v>
      </c>
      <c r="C27" s="13">
        <v>0</v>
      </c>
      <c r="E27" t="s">
        <v>77</v>
      </c>
      <c r="L27" s="133"/>
      <c r="M27" s="134"/>
      <c r="N27" s="135"/>
    </row>
    <row r="28" spans="2:14" x14ac:dyDescent="0.25">
      <c r="B28" s="5" t="s">
        <v>84</v>
      </c>
      <c r="C28" s="13">
        <v>0</v>
      </c>
      <c r="E28" t="s">
        <v>184</v>
      </c>
      <c r="L28" s="136"/>
      <c r="M28" s="137"/>
      <c r="N28" s="138"/>
    </row>
    <row r="29" spans="2:14" x14ac:dyDescent="0.25">
      <c r="B29" s="5" t="s">
        <v>85</v>
      </c>
      <c r="C29" s="15">
        <f>Model!Y36-Model!Y46</f>
        <v>4408.5059999999994</v>
      </c>
    </row>
    <row r="30" spans="2:14" x14ac:dyDescent="0.25">
      <c r="B30" s="5" t="s">
        <v>86</v>
      </c>
      <c r="C30" s="35">
        <f>(Model!Y32+Model!Y33+Model!Y34)/Model!Y41</f>
        <v>193.65563820732021</v>
      </c>
    </row>
    <row r="31" spans="2:14" x14ac:dyDescent="0.25">
      <c r="B31" s="5" t="s">
        <v>87</v>
      </c>
      <c r="C31" s="13"/>
    </row>
    <row r="32" spans="2:14" x14ac:dyDescent="0.25">
      <c r="B32" s="5" t="s">
        <v>88</v>
      </c>
      <c r="C32" s="13"/>
    </row>
    <row r="33" spans="2:3" x14ac:dyDescent="0.25">
      <c r="B33" s="5" t="s">
        <v>89</v>
      </c>
      <c r="C33" s="13"/>
    </row>
    <row r="34" spans="2:3" x14ac:dyDescent="0.25">
      <c r="B34" s="5" t="s">
        <v>90</v>
      </c>
      <c r="C34" s="117">
        <f>Model!F15/Model!F40</f>
        <v>4.6396568212850424E-2</v>
      </c>
    </row>
    <row r="35" spans="2:3" x14ac:dyDescent="0.25">
      <c r="B35" s="5" t="s">
        <v>91</v>
      </c>
      <c r="C35" s="117">
        <f>Model!F15/Model!F53</f>
        <v>5.8923634464253395E-2</v>
      </c>
    </row>
    <row r="36" spans="2:3" x14ac:dyDescent="0.25">
      <c r="B36" s="21" t="s">
        <v>92</v>
      </c>
      <c r="C36" s="2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4"/>
  <sheetViews>
    <sheetView zoomScaleNormal="10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S55" sqref="S55"/>
    </sheetView>
  </sheetViews>
  <sheetFormatPr defaultColWidth="11.42578125" defaultRowHeight="15" x14ac:dyDescent="0.25"/>
  <cols>
    <col min="1" max="1" width="27.28515625" customWidth="1"/>
    <col min="6" max="6" width="11.42578125" style="13"/>
    <col min="24" max="24" width="11.42578125" style="149"/>
    <col min="25" max="25" width="11.42578125" style="13"/>
  </cols>
  <sheetData>
    <row r="1" spans="1:27" x14ac:dyDescent="0.25">
      <c r="A1" s="8" t="s">
        <v>38</v>
      </c>
    </row>
    <row r="2" spans="1:27" x14ac:dyDescent="0.25">
      <c r="B2" t="s">
        <v>34</v>
      </c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70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36</v>
      </c>
      <c r="U2" t="s">
        <v>40</v>
      </c>
      <c r="V2" t="s">
        <v>41</v>
      </c>
      <c r="W2" t="s">
        <v>65</v>
      </c>
      <c r="X2" s="149" t="s">
        <v>69</v>
      </c>
      <c r="Y2" s="13" t="s">
        <v>199</v>
      </c>
      <c r="Z2" t="s">
        <v>200</v>
      </c>
      <c r="AA2" t="s">
        <v>208</v>
      </c>
    </row>
    <row r="3" spans="1:27" x14ac:dyDescent="0.25">
      <c r="A3" t="s">
        <v>17</v>
      </c>
      <c r="B3" s="10">
        <v>742.55499999999995</v>
      </c>
      <c r="C3" s="10">
        <v>1092.673</v>
      </c>
      <c r="D3" s="10">
        <v>1541.8889999999999</v>
      </c>
      <c r="E3" s="10">
        <v>1905.8710000000001</v>
      </c>
      <c r="F3" s="15">
        <v>2225.0120000000002</v>
      </c>
      <c r="G3" s="39"/>
      <c r="H3" s="39"/>
      <c r="K3" s="10">
        <v>341.23399999999998</v>
      </c>
      <c r="L3" s="10">
        <v>375.642</v>
      </c>
      <c r="M3" s="10">
        <v>392.14600000000002</v>
      </c>
      <c r="N3" s="10">
        <f>D3-M3-L3-K3</f>
        <v>432.8669999999999</v>
      </c>
      <c r="O3" s="10">
        <v>446.35700000000003</v>
      </c>
      <c r="P3" s="10">
        <v>473.01</v>
      </c>
      <c r="Q3" s="10">
        <v>477.88</v>
      </c>
      <c r="R3" s="10">
        <f>E3-Q3-P3-O3</f>
        <v>508.62399999999997</v>
      </c>
      <c r="S3" s="10">
        <v>525.18600000000004</v>
      </c>
      <c r="T3" s="10">
        <v>533.31700000000001</v>
      </c>
      <c r="U3" s="10">
        <v>558.15899999999999</v>
      </c>
      <c r="V3" s="10">
        <f>F3-U3-T3-S3</f>
        <v>608.35</v>
      </c>
      <c r="W3" s="10">
        <v>634.33799999999997</v>
      </c>
      <c r="X3" s="150">
        <v>678.13400000000001</v>
      </c>
      <c r="Y3" s="15">
        <v>725.51599999999996</v>
      </c>
    </row>
    <row r="4" spans="1:27" x14ac:dyDescent="0.25">
      <c r="A4" s="9" t="s">
        <v>67</v>
      </c>
      <c r="B4" s="10"/>
      <c r="C4" s="10"/>
      <c r="D4" s="10"/>
      <c r="E4" s="10"/>
      <c r="F4" s="15"/>
      <c r="G4" s="41">
        <v>2800</v>
      </c>
      <c r="H4" s="41">
        <v>3470</v>
      </c>
      <c r="K4" s="39"/>
      <c r="L4" s="39"/>
      <c r="M4" s="39"/>
      <c r="N4" s="39"/>
      <c r="O4" s="39"/>
      <c r="P4" s="39"/>
      <c r="Q4" s="39"/>
      <c r="R4" s="39"/>
      <c r="S4" s="124">
        <v>505.82</v>
      </c>
      <c r="T4" s="39">
        <v>533.38</v>
      </c>
      <c r="U4" s="124">
        <v>555.51</v>
      </c>
      <c r="V4" s="125">
        <v>602.88</v>
      </c>
      <c r="W4" s="124">
        <v>615.4</v>
      </c>
      <c r="X4" s="151">
        <v>651.39</v>
      </c>
      <c r="Y4" s="126">
        <v>701.25</v>
      </c>
      <c r="Z4" s="124">
        <v>769.39</v>
      </c>
      <c r="AA4" s="151">
        <v>792.31</v>
      </c>
    </row>
    <row r="5" spans="1:27" x14ac:dyDescent="0.25">
      <c r="A5" t="s">
        <v>60</v>
      </c>
      <c r="B5" s="10">
        <v>242.37299999999999</v>
      </c>
      <c r="C5" s="10">
        <v>352.54700000000003</v>
      </c>
      <c r="D5" s="10">
        <v>339.404</v>
      </c>
      <c r="E5" s="10">
        <v>408.54899999999998</v>
      </c>
      <c r="F5" s="15">
        <v>431.10500000000002</v>
      </c>
      <c r="G5" s="39"/>
      <c r="H5" s="39"/>
      <c r="K5" s="10">
        <v>74.111000000000004</v>
      </c>
      <c r="L5" s="10">
        <v>90.926000000000002</v>
      </c>
      <c r="M5" s="10">
        <v>86.804000000000002</v>
      </c>
      <c r="N5" s="10">
        <f>D5-M5-L5-K5</f>
        <v>87.562999999999974</v>
      </c>
      <c r="O5" s="10">
        <v>94.403000000000006</v>
      </c>
      <c r="P5" s="39">
        <v>102.224</v>
      </c>
      <c r="Q5" s="10">
        <v>107.611</v>
      </c>
      <c r="R5" s="10">
        <f>E5-Q5-P5-O5</f>
        <v>104.31099999999999</v>
      </c>
      <c r="S5" s="10">
        <v>107.645</v>
      </c>
      <c r="T5" s="10">
        <v>106.899</v>
      </c>
      <c r="U5" s="10">
        <v>107.922</v>
      </c>
      <c r="V5" s="10">
        <f>F5-U5-T5-S5</f>
        <v>108.639</v>
      </c>
      <c r="W5" s="10">
        <v>116.256</v>
      </c>
      <c r="X5" s="150">
        <v>128.56200000000001</v>
      </c>
      <c r="Y5" s="15">
        <v>146.63900000000001</v>
      </c>
    </row>
    <row r="6" spans="1:27" x14ac:dyDescent="0.25">
      <c r="A6" t="s">
        <v>61</v>
      </c>
      <c r="B6" s="10">
        <v>450.12</v>
      </c>
      <c r="C6" s="10">
        <v>683.70100000000002</v>
      </c>
      <c r="D6" s="10">
        <v>614.51199999999994</v>
      </c>
      <c r="E6" s="10">
        <v>702.51099999999997</v>
      </c>
      <c r="F6" s="15">
        <v>744.99199999999996</v>
      </c>
      <c r="G6" s="39"/>
      <c r="H6" s="39"/>
      <c r="K6" s="10">
        <v>136.09700000000001</v>
      </c>
      <c r="L6" s="10">
        <v>162.37899999999999</v>
      </c>
      <c r="M6" s="10">
        <v>153.44300000000001</v>
      </c>
      <c r="N6" s="10">
        <f>D6-M6-L6-K6</f>
        <v>162.59299999999993</v>
      </c>
      <c r="O6" s="10">
        <v>160.48500000000001</v>
      </c>
      <c r="P6" s="10">
        <v>168.875</v>
      </c>
      <c r="Q6" s="10">
        <v>182.91800000000001</v>
      </c>
      <c r="R6" s="10">
        <f>E6-Q6-P6-O6</f>
        <v>190.23299999999995</v>
      </c>
      <c r="S6" s="10">
        <v>187.09299999999999</v>
      </c>
      <c r="T6" s="10">
        <v>184.16300000000001</v>
      </c>
      <c r="U6" s="10">
        <v>176.37299999999999</v>
      </c>
      <c r="V6" s="10">
        <f>F6-U6-T6-S6</f>
        <v>197.36299999999991</v>
      </c>
      <c r="W6" s="10">
        <v>193.17699999999999</v>
      </c>
      <c r="X6" s="150">
        <v>196.809</v>
      </c>
      <c r="Y6" s="15">
        <v>209.47399999999999</v>
      </c>
    </row>
    <row r="7" spans="1:27" x14ac:dyDescent="0.25">
      <c r="A7" t="s">
        <v>75</v>
      </c>
      <c r="B7" s="10">
        <v>305.56299999999999</v>
      </c>
      <c r="C7" s="10">
        <v>560.66</v>
      </c>
      <c r="D7" s="10">
        <v>387.48700000000002</v>
      </c>
      <c r="E7" s="10">
        <v>359.67899999999997</v>
      </c>
      <c r="F7" s="15">
        <v>404.62400000000002</v>
      </c>
      <c r="G7" s="39"/>
      <c r="H7" s="39"/>
      <c r="K7" s="10">
        <v>98.471000000000004</v>
      </c>
      <c r="L7" s="10">
        <v>110.524</v>
      </c>
      <c r="M7" s="10">
        <v>94.316000000000003</v>
      </c>
      <c r="N7" s="10">
        <f>D7-M7-L7-K7</f>
        <v>84.176000000000045</v>
      </c>
      <c r="O7" s="10">
        <v>88.600999999999999</v>
      </c>
      <c r="P7" s="10">
        <v>88.171000000000006</v>
      </c>
      <c r="Q7" s="10">
        <v>100.863</v>
      </c>
      <c r="R7" s="10">
        <f>E7-Q7-P7-O7</f>
        <v>82.043999999999983</v>
      </c>
      <c r="S7" s="10">
        <v>90.1</v>
      </c>
      <c r="T7" s="10">
        <v>99.533000000000001</v>
      </c>
      <c r="U7" s="10">
        <v>105.708</v>
      </c>
      <c r="V7" s="10">
        <f>F7-U7-T7-S7</f>
        <v>109.28300000000004</v>
      </c>
      <c r="W7" s="10">
        <v>110.04</v>
      </c>
      <c r="X7" s="150">
        <v>108.78100000000001</v>
      </c>
      <c r="Y7" s="15">
        <v>117.55500000000001</v>
      </c>
    </row>
    <row r="8" spans="1:27" x14ac:dyDescent="0.25">
      <c r="A8" t="s">
        <v>185</v>
      </c>
      <c r="B8" s="10">
        <v>320.94299999999998</v>
      </c>
      <c r="C8" s="10">
        <v>669.44399999999996</v>
      </c>
      <c r="D8" s="10">
        <v>611.53200000000004</v>
      </c>
      <c r="E8" s="10">
        <v>596.33299999999997</v>
      </c>
      <c r="F8" s="15">
        <v>524.32500000000005</v>
      </c>
      <c r="G8" s="10"/>
      <c r="H8" s="10"/>
      <c r="K8" s="10">
        <v>146.56899999999999</v>
      </c>
      <c r="L8" s="10">
        <v>157.96100000000001</v>
      </c>
      <c r="M8" s="10">
        <v>149.524</v>
      </c>
      <c r="N8" s="10">
        <f>D8-M8-L8-K8</f>
        <v>157.47800000000004</v>
      </c>
      <c r="O8" s="10">
        <v>142.30699999999999</v>
      </c>
      <c r="P8" s="10">
        <v>155.48500000000001</v>
      </c>
      <c r="Q8" s="10">
        <v>148.679</v>
      </c>
      <c r="R8" s="10">
        <f>E8-Q8-P8-O8</f>
        <v>149.86199999999999</v>
      </c>
      <c r="S8" s="10">
        <v>136.233</v>
      </c>
      <c r="T8" s="10">
        <v>132.648</v>
      </c>
      <c r="U8" s="10">
        <v>128.173</v>
      </c>
      <c r="V8" s="10">
        <f>F8-U8-T8-S8</f>
        <v>127.27100000000002</v>
      </c>
      <c r="W8" s="10">
        <v>133.98400000000001</v>
      </c>
      <c r="X8" s="150">
        <v>138.643</v>
      </c>
      <c r="Y8" s="15">
        <v>138.708</v>
      </c>
    </row>
    <row r="9" spans="1:27" s="1" customFormat="1" x14ac:dyDescent="0.25">
      <c r="A9" s="1" t="s">
        <v>22</v>
      </c>
      <c r="B9" s="11">
        <f>B3-B5-B6-B7-B8</f>
        <v>-576.44399999999996</v>
      </c>
      <c r="C9" s="11">
        <f t="shared" ref="C9:H9" si="0">C3-C5-C6-C7-C8</f>
        <v>-1173.6790000000001</v>
      </c>
      <c r="D9" s="11">
        <f t="shared" si="0"/>
        <v>-411.04600000000011</v>
      </c>
      <c r="E9" s="11">
        <f t="shared" si="0"/>
        <v>-161.20099999999979</v>
      </c>
      <c r="F9" s="11">
        <f t="shared" si="0"/>
        <v>119.96600000000012</v>
      </c>
      <c r="G9" s="11">
        <f t="shared" si="0"/>
        <v>0</v>
      </c>
      <c r="H9" s="11">
        <f t="shared" si="0"/>
        <v>0</v>
      </c>
      <c r="K9" s="11">
        <f t="shared" ref="K9" si="1">K3-K5-K6-K7-K8</f>
        <v>-114.01400000000001</v>
      </c>
      <c r="L9" s="11">
        <f t="shared" ref="L9" si="2">L3-L5-L6-L7-L8</f>
        <v>-146.148</v>
      </c>
      <c r="M9" s="11">
        <f t="shared" ref="M9" si="3">M3-M5-M6-M7-M8</f>
        <v>-91.941000000000031</v>
      </c>
      <c r="N9" s="11">
        <f t="shared" ref="N9" si="4">N3-N5-N6-N7-N8</f>
        <v>-58.943000000000097</v>
      </c>
      <c r="O9" s="11">
        <f t="shared" ref="O9" si="5">O3-O5-O6-O7-O8</f>
        <v>-39.438999999999993</v>
      </c>
      <c r="P9" s="11">
        <f t="shared" ref="P9" si="6">P3-P5-P6-P7-P8</f>
        <v>-41.745000000000019</v>
      </c>
      <c r="Q9" s="11">
        <f t="shared" ref="Q9" si="7">Q3-Q5-Q6-Q7-Q8</f>
        <v>-62.191000000000003</v>
      </c>
      <c r="R9" s="11">
        <f t="shared" ref="R9" si="8">R3-R5-R6-R7-R8</f>
        <v>-17.825999999999937</v>
      </c>
      <c r="S9" s="11">
        <f t="shared" ref="S9" si="9">S3-S5-S6-S7-S8</f>
        <v>4.1150000000000659</v>
      </c>
      <c r="T9" s="11">
        <f t="shared" ref="T9" si="10">T3-T5-T6-T7-T8</f>
        <v>10.073999999999984</v>
      </c>
      <c r="U9" s="11">
        <f t="shared" ref="U9:W9" si="11">U3-U5-U6-U7-U8</f>
        <v>39.982999999999976</v>
      </c>
      <c r="V9" s="11">
        <f t="shared" ref="V9" si="12">V3-V5-V6-V7-V8</f>
        <v>65.794000000000011</v>
      </c>
      <c r="W9" s="11">
        <f t="shared" si="11"/>
        <v>80.880999999999943</v>
      </c>
      <c r="X9" s="152">
        <f t="shared" ref="X9:Y9" si="13">X3-X5-X6-X7-X8</f>
        <v>105.33900000000003</v>
      </c>
      <c r="Y9" s="14">
        <f t="shared" si="13"/>
        <v>113.13999999999996</v>
      </c>
      <c r="Z9" s="152">
        <f t="shared" ref="Z9:AA9" si="14">Z3-Z5-Z6-Z7-Z8</f>
        <v>0</v>
      </c>
      <c r="AA9" s="152">
        <f t="shared" si="14"/>
        <v>0</v>
      </c>
    </row>
    <row r="10" spans="1:27" x14ac:dyDescent="0.25">
      <c r="A10" t="s">
        <v>186</v>
      </c>
      <c r="B10" s="10">
        <f>15.09-3.061</f>
        <v>12.029</v>
      </c>
      <c r="C10" s="10">
        <f>4.68-14.139</f>
        <v>-9.4589999999999996</v>
      </c>
      <c r="D10" s="10">
        <f>1.607-3.64</f>
        <v>-2.0330000000000004</v>
      </c>
      <c r="E10" s="10">
        <f>20.309-4.058</f>
        <v>16.251000000000001</v>
      </c>
      <c r="F10" s="15">
        <f>132.572-3.47</f>
        <v>129.102</v>
      </c>
      <c r="G10" s="39"/>
      <c r="H10" s="39"/>
      <c r="K10" s="10">
        <f>0.376-1.84</f>
        <v>-1.464</v>
      </c>
      <c r="L10" s="10">
        <f>0.372-0.59</f>
        <v>-0.21799999999999997</v>
      </c>
      <c r="M10" s="10">
        <f>0.379-0.609</f>
        <v>-0.22999999999999998</v>
      </c>
      <c r="N10" s="10">
        <f>D10-M10-L10-K10</f>
        <v>-0.12100000000000044</v>
      </c>
      <c r="O10" s="10">
        <f>0.547-0.594</f>
        <v>-4.6999999999999931E-2</v>
      </c>
      <c r="P10" s="10">
        <f>1.472-0.67</f>
        <v>0.80199999999999994</v>
      </c>
      <c r="Q10" s="10">
        <f>5.54-1.082</f>
        <v>4.4580000000000002</v>
      </c>
      <c r="R10" s="10">
        <f>E10-Q10-P10-O10</f>
        <v>11.038000000000002</v>
      </c>
      <c r="S10" s="10">
        <f>20.853-1.275</f>
        <v>19.578000000000003</v>
      </c>
      <c r="T10" s="10">
        <f>30.31-1.317</f>
        <v>28.992999999999999</v>
      </c>
      <c r="U10" s="10">
        <f>36.864-0.742</f>
        <v>36.122</v>
      </c>
      <c r="V10" s="10">
        <f t="shared" ref="V10:V11" si="15">F10-U10-T10-S10</f>
        <v>44.409000000000006</v>
      </c>
      <c r="W10" s="10">
        <v>43.351999999999997</v>
      </c>
      <c r="X10" s="150">
        <v>46.593000000000004</v>
      </c>
      <c r="Y10" s="15">
        <v>52.12</v>
      </c>
      <c r="Z10" s="150"/>
      <c r="AA10" s="150"/>
    </row>
    <row r="11" spans="1:27" x14ac:dyDescent="0.25">
      <c r="A11" t="s">
        <v>25</v>
      </c>
      <c r="B11" s="10">
        <f>-0.003-2.853</f>
        <v>-2.8560000000000003</v>
      </c>
      <c r="C11" s="10">
        <f>0.811+3.3</f>
        <v>4.1109999999999998</v>
      </c>
      <c r="D11" s="10">
        <v>-75.415000000000006</v>
      </c>
      <c r="E11" s="10">
        <v>-216.077</v>
      </c>
      <c r="F11" s="15">
        <v>-11.977</v>
      </c>
      <c r="G11" s="39"/>
      <c r="H11" s="39"/>
      <c r="K11" s="10">
        <v>-4.8940000000000001</v>
      </c>
      <c r="L11" s="10">
        <v>2.125</v>
      </c>
      <c r="M11" s="10">
        <v>-8.5280000000000005</v>
      </c>
      <c r="N11" s="10">
        <f>D11-M11-L11-K11</f>
        <v>-64.117999999999995</v>
      </c>
      <c r="O11" s="10">
        <v>-59.87</v>
      </c>
      <c r="P11" s="10">
        <v>-135.798</v>
      </c>
      <c r="Q11" s="10">
        <v>-65.046000000000006</v>
      </c>
      <c r="R11" s="10">
        <f>E11-Q11-P11-O11</f>
        <v>44.636999999999993</v>
      </c>
      <c r="S11" s="10">
        <v>-2.8610000000000002</v>
      </c>
      <c r="T11" s="10">
        <v>-9.0239999999999991</v>
      </c>
      <c r="U11" s="10">
        <v>3.8639999999999999</v>
      </c>
      <c r="V11" s="10">
        <f t="shared" si="15"/>
        <v>-3.9560000000000017</v>
      </c>
      <c r="W11" s="10">
        <v>-13.507</v>
      </c>
      <c r="X11" s="150">
        <v>-11.173</v>
      </c>
      <c r="Y11" s="15">
        <v>-8.11</v>
      </c>
      <c r="Z11" s="150"/>
      <c r="AA11" s="150"/>
    </row>
    <row r="12" spans="1:27" s="1" customFormat="1" x14ac:dyDescent="0.25">
      <c r="A12" s="1" t="s">
        <v>19</v>
      </c>
      <c r="B12" s="11">
        <f>B9+B10+B11</f>
        <v>-567.27099999999996</v>
      </c>
      <c r="C12" s="11">
        <f t="shared" ref="C12:H12" si="16">C9+C10+C11</f>
        <v>-1179.027</v>
      </c>
      <c r="D12" s="11">
        <f t="shared" si="16"/>
        <v>-488.49400000000014</v>
      </c>
      <c r="E12" s="11">
        <f t="shared" si="16"/>
        <v>-361.02699999999982</v>
      </c>
      <c r="F12" s="11">
        <f>F9+F10+F11</f>
        <v>237.09100000000012</v>
      </c>
      <c r="G12" s="11">
        <f t="shared" si="16"/>
        <v>0</v>
      </c>
      <c r="H12" s="11">
        <f t="shared" si="16"/>
        <v>0</v>
      </c>
      <c r="K12" s="11">
        <f t="shared" ref="K12:V12" si="17">K9+K10+K11</f>
        <v>-120.37200000000001</v>
      </c>
      <c r="L12" s="11">
        <f t="shared" si="17"/>
        <v>-144.24099999999999</v>
      </c>
      <c r="M12" s="11">
        <f t="shared" si="17"/>
        <v>-100.69900000000004</v>
      </c>
      <c r="N12" s="11">
        <f t="shared" si="17"/>
        <v>-123.1820000000001</v>
      </c>
      <c r="O12" s="11">
        <f t="shared" si="17"/>
        <v>-99.355999999999995</v>
      </c>
      <c r="P12" s="11">
        <f t="shared" si="17"/>
        <v>-176.74100000000001</v>
      </c>
      <c r="Q12" s="11">
        <f t="shared" si="17"/>
        <v>-122.77900000000001</v>
      </c>
      <c r="R12" s="11">
        <f t="shared" si="17"/>
        <v>37.849000000000061</v>
      </c>
      <c r="S12" s="11">
        <f t="shared" si="17"/>
        <v>20.832000000000068</v>
      </c>
      <c r="T12" s="11">
        <f t="shared" si="17"/>
        <v>30.042999999999978</v>
      </c>
      <c r="U12" s="11">
        <f t="shared" si="17"/>
        <v>79.96899999999998</v>
      </c>
      <c r="V12" s="11">
        <f t="shared" si="17"/>
        <v>106.24700000000001</v>
      </c>
      <c r="W12" s="11">
        <f t="shared" ref="W12:Y12" si="18">W9+W10+W11</f>
        <v>110.72599999999994</v>
      </c>
      <c r="X12" s="152">
        <f t="shared" si="18"/>
        <v>140.75900000000001</v>
      </c>
      <c r="Y12" s="14">
        <f t="shared" si="18"/>
        <v>157.14999999999998</v>
      </c>
      <c r="Z12" s="152">
        <f t="shared" ref="Z12:AA12" si="19">Z9+Z10+Z11</f>
        <v>0</v>
      </c>
      <c r="AA12" s="152">
        <f t="shared" si="19"/>
        <v>0</v>
      </c>
    </row>
    <row r="13" spans="1:27" x14ac:dyDescent="0.25">
      <c r="A13" t="s">
        <v>187</v>
      </c>
      <c r="B13" s="10">
        <v>12.375</v>
      </c>
      <c r="C13" s="10">
        <v>-12.635999999999999</v>
      </c>
      <c r="D13" s="10">
        <v>31.885000000000002</v>
      </c>
      <c r="E13" s="10">
        <v>10.067</v>
      </c>
      <c r="F13" s="15">
        <v>19.716000000000001</v>
      </c>
      <c r="G13" s="39"/>
      <c r="H13" s="39"/>
      <c r="K13" s="10">
        <v>3.1019999999999999</v>
      </c>
      <c r="L13" s="10">
        <v>-5.6609999999999996</v>
      </c>
      <c r="M13" s="10">
        <v>1.4379999999999999</v>
      </c>
      <c r="N13" s="10">
        <f>D13-M13-L13-K13</f>
        <v>33.006000000000007</v>
      </c>
      <c r="O13" s="10">
        <v>2.0230000000000001</v>
      </c>
      <c r="P13" s="10">
        <v>2.5880000000000001</v>
      </c>
      <c r="Q13" s="10">
        <v>1.0960000000000001</v>
      </c>
      <c r="R13" s="10">
        <f>E13-Q13-P13-O13</f>
        <v>4.3599999999999994</v>
      </c>
      <c r="S13" s="10">
        <v>1.681</v>
      </c>
      <c r="T13" s="10">
        <v>2.1709999999999998</v>
      </c>
      <c r="U13" s="10">
        <v>6.53</v>
      </c>
      <c r="V13" s="10">
        <f t="shared" ref="V13:V14" si="20">F13-U13-T13-S13</f>
        <v>9.3339999999999996</v>
      </c>
      <c r="W13" s="10">
        <v>4.6550000000000002</v>
      </c>
      <c r="X13" s="150">
        <v>5.1890000000000001</v>
      </c>
      <c r="Y13" s="15">
        <v>7.8090000000000002</v>
      </c>
      <c r="Z13" s="150"/>
      <c r="AA13" s="150"/>
    </row>
    <row r="14" spans="1:27" x14ac:dyDescent="0.25">
      <c r="A14" t="s">
        <v>76</v>
      </c>
      <c r="B14" s="10">
        <v>0</v>
      </c>
      <c r="C14" s="10">
        <v>0</v>
      </c>
      <c r="D14" s="10">
        <v>0</v>
      </c>
      <c r="E14" s="10">
        <v>2.6110000000000002</v>
      </c>
      <c r="F14" s="15">
        <v>-7.55</v>
      </c>
      <c r="G14" s="39"/>
      <c r="H14" s="39"/>
      <c r="K14" s="10">
        <v>0</v>
      </c>
      <c r="L14" s="10">
        <v>0</v>
      </c>
      <c r="M14" s="10">
        <v>0</v>
      </c>
      <c r="N14" s="10">
        <f>D14-M14-L14-K14</f>
        <v>0</v>
      </c>
      <c r="O14" s="10">
        <v>0</v>
      </c>
      <c r="P14" s="10">
        <v>0</v>
      </c>
      <c r="Q14" s="10">
        <v>0</v>
      </c>
      <c r="R14" s="10">
        <f>E14-Q14-P14-O14</f>
        <v>2.6110000000000002</v>
      </c>
      <c r="S14" s="10">
        <v>2.3490000000000002</v>
      </c>
      <c r="T14" s="10">
        <v>-0.255</v>
      </c>
      <c r="U14" s="10">
        <v>1.9339999999999999</v>
      </c>
      <c r="V14" s="10">
        <f t="shared" si="20"/>
        <v>-11.577999999999999</v>
      </c>
      <c r="W14" s="10">
        <v>0.54100000000000004</v>
      </c>
      <c r="X14" s="150">
        <v>1.444</v>
      </c>
      <c r="Y14" s="15">
        <v>5.8159999999999998</v>
      </c>
      <c r="Z14" s="150"/>
      <c r="AA14" s="150"/>
    </row>
    <row r="15" spans="1:27" s="1" customFormat="1" x14ac:dyDescent="0.25">
      <c r="A15" s="1" t="s">
        <v>20</v>
      </c>
      <c r="B15" s="11">
        <f>B12-B13+B14</f>
        <v>-579.64599999999996</v>
      </c>
      <c r="C15" s="11">
        <f>C12-C13+C14</f>
        <v>-1166.3910000000001</v>
      </c>
      <c r="D15" s="11">
        <f>D12-D13+D14</f>
        <v>-520.37900000000013</v>
      </c>
      <c r="E15" s="11">
        <f>E12-E13+E14</f>
        <v>-368.48299999999983</v>
      </c>
      <c r="F15" s="14">
        <f>F12-F13+F14</f>
        <v>209.8250000000001</v>
      </c>
      <c r="G15" s="53"/>
      <c r="H15" s="53"/>
      <c r="K15" s="11">
        <f>K12-K13-K14</f>
        <v>-123.47400000000002</v>
      </c>
      <c r="L15" s="11">
        <f>L12-L13-L14</f>
        <v>-138.57999999999998</v>
      </c>
      <c r="M15" s="11">
        <f>M12-M13-M14</f>
        <v>-102.13700000000004</v>
      </c>
      <c r="N15" s="11">
        <f t="shared" ref="N15:R15" si="21">N12+N13+N14</f>
        <v>-90.176000000000101</v>
      </c>
      <c r="O15" s="11">
        <f t="shared" si="21"/>
        <v>-97.332999999999998</v>
      </c>
      <c r="P15" s="11">
        <f>P12-P13-P14</f>
        <v>-179.32900000000001</v>
      </c>
      <c r="Q15" s="11">
        <f>Q12-Q13-Q14</f>
        <v>-123.87500000000001</v>
      </c>
      <c r="R15" s="11">
        <f t="shared" si="21"/>
        <v>44.820000000000057</v>
      </c>
      <c r="S15" s="11">
        <f t="shared" ref="S15:AA15" si="22">S12-S13-S14</f>
        <v>16.802000000000067</v>
      </c>
      <c r="T15" s="11">
        <f t="shared" si="22"/>
        <v>28.126999999999978</v>
      </c>
      <c r="U15" s="11">
        <f t="shared" si="22"/>
        <v>71.504999999999981</v>
      </c>
      <c r="V15" s="11">
        <f t="shared" si="22"/>
        <v>108.49100000000001</v>
      </c>
      <c r="W15" s="11">
        <f t="shared" si="22"/>
        <v>105.52999999999994</v>
      </c>
      <c r="X15" s="152">
        <f t="shared" si="22"/>
        <v>134.12600000000003</v>
      </c>
      <c r="Y15" s="14">
        <f t="shared" si="22"/>
        <v>143.52499999999998</v>
      </c>
      <c r="Z15" s="152">
        <f t="shared" si="22"/>
        <v>0</v>
      </c>
      <c r="AA15" s="152">
        <f t="shared" si="22"/>
        <v>0</v>
      </c>
    </row>
    <row r="16" spans="1:27" x14ac:dyDescent="0.25">
      <c r="A16" t="s">
        <v>209</v>
      </c>
      <c r="B16" s="10">
        <v>576.95856000000003</v>
      </c>
      <c r="C16" s="10">
        <v>977.721</v>
      </c>
      <c r="D16" s="10">
        <v>1923.617</v>
      </c>
      <c r="E16" s="10">
        <v>2063.7930000000001</v>
      </c>
      <c r="F16" s="15">
        <v>2147.4459999999999</v>
      </c>
      <c r="G16" s="39"/>
      <c r="H16" s="39"/>
      <c r="K16" s="10">
        <v>1821.1579999999999</v>
      </c>
      <c r="L16" s="10">
        <v>1894.606</v>
      </c>
      <c r="M16" s="10">
        <v>1964.395</v>
      </c>
      <c r="N16" s="10">
        <f>D16</f>
        <v>1923.617</v>
      </c>
      <c r="O16" s="10">
        <v>2036.307</v>
      </c>
      <c r="P16" s="10">
        <v>2054.799</v>
      </c>
      <c r="Q16" s="10">
        <v>2073.2649999999999</v>
      </c>
      <c r="R16" s="10">
        <f>E16</f>
        <v>2063.7930000000001</v>
      </c>
      <c r="S16" s="10">
        <v>2107.7800000000002</v>
      </c>
      <c r="T16" s="10">
        <v>2131.2240000000002</v>
      </c>
      <c r="U16" s="10">
        <v>2162.5300000000002</v>
      </c>
      <c r="V16" s="10">
        <f>F16</f>
        <v>2147.4459999999999</v>
      </c>
      <c r="W16" s="10">
        <v>2213.5450000000001</v>
      </c>
      <c r="X16" s="150">
        <v>2231.5920000000001</v>
      </c>
      <c r="Y16" s="15">
        <v>2250.0320000000002</v>
      </c>
    </row>
    <row r="17" spans="1:27" s="1" customFormat="1" x14ac:dyDescent="0.25">
      <c r="A17" s="1" t="s">
        <v>21</v>
      </c>
      <c r="B17" s="2">
        <f>B15/B16</f>
        <v>-1.0046579428512161</v>
      </c>
      <c r="C17" s="2">
        <f>C15/C16</f>
        <v>-1.1929691599137178</v>
      </c>
      <c r="D17" s="2">
        <f>D15/D16</f>
        <v>-0.27052110685235164</v>
      </c>
      <c r="E17" s="2">
        <f>E15/E16</f>
        <v>-0.17854649182355004</v>
      </c>
      <c r="F17" s="49">
        <f>F15/F16</f>
        <v>9.7709092568567552E-2</v>
      </c>
      <c r="G17" s="50"/>
      <c r="H17" s="51"/>
      <c r="K17" s="2">
        <f t="shared" ref="K17" si="23">K15/K16</f>
        <v>-6.7799718640557283E-2</v>
      </c>
      <c r="L17" s="2">
        <f t="shared" ref="L17" si="24">L15/L16</f>
        <v>-7.3144495478215513E-2</v>
      </c>
      <c r="M17" s="2">
        <f t="shared" ref="M17" si="25">M15/M16</f>
        <v>-5.1994125417749511E-2</v>
      </c>
      <c r="N17" s="2">
        <f t="shared" ref="N17:T17" si="26">N15/N16</f>
        <v>-4.6878354682870917E-2</v>
      </c>
      <c r="O17" s="2">
        <f t="shared" si="26"/>
        <v>-4.7798784760844017E-2</v>
      </c>
      <c r="P17" s="2">
        <f t="shared" si="26"/>
        <v>-8.7273256410967698E-2</v>
      </c>
      <c r="Q17" s="2">
        <f t="shared" si="26"/>
        <v>-5.9748753777254728E-2</v>
      </c>
      <c r="R17" s="2">
        <f t="shared" si="26"/>
        <v>2.1717294321668915E-2</v>
      </c>
      <c r="S17" s="2">
        <f t="shared" si="26"/>
        <v>7.9714201671901557E-3</v>
      </c>
      <c r="T17" s="2">
        <f t="shared" si="26"/>
        <v>1.3197580357578544E-2</v>
      </c>
      <c r="U17" s="2">
        <f>U15/U16</f>
        <v>3.3065437242489108E-2</v>
      </c>
      <c r="V17" s="2">
        <f>V15/V16</f>
        <v>5.0520944414900314E-2</v>
      </c>
      <c r="W17" s="2">
        <f>W15/W16</f>
        <v>4.7674657619339089E-2</v>
      </c>
      <c r="X17" s="153">
        <f>X15/X16</f>
        <v>6.0103280527981827E-2</v>
      </c>
      <c r="Y17" s="34">
        <f>Y15/Y16</f>
        <v>6.3787981682038281E-2</v>
      </c>
      <c r="Z17" s="153" t="e">
        <f>Z15/Z16</f>
        <v>#DIV/0!</v>
      </c>
      <c r="AA17" s="153" t="e">
        <f>AA15/AA16</f>
        <v>#DIV/0!</v>
      </c>
    </row>
    <row r="18" spans="1:27" s="1" customFormat="1" x14ac:dyDescent="0.25">
      <c r="A18" s="9" t="s">
        <v>66</v>
      </c>
      <c r="B18" s="2"/>
      <c r="C18" s="2"/>
      <c r="D18" s="2"/>
      <c r="E18" s="2"/>
      <c r="F18" s="34"/>
      <c r="G18" s="42">
        <v>0.37</v>
      </c>
      <c r="H18" s="43">
        <v>0.46</v>
      </c>
      <c r="K18" s="45"/>
      <c r="L18" s="45"/>
      <c r="M18" s="45"/>
      <c r="N18" s="45"/>
      <c r="O18" s="45"/>
      <c r="P18" s="45"/>
      <c r="Q18" s="45"/>
      <c r="R18" s="45"/>
      <c r="S18" s="45">
        <v>0.04</v>
      </c>
      <c r="T18" s="45">
        <v>0.05</v>
      </c>
      <c r="U18" s="45">
        <v>0.06</v>
      </c>
      <c r="V18" s="127">
        <v>0.08</v>
      </c>
      <c r="W18" s="45">
        <v>0.08</v>
      </c>
      <c r="X18" s="154">
        <v>0.08</v>
      </c>
      <c r="Y18" s="123">
        <v>0.09</v>
      </c>
      <c r="Z18" s="9">
        <v>0.11</v>
      </c>
      <c r="AA18" s="159">
        <v>0.1</v>
      </c>
    </row>
    <row r="19" spans="1:27" s="1" customFormat="1" x14ac:dyDescent="0.25">
      <c r="A19" s="9"/>
      <c r="B19" s="2"/>
      <c r="C19" s="2"/>
      <c r="D19" s="2"/>
      <c r="E19" s="2"/>
      <c r="F19" s="34"/>
      <c r="G19" s="42"/>
      <c r="H19" s="43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127"/>
      <c r="W19" s="45"/>
      <c r="X19" s="154"/>
      <c r="Y19" s="123"/>
    </row>
    <row r="20" spans="1:27" s="1" customFormat="1" x14ac:dyDescent="0.25">
      <c r="A20" t="s">
        <v>29</v>
      </c>
      <c r="B20" s="3">
        <f>1-B5/B3</f>
        <v>0.67359589525355024</v>
      </c>
      <c r="C20" s="3">
        <f>1-C5/C3</f>
        <v>0.67735360899372454</v>
      </c>
      <c r="D20" s="3">
        <f>1-D5/D3</f>
        <v>0.77987779924495215</v>
      </c>
      <c r="E20" s="3">
        <f>1-E5/E3</f>
        <v>0.78563659345254744</v>
      </c>
      <c r="F20" s="6">
        <f>1-F5/F3</f>
        <v>0.80624598878567844</v>
      </c>
      <c r="G20" s="119"/>
      <c r="H20" s="119"/>
      <c r="K20" s="3">
        <f t="shared" ref="K20:V20" si="27">1-K5/K3</f>
        <v>0.78281472537906538</v>
      </c>
      <c r="L20" s="3">
        <f t="shared" si="27"/>
        <v>0.75794506471587308</v>
      </c>
      <c r="M20" s="3">
        <f t="shared" si="27"/>
        <v>0.77864366842961552</v>
      </c>
      <c r="N20" s="3">
        <f t="shared" si="27"/>
        <v>0.79771384744043783</v>
      </c>
      <c r="O20" s="3">
        <f t="shared" si="27"/>
        <v>0.78850337286073702</v>
      </c>
      <c r="P20" s="3">
        <f t="shared" si="27"/>
        <v>0.78388617576795416</v>
      </c>
      <c r="Q20" s="3">
        <f t="shared" si="27"/>
        <v>0.77481585335230596</v>
      </c>
      <c r="R20" s="3">
        <f t="shared" si="27"/>
        <v>0.79491530089024509</v>
      </c>
      <c r="S20" s="3">
        <f t="shared" si="27"/>
        <v>0.79503452110299966</v>
      </c>
      <c r="T20" s="3">
        <f t="shared" si="27"/>
        <v>0.79955823647099189</v>
      </c>
      <c r="U20" s="3">
        <f t="shared" si="27"/>
        <v>0.80664649320354953</v>
      </c>
      <c r="V20" s="38">
        <f t="shared" si="27"/>
        <v>0.82142023506205308</v>
      </c>
      <c r="W20" s="38">
        <f t="shared" ref="W20:Y20" si="28">1-W5/W3</f>
        <v>0.81672862101907817</v>
      </c>
      <c r="X20" s="38">
        <f t="shared" si="28"/>
        <v>0.81041799998230435</v>
      </c>
      <c r="Y20" s="6">
        <f t="shared" si="28"/>
        <v>0.79788316177727303</v>
      </c>
      <c r="Z20" s="38" t="e">
        <f t="shared" ref="Z20" si="29">1-Z5/Z3</f>
        <v>#DIV/0!</v>
      </c>
    </row>
    <row r="21" spans="1:27" x14ac:dyDescent="0.25">
      <c r="A21" t="s">
        <v>30</v>
      </c>
      <c r="B21" s="4">
        <f>B15/B3</f>
        <v>-0.78061019049094005</v>
      </c>
      <c r="C21" s="4">
        <f>C15/C3</f>
        <v>-1.0674657468428341</v>
      </c>
      <c r="D21" s="4">
        <f>D15/D3</f>
        <v>-0.33749446296069313</v>
      </c>
      <c r="E21" s="4">
        <f>E15/E3</f>
        <v>-0.19334099737075586</v>
      </c>
      <c r="F21" s="7">
        <f>F15/F3</f>
        <v>9.4302862186810721E-2</v>
      </c>
      <c r="G21" s="120">
        <f>G15/G4</f>
        <v>0</v>
      </c>
      <c r="H21" s="120">
        <f>H15/H4</f>
        <v>0</v>
      </c>
      <c r="K21" s="4">
        <f t="shared" ref="K21:V21" si="30">K15/K3</f>
        <v>-0.3618455370801269</v>
      </c>
      <c r="L21" s="4">
        <f t="shared" si="30"/>
        <v>-0.36891508404278539</v>
      </c>
      <c r="M21" s="4">
        <f t="shared" si="30"/>
        <v>-0.2604565646468408</v>
      </c>
      <c r="N21" s="4">
        <f t="shared" si="30"/>
        <v>-0.20832264875816386</v>
      </c>
      <c r="O21" s="4">
        <f t="shared" si="30"/>
        <v>-0.21806087952020467</v>
      </c>
      <c r="P21" s="4">
        <f t="shared" si="30"/>
        <v>-0.37912306293735865</v>
      </c>
      <c r="Q21" s="4">
        <f t="shared" si="30"/>
        <v>-0.25921779526240901</v>
      </c>
      <c r="R21" s="4">
        <f t="shared" si="30"/>
        <v>8.8120104438642419E-2</v>
      </c>
      <c r="S21" s="4">
        <f t="shared" si="30"/>
        <v>3.1992475046935878E-2</v>
      </c>
      <c r="T21" s="4">
        <f t="shared" si="30"/>
        <v>5.2739740154542192E-2</v>
      </c>
      <c r="U21" s="4">
        <f t="shared" si="30"/>
        <v>0.12810865721057976</v>
      </c>
      <c r="V21" s="4">
        <f t="shared" si="30"/>
        <v>0.17833648393194709</v>
      </c>
      <c r="W21" s="4">
        <f t="shared" ref="W21:Y21" si="31">W15/W3</f>
        <v>0.16636241246780101</v>
      </c>
      <c r="X21" s="155">
        <f>X15/X3</f>
        <v>0.19778686808211951</v>
      </c>
      <c r="Y21" s="7">
        <f t="shared" si="31"/>
        <v>0.19782472061263981</v>
      </c>
      <c r="Z21" s="4" t="e">
        <f t="shared" ref="Z21" si="32">Z15/Z3</f>
        <v>#DIV/0!</v>
      </c>
    </row>
    <row r="22" spans="1:27" x14ac:dyDescent="0.25">
      <c r="A22" t="s">
        <v>31</v>
      </c>
      <c r="B22" s="3"/>
      <c r="C22" s="3">
        <f>C3/B3-1</f>
        <v>0.47150446768252863</v>
      </c>
      <c r="D22" s="3">
        <f>D3/C3-1</f>
        <v>0.41111659206368234</v>
      </c>
      <c r="E22" s="38">
        <f>E3/D3-1</f>
        <v>0.23606238840798532</v>
      </c>
      <c r="F22" s="6">
        <f>F3/E3-1</f>
        <v>0.16745152216493153</v>
      </c>
      <c r="G22" s="121">
        <f>G4/F3-1</f>
        <v>0.25842017930689809</v>
      </c>
      <c r="H22" s="121">
        <f>H4/G4-1</f>
        <v>0.23928571428571432</v>
      </c>
      <c r="K22" s="4"/>
      <c r="L22" s="4"/>
      <c r="M22" s="4"/>
      <c r="N22" s="4"/>
      <c r="O22" s="4">
        <f t="shared" ref="O22:W22" si="33">O3/K3-1</f>
        <v>0.30806719142875583</v>
      </c>
      <c r="P22" s="4">
        <f t="shared" si="33"/>
        <v>0.25920424233711881</v>
      </c>
      <c r="Q22" s="4">
        <f t="shared" si="33"/>
        <v>0.21862775598884077</v>
      </c>
      <c r="R22" s="4">
        <f t="shared" si="33"/>
        <v>0.17501218619113978</v>
      </c>
      <c r="S22" s="4">
        <f t="shared" si="33"/>
        <v>0.1766052733574246</v>
      </c>
      <c r="T22" s="4">
        <f t="shared" si="33"/>
        <v>0.12749624743662924</v>
      </c>
      <c r="U22" s="4">
        <f t="shared" si="33"/>
        <v>0.16798987193437687</v>
      </c>
      <c r="V22" s="4">
        <f t="shared" si="33"/>
        <v>0.19607018150932731</v>
      </c>
      <c r="W22" s="4">
        <f t="shared" si="33"/>
        <v>0.20783493847893864</v>
      </c>
      <c r="X22" s="155">
        <f>X3/T3-1</f>
        <v>0.2715401909183468</v>
      </c>
      <c r="Y22" s="158">
        <f>Y4/U3-1</f>
        <v>0.25636243436010164</v>
      </c>
      <c r="Z22" s="129">
        <f>Z4/V3-1</f>
        <v>0.26471603517711828</v>
      </c>
    </row>
    <row r="23" spans="1:27" x14ac:dyDescent="0.25">
      <c r="A23" t="s">
        <v>196</v>
      </c>
      <c r="B23" s="4">
        <f t="shared" ref="B23:E23" si="34">B7/B3</f>
        <v>0.41150217828982366</v>
      </c>
      <c r="C23" s="4">
        <f t="shared" si="34"/>
        <v>0.51310867935786819</v>
      </c>
      <c r="D23" s="4">
        <f t="shared" si="34"/>
        <v>0.25130667642093563</v>
      </c>
      <c r="E23" s="4">
        <f t="shared" si="34"/>
        <v>0.18872158713784928</v>
      </c>
      <c r="F23" s="4">
        <f t="shared" ref="F23" si="35">F7/F3</f>
        <v>0.18185250236852654</v>
      </c>
      <c r="G23" s="121"/>
      <c r="H23" s="121"/>
      <c r="K23" s="4">
        <f t="shared" ref="K23:T23" si="36">K7/K3</f>
        <v>0.28857323713346267</v>
      </c>
      <c r="L23" s="4">
        <f t="shared" si="36"/>
        <v>0.29422695012804745</v>
      </c>
      <c r="M23" s="4">
        <f t="shared" si="36"/>
        <v>0.24051246219520281</v>
      </c>
      <c r="N23" s="4">
        <f t="shared" si="36"/>
        <v>0.19446157826768976</v>
      </c>
      <c r="O23" s="4">
        <f t="shared" si="36"/>
        <v>0.19849806320949373</v>
      </c>
      <c r="P23" s="4">
        <f t="shared" si="36"/>
        <v>0.18640409293672439</v>
      </c>
      <c r="Q23" s="4">
        <f t="shared" si="36"/>
        <v>0.21106344689043274</v>
      </c>
      <c r="R23" s="4">
        <f t="shared" si="36"/>
        <v>0.16130579760294439</v>
      </c>
      <c r="S23" s="4">
        <f t="shared" si="36"/>
        <v>0.17155826697589041</v>
      </c>
      <c r="T23" s="4">
        <f t="shared" si="36"/>
        <v>0.18663009054652299</v>
      </c>
      <c r="U23" s="4">
        <f>U7/U3</f>
        <v>0.18938689513203227</v>
      </c>
      <c r="V23" s="4">
        <f>V7/V3</f>
        <v>0.17963836607216246</v>
      </c>
      <c r="W23" s="4">
        <f>W7/W3</f>
        <v>0.17347218675217316</v>
      </c>
      <c r="X23" s="155">
        <f t="shared" ref="X23:Y23" si="37">X7/X3</f>
        <v>0.16041224890655831</v>
      </c>
      <c r="Y23" s="7">
        <f t="shared" si="37"/>
        <v>0.16202950727482235</v>
      </c>
      <c r="Z23" s="4" t="e">
        <f t="shared" ref="Z23" si="38">Z7/Z3</f>
        <v>#DIV/0!</v>
      </c>
    </row>
    <row r="24" spans="1:27" x14ac:dyDescent="0.25">
      <c r="A24" t="s">
        <v>68</v>
      </c>
      <c r="B24" s="4">
        <f>B6/B3</f>
        <v>0.6061773201985039</v>
      </c>
      <c r="C24" s="4">
        <f>C6/C3</f>
        <v>0.62571418896595776</v>
      </c>
      <c r="D24" s="4">
        <f>D6/D3</f>
        <v>0.39854490174065704</v>
      </c>
      <c r="E24" s="4">
        <f>E6/E3</f>
        <v>0.36860364631184372</v>
      </c>
      <c r="F24" s="4">
        <f>F6/F3</f>
        <v>0.33482605936507304</v>
      </c>
      <c r="G24" s="122"/>
      <c r="H24" s="121"/>
      <c r="K24" s="4">
        <f t="shared" ref="K24:V24" si="39">K6/K3</f>
        <v>0.39883774770392172</v>
      </c>
      <c r="L24" s="4">
        <f t="shared" si="39"/>
        <v>0.4322706193663115</v>
      </c>
      <c r="M24" s="4">
        <f t="shared" si="39"/>
        <v>0.39129048874653827</v>
      </c>
      <c r="N24" s="4">
        <f t="shared" si="39"/>
        <v>0.37561883904293919</v>
      </c>
      <c r="O24" s="4">
        <f t="shared" si="39"/>
        <v>0.35954404210082963</v>
      </c>
      <c r="P24" s="4">
        <f t="shared" si="39"/>
        <v>0.35702205027377859</v>
      </c>
      <c r="Q24" s="4">
        <f t="shared" si="39"/>
        <v>0.38276973298736083</v>
      </c>
      <c r="R24" s="4">
        <f t="shared" si="39"/>
        <v>0.37401498946176343</v>
      </c>
      <c r="S24" s="4">
        <f t="shared" si="39"/>
        <v>0.35624140780599628</v>
      </c>
      <c r="T24" s="4">
        <f t="shared" si="39"/>
        <v>0.34531620030863447</v>
      </c>
      <c r="U24" s="4">
        <f t="shared" si="39"/>
        <v>0.31599060482765662</v>
      </c>
      <c r="V24" s="4">
        <f t="shared" si="39"/>
        <v>0.32442344045368604</v>
      </c>
      <c r="W24" s="4">
        <f t="shared" ref="W24:Y24" si="40">W6/W3</f>
        <v>0.30453322991843468</v>
      </c>
      <c r="X24" s="155">
        <f t="shared" si="40"/>
        <v>0.29022140166987642</v>
      </c>
      <c r="Y24" s="7">
        <f t="shared" si="40"/>
        <v>0.28872416321624883</v>
      </c>
      <c r="Z24" s="4" t="e">
        <f t="shared" ref="Z24" si="41">Z6/Z3</f>
        <v>#DIV/0!</v>
      </c>
    </row>
    <row r="25" spans="1:27" x14ac:dyDescent="0.25">
      <c r="A25" t="s">
        <v>198</v>
      </c>
      <c r="B25" s="4"/>
      <c r="C25" s="4"/>
      <c r="D25" s="4"/>
      <c r="E25" s="4"/>
      <c r="F25" s="4"/>
      <c r="G25" s="121"/>
      <c r="H25" s="121"/>
      <c r="K25" s="4">
        <f>K8/K3</f>
        <v>0.42952636607137623</v>
      </c>
      <c r="L25" s="4">
        <f t="shared" ref="L25:V25" si="42">L8/L3</f>
        <v>0.42050942120423174</v>
      </c>
      <c r="M25" s="4">
        <f t="shared" si="42"/>
        <v>0.3812967619203052</v>
      </c>
      <c r="N25" s="4">
        <f t="shared" si="42"/>
        <v>0.36380227644981039</v>
      </c>
      <c r="O25" s="4">
        <f t="shared" si="42"/>
        <v>0.31881879302889837</v>
      </c>
      <c r="P25" s="4">
        <f t="shared" si="42"/>
        <v>0.32871398067694135</v>
      </c>
      <c r="Q25" s="4">
        <f t="shared" si="42"/>
        <v>0.31112203900560809</v>
      </c>
      <c r="R25" s="4">
        <f t="shared" si="42"/>
        <v>0.29464201453332917</v>
      </c>
      <c r="S25" s="4">
        <f t="shared" si="42"/>
        <v>0.25939952702471125</v>
      </c>
      <c r="T25" s="4">
        <f t="shared" si="42"/>
        <v>0.24872261713014959</v>
      </c>
      <c r="U25" s="4">
        <f t="shared" si="42"/>
        <v>0.2296352831361673</v>
      </c>
      <c r="V25" s="4">
        <f t="shared" si="42"/>
        <v>0.20920687104462893</v>
      </c>
      <c r="W25" s="4">
        <f>W8/W3</f>
        <v>0.21121862477102116</v>
      </c>
      <c r="X25" s="155">
        <f t="shared" ref="X25:Y25" si="43">X8/X3</f>
        <v>0.20444779350393874</v>
      </c>
      <c r="Y25" s="7">
        <f t="shared" si="43"/>
        <v>0.19118530811174392</v>
      </c>
      <c r="Z25" s="4" t="e">
        <f t="shared" ref="Z25" si="44">Z8/Z3</f>
        <v>#DIV/0!</v>
      </c>
    </row>
    <row r="26" spans="1:27" x14ac:dyDescent="0.25">
      <c r="A26" t="s">
        <v>35</v>
      </c>
      <c r="B26" s="3"/>
      <c r="C26" s="3">
        <f>-(C15/B15-1)</f>
        <v>-1.0122471301449507</v>
      </c>
      <c r="D26" s="3">
        <f>-(D15/C15-1)</f>
        <v>0.55385543955671801</v>
      </c>
      <c r="E26" s="38">
        <f>E15/D15-1</f>
        <v>-0.29189494579912001</v>
      </c>
      <c r="F26" s="6">
        <f>F15/E15-1</f>
        <v>-1.5694292545382016</v>
      </c>
      <c r="G26" s="52">
        <f>G18/F17-1</f>
        <v>2.7867509591326085</v>
      </c>
      <c r="H26" s="52">
        <f>H18/G18-1</f>
        <v>0.2432432432432432</v>
      </c>
      <c r="K26" s="4"/>
      <c r="L26" s="4"/>
      <c r="M26" s="4"/>
      <c r="N26" s="4"/>
      <c r="O26" s="4">
        <f t="shared" ref="O26:W26" si="45">O15/K15-1</f>
        <v>-0.21171258726533537</v>
      </c>
      <c r="P26" s="4">
        <f t="shared" si="45"/>
        <v>0.29404675999422736</v>
      </c>
      <c r="Q26" s="4">
        <f t="shared" si="45"/>
        <v>0.21283178475968523</v>
      </c>
      <c r="R26" s="4">
        <f t="shared" si="45"/>
        <v>-1.4970280340667141</v>
      </c>
      <c r="S26" s="4">
        <f t="shared" si="45"/>
        <v>-1.172623878848901</v>
      </c>
      <c r="T26" s="4">
        <f t="shared" si="45"/>
        <v>-1.1568457973891562</v>
      </c>
      <c r="U26" s="4">
        <f t="shared" si="45"/>
        <v>-1.5772351160443994</v>
      </c>
      <c r="V26" s="4">
        <f t="shared" si="45"/>
        <v>1.4205934850513136</v>
      </c>
      <c r="W26" s="4">
        <f t="shared" si="45"/>
        <v>5.2807999047732128</v>
      </c>
      <c r="X26" s="155">
        <f>X18/T17-1</f>
        <v>5.0617172112205413</v>
      </c>
      <c r="Y26" s="7">
        <f>Y18/U17-1</f>
        <v>1.7218753933291389</v>
      </c>
      <c r="Z26" s="4">
        <f>Z18/V17-1</f>
        <v>1.1773148003060157</v>
      </c>
    </row>
    <row r="27" spans="1:27" x14ac:dyDescent="0.25">
      <c r="A27" t="s">
        <v>197</v>
      </c>
      <c r="B27" s="3"/>
      <c r="C27" s="38">
        <f>(C15+C7)/C3</f>
        <v>-0.55435706748496583</v>
      </c>
      <c r="D27" s="38">
        <f>(D15+D7)/D3</f>
        <v>-8.6187786539757477E-2</v>
      </c>
      <c r="E27" s="38">
        <f>(E15+E7)/E3</f>
        <v>-4.6194102329065604E-3</v>
      </c>
      <c r="F27" s="6">
        <f>(F15+F7)/F3</f>
        <v>0.27615536455533723</v>
      </c>
      <c r="G27" s="52"/>
      <c r="H27" s="52"/>
      <c r="K27" s="38">
        <f t="shared" ref="K27:V27" si="46">(K15+K7)/K3</f>
        <v>-7.3272299946664218E-2</v>
      </c>
      <c r="L27" s="38">
        <f t="shared" si="46"/>
        <v>-7.4688133914737928E-2</v>
      </c>
      <c r="M27" s="38">
        <f t="shared" si="46"/>
        <v>-1.9944102451638013E-2</v>
      </c>
      <c r="N27" s="38">
        <f t="shared" si="46"/>
        <v>-1.3861070490474114E-2</v>
      </c>
      <c r="O27" s="38">
        <f t="shared" si="46"/>
        <v>-1.9562816310710929E-2</v>
      </c>
      <c r="P27" s="38">
        <f t="shared" si="46"/>
        <v>-0.19271897000063423</v>
      </c>
      <c r="Q27" s="38">
        <f t="shared" si="46"/>
        <v>-4.8154348371976262E-2</v>
      </c>
      <c r="R27" s="38">
        <f t="shared" si="46"/>
        <v>0.24942590204158679</v>
      </c>
      <c r="S27" s="38">
        <f t="shared" si="46"/>
        <v>0.2035507420228263</v>
      </c>
      <c r="T27" s="38">
        <f t="shared" si="46"/>
        <v>0.23936983070106518</v>
      </c>
      <c r="U27" s="38">
        <f t="shared" si="46"/>
        <v>0.31749555234261201</v>
      </c>
      <c r="V27" s="38">
        <f t="shared" si="46"/>
        <v>0.35797485000410956</v>
      </c>
      <c r="W27" s="38">
        <f>(W15+W7)/W3</f>
        <v>0.33983459921997411</v>
      </c>
      <c r="X27" s="38">
        <f t="shared" ref="X27:Y27" si="47">(X15+X7)/X3</f>
        <v>0.35819911698867779</v>
      </c>
      <c r="Y27" s="6">
        <f t="shared" si="47"/>
        <v>0.35985422788746219</v>
      </c>
      <c r="Z27" s="38" t="e">
        <f t="shared" ref="Z27" si="48">(Z15+Z7)/Z3</f>
        <v>#DIV/0!</v>
      </c>
    </row>
    <row r="28" spans="1:27" x14ac:dyDescent="0.25">
      <c r="B28" s="3"/>
      <c r="C28" s="38"/>
      <c r="D28" s="38"/>
      <c r="E28" s="38"/>
      <c r="F28" s="6"/>
      <c r="G28" s="52"/>
      <c r="H28" s="52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155"/>
    </row>
    <row r="31" spans="1:27" s="1" customFormat="1" x14ac:dyDescent="0.25">
      <c r="A31" s="1" t="s">
        <v>39</v>
      </c>
      <c r="B31" s="11">
        <f>B32+B33-B48-B49</f>
        <v>567.64999999999986</v>
      </c>
      <c r="C31" s="11">
        <f>C32+C33-C48-C49</f>
        <v>1769.0980000000002</v>
      </c>
      <c r="D31" s="11">
        <f>D32+D33-D48-D49</f>
        <v>2527.7559999999999</v>
      </c>
      <c r="E31" s="11">
        <f>E32+E33-E48-E49</f>
        <v>2629.739</v>
      </c>
      <c r="F31" s="14">
        <f>F32+F33-F48-F49</f>
        <v>3672.7020000000002</v>
      </c>
      <c r="K31" s="11">
        <f>K32+K33-K48-K49</f>
        <v>0</v>
      </c>
      <c r="L31" s="11">
        <f t="shared" ref="L31:Z31" si="49">L32+L33-L48-L49</f>
        <v>0</v>
      </c>
      <c r="M31" s="11">
        <f t="shared" si="49"/>
        <v>0</v>
      </c>
      <c r="N31" s="11">
        <f t="shared" si="49"/>
        <v>2527.7559999999999</v>
      </c>
      <c r="O31" s="11">
        <f t="shared" si="49"/>
        <v>2537.4930000000004</v>
      </c>
      <c r="P31" s="11">
        <f t="shared" si="49"/>
        <v>2636.9320000000002</v>
      </c>
      <c r="Q31" s="11">
        <f t="shared" si="49"/>
        <v>2769.578</v>
      </c>
      <c r="R31" s="11">
        <f t="shared" si="49"/>
        <v>2629.739</v>
      </c>
      <c r="S31" s="11">
        <f t="shared" si="49"/>
        <v>2912.319</v>
      </c>
      <c r="T31" s="11">
        <f t="shared" si="49"/>
        <v>3100.1529999999998</v>
      </c>
      <c r="U31" s="11">
        <f t="shared" si="49"/>
        <v>3281.34</v>
      </c>
      <c r="V31" s="11">
        <f t="shared" si="49"/>
        <v>3672.7020000000002</v>
      </c>
      <c r="W31" s="11">
        <f t="shared" si="49"/>
        <v>3866.2490000000003</v>
      </c>
      <c r="X31" s="152">
        <f t="shared" si="49"/>
        <v>3996.9320000000002</v>
      </c>
      <c r="Y31" s="14">
        <f t="shared" si="49"/>
        <v>4560.9780000000001</v>
      </c>
      <c r="Z31" s="11">
        <f t="shared" si="49"/>
        <v>0</v>
      </c>
    </row>
    <row r="32" spans="1:27" x14ac:dyDescent="0.25">
      <c r="A32" t="s">
        <v>23</v>
      </c>
      <c r="B32" s="10">
        <f>1079.154+52.099</f>
        <v>1131.2529999999999</v>
      </c>
      <c r="C32" s="10">
        <f>2011.323+37.285</f>
        <v>2048.6080000000002</v>
      </c>
      <c r="D32" s="10">
        <f>2290.674+36.628</f>
        <v>2327.3020000000001</v>
      </c>
      <c r="E32" s="10">
        <v>2598.54</v>
      </c>
      <c r="F32" s="15">
        <v>831.04700000000003</v>
      </c>
      <c r="K32" s="10"/>
      <c r="L32" s="10"/>
      <c r="M32" s="10"/>
      <c r="N32" s="10">
        <f>D32</f>
        <v>2327.3020000000001</v>
      </c>
      <c r="O32" s="10">
        <f>2269.411+33.804</f>
        <v>2303.2150000000001</v>
      </c>
      <c r="P32" s="10">
        <f>2358.393+28.125</f>
        <v>2386.518</v>
      </c>
      <c r="Q32" s="10">
        <f>2411.29+20.557</f>
        <v>2431.8469999999998</v>
      </c>
      <c r="R32" s="10">
        <f>E32</f>
        <v>2598.54</v>
      </c>
      <c r="S32" s="10">
        <f>1264.738+11.946</f>
        <v>1276.684</v>
      </c>
      <c r="T32" s="10">
        <v>1055.923</v>
      </c>
      <c r="U32" s="10">
        <v>1040.31</v>
      </c>
      <c r="V32" s="10">
        <f>F32</f>
        <v>831.04700000000003</v>
      </c>
      <c r="W32" s="10">
        <v>520.38800000000003</v>
      </c>
      <c r="X32" s="150">
        <v>512.65899999999999</v>
      </c>
      <c r="Y32" s="15">
        <v>768.71</v>
      </c>
      <c r="Z32" s="10"/>
    </row>
    <row r="33" spans="1:26" x14ac:dyDescent="0.25">
      <c r="A33" t="s">
        <v>188</v>
      </c>
      <c r="B33" s="10">
        <v>0</v>
      </c>
      <c r="C33" s="10">
        <v>0</v>
      </c>
      <c r="D33" s="10">
        <v>234.15299999999999</v>
      </c>
      <c r="E33" s="10">
        <v>35.134999999999998</v>
      </c>
      <c r="F33" s="15">
        <v>2843.1320000000001</v>
      </c>
      <c r="G33" s="10"/>
      <c r="K33" s="10"/>
      <c r="L33" s="10"/>
      <c r="M33" s="10"/>
      <c r="N33" s="10">
        <f t="shared" ref="N33:N35" si="50">D33</f>
        <v>234.15299999999999</v>
      </c>
      <c r="O33" s="10">
        <v>256.55399999999997</v>
      </c>
      <c r="P33" s="10">
        <v>265.82600000000002</v>
      </c>
      <c r="Q33" s="10">
        <v>343.26400000000001</v>
      </c>
      <c r="R33" s="10">
        <f t="shared" ref="R33:R35" si="51">E33</f>
        <v>35.134999999999998</v>
      </c>
      <c r="S33" s="10">
        <v>1639.797</v>
      </c>
      <c r="T33" s="10">
        <v>2047.329</v>
      </c>
      <c r="U33" s="10">
        <v>2243.2640000000001</v>
      </c>
      <c r="V33" s="10">
        <f t="shared" ref="V33:V35" si="52">F33</f>
        <v>2843.1320000000001</v>
      </c>
      <c r="W33" s="10">
        <v>3347.5120000000002</v>
      </c>
      <c r="X33" s="150">
        <v>3485.8</v>
      </c>
      <c r="Y33" s="15">
        <v>3795.9490000000001</v>
      </c>
      <c r="Z33" s="10"/>
    </row>
    <row r="34" spans="1:26" x14ac:dyDescent="0.25">
      <c r="A34" t="s">
        <v>24</v>
      </c>
      <c r="B34" s="10">
        <v>50.314999999999998</v>
      </c>
      <c r="C34" s="10">
        <v>156.93199999999999</v>
      </c>
      <c r="D34" s="10">
        <v>190.923</v>
      </c>
      <c r="E34" s="10">
        <v>258.346</v>
      </c>
      <c r="F34" s="15">
        <v>364.78399999999999</v>
      </c>
      <c r="K34" s="10"/>
      <c r="L34" s="10"/>
      <c r="M34" s="10"/>
      <c r="N34" s="10">
        <f t="shared" si="50"/>
        <v>190.923</v>
      </c>
      <c r="O34" s="10">
        <v>252.56299999999999</v>
      </c>
      <c r="P34" s="10">
        <v>99.21</v>
      </c>
      <c r="Q34" s="10">
        <v>57.341999999999999</v>
      </c>
      <c r="R34" s="10">
        <f t="shared" si="51"/>
        <v>258.346</v>
      </c>
      <c r="S34" s="10">
        <v>254.041</v>
      </c>
      <c r="T34" s="10">
        <v>375.75599999999997</v>
      </c>
      <c r="U34" s="10">
        <v>430.26900000000001</v>
      </c>
      <c r="V34" s="10">
        <f t="shared" si="52"/>
        <v>364.78399999999999</v>
      </c>
      <c r="W34" s="10">
        <v>486.98599999999999</v>
      </c>
      <c r="X34" s="150">
        <v>659.33900000000006</v>
      </c>
      <c r="Y34" s="15">
        <v>668.11</v>
      </c>
      <c r="Z34" s="10"/>
    </row>
    <row r="35" spans="1:26" x14ac:dyDescent="0.25">
      <c r="A35" t="s">
        <v>78</v>
      </c>
      <c r="B35" s="10">
        <v>32.585000000000001</v>
      </c>
      <c r="C35" s="10">
        <v>51.889000000000003</v>
      </c>
      <c r="D35" s="10">
        <v>110.872</v>
      </c>
      <c r="E35" s="10">
        <v>149.55600000000001</v>
      </c>
      <c r="F35" s="15">
        <v>99.655000000000001</v>
      </c>
      <c r="K35" s="10"/>
      <c r="L35" s="10"/>
      <c r="M35" s="10"/>
      <c r="N35" s="10">
        <f t="shared" si="50"/>
        <v>110.872</v>
      </c>
      <c r="O35" s="10">
        <v>115.042</v>
      </c>
      <c r="P35" s="10">
        <v>150.88499999999999</v>
      </c>
      <c r="Q35" s="10">
        <v>114.157</v>
      </c>
      <c r="R35" s="10">
        <f t="shared" si="51"/>
        <v>149.55600000000001</v>
      </c>
      <c r="S35" s="10">
        <v>85.625</v>
      </c>
      <c r="T35" s="10">
        <v>97.906000000000006</v>
      </c>
      <c r="U35" s="10">
        <v>95.554000000000002</v>
      </c>
      <c r="V35" s="10">
        <f t="shared" si="52"/>
        <v>99.655000000000001</v>
      </c>
      <c r="W35" s="10">
        <v>81.177999999999997</v>
      </c>
      <c r="X35" s="150">
        <v>115.712</v>
      </c>
      <c r="Y35" s="15">
        <v>119.193</v>
      </c>
      <c r="Z35" s="10"/>
    </row>
    <row r="36" spans="1:26" s="1" customFormat="1" x14ac:dyDescent="0.25">
      <c r="A36" s="1" t="s">
        <v>62</v>
      </c>
      <c r="B36" s="11">
        <f>SUM(B32:B35)</f>
        <v>1214.153</v>
      </c>
      <c r="C36" s="11">
        <f>SUM(C32:C35)</f>
        <v>2257.4290000000001</v>
      </c>
      <c r="D36" s="11">
        <f>SUM(D32:D35)</f>
        <v>2863.2499999999995</v>
      </c>
      <c r="E36" s="11">
        <f>SUM(E32:E35)</f>
        <v>3041.5770000000002</v>
      </c>
      <c r="F36" s="14">
        <f>SUM(F32:F35)</f>
        <v>4138.6180000000004</v>
      </c>
      <c r="K36" s="11">
        <f t="shared" ref="K36:V36" si="53">SUM(K32:K35)</f>
        <v>0</v>
      </c>
      <c r="L36" s="11">
        <f t="shared" si="53"/>
        <v>0</v>
      </c>
      <c r="M36" s="11">
        <f t="shared" si="53"/>
        <v>0</v>
      </c>
      <c r="N36" s="11">
        <f t="shared" si="53"/>
        <v>2863.2499999999995</v>
      </c>
      <c r="O36" s="11">
        <f t="shared" si="53"/>
        <v>2927.3740000000003</v>
      </c>
      <c r="P36" s="11">
        <f t="shared" si="53"/>
        <v>2902.4390000000003</v>
      </c>
      <c r="Q36" s="11">
        <f t="shared" si="53"/>
        <v>2946.61</v>
      </c>
      <c r="R36" s="11">
        <f t="shared" si="53"/>
        <v>3041.5770000000002</v>
      </c>
      <c r="S36" s="11">
        <f t="shared" si="53"/>
        <v>3256.1469999999999</v>
      </c>
      <c r="T36" s="11">
        <f t="shared" si="53"/>
        <v>3576.9139999999998</v>
      </c>
      <c r="U36" s="11">
        <f t="shared" si="53"/>
        <v>3809.3969999999999</v>
      </c>
      <c r="V36" s="11">
        <f t="shared" si="53"/>
        <v>4138.6180000000004</v>
      </c>
      <c r="W36" s="11">
        <f t="shared" ref="W36:Y36" si="54">SUM(W32:W35)</f>
        <v>4436.0640000000003</v>
      </c>
      <c r="X36" s="152">
        <f t="shared" si="54"/>
        <v>4773.5100000000011</v>
      </c>
      <c r="Y36" s="14">
        <f t="shared" si="54"/>
        <v>5351.9619999999995</v>
      </c>
      <c r="Z36" s="11">
        <f t="shared" ref="Z36" si="55">SUM(Z32:Z35)</f>
        <v>0</v>
      </c>
    </row>
    <row r="37" spans="1:26" x14ac:dyDescent="0.25">
      <c r="A37" t="s">
        <v>79</v>
      </c>
      <c r="B37" s="10">
        <f>31.589+270.709</f>
        <v>302.298</v>
      </c>
      <c r="C37" s="10">
        <v>29.541</v>
      </c>
      <c r="D37" s="10">
        <v>31.303999999999998</v>
      </c>
      <c r="E37" s="10">
        <v>69.17</v>
      </c>
      <c r="F37" s="15">
        <v>47.758000000000003</v>
      </c>
      <c r="K37" s="10"/>
      <c r="L37" s="10"/>
      <c r="M37" s="10"/>
      <c r="N37" s="10">
        <f t="shared" ref="N37:N39" si="56">D37</f>
        <v>31.303999999999998</v>
      </c>
      <c r="O37" s="10">
        <v>41.866</v>
      </c>
      <c r="P37" s="10">
        <v>47.643999999999998</v>
      </c>
      <c r="Q37" s="10">
        <v>57.822000000000003</v>
      </c>
      <c r="R37" s="10">
        <f t="shared" ref="R37:R39" si="57">E37</f>
        <v>69.17</v>
      </c>
      <c r="S37" s="10">
        <v>63.115000000000002</v>
      </c>
      <c r="T37" s="10">
        <v>54.097000000000001</v>
      </c>
      <c r="U37" s="10">
        <v>50.133000000000003</v>
      </c>
      <c r="V37" s="10">
        <f t="shared" ref="V37:V39" si="58">F37</f>
        <v>47.758000000000003</v>
      </c>
      <c r="W37" s="10">
        <v>46.905999999999999</v>
      </c>
      <c r="X37" s="150">
        <v>43.482999999999997</v>
      </c>
      <c r="Y37" s="15">
        <v>40.344999999999999</v>
      </c>
      <c r="Z37" s="10"/>
    </row>
    <row r="38" spans="1:26" x14ac:dyDescent="0.25">
      <c r="A38" t="s">
        <v>189</v>
      </c>
      <c r="B38" s="10"/>
      <c r="C38" s="10">
        <v>217.07499999999999</v>
      </c>
      <c r="D38" s="10">
        <v>216.898</v>
      </c>
      <c r="E38" s="10">
        <v>200.24</v>
      </c>
      <c r="F38" s="15">
        <v>182.863</v>
      </c>
      <c r="K38" s="10"/>
      <c r="L38" s="10"/>
      <c r="M38" s="10"/>
      <c r="N38" s="10">
        <f t="shared" si="56"/>
        <v>216.898</v>
      </c>
      <c r="O38" s="10">
        <v>224.88800000000001</v>
      </c>
      <c r="P38" s="10">
        <v>211.41</v>
      </c>
      <c r="Q38" s="10">
        <v>199.35900000000001</v>
      </c>
      <c r="R38" s="10">
        <f t="shared" si="57"/>
        <v>200.24</v>
      </c>
      <c r="S38" s="10">
        <v>210.01900000000001</v>
      </c>
      <c r="T38" s="10">
        <v>199.661</v>
      </c>
      <c r="U38" s="10">
        <v>190.191</v>
      </c>
      <c r="V38" s="10">
        <f t="shared" si="58"/>
        <v>182.863</v>
      </c>
      <c r="W38" s="10">
        <v>173.70699999999999</v>
      </c>
      <c r="X38" s="150">
        <v>213.453</v>
      </c>
      <c r="Y38" s="15">
        <v>211.57</v>
      </c>
      <c r="Z38" s="10"/>
    </row>
    <row r="39" spans="1:26" x14ac:dyDescent="0.25">
      <c r="A39" t="s">
        <v>25</v>
      </c>
      <c r="B39" s="10">
        <v>77.573999999999998</v>
      </c>
      <c r="C39" s="10">
        <f>79.538+106.921</f>
        <v>186.459</v>
      </c>
      <c r="D39" s="10">
        <f>39.612+96.386</f>
        <v>135.99799999999999</v>
      </c>
      <c r="E39" s="10">
        <v>150.25200000000001</v>
      </c>
      <c r="F39" s="15">
        <v>153.18600000000001</v>
      </c>
      <c r="K39" s="10"/>
      <c r="L39" s="10"/>
      <c r="M39" s="10"/>
      <c r="N39" s="10">
        <f t="shared" si="56"/>
        <v>135.99799999999999</v>
      </c>
      <c r="O39" s="10">
        <f>29.222+95.829</f>
        <v>125.05099999999999</v>
      </c>
      <c r="P39" s="10">
        <f>28.647+92.198</f>
        <v>120.845</v>
      </c>
      <c r="Q39" s="10">
        <f>20.902+94.142</f>
        <v>115.044</v>
      </c>
      <c r="R39" s="10">
        <f t="shared" si="57"/>
        <v>150.25200000000001</v>
      </c>
      <c r="S39" s="10">
        <f>12.095+141.762</f>
        <v>153.857</v>
      </c>
      <c r="T39" s="10">
        <v>149.59200000000001</v>
      </c>
      <c r="U39" s="10">
        <v>143.696</v>
      </c>
      <c r="V39" s="10">
        <f t="shared" si="58"/>
        <v>153.18600000000001</v>
      </c>
      <c r="W39" s="10">
        <v>150.40199999999999</v>
      </c>
      <c r="X39" s="150">
        <v>161.434</v>
      </c>
      <c r="Y39" s="15">
        <v>164.22</v>
      </c>
      <c r="Z39" s="10"/>
    </row>
    <row r="40" spans="1:26" x14ac:dyDescent="0.25">
      <c r="A40" s="1" t="s">
        <v>26</v>
      </c>
      <c r="B40" s="11">
        <f>SUM(B36:B39)</f>
        <v>1594.0250000000001</v>
      </c>
      <c r="C40" s="11">
        <f>SUM(C36:C39)</f>
        <v>2690.5039999999999</v>
      </c>
      <c r="D40" s="11">
        <f>SUM(D36:D39)</f>
        <v>3247.45</v>
      </c>
      <c r="E40" s="11">
        <f>SUM(E36:E39)</f>
        <v>3461.239</v>
      </c>
      <c r="F40" s="14">
        <f>SUM(F36:F39)</f>
        <v>4522.4250000000002</v>
      </c>
      <c r="K40" s="11">
        <f t="shared" ref="K40:V40" si="59">SUM(K36:K39)</f>
        <v>0</v>
      </c>
      <c r="L40" s="11">
        <f t="shared" si="59"/>
        <v>0</v>
      </c>
      <c r="M40" s="11">
        <f t="shared" si="59"/>
        <v>0</v>
      </c>
      <c r="N40" s="11">
        <f t="shared" si="59"/>
        <v>3247.45</v>
      </c>
      <c r="O40" s="11">
        <f t="shared" si="59"/>
        <v>3319.1790000000001</v>
      </c>
      <c r="P40" s="11">
        <f t="shared" si="59"/>
        <v>3282.3379999999997</v>
      </c>
      <c r="Q40" s="11">
        <f t="shared" si="59"/>
        <v>3318.835</v>
      </c>
      <c r="R40" s="11">
        <f t="shared" si="59"/>
        <v>3461.239</v>
      </c>
      <c r="S40" s="11">
        <f t="shared" si="59"/>
        <v>3683.1379999999999</v>
      </c>
      <c r="T40" s="11">
        <f t="shared" si="59"/>
        <v>3980.2640000000001</v>
      </c>
      <c r="U40" s="11">
        <f t="shared" si="59"/>
        <v>4193.4169999999995</v>
      </c>
      <c r="V40" s="11">
        <f t="shared" si="59"/>
        <v>4522.4250000000002</v>
      </c>
      <c r="W40" s="11">
        <f t="shared" ref="W40:Y40" si="60">SUM(W36:W39)</f>
        <v>4807.0790000000006</v>
      </c>
      <c r="X40" s="152">
        <f t="shared" si="60"/>
        <v>5191.8800000000019</v>
      </c>
      <c r="Y40" s="14">
        <f t="shared" si="60"/>
        <v>5768.0969999999998</v>
      </c>
      <c r="Z40" s="11">
        <f t="shared" ref="Z40" si="61">SUM(Z36:Z39)</f>
        <v>0</v>
      </c>
    </row>
    <row r="41" spans="1:26" x14ac:dyDescent="0.25">
      <c r="A41" t="s">
        <v>28</v>
      </c>
      <c r="B41" s="10">
        <v>51.734999999999999</v>
      </c>
      <c r="C41" s="10">
        <v>16.358000000000001</v>
      </c>
      <c r="D41" s="10">
        <v>74.906999999999996</v>
      </c>
      <c r="E41" s="10">
        <v>44.787999999999997</v>
      </c>
      <c r="F41" s="15">
        <v>12.122</v>
      </c>
      <c r="K41" s="10"/>
      <c r="L41" s="10"/>
      <c r="M41" s="10"/>
      <c r="N41" s="10">
        <f t="shared" ref="N41:N45" si="62">D41</f>
        <v>74.906999999999996</v>
      </c>
      <c r="O41" s="10">
        <v>27.454000000000001</v>
      </c>
      <c r="P41" s="10">
        <v>56.798000000000002</v>
      </c>
      <c r="Q41" s="10">
        <v>59.506999999999998</v>
      </c>
      <c r="R41" s="10">
        <f t="shared" ref="R41:R45" si="63">E41</f>
        <v>44.787999999999997</v>
      </c>
      <c r="S41" s="10">
        <v>4.53</v>
      </c>
      <c r="T41" s="10">
        <v>4.6130000000000004</v>
      </c>
      <c r="U41" s="10">
        <v>9.4749999999999996</v>
      </c>
      <c r="V41" s="10">
        <f t="shared" ref="V41:V45" si="64">F41</f>
        <v>12.122</v>
      </c>
      <c r="W41" s="10">
        <v>35.634</v>
      </c>
      <c r="X41" s="150">
        <v>67.344999999999999</v>
      </c>
      <c r="Y41" s="15">
        <v>27.021000000000001</v>
      </c>
      <c r="Z41" s="10"/>
    </row>
    <row r="42" spans="1:26" x14ac:dyDescent="0.25">
      <c r="A42" t="s">
        <v>190</v>
      </c>
      <c r="B42" s="10">
        <v>126.62</v>
      </c>
      <c r="C42" s="10">
        <v>158.54599999999999</v>
      </c>
      <c r="D42" s="10">
        <v>155.80600000000001</v>
      </c>
      <c r="E42" s="10">
        <v>172.715</v>
      </c>
      <c r="F42" s="15">
        <v>222.99100000000001</v>
      </c>
      <c r="K42" s="10"/>
      <c r="L42" s="10"/>
      <c r="M42" s="10"/>
      <c r="N42" s="10">
        <f t="shared" si="62"/>
        <v>155.80600000000001</v>
      </c>
      <c r="O42" s="10">
        <v>150.17599999999999</v>
      </c>
      <c r="P42" s="10">
        <v>187.56800000000001</v>
      </c>
      <c r="Q42" s="10">
        <v>164.697</v>
      </c>
      <c r="R42" s="10">
        <f t="shared" si="63"/>
        <v>172.715</v>
      </c>
      <c r="S42" s="10">
        <v>174.52500000000001</v>
      </c>
      <c r="T42" s="10">
        <v>184.61699999999999</v>
      </c>
      <c r="U42" s="10">
        <v>174.75299999999999</v>
      </c>
      <c r="V42" s="10">
        <f t="shared" si="64"/>
        <v>222.99100000000001</v>
      </c>
      <c r="W42" s="10">
        <v>206.03399999999999</v>
      </c>
      <c r="X42" s="150">
        <v>195.489</v>
      </c>
      <c r="Y42" s="15">
        <v>265.24400000000003</v>
      </c>
      <c r="Z42" s="10"/>
    </row>
    <row r="43" spans="1:26" x14ac:dyDescent="0.25">
      <c r="A43" t="s">
        <v>191</v>
      </c>
      <c r="B43" s="10">
        <v>186.10499999999999</v>
      </c>
      <c r="C43" s="10">
        <v>189.52</v>
      </c>
      <c r="D43" s="10">
        <v>227.816</v>
      </c>
      <c r="E43" s="10">
        <v>183.35</v>
      </c>
      <c r="F43" s="15">
        <v>246.90100000000001</v>
      </c>
      <c r="K43" s="10"/>
      <c r="L43" s="10"/>
      <c r="M43" s="10"/>
      <c r="N43" s="10">
        <f t="shared" si="62"/>
        <v>227.816</v>
      </c>
      <c r="O43" s="10">
        <v>218.52099999999999</v>
      </c>
      <c r="P43" s="10">
        <v>219.441</v>
      </c>
      <c r="Q43" s="10">
        <v>189.77099999999999</v>
      </c>
      <c r="R43" s="10">
        <f t="shared" si="63"/>
        <v>183.35</v>
      </c>
      <c r="S43" s="10">
        <v>229.55099999999999</v>
      </c>
      <c r="T43" s="10">
        <v>260.33499999999998</v>
      </c>
      <c r="U43" s="10">
        <v>223.50700000000001</v>
      </c>
      <c r="V43" s="10">
        <f t="shared" si="64"/>
        <v>246.90100000000001</v>
      </c>
      <c r="W43" s="10">
        <v>237.19499999999999</v>
      </c>
      <c r="X43" s="150">
        <v>278.44099999999997</v>
      </c>
      <c r="Y43" s="15">
        <v>236.608</v>
      </c>
      <c r="Z43" s="10"/>
    </row>
    <row r="44" spans="1:26" x14ac:dyDescent="0.25">
      <c r="A44" t="s">
        <v>192</v>
      </c>
      <c r="B44" s="10">
        <v>364.13799999999998</v>
      </c>
      <c r="C44" s="10">
        <v>210.32</v>
      </c>
      <c r="D44" s="10">
        <v>161.60499999999999</v>
      </c>
      <c r="E44" s="10">
        <v>141.989</v>
      </c>
      <c r="F44" s="15">
        <v>209.828</v>
      </c>
      <c r="K44" s="10"/>
      <c r="L44" s="10"/>
      <c r="M44" s="10"/>
      <c r="N44" s="10">
        <f t="shared" si="62"/>
        <v>161.60499999999999</v>
      </c>
      <c r="O44" s="10">
        <v>232.90799999999999</v>
      </c>
      <c r="P44" s="10">
        <v>161.02600000000001</v>
      </c>
      <c r="Q44" s="10">
        <v>234.142</v>
      </c>
      <c r="R44" s="10">
        <f t="shared" si="63"/>
        <v>141.989</v>
      </c>
      <c r="S44" s="10">
        <v>139.74100000000001</v>
      </c>
      <c r="T44" s="10">
        <v>183.964</v>
      </c>
      <c r="U44" s="10">
        <v>228.98599999999999</v>
      </c>
      <c r="V44" s="10">
        <f t="shared" si="64"/>
        <v>209.828</v>
      </c>
      <c r="W44" s="10">
        <v>217.63399999999999</v>
      </c>
      <c r="X44" s="150">
        <v>221.51900000000001</v>
      </c>
      <c r="Y44" s="15">
        <v>366.94600000000003</v>
      </c>
      <c r="Z44" s="10"/>
    </row>
    <row r="45" spans="1:26" x14ac:dyDescent="0.25">
      <c r="A45" t="s">
        <v>64</v>
      </c>
      <c r="B45" s="10">
        <v>0</v>
      </c>
      <c r="C45" s="10">
        <v>29.079000000000001</v>
      </c>
      <c r="D45" s="10">
        <v>39.927</v>
      </c>
      <c r="E45" s="10">
        <v>45.098999999999997</v>
      </c>
      <c r="F45" s="15">
        <v>54.176000000000002</v>
      </c>
      <c r="K45" s="10"/>
      <c r="L45" s="10"/>
      <c r="M45" s="10"/>
      <c r="N45" s="10">
        <f t="shared" si="62"/>
        <v>39.927</v>
      </c>
      <c r="O45" s="10">
        <v>40.045000000000002</v>
      </c>
      <c r="P45" s="10">
        <v>40.908999999999999</v>
      </c>
      <c r="Q45" s="10">
        <v>40.232999999999997</v>
      </c>
      <c r="R45" s="10">
        <f t="shared" si="63"/>
        <v>45.098999999999997</v>
      </c>
      <c r="S45" s="10">
        <v>53.066000000000003</v>
      </c>
      <c r="T45" s="10">
        <v>51.854999999999997</v>
      </c>
      <c r="U45" s="10">
        <v>52.204000000000001</v>
      </c>
      <c r="V45" s="10">
        <f t="shared" si="64"/>
        <v>54.176000000000002</v>
      </c>
      <c r="W45" s="10">
        <v>54.055999999999997</v>
      </c>
      <c r="X45" s="150">
        <v>44.125</v>
      </c>
      <c r="Y45" s="15">
        <v>47.637</v>
      </c>
      <c r="Z45" s="10"/>
    </row>
    <row r="46" spans="1:26" s="1" customFormat="1" x14ac:dyDescent="0.25">
      <c r="A46" s="1" t="s">
        <v>63</v>
      </c>
      <c r="B46" s="11">
        <f>SUM(B41:B45)</f>
        <v>728.59799999999996</v>
      </c>
      <c r="C46" s="11">
        <f>SUM(C41:C45)</f>
        <v>603.82299999999987</v>
      </c>
      <c r="D46" s="11">
        <f>SUM(D41:D45)</f>
        <v>660.06100000000004</v>
      </c>
      <c r="E46" s="11">
        <f>SUM(E41:E45)</f>
        <v>587.94100000000003</v>
      </c>
      <c r="F46" s="14">
        <f>SUM(F41:F45)</f>
        <v>746.01800000000003</v>
      </c>
      <c r="K46" s="11">
        <f t="shared" ref="K46:V46" si="65">SUM(K41:K45)</f>
        <v>0</v>
      </c>
      <c r="L46" s="11">
        <f t="shared" si="65"/>
        <v>0</v>
      </c>
      <c r="M46" s="11">
        <f t="shared" si="65"/>
        <v>0</v>
      </c>
      <c r="N46" s="11">
        <f t="shared" si="65"/>
        <v>660.06100000000004</v>
      </c>
      <c r="O46" s="11">
        <f t="shared" si="65"/>
        <v>669.10399999999993</v>
      </c>
      <c r="P46" s="11">
        <f t="shared" si="65"/>
        <v>665.74200000000008</v>
      </c>
      <c r="Q46" s="11">
        <f t="shared" si="65"/>
        <v>688.34999999999991</v>
      </c>
      <c r="R46" s="11">
        <f t="shared" si="65"/>
        <v>587.94100000000003</v>
      </c>
      <c r="S46" s="11">
        <f t="shared" si="65"/>
        <v>601.41300000000001</v>
      </c>
      <c r="T46" s="11">
        <f t="shared" si="65"/>
        <v>685.38400000000001</v>
      </c>
      <c r="U46" s="11">
        <f t="shared" si="65"/>
        <v>688.92499999999995</v>
      </c>
      <c r="V46" s="11">
        <f t="shared" si="65"/>
        <v>746.01800000000003</v>
      </c>
      <c r="W46" s="11">
        <f t="shared" ref="W46:Y46" si="66">SUM(W41:W45)</f>
        <v>750.553</v>
      </c>
      <c r="X46" s="152">
        <f t="shared" si="66"/>
        <v>806.91899999999998</v>
      </c>
      <c r="Y46" s="14">
        <f t="shared" si="66"/>
        <v>943.45600000000013</v>
      </c>
      <c r="Z46" s="11">
        <f t="shared" ref="Z46" si="67">SUM(Z41:Z45)</f>
        <v>0</v>
      </c>
    </row>
    <row r="47" spans="1:26" x14ac:dyDescent="0.25">
      <c r="A47" t="s">
        <v>191</v>
      </c>
      <c r="B47" s="10">
        <v>77.03</v>
      </c>
      <c r="C47" s="10">
        <v>50.524999999999999</v>
      </c>
      <c r="D47" s="10">
        <v>40.216999999999999</v>
      </c>
      <c r="E47" s="10">
        <v>9.9649999999999999</v>
      </c>
      <c r="F47" s="15">
        <v>28.047000000000001</v>
      </c>
      <c r="K47" s="10"/>
      <c r="L47" s="10"/>
      <c r="M47" s="10"/>
      <c r="N47" s="10">
        <f t="shared" ref="N47:N51" si="68">D47</f>
        <v>40.216999999999999</v>
      </c>
      <c r="O47" s="10">
        <v>33.244</v>
      </c>
      <c r="P47" s="10">
        <v>34.143000000000001</v>
      </c>
      <c r="Q47" s="10">
        <v>31.382999999999999</v>
      </c>
      <c r="R47" s="10">
        <f t="shared" ref="R47:R51" si="69">E47</f>
        <v>9.9649999999999999</v>
      </c>
      <c r="S47" s="10">
        <v>54.4</v>
      </c>
      <c r="T47" s="10">
        <v>50.408000000000001</v>
      </c>
      <c r="U47" s="10">
        <v>34.880000000000003</v>
      </c>
      <c r="V47" s="10">
        <f t="shared" ref="V47:V51" si="70">F47</f>
        <v>28.047000000000001</v>
      </c>
      <c r="W47" s="10">
        <v>20.722000000000001</v>
      </c>
      <c r="X47" s="150">
        <v>15.648999999999999</v>
      </c>
      <c r="Y47" s="15">
        <v>7.8250000000000002</v>
      </c>
      <c r="Z47" s="10"/>
    </row>
    <row r="48" spans="1:26" x14ac:dyDescent="0.25">
      <c r="A48" t="s">
        <v>192</v>
      </c>
      <c r="B48" s="10">
        <v>167.53800000000001</v>
      </c>
      <c r="C48" s="10">
        <v>81.513000000000005</v>
      </c>
      <c r="D48" s="10">
        <v>33.698999999999998</v>
      </c>
      <c r="E48" s="10">
        <v>3.9359999999999999</v>
      </c>
      <c r="F48" s="15">
        <v>1.4770000000000001</v>
      </c>
      <c r="K48" s="10"/>
      <c r="L48" s="10"/>
      <c r="M48" s="10"/>
      <c r="N48" s="10">
        <f t="shared" si="68"/>
        <v>33.698999999999998</v>
      </c>
      <c r="O48" s="10">
        <v>22.276</v>
      </c>
      <c r="P48" s="10">
        <v>15.412000000000001</v>
      </c>
      <c r="Q48" s="10">
        <v>5.5330000000000004</v>
      </c>
      <c r="R48" s="10">
        <f t="shared" si="69"/>
        <v>3.9359999999999999</v>
      </c>
      <c r="S48" s="10">
        <v>4.1619999999999999</v>
      </c>
      <c r="T48" s="10">
        <v>3.0990000000000002</v>
      </c>
      <c r="U48" s="10">
        <v>2.234</v>
      </c>
      <c r="V48" s="10">
        <f t="shared" si="70"/>
        <v>1.4770000000000001</v>
      </c>
      <c r="W48" s="10">
        <v>1.651</v>
      </c>
      <c r="X48" s="150">
        <v>1.5269999999999999</v>
      </c>
      <c r="Y48" s="15">
        <v>3.681</v>
      </c>
      <c r="Z48" s="10"/>
    </row>
    <row r="49" spans="1:26" x14ac:dyDescent="0.25">
      <c r="A49" t="s">
        <v>194</v>
      </c>
      <c r="B49" s="10">
        <v>396.065</v>
      </c>
      <c r="C49" s="10">
        <v>197.99700000000001</v>
      </c>
      <c r="D49" s="10">
        <v>0</v>
      </c>
      <c r="E49" s="10">
        <v>0</v>
      </c>
      <c r="F49" s="15">
        <v>0</v>
      </c>
      <c r="K49" s="10"/>
      <c r="L49" s="10"/>
      <c r="M49" s="10"/>
      <c r="N49" s="10">
        <f t="shared" si="68"/>
        <v>0</v>
      </c>
      <c r="O49" s="10">
        <v>0</v>
      </c>
      <c r="P49" s="10">
        <v>0</v>
      </c>
      <c r="Q49" s="10">
        <v>0</v>
      </c>
      <c r="R49" s="10">
        <f t="shared" si="69"/>
        <v>0</v>
      </c>
      <c r="S49" s="10">
        <v>0</v>
      </c>
      <c r="T49" s="10">
        <v>0</v>
      </c>
      <c r="U49" s="10">
        <v>0</v>
      </c>
      <c r="V49" s="10">
        <f t="shared" si="70"/>
        <v>0</v>
      </c>
      <c r="W49" s="10"/>
      <c r="X49" s="150"/>
      <c r="Y49" s="15"/>
      <c r="Z49" s="10"/>
    </row>
    <row r="50" spans="1:26" x14ac:dyDescent="0.25">
      <c r="A50" t="s">
        <v>193</v>
      </c>
      <c r="B50" s="10">
        <v>0</v>
      </c>
      <c r="C50" s="10">
        <v>229.8</v>
      </c>
      <c r="D50" s="10">
        <v>220.14599999999999</v>
      </c>
      <c r="E50" s="10">
        <v>204.30500000000001</v>
      </c>
      <c r="F50" s="15">
        <v>175.21600000000001</v>
      </c>
      <c r="K50" s="10"/>
      <c r="L50" s="10"/>
      <c r="M50" s="10"/>
      <c r="N50" s="10">
        <f t="shared" si="68"/>
        <v>220.14599999999999</v>
      </c>
      <c r="O50" s="10">
        <v>227.61699999999999</v>
      </c>
      <c r="P50" s="10">
        <v>216.059</v>
      </c>
      <c r="Q50" s="10">
        <v>204.90299999999999</v>
      </c>
      <c r="R50" s="10">
        <f t="shared" si="69"/>
        <v>204.30500000000001</v>
      </c>
      <c r="S50" s="10">
        <v>206.422</v>
      </c>
      <c r="T50" s="10">
        <v>194.13399999999999</v>
      </c>
      <c r="U50" s="10">
        <v>184.06700000000001</v>
      </c>
      <c r="V50" s="10">
        <f t="shared" si="70"/>
        <v>175.21600000000001</v>
      </c>
      <c r="W50" s="10">
        <v>163.01300000000001</v>
      </c>
      <c r="X50" s="150">
        <v>214.334</v>
      </c>
      <c r="Y50" s="15">
        <v>207.27799999999999</v>
      </c>
      <c r="Z50" s="10"/>
    </row>
    <row r="51" spans="1:26" x14ac:dyDescent="0.25">
      <c r="A51" t="s">
        <v>25</v>
      </c>
      <c r="B51" s="10">
        <v>78.204999999999998</v>
      </c>
      <c r="C51" s="10">
        <v>4.3159999999999998</v>
      </c>
      <c r="D51" s="10">
        <v>2.2970000000000002</v>
      </c>
      <c r="E51" s="10">
        <v>12.654999999999999</v>
      </c>
      <c r="F51" s="15">
        <v>10.702</v>
      </c>
      <c r="K51" s="10"/>
      <c r="L51" s="10"/>
      <c r="M51" s="10"/>
      <c r="N51" s="10">
        <f t="shared" si="68"/>
        <v>2.2970000000000002</v>
      </c>
      <c r="O51" s="10">
        <v>2.1920000000000002</v>
      </c>
      <c r="P51" s="10">
        <v>2.1579999999999999</v>
      </c>
      <c r="Q51" s="10">
        <v>2.0510000000000002</v>
      </c>
      <c r="R51" s="10">
        <f t="shared" si="69"/>
        <v>12.654999999999999</v>
      </c>
      <c r="S51" s="10">
        <v>13.548</v>
      </c>
      <c r="T51" s="10">
        <v>12.101000000000001</v>
      </c>
      <c r="U51" s="10">
        <v>11.414</v>
      </c>
      <c r="V51" s="10">
        <f t="shared" si="70"/>
        <v>10.702</v>
      </c>
      <c r="W51" s="10">
        <v>9.968</v>
      </c>
      <c r="X51" s="150">
        <v>15.645</v>
      </c>
      <c r="Y51" s="15">
        <v>14.494999999999999</v>
      </c>
      <c r="Z51" s="10"/>
    </row>
    <row r="52" spans="1:26" x14ac:dyDescent="0.25">
      <c r="A52" s="1" t="s">
        <v>27</v>
      </c>
      <c r="B52" s="11">
        <f>SUM(B46:B51)</f>
        <v>1447.4359999999999</v>
      </c>
      <c r="C52" s="11">
        <f>SUM(C46:C51)</f>
        <v>1167.9739999999999</v>
      </c>
      <c r="D52" s="11">
        <f>SUM(D46:D51)</f>
        <v>956.42</v>
      </c>
      <c r="E52" s="11">
        <f>SUM(E46:E51)</f>
        <v>818.80200000000013</v>
      </c>
      <c r="F52" s="14">
        <f>SUM(F46:F51)</f>
        <v>961.46</v>
      </c>
      <c r="K52" s="11">
        <f t="shared" ref="K52:V52" si="71">SUM(K46:K51)</f>
        <v>0</v>
      </c>
      <c r="L52" s="11">
        <f t="shared" si="71"/>
        <v>0</v>
      </c>
      <c r="M52" s="11">
        <f t="shared" si="71"/>
        <v>0</v>
      </c>
      <c r="N52" s="11">
        <f t="shared" si="71"/>
        <v>956.42</v>
      </c>
      <c r="O52" s="11">
        <f t="shared" si="71"/>
        <v>954.43299999999988</v>
      </c>
      <c r="P52" s="11">
        <f t="shared" si="71"/>
        <v>933.51400000000012</v>
      </c>
      <c r="Q52" s="11">
        <f t="shared" si="71"/>
        <v>932.22</v>
      </c>
      <c r="R52" s="11">
        <f t="shared" si="71"/>
        <v>818.80200000000013</v>
      </c>
      <c r="S52" s="11">
        <f t="shared" si="71"/>
        <v>879.94500000000005</v>
      </c>
      <c r="T52" s="11">
        <f t="shared" si="71"/>
        <v>945.12600000000009</v>
      </c>
      <c r="U52" s="11">
        <f t="shared" si="71"/>
        <v>921.52</v>
      </c>
      <c r="V52" s="11">
        <f t="shared" si="71"/>
        <v>961.46</v>
      </c>
      <c r="W52" s="11">
        <f t="shared" ref="W52:Y52" si="72">SUM(W46:W51)</f>
        <v>945.90699999999993</v>
      </c>
      <c r="X52" s="152">
        <f t="shared" si="72"/>
        <v>1054.0740000000001</v>
      </c>
      <c r="Y52" s="14">
        <f t="shared" si="72"/>
        <v>1176.7350000000001</v>
      </c>
      <c r="Z52" s="11">
        <f t="shared" ref="Z52" si="73">SUM(Z46:Z51)</f>
        <v>0</v>
      </c>
    </row>
    <row r="53" spans="1:26" x14ac:dyDescent="0.25">
      <c r="A53" t="s">
        <v>80</v>
      </c>
      <c r="B53" s="10">
        <f t="shared" ref="B53:E53" si="74">B40-B52</f>
        <v>146.58900000000017</v>
      </c>
      <c r="C53" s="10">
        <f t="shared" si="74"/>
        <v>1522.53</v>
      </c>
      <c r="D53" s="10">
        <f t="shared" si="74"/>
        <v>2291.0299999999997</v>
      </c>
      <c r="E53" s="10">
        <f t="shared" si="74"/>
        <v>2642.4369999999999</v>
      </c>
      <c r="F53" s="15">
        <f>F40-F52</f>
        <v>3560.9650000000001</v>
      </c>
      <c r="N53" s="10">
        <f t="shared" ref="N53:V53" si="75">N40-N52</f>
        <v>2291.0299999999997</v>
      </c>
      <c r="O53" s="10">
        <f t="shared" si="75"/>
        <v>2364.7460000000001</v>
      </c>
      <c r="P53" s="10">
        <f t="shared" si="75"/>
        <v>2348.8239999999996</v>
      </c>
      <c r="Q53" s="10">
        <f t="shared" si="75"/>
        <v>2386.6149999999998</v>
      </c>
      <c r="R53" s="10">
        <f t="shared" si="75"/>
        <v>2642.4369999999999</v>
      </c>
      <c r="S53" s="10">
        <f t="shared" si="75"/>
        <v>2803.1929999999998</v>
      </c>
      <c r="T53" s="10">
        <f t="shared" si="75"/>
        <v>3035.1379999999999</v>
      </c>
      <c r="U53" s="10">
        <f t="shared" si="75"/>
        <v>3271.8969999999995</v>
      </c>
      <c r="V53" s="10">
        <f t="shared" si="75"/>
        <v>3560.9650000000001</v>
      </c>
      <c r="W53" s="10">
        <f t="shared" ref="W53:Y53" si="76">W40-W52</f>
        <v>3861.1720000000005</v>
      </c>
      <c r="X53" s="150">
        <f t="shared" si="76"/>
        <v>4137.8060000000023</v>
      </c>
      <c r="Y53" s="15">
        <f t="shared" si="76"/>
        <v>4591.3619999999992</v>
      </c>
      <c r="Z53" s="10">
        <f t="shared" ref="Z53" si="77">Z40-Z52</f>
        <v>0</v>
      </c>
    </row>
    <row r="54" spans="1:26" x14ac:dyDescent="0.25">
      <c r="R54" s="116"/>
      <c r="S54" s="116"/>
      <c r="T54" s="116"/>
      <c r="U54" s="116"/>
      <c r="V54" s="116"/>
      <c r="W54" s="116"/>
    </row>
    <row r="55" spans="1:26" s="1" customFormat="1" x14ac:dyDescent="0.25">
      <c r="A55" s="1" t="s">
        <v>195</v>
      </c>
      <c r="B55" s="47"/>
      <c r="C55" s="47"/>
      <c r="D55" s="47"/>
      <c r="E55" s="116">
        <f>E10/E32</f>
        <v>6.2538964187582261E-3</v>
      </c>
      <c r="F55" s="48">
        <f>F10/F33</f>
        <v>4.5408373582373242E-2</v>
      </c>
      <c r="P55" s="116">
        <f t="shared" ref="P55:Z55" si="78">P10/P32</f>
        <v>3.360544525538881E-4</v>
      </c>
      <c r="Q55" s="116">
        <f t="shared" si="78"/>
        <v>1.8331745377073477E-3</v>
      </c>
      <c r="R55" s="116">
        <f t="shared" si="78"/>
        <v>4.247769901560108E-3</v>
      </c>
      <c r="S55" s="116">
        <f t="shared" ref="R55:W55" si="79">S10/S33</f>
        <v>1.193928272828893E-2</v>
      </c>
      <c r="T55" s="116">
        <f t="shared" si="79"/>
        <v>1.4161378068693404E-2</v>
      </c>
      <c r="U55" s="116">
        <f t="shared" si="79"/>
        <v>1.6102429317280533E-2</v>
      </c>
      <c r="V55" s="116">
        <f t="shared" si="79"/>
        <v>1.5619746110979021E-2</v>
      </c>
      <c r="W55" s="116">
        <f t="shared" si="79"/>
        <v>1.2950513694947171E-2</v>
      </c>
      <c r="X55" s="116">
        <f>X10/X33</f>
        <v>1.3366515577485799E-2</v>
      </c>
      <c r="Y55" s="48">
        <f>Y10/Y33</f>
        <v>1.3730426831340462E-2</v>
      </c>
      <c r="Z55" s="116" t="e">
        <f t="shared" si="78"/>
        <v>#DIV/0!</v>
      </c>
    </row>
    <row r="73" spans="6:25" s="9" customFormat="1" x14ac:dyDescent="0.25">
      <c r="F73" s="40"/>
      <c r="X73" s="156"/>
      <c r="Y73" s="40"/>
    </row>
    <row r="74" spans="6:25" s="1" customFormat="1" x14ac:dyDescent="0.25">
      <c r="F74" s="16"/>
      <c r="X74" s="157"/>
      <c r="Y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E6C0-DA6D-48AB-AC4C-2E31F4D71E11}">
  <dimension ref="A1:T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3" sqref="S3"/>
    </sheetView>
  </sheetViews>
  <sheetFormatPr defaultRowHeight="15" x14ac:dyDescent="0.25"/>
  <cols>
    <col min="1" max="1" width="35" bestFit="1" customWidth="1"/>
  </cols>
  <sheetData>
    <row r="1" spans="1:20" x14ac:dyDescent="0.25">
      <c r="B1" t="s">
        <v>202</v>
      </c>
      <c r="C1" t="s">
        <v>203</v>
      </c>
      <c r="D1" t="s">
        <v>204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36</v>
      </c>
      <c r="O1" t="s">
        <v>40</v>
      </c>
      <c r="P1" t="s">
        <v>41</v>
      </c>
      <c r="Q1" t="s">
        <v>65</v>
      </c>
      <c r="R1" t="s">
        <v>69</v>
      </c>
      <c r="S1" t="s">
        <v>199</v>
      </c>
      <c r="T1" t="s">
        <v>200</v>
      </c>
    </row>
    <row r="2" spans="1:20" x14ac:dyDescent="0.25">
      <c r="A2" t="s">
        <v>201</v>
      </c>
      <c r="B2">
        <v>14</v>
      </c>
      <c r="C2">
        <v>18</v>
      </c>
      <c r="D2">
        <v>17</v>
      </c>
      <c r="E2">
        <v>22</v>
      </c>
      <c r="F2">
        <v>34</v>
      </c>
      <c r="G2">
        <v>59</v>
      </c>
      <c r="H2">
        <v>80</v>
      </c>
      <c r="I2">
        <v>103</v>
      </c>
      <c r="J2">
        <v>119</v>
      </c>
      <c r="K2">
        <v>132</v>
      </c>
      <c r="L2">
        <v>143</v>
      </c>
      <c r="M2">
        <v>155</v>
      </c>
      <c r="N2">
        <v>161</v>
      </c>
      <c r="O2">
        <v>181</v>
      </c>
      <c r="P2">
        <v>221</v>
      </c>
      <c r="Q2">
        <v>262</v>
      </c>
      <c r="R2">
        <v>295</v>
      </c>
    </row>
    <row r="3" spans="1:20" x14ac:dyDescent="0.25">
      <c r="A3" t="s">
        <v>205</v>
      </c>
      <c r="F3" s="3">
        <f>F2/B2-1</f>
        <v>1.4285714285714284</v>
      </c>
      <c r="G3" s="3">
        <f t="shared" ref="G3:S3" si="0">G2/C2-1</f>
        <v>2.2777777777777777</v>
      </c>
      <c r="H3" s="3">
        <f t="shared" si="0"/>
        <v>3.7058823529411766</v>
      </c>
      <c r="I3" s="3">
        <f t="shared" si="0"/>
        <v>3.6818181818181817</v>
      </c>
      <c r="J3" s="3">
        <f t="shared" si="0"/>
        <v>2.5</v>
      </c>
      <c r="K3" s="3">
        <f t="shared" si="0"/>
        <v>1.2372881355932202</v>
      </c>
      <c r="L3" s="3">
        <f t="shared" si="0"/>
        <v>0.78750000000000009</v>
      </c>
      <c r="M3" s="3">
        <f t="shared" si="0"/>
        <v>0.50485436893203883</v>
      </c>
      <c r="N3" s="3">
        <f t="shared" si="0"/>
        <v>0.35294117647058831</v>
      </c>
      <c r="O3" s="3">
        <f t="shared" si="0"/>
        <v>0.3712121212121211</v>
      </c>
      <c r="P3" s="3">
        <f t="shared" si="0"/>
        <v>0.54545454545454541</v>
      </c>
      <c r="Q3" s="3">
        <f t="shared" si="0"/>
        <v>0.69032258064516139</v>
      </c>
      <c r="R3" s="3">
        <f t="shared" si="0"/>
        <v>0.83229813664596275</v>
      </c>
      <c r="S3" s="3">
        <f t="shared" si="0"/>
        <v>-1</v>
      </c>
    </row>
    <row r="5" spans="1:20" x14ac:dyDescent="0.25">
      <c r="A5" t="s">
        <v>206</v>
      </c>
      <c r="N5">
        <v>421</v>
      </c>
      <c r="O5">
        <v>453</v>
      </c>
      <c r="P5">
        <v>497</v>
      </c>
      <c r="Q5">
        <v>554</v>
      </c>
      <c r="R5">
        <v>593</v>
      </c>
    </row>
    <row r="7" spans="1:20" x14ac:dyDescent="0.25">
      <c r="A7" t="s">
        <v>207</v>
      </c>
      <c r="N7">
        <v>302</v>
      </c>
      <c r="O7">
        <v>330</v>
      </c>
      <c r="P7">
        <v>375</v>
      </c>
      <c r="Q7">
        <v>427</v>
      </c>
      <c r="R7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H9" sqref="H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51</v>
      </c>
      <c r="B1" s="17" t="s">
        <v>52</v>
      </c>
    </row>
    <row r="2" spans="1:12" x14ac:dyDescent="0.25">
      <c r="A2" s="12">
        <v>44102</v>
      </c>
      <c r="B2" s="18">
        <v>9.1999999999999993</v>
      </c>
      <c r="D2" t="s">
        <v>51</v>
      </c>
      <c r="E2" t="s">
        <v>53</v>
      </c>
      <c r="L2" t="s">
        <v>54</v>
      </c>
    </row>
    <row r="3" spans="1:12" x14ac:dyDescent="0.25">
      <c r="A3" s="12">
        <v>44109</v>
      </c>
      <c r="B3" s="18">
        <v>9.9499999999999993</v>
      </c>
      <c r="D3" s="12">
        <v>45328</v>
      </c>
      <c r="E3" t="s">
        <v>56</v>
      </c>
      <c r="L3" s="12"/>
    </row>
    <row r="4" spans="1:12" x14ac:dyDescent="0.25">
      <c r="A4" s="12">
        <v>44116</v>
      </c>
      <c r="B4" s="18">
        <v>9.7100000000000009</v>
      </c>
      <c r="D4" s="12">
        <v>45302</v>
      </c>
      <c r="E4" t="s">
        <v>56</v>
      </c>
      <c r="L4" s="12"/>
    </row>
    <row r="5" spans="1:12" x14ac:dyDescent="0.25">
      <c r="A5" s="12">
        <v>44123</v>
      </c>
      <c r="B5" s="18">
        <v>9.49</v>
      </c>
      <c r="L5" s="12"/>
    </row>
    <row r="6" spans="1:12" x14ac:dyDescent="0.25">
      <c r="A6" s="12">
        <v>44130</v>
      </c>
      <c r="B6" s="18">
        <v>10.130000000000001</v>
      </c>
      <c r="L6" s="12"/>
    </row>
    <row r="7" spans="1:12" x14ac:dyDescent="0.25">
      <c r="A7" s="12">
        <v>44137</v>
      </c>
      <c r="B7" s="18">
        <v>13.83</v>
      </c>
      <c r="L7" s="12"/>
    </row>
    <row r="8" spans="1:12" x14ac:dyDescent="0.25">
      <c r="A8" s="12">
        <v>44144</v>
      </c>
      <c r="B8" s="18">
        <v>15.8</v>
      </c>
      <c r="L8" s="12"/>
    </row>
    <row r="9" spans="1:12" x14ac:dyDescent="0.25">
      <c r="A9" s="12">
        <v>44151</v>
      </c>
      <c r="B9" s="18">
        <v>18.149999999999999</v>
      </c>
      <c r="L9" s="12"/>
    </row>
    <row r="10" spans="1:12" x14ac:dyDescent="0.25">
      <c r="A10" s="12">
        <v>44158</v>
      </c>
      <c r="B10" s="18">
        <v>27.66</v>
      </c>
      <c r="L10" s="12"/>
    </row>
    <row r="11" spans="1:12" x14ac:dyDescent="0.25">
      <c r="A11" s="12">
        <v>44165</v>
      </c>
      <c r="B11" s="18">
        <v>23.85</v>
      </c>
      <c r="L11" s="12"/>
    </row>
    <row r="12" spans="1:12" x14ac:dyDescent="0.25">
      <c r="A12" s="12">
        <v>44172</v>
      </c>
      <c r="B12" s="18">
        <v>27.200001</v>
      </c>
      <c r="L12" s="12"/>
    </row>
    <row r="13" spans="1:12" x14ac:dyDescent="0.25">
      <c r="A13" s="12">
        <v>44179</v>
      </c>
      <c r="B13" s="18">
        <v>25.969999000000001</v>
      </c>
    </row>
    <row r="14" spans="1:12" x14ac:dyDescent="0.25">
      <c r="A14" s="12">
        <v>44186</v>
      </c>
      <c r="B14" s="18">
        <v>27.75</v>
      </c>
    </row>
    <row r="15" spans="1:12" x14ac:dyDescent="0.25">
      <c r="A15" s="12">
        <v>44193</v>
      </c>
      <c r="B15" s="18">
        <v>23.549999</v>
      </c>
    </row>
    <row r="16" spans="1:12" x14ac:dyDescent="0.25">
      <c r="A16" s="12">
        <v>44200</v>
      </c>
      <c r="B16" s="18">
        <v>25.200001</v>
      </c>
    </row>
    <row r="17" spans="1:2" x14ac:dyDescent="0.25">
      <c r="A17" s="12">
        <v>44207</v>
      </c>
      <c r="B17" s="18">
        <v>25.639999</v>
      </c>
    </row>
    <row r="18" spans="1:2" x14ac:dyDescent="0.25">
      <c r="A18" s="12">
        <v>44214</v>
      </c>
      <c r="B18" s="18">
        <v>32.580002</v>
      </c>
    </row>
    <row r="19" spans="1:2" x14ac:dyDescent="0.25">
      <c r="A19" s="12">
        <v>44221</v>
      </c>
      <c r="B19" s="18">
        <v>35.18</v>
      </c>
    </row>
    <row r="20" spans="1:2" x14ac:dyDescent="0.25">
      <c r="A20" s="12">
        <v>44228</v>
      </c>
      <c r="B20" s="18">
        <v>34.049999</v>
      </c>
    </row>
    <row r="21" spans="1:2" x14ac:dyDescent="0.25">
      <c r="A21" s="12">
        <v>44235</v>
      </c>
      <c r="B21" s="18">
        <v>31.91</v>
      </c>
    </row>
    <row r="22" spans="1:2" x14ac:dyDescent="0.25">
      <c r="A22" s="12">
        <v>44242</v>
      </c>
      <c r="B22" s="18">
        <v>29</v>
      </c>
    </row>
    <row r="23" spans="1:2" x14ac:dyDescent="0.25">
      <c r="A23" s="12">
        <v>44249</v>
      </c>
      <c r="B23" s="18">
        <v>23.9</v>
      </c>
    </row>
    <row r="24" spans="1:2" x14ac:dyDescent="0.25">
      <c r="A24" s="12">
        <v>44256</v>
      </c>
      <c r="B24" s="18">
        <v>23.950001</v>
      </c>
    </row>
    <row r="25" spans="1:2" x14ac:dyDescent="0.25">
      <c r="A25" s="12">
        <v>44263</v>
      </c>
      <c r="B25" s="18">
        <v>26.92</v>
      </c>
    </row>
    <row r="26" spans="1:2" x14ac:dyDescent="0.25">
      <c r="A26" s="12">
        <v>44270</v>
      </c>
      <c r="B26" s="18">
        <v>24.32</v>
      </c>
    </row>
    <row r="27" spans="1:2" x14ac:dyDescent="0.25">
      <c r="A27" s="12">
        <v>44277</v>
      </c>
      <c r="B27" s="18">
        <v>22.58</v>
      </c>
    </row>
    <row r="28" spans="1:2" x14ac:dyDescent="0.25">
      <c r="A28" s="12">
        <v>44284</v>
      </c>
      <c r="B28" s="18">
        <v>23.07</v>
      </c>
    </row>
    <row r="29" spans="1:2" x14ac:dyDescent="0.25">
      <c r="A29" s="12">
        <v>44291</v>
      </c>
      <c r="B29" s="18">
        <v>24.040001</v>
      </c>
    </row>
    <row r="30" spans="1:2" x14ac:dyDescent="0.25">
      <c r="A30" s="12">
        <v>44298</v>
      </c>
      <c r="B30" s="18">
        <v>22.469999000000001</v>
      </c>
    </row>
    <row r="31" spans="1:2" x14ac:dyDescent="0.25">
      <c r="A31" s="12">
        <v>44305</v>
      </c>
      <c r="B31" s="18">
        <v>23.41</v>
      </c>
    </row>
    <row r="32" spans="1:2" x14ac:dyDescent="0.25">
      <c r="A32" s="12">
        <v>44312</v>
      </c>
      <c r="B32" s="18">
        <v>23.040001</v>
      </c>
    </row>
    <row r="33" spans="1:2" x14ac:dyDescent="0.25">
      <c r="A33" s="12">
        <v>44319</v>
      </c>
      <c r="B33" s="18">
        <v>19.75</v>
      </c>
    </row>
    <row r="34" spans="1:2" x14ac:dyDescent="0.25">
      <c r="A34" s="12">
        <v>44326</v>
      </c>
      <c r="B34" s="18">
        <v>20.079999999999998</v>
      </c>
    </row>
    <row r="35" spans="1:2" x14ac:dyDescent="0.25">
      <c r="A35" s="12">
        <v>44333</v>
      </c>
      <c r="B35" s="18">
        <v>20.75</v>
      </c>
    </row>
    <row r="36" spans="1:2" x14ac:dyDescent="0.25">
      <c r="A36" s="12">
        <v>44340</v>
      </c>
      <c r="B36" s="18">
        <v>22.950001</v>
      </c>
    </row>
    <row r="37" spans="1:2" x14ac:dyDescent="0.25">
      <c r="A37" s="12">
        <v>44347</v>
      </c>
      <c r="B37" s="18">
        <v>24.030000999999999</v>
      </c>
    </row>
    <row r="38" spans="1:2" x14ac:dyDescent="0.25">
      <c r="A38" s="12">
        <v>44354</v>
      </c>
      <c r="B38" s="18">
        <v>24.67</v>
      </c>
    </row>
    <row r="39" spans="1:2" x14ac:dyDescent="0.25">
      <c r="A39" s="12">
        <v>44361</v>
      </c>
      <c r="B39" s="18">
        <v>25.370000999999998</v>
      </c>
    </row>
    <row r="40" spans="1:2" x14ac:dyDescent="0.25">
      <c r="A40" s="12">
        <v>44368</v>
      </c>
      <c r="B40" s="18">
        <v>26.780000999999999</v>
      </c>
    </row>
    <row r="41" spans="1:2" x14ac:dyDescent="0.25">
      <c r="A41" s="12">
        <v>44375</v>
      </c>
      <c r="B41" s="18">
        <v>24.440000999999999</v>
      </c>
    </row>
    <row r="42" spans="1:2" x14ac:dyDescent="0.25">
      <c r="A42" s="12">
        <v>44382</v>
      </c>
      <c r="B42" s="18">
        <v>23.290001</v>
      </c>
    </row>
    <row r="43" spans="1:2" x14ac:dyDescent="0.25">
      <c r="A43" s="12">
        <v>44389</v>
      </c>
      <c r="B43" s="18">
        <v>21.370000999999998</v>
      </c>
    </row>
    <row r="44" spans="1:2" x14ac:dyDescent="0.25">
      <c r="A44" s="12">
        <v>44396</v>
      </c>
      <c r="B44" s="18">
        <v>21.809999000000001</v>
      </c>
    </row>
    <row r="45" spans="1:2" x14ac:dyDescent="0.25">
      <c r="A45" s="12">
        <v>44403</v>
      </c>
      <c r="B45" s="18">
        <v>21.709999</v>
      </c>
    </row>
    <row r="46" spans="1:2" x14ac:dyDescent="0.25">
      <c r="A46" s="12">
        <v>44410</v>
      </c>
      <c r="B46" s="18">
        <v>21.82</v>
      </c>
    </row>
    <row r="47" spans="1:2" x14ac:dyDescent="0.25">
      <c r="A47" s="12">
        <v>44417</v>
      </c>
      <c r="B47" s="18">
        <v>24.9</v>
      </c>
    </row>
    <row r="48" spans="1:2" x14ac:dyDescent="0.25">
      <c r="A48" s="12">
        <v>44424</v>
      </c>
      <c r="B48" s="18">
        <v>24.01</v>
      </c>
    </row>
    <row r="49" spans="1:2" x14ac:dyDescent="0.25">
      <c r="A49" s="12">
        <v>44431</v>
      </c>
      <c r="B49" s="18">
        <v>25.709999</v>
      </c>
    </row>
    <row r="50" spans="1:2" x14ac:dyDescent="0.25">
      <c r="A50" s="12">
        <v>44438</v>
      </c>
      <c r="B50" s="18">
        <v>26.639999</v>
      </c>
    </row>
    <row r="51" spans="1:2" x14ac:dyDescent="0.25">
      <c r="A51" s="12">
        <v>44445</v>
      </c>
      <c r="B51" s="18">
        <v>26.280000999999999</v>
      </c>
    </row>
    <row r="52" spans="1:2" x14ac:dyDescent="0.25">
      <c r="A52" s="12">
        <v>44452</v>
      </c>
      <c r="B52" s="18">
        <v>28.709999</v>
      </c>
    </row>
    <row r="53" spans="1:2" x14ac:dyDescent="0.25">
      <c r="A53" s="12">
        <v>44459</v>
      </c>
      <c r="B53" s="18">
        <v>28.559999000000001</v>
      </c>
    </row>
    <row r="54" spans="1:2" x14ac:dyDescent="0.25">
      <c r="A54" s="12">
        <v>44466</v>
      </c>
      <c r="B54" s="18">
        <v>24.33</v>
      </c>
    </row>
    <row r="55" spans="1:2" x14ac:dyDescent="0.25">
      <c r="A55" s="12">
        <v>44473</v>
      </c>
      <c r="B55" s="18">
        <v>23.5</v>
      </c>
    </row>
    <row r="56" spans="1:2" x14ac:dyDescent="0.25">
      <c r="A56" s="12">
        <v>44480</v>
      </c>
      <c r="B56" s="18">
        <v>24</v>
      </c>
    </row>
    <row r="57" spans="1:2" x14ac:dyDescent="0.25">
      <c r="A57" s="12">
        <v>44487</v>
      </c>
      <c r="B57" s="18">
        <v>24.43</v>
      </c>
    </row>
    <row r="58" spans="1:2" x14ac:dyDescent="0.25">
      <c r="A58" s="12">
        <v>44494</v>
      </c>
      <c r="B58" s="18">
        <v>25.879999000000002</v>
      </c>
    </row>
    <row r="59" spans="1:2" x14ac:dyDescent="0.25">
      <c r="A59" s="12">
        <v>44501</v>
      </c>
      <c r="B59" s="18">
        <v>26</v>
      </c>
    </row>
    <row r="60" spans="1:2" x14ac:dyDescent="0.25">
      <c r="A60" s="12">
        <v>44508</v>
      </c>
      <c r="B60" s="18">
        <v>22.83</v>
      </c>
    </row>
    <row r="61" spans="1:2" x14ac:dyDescent="0.25">
      <c r="A61" s="12">
        <v>44515</v>
      </c>
      <c r="B61" s="18">
        <v>21.41</v>
      </c>
    </row>
    <row r="62" spans="1:2" x14ac:dyDescent="0.25">
      <c r="A62" s="12">
        <v>44522</v>
      </c>
      <c r="B62" s="18">
        <v>21.030000999999999</v>
      </c>
    </row>
    <row r="63" spans="1:2" x14ac:dyDescent="0.25">
      <c r="A63" s="12">
        <v>44529</v>
      </c>
      <c r="B63" s="18">
        <v>18.98</v>
      </c>
    </row>
    <row r="64" spans="1:2" x14ac:dyDescent="0.25">
      <c r="A64" s="12">
        <v>44536</v>
      </c>
      <c r="B64" s="18">
        <v>18.940000999999999</v>
      </c>
    </row>
    <row r="65" spans="1:2" x14ac:dyDescent="0.25">
      <c r="A65" s="12">
        <v>44543</v>
      </c>
      <c r="B65" s="18">
        <v>19.059999000000001</v>
      </c>
    </row>
    <row r="66" spans="1:2" x14ac:dyDescent="0.25">
      <c r="A66" s="12">
        <v>44550</v>
      </c>
      <c r="B66" s="18">
        <v>18.93</v>
      </c>
    </row>
    <row r="67" spans="1:2" x14ac:dyDescent="0.25">
      <c r="A67" s="12">
        <v>44557</v>
      </c>
      <c r="B67" s="18">
        <v>18.209999</v>
      </c>
    </row>
    <row r="68" spans="1:2" x14ac:dyDescent="0.25">
      <c r="A68" s="12">
        <v>44564</v>
      </c>
      <c r="B68" s="18">
        <v>16.559999000000001</v>
      </c>
    </row>
    <row r="69" spans="1:2" x14ac:dyDescent="0.25">
      <c r="A69" s="12">
        <v>44571</v>
      </c>
      <c r="B69" s="18">
        <v>16.010000000000002</v>
      </c>
    </row>
    <row r="70" spans="1:2" x14ac:dyDescent="0.25">
      <c r="A70" s="12">
        <v>44578</v>
      </c>
      <c r="B70" s="18">
        <v>13.53</v>
      </c>
    </row>
    <row r="71" spans="1:2" x14ac:dyDescent="0.25">
      <c r="A71" s="12">
        <v>44585</v>
      </c>
      <c r="B71" s="18">
        <v>12.71</v>
      </c>
    </row>
    <row r="72" spans="1:2" x14ac:dyDescent="0.25">
      <c r="A72" s="12">
        <v>44592</v>
      </c>
      <c r="B72" s="18">
        <v>12.94</v>
      </c>
    </row>
    <row r="73" spans="1:2" x14ac:dyDescent="0.25">
      <c r="A73" s="12">
        <v>44599</v>
      </c>
      <c r="B73" s="18">
        <v>13.13</v>
      </c>
    </row>
    <row r="74" spans="1:2" x14ac:dyDescent="0.25">
      <c r="A74" s="12">
        <v>44606</v>
      </c>
      <c r="B74" s="18">
        <v>11.02</v>
      </c>
    </row>
    <row r="75" spans="1:2" x14ac:dyDescent="0.25">
      <c r="A75" s="12">
        <v>44613</v>
      </c>
      <c r="B75" s="18">
        <v>11.47</v>
      </c>
    </row>
    <row r="76" spans="1:2" x14ac:dyDescent="0.25">
      <c r="A76" s="12">
        <v>44620</v>
      </c>
      <c r="B76" s="18">
        <v>10.96</v>
      </c>
    </row>
    <row r="77" spans="1:2" x14ac:dyDescent="0.25">
      <c r="A77" s="12">
        <v>44627</v>
      </c>
      <c r="B77" s="18">
        <v>11.39</v>
      </c>
    </row>
    <row r="78" spans="1:2" x14ac:dyDescent="0.25">
      <c r="A78" s="12">
        <v>44634</v>
      </c>
      <c r="B78" s="18">
        <v>12.82</v>
      </c>
    </row>
    <row r="79" spans="1:2" x14ac:dyDescent="0.25">
      <c r="A79" s="12">
        <v>44641</v>
      </c>
      <c r="B79" s="18">
        <v>12.97</v>
      </c>
    </row>
    <row r="80" spans="1:2" x14ac:dyDescent="0.25">
      <c r="A80" s="12">
        <v>44648</v>
      </c>
      <c r="B80" s="18">
        <v>13.83</v>
      </c>
    </row>
    <row r="81" spans="1:2" x14ac:dyDescent="0.25">
      <c r="A81" s="12">
        <v>44655</v>
      </c>
      <c r="B81" s="18">
        <v>12.7</v>
      </c>
    </row>
    <row r="82" spans="1:2" x14ac:dyDescent="0.25">
      <c r="A82" s="12">
        <v>44662</v>
      </c>
      <c r="B82" s="18">
        <v>12.42</v>
      </c>
    </row>
    <row r="83" spans="1:2" x14ac:dyDescent="0.25">
      <c r="A83" s="12">
        <v>44669</v>
      </c>
      <c r="B83" s="18">
        <v>11.96</v>
      </c>
    </row>
    <row r="84" spans="1:2" x14ac:dyDescent="0.25">
      <c r="A84" s="12">
        <v>44676</v>
      </c>
      <c r="B84" s="18">
        <v>10.4</v>
      </c>
    </row>
    <row r="85" spans="1:2" x14ac:dyDescent="0.25">
      <c r="A85" s="12">
        <v>44683</v>
      </c>
      <c r="B85" s="18">
        <v>9.48</v>
      </c>
    </row>
    <row r="86" spans="1:2" x14ac:dyDescent="0.25">
      <c r="A86" s="12">
        <v>44690</v>
      </c>
      <c r="B86" s="18">
        <v>8.34</v>
      </c>
    </row>
    <row r="87" spans="1:2" x14ac:dyDescent="0.25">
      <c r="A87" s="12">
        <v>44697</v>
      </c>
      <c r="B87" s="18">
        <v>8.08</v>
      </c>
    </row>
    <row r="88" spans="1:2" x14ac:dyDescent="0.25">
      <c r="A88" s="12">
        <v>44704</v>
      </c>
      <c r="B88" s="18">
        <v>8.85</v>
      </c>
    </row>
    <row r="89" spans="1:2" x14ac:dyDescent="0.25">
      <c r="A89" s="12">
        <v>44711</v>
      </c>
      <c r="B89" s="18">
        <v>8.94</v>
      </c>
    </row>
    <row r="90" spans="1:2" x14ac:dyDescent="0.25">
      <c r="A90" s="12">
        <v>44718</v>
      </c>
      <c r="B90" s="18">
        <v>8.26</v>
      </c>
    </row>
    <row r="91" spans="1:2" x14ac:dyDescent="0.25">
      <c r="A91" s="12">
        <v>44725</v>
      </c>
      <c r="B91" s="18">
        <v>8.24</v>
      </c>
    </row>
    <row r="92" spans="1:2" x14ac:dyDescent="0.25">
      <c r="A92" s="12">
        <v>44732</v>
      </c>
      <c r="B92" s="18">
        <v>10.19</v>
      </c>
    </row>
    <row r="93" spans="1:2" x14ac:dyDescent="0.25">
      <c r="A93" s="12">
        <v>44739</v>
      </c>
      <c r="B93" s="18">
        <v>9.27</v>
      </c>
    </row>
    <row r="94" spans="1:2" x14ac:dyDescent="0.25">
      <c r="A94" s="12">
        <v>44746</v>
      </c>
      <c r="B94" s="18">
        <v>10.17</v>
      </c>
    </row>
    <row r="95" spans="1:2" x14ac:dyDescent="0.25">
      <c r="A95" s="12">
        <v>44753</v>
      </c>
      <c r="B95" s="18">
        <v>9.0399999999999991</v>
      </c>
    </row>
    <row r="96" spans="1:2" x14ac:dyDescent="0.25">
      <c r="A96" s="12">
        <v>44760</v>
      </c>
      <c r="B96" s="18">
        <v>9.84</v>
      </c>
    </row>
    <row r="97" spans="1:2" x14ac:dyDescent="0.25">
      <c r="A97" s="12">
        <v>44767</v>
      </c>
      <c r="B97" s="18">
        <v>10.35</v>
      </c>
    </row>
    <row r="98" spans="1:2" x14ac:dyDescent="0.25">
      <c r="A98" s="12">
        <v>44774</v>
      </c>
      <c r="B98" s="18">
        <v>11.45</v>
      </c>
    </row>
    <row r="99" spans="1:2" x14ac:dyDescent="0.25">
      <c r="A99" s="12">
        <v>44781</v>
      </c>
      <c r="B99" s="18">
        <v>9.91</v>
      </c>
    </row>
    <row r="100" spans="1:2" x14ac:dyDescent="0.25">
      <c r="A100" s="12">
        <v>44788</v>
      </c>
      <c r="B100" s="18">
        <v>8.51</v>
      </c>
    </row>
    <row r="101" spans="1:2" x14ac:dyDescent="0.25">
      <c r="A101" s="12">
        <v>44795</v>
      </c>
      <c r="B101" s="18">
        <v>7.94</v>
      </c>
    </row>
    <row r="102" spans="1:2" x14ac:dyDescent="0.25">
      <c r="A102" s="12">
        <v>44802</v>
      </c>
      <c r="B102" s="18">
        <v>7.4</v>
      </c>
    </row>
    <row r="103" spans="1:2" x14ac:dyDescent="0.25">
      <c r="A103" s="12">
        <v>44809</v>
      </c>
      <c r="B103" s="18">
        <v>7.79</v>
      </c>
    </row>
    <row r="104" spans="1:2" x14ac:dyDescent="0.25">
      <c r="A104" s="12">
        <v>44816</v>
      </c>
      <c r="B104" s="18">
        <v>7.78</v>
      </c>
    </row>
    <row r="105" spans="1:2" x14ac:dyDescent="0.25">
      <c r="A105" s="12">
        <v>44823</v>
      </c>
      <c r="B105" s="18">
        <v>7.4</v>
      </c>
    </row>
    <row r="106" spans="1:2" x14ac:dyDescent="0.25">
      <c r="A106" s="12">
        <v>44830</v>
      </c>
      <c r="B106" s="18">
        <v>8.1300000000000008</v>
      </c>
    </row>
    <row r="107" spans="1:2" x14ac:dyDescent="0.25">
      <c r="A107" s="12">
        <v>44837</v>
      </c>
      <c r="B107" s="18">
        <v>8.15</v>
      </c>
    </row>
    <row r="108" spans="1:2" x14ac:dyDescent="0.25">
      <c r="A108" s="12">
        <v>44844</v>
      </c>
      <c r="B108" s="18">
        <v>7.53</v>
      </c>
    </row>
    <row r="109" spans="1:2" x14ac:dyDescent="0.25">
      <c r="A109" s="12">
        <v>44851</v>
      </c>
      <c r="B109" s="18">
        <v>8.2899999999999991</v>
      </c>
    </row>
    <row r="110" spans="1:2" x14ac:dyDescent="0.25">
      <c r="A110" s="12">
        <v>44858</v>
      </c>
      <c r="B110" s="18">
        <v>8.64</v>
      </c>
    </row>
    <row r="111" spans="1:2" x14ac:dyDescent="0.25">
      <c r="A111" s="12">
        <v>44865</v>
      </c>
      <c r="B111" s="18">
        <v>7.93</v>
      </c>
    </row>
    <row r="112" spans="1:2" x14ac:dyDescent="0.25">
      <c r="A112" s="12">
        <v>44872</v>
      </c>
      <c r="B112" s="18">
        <v>8.41</v>
      </c>
    </row>
    <row r="113" spans="1:2" x14ac:dyDescent="0.25">
      <c r="A113" s="12">
        <v>44879</v>
      </c>
      <c r="B113" s="18">
        <v>7.39</v>
      </c>
    </row>
    <row r="114" spans="1:2" x14ac:dyDescent="0.25">
      <c r="A114" s="12">
        <v>44886</v>
      </c>
      <c r="B114" s="18">
        <v>7.28</v>
      </c>
    </row>
    <row r="115" spans="1:2" x14ac:dyDescent="0.25">
      <c r="A115" s="12">
        <v>44893</v>
      </c>
      <c r="B115" s="18">
        <v>7.66</v>
      </c>
    </row>
    <row r="116" spans="1:2" x14ac:dyDescent="0.25">
      <c r="A116" s="12">
        <v>44900</v>
      </c>
      <c r="B116" s="18">
        <v>7.11</v>
      </c>
    </row>
    <row r="117" spans="1:2" x14ac:dyDescent="0.25">
      <c r="A117" s="12">
        <v>44907</v>
      </c>
      <c r="B117" s="18">
        <v>6.9</v>
      </c>
    </row>
    <row r="118" spans="1:2" x14ac:dyDescent="0.25">
      <c r="A118" s="12">
        <v>44914</v>
      </c>
      <c r="B118" s="18">
        <v>6.29</v>
      </c>
    </row>
    <row r="119" spans="1:2" x14ac:dyDescent="0.25">
      <c r="A119" s="12">
        <v>44921</v>
      </c>
      <c r="B119" s="18">
        <v>6.42</v>
      </c>
    </row>
    <row r="120" spans="1:2" x14ac:dyDescent="0.25">
      <c r="A120" s="12">
        <v>44928</v>
      </c>
      <c r="B120" s="18">
        <v>6.4</v>
      </c>
    </row>
    <row r="121" spans="1:2" x14ac:dyDescent="0.25">
      <c r="A121" s="12">
        <v>44935</v>
      </c>
      <c r="B121" s="18">
        <v>6.96</v>
      </c>
    </row>
    <row r="122" spans="1:2" x14ac:dyDescent="0.25">
      <c r="A122" s="12">
        <v>44942</v>
      </c>
      <c r="B122" s="18">
        <v>7.02</v>
      </c>
    </row>
    <row r="123" spans="1:2" x14ac:dyDescent="0.25">
      <c r="A123" s="12">
        <v>44949</v>
      </c>
      <c r="B123" s="18">
        <v>7.55</v>
      </c>
    </row>
    <row r="124" spans="1:2" x14ac:dyDescent="0.25">
      <c r="A124" s="12">
        <v>44956</v>
      </c>
      <c r="B124" s="18">
        <v>8.41</v>
      </c>
    </row>
    <row r="125" spans="1:2" x14ac:dyDescent="0.25">
      <c r="A125" s="12">
        <v>44963</v>
      </c>
      <c r="B125" s="18">
        <v>7.51</v>
      </c>
    </row>
    <row r="126" spans="1:2" x14ac:dyDescent="0.25">
      <c r="A126" s="12">
        <v>44970</v>
      </c>
      <c r="B126" s="18">
        <v>9.1999999999999993</v>
      </c>
    </row>
    <row r="127" spans="1:2" x14ac:dyDescent="0.25">
      <c r="A127" s="12">
        <v>44977</v>
      </c>
      <c r="B127" s="18">
        <v>8.09</v>
      </c>
    </row>
    <row r="128" spans="1:2" x14ac:dyDescent="0.25">
      <c r="A128" s="12">
        <v>44984</v>
      </c>
      <c r="B128" s="18">
        <v>8.33</v>
      </c>
    </row>
    <row r="129" spans="1:2" x14ac:dyDescent="0.25">
      <c r="A129" s="12">
        <v>44991</v>
      </c>
      <c r="B129" s="18">
        <v>7.35</v>
      </c>
    </row>
    <row r="130" spans="1:2" x14ac:dyDescent="0.25">
      <c r="A130" s="12">
        <v>44998</v>
      </c>
      <c r="B130" s="18">
        <v>7.88</v>
      </c>
    </row>
    <row r="131" spans="1:2" x14ac:dyDescent="0.25">
      <c r="A131" s="12">
        <v>45005</v>
      </c>
      <c r="B131" s="18">
        <v>8.1999999999999993</v>
      </c>
    </row>
    <row r="132" spans="1:2" x14ac:dyDescent="0.25">
      <c r="A132" s="12">
        <v>45012</v>
      </c>
      <c r="B132" s="18">
        <v>8.4499999999999993</v>
      </c>
    </row>
    <row r="133" spans="1:2" x14ac:dyDescent="0.25">
      <c r="A133" s="12">
        <v>45019</v>
      </c>
      <c r="B133" s="18">
        <v>8.09</v>
      </c>
    </row>
    <row r="134" spans="1:2" x14ac:dyDescent="0.25">
      <c r="A134" s="12">
        <v>45026</v>
      </c>
      <c r="B134" s="18">
        <v>8.81</v>
      </c>
    </row>
    <row r="135" spans="1:2" x14ac:dyDescent="0.25">
      <c r="A135" s="12">
        <v>45033</v>
      </c>
      <c r="B135" s="18">
        <v>8.18</v>
      </c>
    </row>
    <row r="136" spans="1:2" x14ac:dyDescent="0.25">
      <c r="A136" s="12">
        <v>45040</v>
      </c>
      <c r="B136" s="18">
        <v>7.75</v>
      </c>
    </row>
    <row r="137" spans="1:2" x14ac:dyDescent="0.25">
      <c r="A137" s="12">
        <v>45047</v>
      </c>
      <c r="B137" s="18">
        <v>7.41</v>
      </c>
    </row>
    <row r="138" spans="1:2" x14ac:dyDescent="0.25">
      <c r="A138" s="12">
        <v>45054</v>
      </c>
      <c r="B138" s="18">
        <v>9.5</v>
      </c>
    </row>
    <row r="139" spans="1:2" x14ac:dyDescent="0.25">
      <c r="A139" s="12">
        <v>45061</v>
      </c>
      <c r="B139" s="18">
        <v>11.71</v>
      </c>
    </row>
    <row r="140" spans="1:2" x14ac:dyDescent="0.25">
      <c r="A140" s="12">
        <v>45068</v>
      </c>
      <c r="B140" s="18">
        <v>13.65</v>
      </c>
    </row>
    <row r="141" spans="1:2" x14ac:dyDescent="0.25">
      <c r="A141" s="12">
        <v>45075</v>
      </c>
      <c r="B141" s="18">
        <v>14.52</v>
      </c>
    </row>
    <row r="142" spans="1:2" x14ac:dyDescent="0.25">
      <c r="A142" s="12">
        <v>45082</v>
      </c>
      <c r="B142" s="18">
        <v>15.02</v>
      </c>
    </row>
    <row r="143" spans="1:2" x14ac:dyDescent="0.25">
      <c r="A143" s="12">
        <v>45089</v>
      </c>
      <c r="B143" s="18">
        <v>16.299999</v>
      </c>
    </row>
    <row r="144" spans="1:2" x14ac:dyDescent="0.25">
      <c r="A144" s="12">
        <v>45096</v>
      </c>
      <c r="B144" s="18">
        <v>14.03</v>
      </c>
    </row>
    <row r="145" spans="1:2" x14ac:dyDescent="0.25">
      <c r="A145" s="12">
        <v>45103</v>
      </c>
      <c r="B145" s="18">
        <v>15.33</v>
      </c>
    </row>
    <row r="146" spans="1:2" x14ac:dyDescent="0.25">
      <c r="A146" s="12">
        <v>45110</v>
      </c>
      <c r="B146" s="18">
        <v>15.34</v>
      </c>
    </row>
    <row r="147" spans="1:2" x14ac:dyDescent="0.25">
      <c r="A147" s="12">
        <v>45117</v>
      </c>
      <c r="B147" s="18">
        <v>16.399999999999999</v>
      </c>
    </row>
    <row r="148" spans="1:2" x14ac:dyDescent="0.25">
      <c r="A148" s="12">
        <v>45124</v>
      </c>
      <c r="B148" s="18">
        <v>16.43</v>
      </c>
    </row>
    <row r="149" spans="1:2" x14ac:dyDescent="0.25">
      <c r="A149" s="12">
        <v>45131</v>
      </c>
      <c r="B149" s="18">
        <v>17.809999000000001</v>
      </c>
    </row>
    <row r="150" spans="1:2" x14ac:dyDescent="0.25">
      <c r="A150" s="12">
        <v>45138</v>
      </c>
      <c r="B150" s="18">
        <v>18.200001</v>
      </c>
    </row>
    <row r="151" spans="1:2" x14ac:dyDescent="0.25">
      <c r="A151" s="12">
        <v>45145</v>
      </c>
      <c r="B151" s="18">
        <v>15.41</v>
      </c>
    </row>
    <row r="152" spans="1:2" x14ac:dyDescent="0.25">
      <c r="A152" s="12">
        <v>45152</v>
      </c>
      <c r="B152" s="18">
        <v>14.4</v>
      </c>
    </row>
    <row r="153" spans="1:2" x14ac:dyDescent="0.25">
      <c r="A153" s="12">
        <v>45159</v>
      </c>
      <c r="B153" s="18">
        <v>14.53</v>
      </c>
    </row>
    <row r="154" spans="1:2" x14ac:dyDescent="0.25">
      <c r="A154" s="12">
        <v>45166</v>
      </c>
      <c r="B154" s="18">
        <v>15.18</v>
      </c>
    </row>
    <row r="155" spans="1:2" x14ac:dyDescent="0.25">
      <c r="A155" s="12">
        <v>45173</v>
      </c>
      <c r="B155" s="18">
        <v>15.13</v>
      </c>
    </row>
    <row r="156" spans="1:2" x14ac:dyDescent="0.25">
      <c r="A156" s="12">
        <v>45180</v>
      </c>
      <c r="B156" s="18">
        <v>15.33</v>
      </c>
    </row>
    <row r="157" spans="1:2" x14ac:dyDescent="0.25">
      <c r="A157" s="12">
        <v>45187</v>
      </c>
      <c r="B157" s="18">
        <v>14.13</v>
      </c>
    </row>
    <row r="158" spans="1:2" x14ac:dyDescent="0.25">
      <c r="A158" s="12">
        <v>45194</v>
      </c>
      <c r="B158" s="18">
        <v>16</v>
      </c>
    </row>
    <row r="159" spans="1:2" x14ac:dyDescent="0.25">
      <c r="A159" s="12">
        <v>45201</v>
      </c>
      <c r="B159" s="18">
        <v>16.610001</v>
      </c>
    </row>
    <row r="160" spans="1:2" x14ac:dyDescent="0.25">
      <c r="A160" s="12">
        <v>45208</v>
      </c>
      <c r="B160" s="18">
        <v>17.360001</v>
      </c>
    </row>
    <row r="161" spans="1:2" x14ac:dyDescent="0.25">
      <c r="A161" s="12">
        <v>45215</v>
      </c>
      <c r="B161" s="18">
        <v>16.110001</v>
      </c>
    </row>
    <row r="162" spans="1:2" x14ac:dyDescent="0.25">
      <c r="A162" s="12">
        <v>45222</v>
      </c>
      <c r="B162" s="18">
        <v>15.07</v>
      </c>
    </row>
    <row r="163" spans="1:2" x14ac:dyDescent="0.25">
      <c r="A163" s="12">
        <v>45229</v>
      </c>
      <c r="B163" s="18">
        <v>18.889999</v>
      </c>
    </row>
    <row r="164" spans="1:2" x14ac:dyDescent="0.25">
      <c r="A164" s="12">
        <v>45236</v>
      </c>
      <c r="B164" s="18">
        <v>19.670000000000002</v>
      </c>
    </row>
    <row r="165" spans="1:2" x14ac:dyDescent="0.25">
      <c r="A165" s="12">
        <v>45243</v>
      </c>
      <c r="B165" s="18">
        <v>20.49</v>
      </c>
    </row>
    <row r="166" spans="1:2" x14ac:dyDescent="0.25">
      <c r="A166" s="12">
        <v>45250</v>
      </c>
      <c r="B166" s="18">
        <v>19.200001</v>
      </c>
    </row>
    <row r="167" spans="1:2" x14ac:dyDescent="0.25">
      <c r="A167" s="12">
        <v>45257</v>
      </c>
      <c r="B167" s="18">
        <v>20.27</v>
      </c>
    </row>
    <row r="168" spans="1:2" x14ac:dyDescent="0.25">
      <c r="A168" s="12">
        <v>45264</v>
      </c>
      <c r="B168" s="18">
        <v>17.77</v>
      </c>
    </row>
    <row r="169" spans="1:2" x14ac:dyDescent="0.25">
      <c r="A169" s="12">
        <v>45271</v>
      </c>
      <c r="B169" s="18">
        <v>18.200001</v>
      </c>
    </row>
    <row r="170" spans="1:2" x14ac:dyDescent="0.25">
      <c r="A170" s="12">
        <v>45278</v>
      </c>
      <c r="B170" s="18">
        <v>17.41</v>
      </c>
    </row>
    <row r="171" spans="1:2" x14ac:dyDescent="0.25">
      <c r="A171" s="12">
        <v>45285</v>
      </c>
      <c r="B171" s="18">
        <v>17.170000000000002</v>
      </c>
    </row>
    <row r="172" spans="1:2" x14ac:dyDescent="0.25">
      <c r="A172" s="12">
        <v>45292</v>
      </c>
      <c r="B172" s="18">
        <v>15.98</v>
      </c>
    </row>
    <row r="173" spans="1:2" x14ac:dyDescent="0.25">
      <c r="A173" s="12">
        <v>45299</v>
      </c>
      <c r="B173" s="18">
        <v>16.760000000000002</v>
      </c>
    </row>
    <row r="174" spans="1:2" x14ac:dyDescent="0.25">
      <c r="A174" s="12">
        <v>45306</v>
      </c>
      <c r="B174" s="18">
        <v>16.780000999999999</v>
      </c>
    </row>
    <row r="175" spans="1:2" x14ac:dyDescent="0.25">
      <c r="A175" s="12">
        <v>45313</v>
      </c>
      <c r="B175" s="18">
        <v>16.350000000000001</v>
      </c>
    </row>
    <row r="176" spans="1:2" x14ac:dyDescent="0.25">
      <c r="A176" s="12">
        <v>45320</v>
      </c>
      <c r="B176" s="18">
        <v>17.02</v>
      </c>
    </row>
    <row r="177" spans="1:2" x14ac:dyDescent="0.25">
      <c r="A177" s="12">
        <v>45327</v>
      </c>
      <c r="B177" s="18">
        <v>24.379999000000002</v>
      </c>
    </row>
    <row r="178" spans="1:2" x14ac:dyDescent="0.25">
      <c r="A178" s="12">
        <v>45334</v>
      </c>
      <c r="B178" s="18">
        <v>24.440000999999999</v>
      </c>
    </row>
    <row r="179" spans="1:2" x14ac:dyDescent="0.25">
      <c r="A179" s="12">
        <v>45341</v>
      </c>
      <c r="B179" s="18">
        <v>22.969999000000001</v>
      </c>
    </row>
    <row r="180" spans="1:2" x14ac:dyDescent="0.25">
      <c r="A180" s="12">
        <v>45348</v>
      </c>
      <c r="B180" s="18">
        <v>24.93</v>
      </c>
    </row>
    <row r="181" spans="1:2" x14ac:dyDescent="0.25">
      <c r="A181" s="12">
        <v>45355</v>
      </c>
      <c r="B181" s="18">
        <v>26.040001</v>
      </c>
    </row>
    <row r="182" spans="1:2" x14ac:dyDescent="0.25">
      <c r="A182" s="12">
        <v>45362</v>
      </c>
      <c r="B182" s="18">
        <v>23.49</v>
      </c>
    </row>
    <row r="183" spans="1:2" x14ac:dyDescent="0.25">
      <c r="A183" s="12">
        <v>45369</v>
      </c>
      <c r="B183" s="18">
        <v>24.18</v>
      </c>
    </row>
    <row r="184" spans="1:2" x14ac:dyDescent="0.25">
      <c r="A184" s="12">
        <v>45376</v>
      </c>
      <c r="B184" s="18">
        <v>24.51</v>
      </c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P188"/>
  <sheetViews>
    <sheetView topLeftCell="A33" workbookViewId="0">
      <selection activeCell="H61" sqref="H61"/>
    </sheetView>
  </sheetViews>
  <sheetFormatPr defaultRowHeight="15" x14ac:dyDescent="0.25"/>
  <cols>
    <col min="1" max="1" width="10.140625" bestFit="1" customWidth="1"/>
    <col min="7" max="7" width="18.140625" bestFit="1" customWidth="1"/>
    <col min="8" max="8" width="13.140625" customWidth="1"/>
    <col min="9" max="9" width="15.7109375" customWidth="1"/>
    <col min="10" max="10" width="23.5703125" customWidth="1"/>
    <col min="11" max="11" width="25.7109375" bestFit="1" customWidth="1"/>
    <col min="12" max="12" width="22" bestFit="1" customWidth="1"/>
  </cols>
  <sheetData>
    <row r="1" spans="1:16" ht="16.5" thickBot="1" x14ac:dyDescent="0.3">
      <c r="A1" t="s">
        <v>51</v>
      </c>
      <c r="B1" t="s">
        <v>0</v>
      </c>
      <c r="C1" t="s">
        <v>94</v>
      </c>
      <c r="G1" s="139" t="s">
        <v>134</v>
      </c>
      <c r="H1" s="140"/>
      <c r="I1" s="140"/>
      <c r="J1" s="140"/>
      <c r="K1" s="140"/>
      <c r="L1" s="141"/>
    </row>
    <row r="2" spans="1:16" ht="15.75" thickBot="1" x14ac:dyDescent="0.3">
      <c r="A2" s="12">
        <v>45404</v>
      </c>
      <c r="B2" s="18">
        <v>21.59</v>
      </c>
      <c r="C2" s="118">
        <f>B2/B3-1</f>
        <v>5.4714215925744991E-2</v>
      </c>
      <c r="G2" s="55"/>
      <c r="H2" s="56"/>
      <c r="I2" s="56"/>
      <c r="J2" s="56"/>
      <c r="K2" s="56"/>
      <c r="L2" s="57"/>
    </row>
    <row r="3" spans="1:16" ht="15.75" thickBot="1" x14ac:dyDescent="0.3">
      <c r="A3" s="12">
        <v>45397</v>
      </c>
      <c r="B3" s="18">
        <v>20.47</v>
      </c>
      <c r="C3" s="118">
        <f>B3/B4-1</f>
        <v>-9.7044552271724815E-2</v>
      </c>
      <c r="G3" s="58" t="s">
        <v>109</v>
      </c>
      <c r="H3" s="77" t="s">
        <v>110</v>
      </c>
      <c r="I3" s="59" t="s">
        <v>111</v>
      </c>
      <c r="J3" s="60" t="s">
        <v>104</v>
      </c>
      <c r="K3" s="60" t="s">
        <v>112</v>
      </c>
      <c r="L3" s="61" t="s">
        <v>113</v>
      </c>
      <c r="P3" t="s">
        <v>133</v>
      </c>
    </row>
    <row r="4" spans="1:16" x14ac:dyDescent="0.25">
      <c r="A4" s="12">
        <v>45390</v>
      </c>
      <c r="B4" s="18">
        <v>22.67</v>
      </c>
      <c r="C4" s="118">
        <f t="shared" ref="C4:C67" si="0">B4/B5-1</f>
        <v>-1.2630662020905903E-2</v>
      </c>
      <c r="G4" s="62">
        <f>$H$19-3*$H$23</f>
        <v>-0.30196155743324171</v>
      </c>
      <c r="H4" s="63">
        <f>G4</f>
        <v>-0.30196155743324171</v>
      </c>
      <c r="I4" s="64">
        <f>COUNTIF(C:C,"&lt;="&amp;G4)</f>
        <v>0</v>
      </c>
      <c r="J4" s="64" t="str">
        <f>"Less than "&amp;TEXT(G4,"0,00%")</f>
        <v>Less than -30,20%</v>
      </c>
      <c r="K4" s="65">
        <f>I4/$H$31</f>
        <v>0</v>
      </c>
      <c r="L4" s="66">
        <f>K4</f>
        <v>0</v>
      </c>
    </row>
    <row r="5" spans="1:16" x14ac:dyDescent="0.25">
      <c r="A5" s="12">
        <v>45383</v>
      </c>
      <c r="B5" s="18">
        <v>22.96</v>
      </c>
      <c r="C5" s="118">
        <f t="shared" si="0"/>
        <v>-2.1729682746631784E-3</v>
      </c>
      <c r="G5" s="67">
        <f>$H$19-2.4*$H$23</f>
        <v>-0.2395044379089247</v>
      </c>
      <c r="H5" s="68">
        <f>G5</f>
        <v>-0.2395044379089247</v>
      </c>
      <c r="I5" s="69">
        <f>COUNTIFS(C:C,"&lt;="&amp;G5,C:C,"&gt;"&amp;G4)</f>
        <v>0</v>
      </c>
      <c r="J5" s="70" t="str">
        <f t="shared" ref="J5:J14" si="1">TEXT(G4,"0,00%")&amp;" to "&amp;TEXT(G5,"0,00%")</f>
        <v>-30,20% to -23,95%</v>
      </c>
      <c r="K5" s="71">
        <f>I5/$H$31</f>
        <v>0</v>
      </c>
      <c r="L5" s="72">
        <f>L4+K5</f>
        <v>0</v>
      </c>
    </row>
    <row r="6" spans="1:16" x14ac:dyDescent="0.25">
      <c r="A6" s="12">
        <v>45376</v>
      </c>
      <c r="B6" s="18">
        <v>23.01</v>
      </c>
      <c r="C6" s="118">
        <f t="shared" si="0"/>
        <v>-4.8387096774193505E-2</v>
      </c>
      <c r="G6" s="67">
        <f>$H$19-1.8*$H$23</f>
        <v>-0.17704731838460766</v>
      </c>
      <c r="H6" s="68">
        <f t="shared" ref="H6:H14" si="2">G6</f>
        <v>-0.17704731838460766</v>
      </c>
      <c r="I6" s="69">
        <f t="shared" ref="I6:I14" si="3">COUNTIFS(C:C,"&lt;="&amp;G6,C:C,"&gt;"&amp;G5)</f>
        <v>0</v>
      </c>
      <c r="J6" s="70" t="str">
        <f t="shared" si="1"/>
        <v>-23,95% to -17,70%</v>
      </c>
      <c r="K6" s="71">
        <f t="shared" ref="K6:K15" si="4">I6/$H$31</f>
        <v>0</v>
      </c>
      <c r="L6" s="72">
        <f t="shared" ref="L6:L15" si="5">L5+K6</f>
        <v>0</v>
      </c>
    </row>
    <row r="7" spans="1:16" x14ac:dyDescent="0.25">
      <c r="A7" s="12">
        <v>45369</v>
      </c>
      <c r="B7" s="18">
        <v>24.18</v>
      </c>
      <c r="C7" s="118">
        <f t="shared" si="0"/>
        <v>2.9374201787994991E-2</v>
      </c>
      <c r="G7" s="67">
        <f>$H$19-1.2*$H$23</f>
        <v>-0.11459019886029058</v>
      </c>
      <c r="H7" s="68">
        <f t="shared" si="2"/>
        <v>-0.11459019886029058</v>
      </c>
      <c r="I7" s="69">
        <f t="shared" si="3"/>
        <v>18</v>
      </c>
      <c r="J7" s="70" t="str">
        <f t="shared" si="1"/>
        <v>-17,70% to -11,46%</v>
      </c>
      <c r="K7" s="71">
        <f t="shared" si="4"/>
        <v>9.9447513812154692E-2</v>
      </c>
      <c r="L7" s="72">
        <f t="shared" si="5"/>
        <v>9.9447513812154692E-2</v>
      </c>
    </row>
    <row r="8" spans="1:16" x14ac:dyDescent="0.25">
      <c r="A8" s="12">
        <v>45362</v>
      </c>
      <c r="B8" s="18">
        <v>23.49</v>
      </c>
      <c r="C8" s="118">
        <f t="shared" si="0"/>
        <v>-9.7926301922953152E-2</v>
      </c>
      <c r="G8" s="67">
        <f>$H$19-0.6*$H$23</f>
        <v>-5.2133079335973533E-2</v>
      </c>
      <c r="H8" s="68">
        <f t="shared" si="2"/>
        <v>-5.2133079335973533E-2</v>
      </c>
      <c r="I8" s="69">
        <f t="shared" si="3"/>
        <v>34</v>
      </c>
      <c r="J8" s="70" t="str">
        <f t="shared" si="1"/>
        <v>-11,46% to -5,21%</v>
      </c>
      <c r="K8" s="71">
        <f t="shared" si="4"/>
        <v>0.18784530386740331</v>
      </c>
      <c r="L8" s="72">
        <f t="shared" si="5"/>
        <v>0.287292817679558</v>
      </c>
    </row>
    <row r="9" spans="1:16" x14ac:dyDescent="0.25">
      <c r="A9" s="12">
        <v>45355</v>
      </c>
      <c r="B9" s="18">
        <v>26.040001</v>
      </c>
      <c r="C9" s="118">
        <f t="shared" si="0"/>
        <v>4.4524709185719935E-2</v>
      </c>
      <c r="G9" s="67">
        <f>$H$19</f>
        <v>1.0324040188343523E-2</v>
      </c>
      <c r="H9" s="68">
        <f t="shared" si="2"/>
        <v>1.0324040188343523E-2</v>
      </c>
      <c r="I9" s="69">
        <f t="shared" si="3"/>
        <v>47</v>
      </c>
      <c r="J9" s="70" t="str">
        <f t="shared" si="1"/>
        <v>-5,21% to 1,03%</v>
      </c>
      <c r="K9" s="71">
        <f t="shared" si="4"/>
        <v>0.25966850828729282</v>
      </c>
      <c r="L9" s="72">
        <f t="shared" si="5"/>
        <v>0.54696132596685088</v>
      </c>
    </row>
    <row r="10" spans="1:16" x14ac:dyDescent="0.25">
      <c r="A10" s="12">
        <v>45348</v>
      </c>
      <c r="B10" s="18">
        <v>24.93</v>
      </c>
      <c r="C10" s="118">
        <f t="shared" si="0"/>
        <v>8.5328736844960229E-2</v>
      </c>
      <c r="G10" s="67">
        <f>$H$19+0.6*$H$23</f>
        <v>7.2781159712660581E-2</v>
      </c>
      <c r="H10" s="68">
        <f t="shared" si="2"/>
        <v>7.2781159712660581E-2</v>
      </c>
      <c r="I10" s="69">
        <f t="shared" si="3"/>
        <v>52</v>
      </c>
      <c r="J10" s="70" t="str">
        <f t="shared" si="1"/>
        <v>1,03% to 7,28%</v>
      </c>
      <c r="K10" s="71">
        <f t="shared" si="4"/>
        <v>0.287292817679558</v>
      </c>
      <c r="L10" s="72">
        <f t="shared" si="5"/>
        <v>0.83425414364640882</v>
      </c>
    </row>
    <row r="11" spans="1:16" x14ac:dyDescent="0.25">
      <c r="A11" s="12">
        <v>45341</v>
      </c>
      <c r="B11" s="18">
        <v>22.969999000000001</v>
      </c>
      <c r="C11" s="118">
        <f t="shared" si="0"/>
        <v>-6.0147378881040048E-2</v>
      </c>
      <c r="G11" s="67">
        <f>$H$19+1.2*$H$23</f>
        <v>0.13523827923697762</v>
      </c>
      <c r="H11" s="68">
        <f t="shared" si="2"/>
        <v>0.13523827923697762</v>
      </c>
      <c r="I11" s="69">
        <f t="shared" si="3"/>
        <v>21</v>
      </c>
      <c r="J11" s="70" t="str">
        <f t="shared" si="1"/>
        <v>7,28% to 13,52%</v>
      </c>
      <c r="K11" s="71">
        <f t="shared" si="4"/>
        <v>0.11602209944751381</v>
      </c>
      <c r="L11" s="72">
        <f t="shared" si="5"/>
        <v>0.95027624309392267</v>
      </c>
    </row>
    <row r="12" spans="1:16" x14ac:dyDescent="0.25">
      <c r="A12" s="12">
        <v>45334</v>
      </c>
      <c r="B12" s="18">
        <v>24.440000999999999</v>
      </c>
      <c r="C12" s="118">
        <f t="shared" si="0"/>
        <v>2.4611157695288988E-3</v>
      </c>
      <c r="G12" s="67">
        <f>$H$19+1.8*$H$23</f>
        <v>0.19769539876129469</v>
      </c>
      <c r="H12" s="68">
        <f t="shared" si="2"/>
        <v>0.19769539876129469</v>
      </c>
      <c r="I12" s="69">
        <f t="shared" si="3"/>
        <v>5</v>
      </c>
      <c r="J12" s="70" t="str">
        <f t="shared" si="1"/>
        <v>13,52% to 19,77%</v>
      </c>
      <c r="K12" s="71">
        <f t="shared" si="4"/>
        <v>2.7624309392265192E-2</v>
      </c>
      <c r="L12" s="72">
        <f t="shared" si="5"/>
        <v>0.9779005524861879</v>
      </c>
    </row>
    <row r="13" spans="1:16" x14ac:dyDescent="0.25">
      <c r="A13" s="12">
        <v>45327</v>
      </c>
      <c r="B13" s="18">
        <v>24.379999000000002</v>
      </c>
      <c r="C13" s="118">
        <f t="shared" si="0"/>
        <v>0.43243237367802601</v>
      </c>
      <c r="G13" s="67">
        <f>$H$19+2.4*$H$23</f>
        <v>0.26015251828561176</v>
      </c>
      <c r="H13" s="68">
        <f t="shared" si="2"/>
        <v>0.26015251828561176</v>
      </c>
      <c r="I13" s="69">
        <f t="shared" si="3"/>
        <v>4</v>
      </c>
      <c r="J13" s="70" t="str">
        <f t="shared" si="1"/>
        <v>19,77% to 26,02%</v>
      </c>
      <c r="K13" s="71">
        <f t="shared" si="4"/>
        <v>2.2099447513812154E-2</v>
      </c>
      <c r="L13" s="72">
        <f t="shared" si="5"/>
        <v>1</v>
      </c>
    </row>
    <row r="14" spans="1:16" x14ac:dyDescent="0.25">
      <c r="A14" s="12">
        <v>45320</v>
      </c>
      <c r="B14" s="18">
        <v>17.02</v>
      </c>
      <c r="C14" s="118">
        <f t="shared" si="0"/>
        <v>4.0978593272171127E-2</v>
      </c>
      <c r="G14" s="67">
        <f>$H$19+3*$H$23</f>
        <v>0.3226096378099288</v>
      </c>
      <c r="H14" s="68">
        <f t="shared" si="2"/>
        <v>0.3226096378099288</v>
      </c>
      <c r="I14" s="69">
        <f t="shared" si="3"/>
        <v>2</v>
      </c>
      <c r="J14" s="70" t="str">
        <f t="shared" si="1"/>
        <v>26,02% to 32,26%</v>
      </c>
      <c r="K14" s="71">
        <f t="shared" si="4"/>
        <v>1.1049723756906077E-2</v>
      </c>
      <c r="L14" s="72">
        <f t="shared" si="5"/>
        <v>1.011049723756906</v>
      </c>
    </row>
    <row r="15" spans="1:16" ht="15.75" thickBot="1" x14ac:dyDescent="0.3">
      <c r="A15" s="12">
        <v>45313</v>
      </c>
      <c r="B15" s="18">
        <v>16.350000000000001</v>
      </c>
      <c r="C15" s="118">
        <f t="shared" si="0"/>
        <v>-2.5625803002037761E-2</v>
      </c>
      <c r="G15" s="73"/>
      <c r="H15" s="74" t="s">
        <v>114</v>
      </c>
      <c r="I15" s="74">
        <f>COUNTIF(C:C,"&gt;"&amp;G14)</f>
        <v>3</v>
      </c>
      <c r="J15" s="74" t="str">
        <f>"Greater than "&amp;TEXT(G14,"0,00%")</f>
        <v>Greater than 32,26%</v>
      </c>
      <c r="K15" s="76">
        <f t="shared" si="4"/>
        <v>1.6574585635359115E-2</v>
      </c>
      <c r="L15" s="76">
        <f t="shared" si="5"/>
        <v>1.0276243093922652</v>
      </c>
    </row>
    <row r="16" spans="1:16" ht="15.75" thickBot="1" x14ac:dyDescent="0.3">
      <c r="A16" s="12">
        <v>45306</v>
      </c>
      <c r="B16" s="18">
        <v>16.780000999999999</v>
      </c>
      <c r="C16" s="118">
        <f t="shared" si="0"/>
        <v>1.1933770883052475E-3</v>
      </c>
      <c r="G16" s="108"/>
      <c r="L16" s="80"/>
    </row>
    <row r="17" spans="1:12" x14ac:dyDescent="0.25">
      <c r="A17" s="12">
        <v>45299</v>
      </c>
      <c r="B17" s="18">
        <v>16.760000000000002</v>
      </c>
      <c r="C17" s="118">
        <f t="shared" si="0"/>
        <v>4.8811013767209088E-2</v>
      </c>
      <c r="G17" s="145" t="s">
        <v>95</v>
      </c>
      <c r="H17" s="146"/>
      <c r="L17" s="80"/>
    </row>
    <row r="18" spans="1:12" x14ac:dyDescent="0.25">
      <c r="A18" s="12">
        <v>45292</v>
      </c>
      <c r="B18" s="18">
        <v>15.98</v>
      </c>
      <c r="C18" s="118">
        <f t="shared" si="0"/>
        <v>-6.9306930693069368E-2</v>
      </c>
      <c r="G18" s="147"/>
      <c r="H18" s="148"/>
      <c r="L18" s="80"/>
    </row>
    <row r="19" spans="1:12" x14ac:dyDescent="0.25">
      <c r="A19" s="12">
        <v>45285</v>
      </c>
      <c r="B19" s="18">
        <v>17.170000000000002</v>
      </c>
      <c r="C19" s="118">
        <f t="shared" si="0"/>
        <v>-1.378518093049963E-2</v>
      </c>
      <c r="G19" s="113" t="s">
        <v>96</v>
      </c>
      <c r="H19" s="114">
        <v>1.0324040188343523E-2</v>
      </c>
      <c r="L19" s="80"/>
    </row>
    <row r="20" spans="1:12" x14ac:dyDescent="0.25">
      <c r="A20" s="12">
        <v>45278</v>
      </c>
      <c r="B20" s="18">
        <v>17.41</v>
      </c>
      <c r="C20" s="118">
        <f t="shared" si="0"/>
        <v>-4.3406645966667767E-2</v>
      </c>
      <c r="G20" s="113" t="s">
        <v>97</v>
      </c>
      <c r="H20" s="114">
        <v>7.7373352223140783E-3</v>
      </c>
      <c r="L20" s="80"/>
    </row>
    <row r="21" spans="1:12" x14ac:dyDescent="0.25">
      <c r="A21" s="12">
        <v>45271</v>
      </c>
      <c r="B21" s="18">
        <v>18.200001</v>
      </c>
      <c r="C21" s="118">
        <f t="shared" si="0"/>
        <v>2.4198142937535305E-2</v>
      </c>
      <c r="G21" s="113" t="s">
        <v>98</v>
      </c>
      <c r="H21" s="114">
        <v>5.0668357930372387E-3</v>
      </c>
      <c r="L21" s="80"/>
    </row>
    <row r="22" spans="1:12" x14ac:dyDescent="0.25">
      <c r="A22" s="12">
        <v>45264</v>
      </c>
      <c r="B22" s="18">
        <v>17.77</v>
      </c>
      <c r="C22" s="118">
        <f t="shared" si="0"/>
        <v>-0.12333497779970404</v>
      </c>
      <c r="G22" s="113" t="s">
        <v>99</v>
      </c>
      <c r="H22" s="114"/>
      <c r="L22" s="80"/>
    </row>
    <row r="23" spans="1:12" x14ac:dyDescent="0.25">
      <c r="A23" s="12">
        <v>45257</v>
      </c>
      <c r="B23" s="18">
        <v>20.27</v>
      </c>
      <c r="C23" s="118">
        <f t="shared" si="0"/>
        <v>5.5729111680775434E-2</v>
      </c>
      <c r="G23" s="113" t="s">
        <v>100</v>
      </c>
      <c r="H23" s="114">
        <v>0.10409519920719509</v>
      </c>
      <c r="L23" s="80"/>
    </row>
    <row r="24" spans="1:12" x14ac:dyDescent="0.25">
      <c r="A24" s="12">
        <v>45250</v>
      </c>
      <c r="B24" s="18">
        <v>19.200001</v>
      </c>
      <c r="C24" s="118">
        <f t="shared" si="0"/>
        <v>-6.2957491459248338E-2</v>
      </c>
      <c r="G24" s="113" t="s">
        <v>101</v>
      </c>
      <c r="H24" s="114">
        <v>1.0835810497985631E-2</v>
      </c>
      <c r="L24" s="80"/>
    </row>
    <row r="25" spans="1:12" x14ac:dyDescent="0.25">
      <c r="A25" s="12">
        <v>45243</v>
      </c>
      <c r="B25" s="18">
        <v>20.49</v>
      </c>
      <c r="C25" s="118">
        <f t="shared" si="0"/>
        <v>4.1687849517030751E-2</v>
      </c>
      <c r="G25" s="113" t="s">
        <v>102</v>
      </c>
      <c r="H25" s="115">
        <v>4.4499182088364986</v>
      </c>
      <c r="L25" s="80"/>
    </row>
    <row r="26" spans="1:12" x14ac:dyDescent="0.25">
      <c r="A26" s="12">
        <v>45236</v>
      </c>
      <c r="B26" s="18">
        <v>19.670000000000002</v>
      </c>
      <c r="C26" s="118">
        <f t="shared" si="0"/>
        <v>4.1291743848160145E-2</v>
      </c>
      <c r="G26" s="113" t="s">
        <v>103</v>
      </c>
      <c r="H26" s="115">
        <v>1.4086978788475739</v>
      </c>
      <c r="L26" s="80"/>
    </row>
    <row r="27" spans="1:12" x14ac:dyDescent="0.25">
      <c r="A27" s="12">
        <v>45229</v>
      </c>
      <c r="B27" s="18">
        <v>18.889999</v>
      </c>
      <c r="C27" s="118">
        <f t="shared" si="0"/>
        <v>0.25348367617783674</v>
      </c>
      <c r="G27" s="113" t="s">
        <v>104</v>
      </c>
      <c r="H27" s="114">
        <v>0.69982901111427775</v>
      </c>
      <c r="L27" s="80"/>
    </row>
    <row r="28" spans="1:12" x14ac:dyDescent="0.25">
      <c r="A28" s="12">
        <v>45222</v>
      </c>
      <c r="B28" s="18">
        <v>15.07</v>
      </c>
      <c r="C28" s="118">
        <f t="shared" si="0"/>
        <v>-6.4556234354051223E-2</v>
      </c>
      <c r="G28" s="113" t="s">
        <v>105</v>
      </c>
      <c r="H28" s="114">
        <v>-0.17586206896551726</v>
      </c>
      <c r="L28" s="80"/>
    </row>
    <row r="29" spans="1:12" x14ac:dyDescent="0.25">
      <c r="A29" s="12">
        <v>45215</v>
      </c>
      <c r="B29" s="18">
        <v>16.110001</v>
      </c>
      <c r="C29" s="118">
        <f t="shared" si="0"/>
        <v>-7.2004604147200224E-2</v>
      </c>
      <c r="G29" s="113" t="s">
        <v>106</v>
      </c>
      <c r="H29" s="114">
        <v>0.5239669421487605</v>
      </c>
      <c r="L29" s="80"/>
    </row>
    <row r="30" spans="1:12" x14ac:dyDescent="0.25">
      <c r="A30" s="12">
        <v>45208</v>
      </c>
      <c r="B30" s="18">
        <v>17.360001</v>
      </c>
      <c r="C30" s="118">
        <f t="shared" si="0"/>
        <v>4.5153519256260211E-2</v>
      </c>
      <c r="G30" s="113" t="s">
        <v>107</v>
      </c>
      <c r="H30" s="115">
        <v>1.8686512740901775</v>
      </c>
      <c r="L30" s="80"/>
    </row>
    <row r="31" spans="1:12" ht="15.75" thickBot="1" x14ac:dyDescent="0.3">
      <c r="A31" s="12">
        <v>45201</v>
      </c>
      <c r="B31" s="18">
        <v>16.610001</v>
      </c>
      <c r="C31" s="118">
        <f t="shared" si="0"/>
        <v>3.8125062500000029E-2</v>
      </c>
      <c r="G31" s="112" t="s">
        <v>108</v>
      </c>
      <c r="H31" s="94">
        <v>181</v>
      </c>
      <c r="L31" s="80"/>
    </row>
    <row r="32" spans="1:12" ht="15.75" thickBot="1" x14ac:dyDescent="0.3">
      <c r="A32" s="12">
        <v>45194</v>
      </c>
      <c r="B32" s="18">
        <v>16</v>
      </c>
      <c r="C32" s="118">
        <f t="shared" si="0"/>
        <v>0.13234253361641901</v>
      </c>
      <c r="G32" s="111"/>
      <c r="L32" s="80"/>
    </row>
    <row r="33" spans="1:12" x14ac:dyDescent="0.25">
      <c r="A33" s="12">
        <v>45187</v>
      </c>
      <c r="B33" s="18">
        <v>14.13</v>
      </c>
      <c r="C33" s="118">
        <f t="shared" si="0"/>
        <v>-7.8277886497064575E-2</v>
      </c>
      <c r="G33" s="109"/>
      <c r="H33" s="78" t="s">
        <v>115</v>
      </c>
      <c r="I33" s="78" t="s">
        <v>108</v>
      </c>
      <c r="J33" s="78" t="s">
        <v>116</v>
      </c>
      <c r="K33" s="79" t="s">
        <v>117</v>
      </c>
      <c r="L33" s="80"/>
    </row>
    <row r="34" spans="1:12" x14ac:dyDescent="0.25">
      <c r="A34" s="12">
        <v>45180</v>
      </c>
      <c r="B34" s="18">
        <v>15.33</v>
      </c>
      <c r="C34" s="118">
        <f t="shared" si="0"/>
        <v>1.3218770654329193E-2</v>
      </c>
      <c r="G34" s="106" t="s">
        <v>118</v>
      </c>
      <c r="H34" s="71">
        <f>AVERAGEIF(C:C,"&gt;0")</f>
        <v>7.8537793421395052E-2</v>
      </c>
      <c r="I34" s="69">
        <f>COUNTIF(C:C,"&gt;0")</f>
        <v>99</v>
      </c>
      <c r="J34" s="71">
        <f>I34/$H$31</f>
        <v>0.54696132596685088</v>
      </c>
      <c r="K34" s="72">
        <f>J34*H34</f>
        <v>4.2957135628276855E-2</v>
      </c>
      <c r="L34" s="80"/>
    </row>
    <row r="35" spans="1:12" x14ac:dyDescent="0.25">
      <c r="A35" s="12">
        <v>45173</v>
      </c>
      <c r="B35" s="18">
        <v>15.13</v>
      </c>
      <c r="C35" s="118">
        <f t="shared" si="0"/>
        <v>-3.2938076416336726E-3</v>
      </c>
      <c r="G35" s="106" t="s">
        <v>119</v>
      </c>
      <c r="H35" s="71">
        <f>AVERAGEIF(C:C,"&lt;0")</f>
        <v>-6.9104728023490519E-2</v>
      </c>
      <c r="I35" s="69">
        <f>COUNTIF(C:C,"&lt;0")</f>
        <v>87</v>
      </c>
      <c r="J35" s="71">
        <f>I35/$H$31</f>
        <v>0.48066298342541436</v>
      </c>
      <c r="K35" s="72">
        <f t="shared" ref="K35:K36" si="6">J35*H35</f>
        <v>-3.321608474057279E-2</v>
      </c>
      <c r="L35" s="80"/>
    </row>
    <row r="36" spans="1:12" ht="15.75" thickBot="1" x14ac:dyDescent="0.3">
      <c r="A36" s="12">
        <v>45166</v>
      </c>
      <c r="B36" s="18">
        <v>15.18</v>
      </c>
      <c r="C36" s="118">
        <f t="shared" si="0"/>
        <v>4.4735030970405987E-2</v>
      </c>
      <c r="G36" s="110" t="s">
        <v>120</v>
      </c>
      <c r="H36" s="74">
        <v>0</v>
      </c>
      <c r="I36" s="74">
        <f>COUNTIF(C:C,"0")</f>
        <v>0</v>
      </c>
      <c r="J36" s="75">
        <f>I36/$H$31</f>
        <v>0</v>
      </c>
      <c r="K36" s="76">
        <f t="shared" si="6"/>
        <v>0</v>
      </c>
      <c r="L36" s="80"/>
    </row>
    <row r="37" spans="1:12" ht="15.75" thickBot="1" x14ac:dyDescent="0.3">
      <c r="A37" s="12">
        <v>45159</v>
      </c>
      <c r="B37" s="18">
        <v>14.53</v>
      </c>
      <c r="C37" s="118">
        <f t="shared" si="0"/>
        <v>9.0277777777776347E-3</v>
      </c>
      <c r="G37" s="111"/>
      <c r="H37" s="81"/>
      <c r="I37" s="81"/>
      <c r="J37" s="81"/>
      <c r="K37" s="81"/>
      <c r="L37" s="80"/>
    </row>
    <row r="38" spans="1:12" x14ac:dyDescent="0.25">
      <c r="A38" s="12">
        <v>45152</v>
      </c>
      <c r="B38" s="18">
        <v>14.4</v>
      </c>
      <c r="C38" s="118">
        <f t="shared" si="0"/>
        <v>-6.5541855937702787E-2</v>
      </c>
      <c r="G38" s="62" t="s">
        <v>121</v>
      </c>
      <c r="H38" s="78" t="s">
        <v>122</v>
      </c>
      <c r="I38" s="78" t="s">
        <v>123</v>
      </c>
      <c r="J38" s="78" t="s">
        <v>124</v>
      </c>
      <c r="K38" s="78" t="s">
        <v>125</v>
      </c>
      <c r="L38" s="79" t="s">
        <v>126</v>
      </c>
    </row>
    <row r="39" spans="1:12" x14ac:dyDescent="0.25">
      <c r="A39" s="12">
        <v>45145</v>
      </c>
      <c r="B39" s="18">
        <v>15.41</v>
      </c>
      <c r="C39" s="118">
        <f t="shared" si="0"/>
        <v>-0.15329674981885988</v>
      </c>
      <c r="G39" s="107">
        <v>1</v>
      </c>
      <c r="H39" s="71">
        <f>$H$19+($G39*$H$23)</f>
        <v>0.11441923939553862</v>
      </c>
      <c r="I39" s="71">
        <f>$H$19-($G39*$H$23)</f>
        <v>-9.3771159018851566E-2</v>
      </c>
      <c r="J39" s="69">
        <f>COUNTIFS(C:C,"&lt;"&amp;H39,C:C,"&gt;"&amp;I39)</f>
        <v>145</v>
      </c>
      <c r="K39" s="71">
        <f>J39/$H$31</f>
        <v>0.80110497237569056</v>
      </c>
      <c r="L39" s="72">
        <v>0.68269999999999997</v>
      </c>
    </row>
    <row r="40" spans="1:12" x14ac:dyDescent="0.25">
      <c r="A40" s="12">
        <v>45138</v>
      </c>
      <c r="B40" s="18">
        <v>18.200001</v>
      </c>
      <c r="C40" s="118">
        <f t="shared" si="0"/>
        <v>2.1897923744970349E-2</v>
      </c>
      <c r="G40" s="107">
        <v>2</v>
      </c>
      <c r="H40" s="71">
        <f>$H$19+($G40*$H$23)</f>
        <v>0.2185144386027337</v>
      </c>
      <c r="I40" s="71">
        <f>$H$19-($G40*$H$23)</f>
        <v>-0.19786635822604667</v>
      </c>
      <c r="J40" s="69">
        <f>COUNTIFS(C:C,"&lt;"&amp;H40,C:C,"&gt;"&amp;I40)</f>
        <v>177</v>
      </c>
      <c r="K40" s="71">
        <f>J40/$H$31</f>
        <v>0.97790055248618779</v>
      </c>
      <c r="L40" s="72">
        <v>0.95450000000000002</v>
      </c>
    </row>
    <row r="41" spans="1:12" x14ac:dyDescent="0.25">
      <c r="A41" s="12">
        <v>45131</v>
      </c>
      <c r="B41" s="18">
        <v>17.809999000000001</v>
      </c>
      <c r="C41" s="118">
        <f t="shared" si="0"/>
        <v>8.3992635423006723E-2</v>
      </c>
      <c r="G41" s="107">
        <v>3</v>
      </c>
      <c r="H41" s="71">
        <f>$H$19+($G41*$H$23)</f>
        <v>0.3226096378099288</v>
      </c>
      <c r="I41" s="71">
        <f>$H$19-($G41*$H$23)</f>
        <v>-0.30196155743324171</v>
      </c>
      <c r="J41" s="69">
        <f>COUNTIFS(C:C,"&lt;"&amp;H41,C:C,"&gt;"&amp;I41)</f>
        <v>183</v>
      </c>
      <c r="K41" s="71">
        <f>J41/$H$31</f>
        <v>1.011049723756906</v>
      </c>
      <c r="L41" s="82">
        <v>0.99729999999999996</v>
      </c>
    </row>
    <row r="42" spans="1:12" ht="15.75" thickBot="1" x14ac:dyDescent="0.3">
      <c r="A42" s="12">
        <v>45124</v>
      </c>
      <c r="B42" s="18">
        <v>16.43</v>
      </c>
      <c r="C42" s="118">
        <f t="shared" si="0"/>
        <v>1.8292682926830395E-3</v>
      </c>
      <c r="G42" s="67"/>
      <c r="L42" s="82"/>
    </row>
    <row r="43" spans="1:12" ht="15.75" thickBot="1" x14ac:dyDescent="0.3">
      <c r="A43" s="12">
        <v>45117</v>
      </c>
      <c r="B43" s="18">
        <v>16.399999999999999</v>
      </c>
      <c r="C43" s="118">
        <f t="shared" si="0"/>
        <v>6.9100391134289341E-2</v>
      </c>
      <c r="G43" s="142" t="s">
        <v>127</v>
      </c>
      <c r="H43" s="143"/>
      <c r="I43" s="143"/>
      <c r="J43" s="143"/>
      <c r="K43" s="143"/>
      <c r="L43" s="144"/>
    </row>
    <row r="44" spans="1:12" x14ac:dyDescent="0.25">
      <c r="A44" s="12">
        <v>45110</v>
      </c>
      <c r="B44" s="18">
        <v>15.34</v>
      </c>
      <c r="C44" s="118">
        <f t="shared" si="0"/>
        <v>6.5231572080892697E-4</v>
      </c>
      <c r="G44" s="83">
        <v>0.01</v>
      </c>
      <c r="H44" s="84">
        <f t="shared" ref="H44:H58" si="7">_xlfn.PERCENTILE.INC(C:C,G44)</f>
        <v>-0.15577281050067249</v>
      </c>
      <c r="I44" s="85">
        <v>0.2</v>
      </c>
      <c r="J44" s="84">
        <f t="shared" ref="J44:J56" si="8">_xlfn.PERCENTILE.INC(C:C,I44)</f>
        <v>-7.1801566579634435E-2</v>
      </c>
      <c r="K44" s="85">
        <v>0.85</v>
      </c>
      <c r="L44" s="86">
        <f t="shared" ref="L44:L58" si="9">_xlfn.PERCENTILE.INC(C:C,K44)</f>
        <v>8.7748893805309702E-2</v>
      </c>
    </row>
    <row r="45" spans="1:12" x14ac:dyDescent="0.25">
      <c r="A45" s="12">
        <v>45103</v>
      </c>
      <c r="B45" s="18">
        <v>15.33</v>
      </c>
      <c r="C45" s="118">
        <f t="shared" si="0"/>
        <v>9.2658588738417702E-2</v>
      </c>
      <c r="G45" s="87">
        <v>0.02</v>
      </c>
      <c r="H45" s="88">
        <f t="shared" si="7"/>
        <v>-0.15193499611682915</v>
      </c>
      <c r="I45" s="89">
        <v>0.25</v>
      </c>
      <c r="J45" s="88">
        <f t="shared" si="8"/>
        <v>-6.2930299672620704E-2</v>
      </c>
      <c r="K45" s="89">
        <v>0.86</v>
      </c>
      <c r="L45" s="90">
        <f t="shared" si="9"/>
        <v>8.9345454895718879E-2</v>
      </c>
    </row>
    <row r="46" spans="1:12" x14ac:dyDescent="0.25">
      <c r="A46" s="12">
        <v>45096</v>
      </c>
      <c r="B46" s="18">
        <v>14.03</v>
      </c>
      <c r="C46" s="118">
        <f t="shared" si="0"/>
        <v>-0.13926375087507681</v>
      </c>
      <c r="G46" s="87">
        <v>0.03</v>
      </c>
      <c r="H46" s="88">
        <f t="shared" si="7"/>
        <v>-0.14518649309289436</v>
      </c>
      <c r="I46" s="89">
        <v>0.3</v>
      </c>
      <c r="J46" s="88">
        <f t="shared" si="8"/>
        <v>-4.4842239379774329E-2</v>
      </c>
      <c r="K46" s="89">
        <v>0.87</v>
      </c>
      <c r="L46" s="90">
        <f t="shared" si="9"/>
        <v>9.2648942991630623E-2</v>
      </c>
    </row>
    <row r="47" spans="1:12" x14ac:dyDescent="0.25">
      <c r="A47" s="12">
        <v>45089</v>
      </c>
      <c r="B47" s="18">
        <v>16.299999</v>
      </c>
      <c r="C47" s="118">
        <f t="shared" si="0"/>
        <v>8.5219640479360814E-2</v>
      </c>
      <c r="G47" s="87">
        <v>0.04</v>
      </c>
      <c r="H47" s="88">
        <f t="shared" si="7"/>
        <v>-0.14046836614215991</v>
      </c>
      <c r="I47" s="89">
        <v>0.35</v>
      </c>
      <c r="J47" s="88">
        <f t="shared" si="8"/>
        <v>-3.2393539088661938E-2</v>
      </c>
      <c r="K47" s="89">
        <v>0.88</v>
      </c>
      <c r="L47" s="90">
        <f t="shared" si="9"/>
        <v>9.6729308853215401E-2</v>
      </c>
    </row>
    <row r="48" spans="1:12" x14ac:dyDescent="0.25">
      <c r="A48" s="12">
        <v>45082</v>
      </c>
      <c r="B48" s="18">
        <v>15.02</v>
      </c>
      <c r="C48" s="118">
        <f t="shared" si="0"/>
        <v>3.4435261707989051E-2</v>
      </c>
      <c r="G48" s="87">
        <v>0.05</v>
      </c>
      <c r="H48" s="88">
        <f t="shared" si="7"/>
        <v>-0.13693248017884035</v>
      </c>
      <c r="I48" s="89">
        <v>0.4</v>
      </c>
      <c r="J48" s="88">
        <f t="shared" si="8"/>
        <v>-1.4884979702300294E-2</v>
      </c>
      <c r="K48" s="89">
        <v>0.89</v>
      </c>
      <c r="L48" s="90">
        <f t="shared" si="9"/>
        <v>0.10013127669502167</v>
      </c>
    </row>
    <row r="49" spans="1:12" x14ac:dyDescent="0.25">
      <c r="A49" s="12">
        <v>45075</v>
      </c>
      <c r="B49" s="18">
        <v>14.52</v>
      </c>
      <c r="C49" s="118">
        <f t="shared" si="0"/>
        <v>6.3736263736263732E-2</v>
      </c>
      <c r="G49" s="87">
        <v>0.06</v>
      </c>
      <c r="H49" s="88">
        <f t="shared" si="7"/>
        <v>-0.12972480212779652</v>
      </c>
      <c r="I49" s="89">
        <v>0.45</v>
      </c>
      <c r="J49" s="88">
        <f t="shared" si="8"/>
        <v>-2.3592226982056819E-3</v>
      </c>
      <c r="K49" s="89">
        <v>0.9</v>
      </c>
      <c r="L49" s="90">
        <f t="shared" si="9"/>
        <v>0.10615216890751411</v>
      </c>
    </row>
    <row r="50" spans="1:12" x14ac:dyDescent="0.25">
      <c r="A50" s="12">
        <v>45068</v>
      </c>
      <c r="B50" s="18">
        <v>13.65</v>
      </c>
      <c r="C50" s="118">
        <f t="shared" si="0"/>
        <v>0.16567036720751482</v>
      </c>
      <c r="G50" s="87">
        <v>7.0000000000000007E-2</v>
      </c>
      <c r="H50" s="88">
        <f t="shared" si="7"/>
        <v>-0.12199367196690837</v>
      </c>
      <c r="I50" s="89">
        <v>0.5</v>
      </c>
      <c r="J50" s="88">
        <f t="shared" si="8"/>
        <v>3.5489698754295196E-3</v>
      </c>
      <c r="K50" s="89">
        <v>0.91</v>
      </c>
      <c r="L50" s="90">
        <f t="shared" si="9"/>
        <v>0.11744264142907022</v>
      </c>
    </row>
    <row r="51" spans="1:12" x14ac:dyDescent="0.25">
      <c r="A51" s="12">
        <v>45061</v>
      </c>
      <c r="B51" s="18">
        <v>11.71</v>
      </c>
      <c r="C51" s="118">
        <f t="shared" si="0"/>
        <v>0.23263157894736852</v>
      </c>
      <c r="G51" s="87">
        <v>0.08</v>
      </c>
      <c r="H51" s="88">
        <f t="shared" si="7"/>
        <v>-0.12077857622912676</v>
      </c>
      <c r="I51" s="89">
        <v>0.55000000000000004</v>
      </c>
      <c r="J51" s="88">
        <f t="shared" si="8"/>
        <v>1.6202433823097856E-2</v>
      </c>
      <c r="K51" s="89">
        <v>0.92</v>
      </c>
      <c r="L51" s="90">
        <f t="shared" si="9"/>
        <v>0.12690748828605822</v>
      </c>
    </row>
    <row r="52" spans="1:12" x14ac:dyDescent="0.25">
      <c r="A52" s="12">
        <v>45054</v>
      </c>
      <c r="B52" s="18">
        <v>9.5</v>
      </c>
      <c r="C52" s="118">
        <f t="shared" si="0"/>
        <v>0.28205128205128194</v>
      </c>
      <c r="G52" s="87">
        <v>0.09</v>
      </c>
      <c r="H52" s="88">
        <f t="shared" si="7"/>
        <v>-0.11855919583023088</v>
      </c>
      <c r="I52" s="89">
        <v>0.6</v>
      </c>
      <c r="J52" s="88">
        <f t="shared" si="8"/>
        <v>2.4198142937535305E-2</v>
      </c>
      <c r="K52" s="89">
        <v>0.93</v>
      </c>
      <c r="L52" s="90">
        <f t="shared" si="9"/>
        <v>0.14049594015645436</v>
      </c>
    </row>
    <row r="53" spans="1:12" x14ac:dyDescent="0.25">
      <c r="A53" s="12">
        <v>45047</v>
      </c>
      <c r="B53" s="18">
        <v>7.41</v>
      </c>
      <c r="C53" s="118">
        <f t="shared" si="0"/>
        <v>-4.387096774193544E-2</v>
      </c>
      <c r="G53" s="87">
        <v>0.1</v>
      </c>
      <c r="H53" s="88">
        <f t="shared" si="7"/>
        <v>-0.10906328444972918</v>
      </c>
      <c r="I53" s="89">
        <v>0.65</v>
      </c>
      <c r="J53" s="88">
        <f t="shared" si="8"/>
        <v>3.8402191035583955E-2</v>
      </c>
      <c r="K53" s="89">
        <v>0.94</v>
      </c>
      <c r="L53" s="90">
        <f t="shared" si="9"/>
        <v>0.14231505653632257</v>
      </c>
    </row>
    <row r="54" spans="1:12" x14ac:dyDescent="0.25">
      <c r="A54" s="12">
        <v>45040</v>
      </c>
      <c r="B54" s="18">
        <v>7.75</v>
      </c>
      <c r="C54" s="118">
        <f t="shared" si="0"/>
        <v>-5.2567237163814173E-2</v>
      </c>
      <c r="G54" s="87">
        <v>0.11</v>
      </c>
      <c r="H54" s="88">
        <f t="shared" si="7"/>
        <v>-9.7770038041743515E-2</v>
      </c>
      <c r="I54" s="89">
        <v>0.7</v>
      </c>
      <c r="J54" s="88">
        <f t="shared" si="8"/>
        <v>4.3372125401062722E-2</v>
      </c>
      <c r="K54" s="89">
        <v>0.95</v>
      </c>
      <c r="L54" s="90">
        <f t="shared" si="9"/>
        <v>0.16143631970943356</v>
      </c>
    </row>
    <row r="55" spans="1:12" x14ac:dyDescent="0.25">
      <c r="A55" s="12">
        <v>45033</v>
      </c>
      <c r="B55" s="18">
        <v>8.18</v>
      </c>
      <c r="C55" s="118">
        <f t="shared" si="0"/>
        <v>-7.1509648127128345E-2</v>
      </c>
      <c r="G55" s="87">
        <v>0.12</v>
      </c>
      <c r="H55" s="88">
        <f t="shared" si="7"/>
        <v>-9.6952135130901423E-2</v>
      </c>
      <c r="I55" s="89">
        <v>0.75</v>
      </c>
      <c r="J55" s="88">
        <f t="shared" si="8"/>
        <v>5.5361642602520578E-2</v>
      </c>
      <c r="K55" s="89">
        <v>0.96</v>
      </c>
      <c r="L55" s="90">
        <f t="shared" si="9"/>
        <v>0.22959226294764878</v>
      </c>
    </row>
    <row r="56" spans="1:12" x14ac:dyDescent="0.25">
      <c r="A56" s="12">
        <v>45026</v>
      </c>
      <c r="B56" s="18">
        <v>8.81</v>
      </c>
      <c r="C56" s="118">
        <f t="shared" si="0"/>
        <v>8.8998763906056988E-2</v>
      </c>
      <c r="G56" s="87">
        <v>0.13</v>
      </c>
      <c r="H56" s="88">
        <f t="shared" si="7"/>
        <v>-9.1164761931798441E-2</v>
      </c>
      <c r="I56" s="89">
        <v>0.8</v>
      </c>
      <c r="J56" s="88">
        <f t="shared" si="8"/>
        <v>7.0063782168313438E-2</v>
      </c>
      <c r="K56" s="89">
        <v>0.97</v>
      </c>
      <c r="L56" s="90">
        <f t="shared" si="9"/>
        <v>0.24422542127031757</v>
      </c>
    </row>
    <row r="57" spans="1:12" x14ac:dyDescent="0.25">
      <c r="A57" s="12">
        <v>45019</v>
      </c>
      <c r="B57" s="18">
        <v>8.09</v>
      </c>
      <c r="C57" s="118">
        <f t="shared" si="0"/>
        <v>-4.2603550295857939E-2</v>
      </c>
      <c r="G57" s="87">
        <v>0.14000000000000001</v>
      </c>
      <c r="H57" s="88">
        <f t="shared" si="7"/>
        <v>-9.0317089480707519E-2</v>
      </c>
      <c r="I57" s="89"/>
      <c r="J57" s="88"/>
      <c r="K57" s="89">
        <v>0.98</v>
      </c>
      <c r="L57" s="90">
        <f t="shared" si="9"/>
        <v>0.27408505269142452</v>
      </c>
    </row>
    <row r="58" spans="1:12" ht="15.75" thickBot="1" x14ac:dyDescent="0.3">
      <c r="A58" s="12">
        <v>45012</v>
      </c>
      <c r="B58" s="18">
        <v>8.4499999999999993</v>
      </c>
      <c r="C58" s="118">
        <f t="shared" si="0"/>
        <v>3.0487804878048808E-2</v>
      </c>
      <c r="G58" s="91">
        <v>0.15</v>
      </c>
      <c r="H58" s="92">
        <f t="shared" si="7"/>
        <v>-8.8419732441471638E-2</v>
      </c>
      <c r="I58" s="93"/>
      <c r="J58" s="94"/>
      <c r="K58" s="95">
        <v>0.99</v>
      </c>
      <c r="L58" s="96">
        <f t="shared" si="9"/>
        <v>0.37532882446236554</v>
      </c>
    </row>
    <row r="59" spans="1:12" ht="15.75" thickBot="1" x14ac:dyDescent="0.3">
      <c r="A59" s="12">
        <v>45005</v>
      </c>
      <c r="B59" s="18">
        <v>8.1999999999999993</v>
      </c>
      <c r="C59" s="118">
        <f t="shared" si="0"/>
        <v>4.0609137055837463E-2</v>
      </c>
    </row>
    <row r="60" spans="1:12" x14ac:dyDescent="0.25">
      <c r="A60" s="12">
        <v>44998</v>
      </c>
      <c r="B60" s="18">
        <v>7.88</v>
      </c>
      <c r="C60" s="118">
        <f t="shared" si="0"/>
        <v>7.210884353741509E-2</v>
      </c>
      <c r="G60" s="97" t="s">
        <v>128</v>
      </c>
      <c r="H60" s="98">
        <v>0.11</v>
      </c>
    </row>
    <row r="61" spans="1:12" ht="15.75" thickBot="1" x14ac:dyDescent="0.3">
      <c r="A61" s="12">
        <v>44991</v>
      </c>
      <c r="B61" s="18">
        <v>7.35</v>
      </c>
      <c r="C61" s="118">
        <f t="shared" si="0"/>
        <v>-0.11764705882352944</v>
      </c>
      <c r="G61" s="99" t="s">
        <v>129</v>
      </c>
      <c r="H61" s="100">
        <v>0.35</v>
      </c>
    </row>
    <row r="62" spans="1:12" ht="15.75" thickBot="1" x14ac:dyDescent="0.3">
      <c r="A62" s="12">
        <v>44984</v>
      </c>
      <c r="B62" s="18">
        <v>8.33</v>
      </c>
      <c r="C62" s="118">
        <f t="shared" si="0"/>
        <v>2.9666254635352329E-2</v>
      </c>
      <c r="G62" s="101"/>
    </row>
    <row r="63" spans="1:12" x14ac:dyDescent="0.25">
      <c r="A63" s="12">
        <v>44977</v>
      </c>
      <c r="B63" s="18">
        <v>8.09</v>
      </c>
      <c r="C63" s="118">
        <f t="shared" si="0"/>
        <v>-0.12065217391304339</v>
      </c>
      <c r="G63" s="97" t="s">
        <v>130</v>
      </c>
      <c r="H63" s="102">
        <v>22.66</v>
      </c>
    </row>
    <row r="64" spans="1:12" x14ac:dyDescent="0.25">
      <c r="A64" s="12">
        <v>44970</v>
      </c>
      <c r="B64" s="18">
        <v>9.1999999999999993</v>
      </c>
      <c r="C64" s="118">
        <f t="shared" si="0"/>
        <v>0.22503328894806929</v>
      </c>
      <c r="G64" s="103" t="s">
        <v>131</v>
      </c>
      <c r="H64" s="104">
        <f>H63*(1-H60)</f>
        <v>20.167400000000001</v>
      </c>
    </row>
    <row r="65" spans="1:8" ht="15.75" thickBot="1" x14ac:dyDescent="0.3">
      <c r="A65" s="12">
        <v>44963</v>
      </c>
      <c r="B65" s="18">
        <v>7.51</v>
      </c>
      <c r="C65" s="118">
        <f t="shared" si="0"/>
        <v>-0.1070154577883472</v>
      </c>
      <c r="G65" s="99" t="s">
        <v>132</v>
      </c>
      <c r="H65" s="105">
        <f>H63*(1+H61)</f>
        <v>30.591000000000001</v>
      </c>
    </row>
    <row r="66" spans="1:8" x14ac:dyDescent="0.25">
      <c r="A66" s="12">
        <v>44956</v>
      </c>
      <c r="B66" s="18">
        <v>8.41</v>
      </c>
      <c r="C66" s="118">
        <f t="shared" si="0"/>
        <v>0.11390728476821188</v>
      </c>
    </row>
    <row r="67" spans="1:8" x14ac:dyDescent="0.25">
      <c r="A67" s="12">
        <v>44949</v>
      </c>
      <c r="B67" s="18">
        <v>7.55</v>
      </c>
      <c r="C67" s="118">
        <f t="shared" si="0"/>
        <v>7.5498575498575526E-2</v>
      </c>
    </row>
    <row r="68" spans="1:8" x14ac:dyDescent="0.25">
      <c r="A68" s="12">
        <v>44942</v>
      </c>
      <c r="B68" s="18">
        <v>7.02</v>
      </c>
      <c r="C68" s="118">
        <f t="shared" ref="C68:C131" si="10">B68/B69-1</f>
        <v>8.6206896551723755E-3</v>
      </c>
    </row>
    <row r="69" spans="1:8" x14ac:dyDescent="0.25">
      <c r="A69" s="12">
        <v>44935</v>
      </c>
      <c r="B69" s="18">
        <v>6.96</v>
      </c>
      <c r="C69" s="118">
        <f t="shared" si="10"/>
        <v>8.7499999999999911E-2</v>
      </c>
    </row>
    <row r="70" spans="1:8" x14ac:dyDescent="0.25">
      <c r="A70" s="12">
        <v>44928</v>
      </c>
      <c r="B70" s="18">
        <v>6.4</v>
      </c>
      <c r="C70" s="118">
        <f t="shared" si="10"/>
        <v>-3.1152647975076775E-3</v>
      </c>
    </row>
    <row r="71" spans="1:8" x14ac:dyDescent="0.25">
      <c r="A71" s="12">
        <v>44921</v>
      </c>
      <c r="B71" s="18">
        <v>6.42</v>
      </c>
      <c r="C71" s="118">
        <f t="shared" si="10"/>
        <v>2.0667726550079424E-2</v>
      </c>
    </row>
    <row r="72" spans="1:8" x14ac:dyDescent="0.25">
      <c r="A72" s="12">
        <v>44914</v>
      </c>
      <c r="B72" s="18">
        <v>6.29</v>
      </c>
      <c r="C72" s="118">
        <f t="shared" si="10"/>
        <v>-8.8405797101449357E-2</v>
      </c>
    </row>
    <row r="73" spans="1:8" x14ac:dyDescent="0.25">
      <c r="A73" s="12">
        <v>44907</v>
      </c>
      <c r="B73" s="18">
        <v>6.9</v>
      </c>
      <c r="C73" s="118">
        <f t="shared" si="10"/>
        <v>-2.9535864978902926E-2</v>
      </c>
    </row>
    <row r="74" spans="1:8" x14ac:dyDescent="0.25">
      <c r="A74" s="12">
        <v>44900</v>
      </c>
      <c r="B74" s="18">
        <v>7.11</v>
      </c>
      <c r="C74" s="118">
        <f t="shared" si="10"/>
        <v>-7.1801566579634435E-2</v>
      </c>
    </row>
    <row r="75" spans="1:8" x14ac:dyDescent="0.25">
      <c r="A75" s="12">
        <v>44893</v>
      </c>
      <c r="B75" s="18">
        <v>7.66</v>
      </c>
      <c r="C75" s="118">
        <f t="shared" si="10"/>
        <v>5.2197802197802234E-2</v>
      </c>
    </row>
    <row r="76" spans="1:8" x14ac:dyDescent="0.25">
      <c r="A76" s="12">
        <v>44886</v>
      </c>
      <c r="B76" s="18">
        <v>7.28</v>
      </c>
      <c r="C76" s="118">
        <f t="shared" si="10"/>
        <v>-1.4884979702300294E-2</v>
      </c>
    </row>
    <row r="77" spans="1:8" x14ac:dyDescent="0.25">
      <c r="A77" s="12">
        <v>44879</v>
      </c>
      <c r="B77" s="18">
        <v>7.39</v>
      </c>
      <c r="C77" s="118">
        <f t="shared" si="10"/>
        <v>-0.12128418549346021</v>
      </c>
    </row>
    <row r="78" spans="1:8" x14ac:dyDescent="0.25">
      <c r="A78" s="12">
        <v>44872</v>
      </c>
      <c r="B78" s="18">
        <v>8.41</v>
      </c>
      <c r="C78" s="118">
        <f t="shared" si="10"/>
        <v>6.0529634300126256E-2</v>
      </c>
    </row>
    <row r="79" spans="1:8" x14ac:dyDescent="0.25">
      <c r="A79" s="12">
        <v>44865</v>
      </c>
      <c r="B79" s="18">
        <v>7.93</v>
      </c>
      <c r="C79" s="118">
        <f t="shared" si="10"/>
        <v>-8.2175925925926041E-2</v>
      </c>
    </row>
    <row r="80" spans="1:8" x14ac:dyDescent="0.25">
      <c r="A80" s="12">
        <v>44858</v>
      </c>
      <c r="B80" s="18">
        <v>8.64</v>
      </c>
      <c r="C80" s="118">
        <f t="shared" si="10"/>
        <v>4.2219541616405509E-2</v>
      </c>
    </row>
    <row r="81" spans="1:3" x14ac:dyDescent="0.25">
      <c r="A81" s="12">
        <v>44851</v>
      </c>
      <c r="B81" s="18">
        <v>8.2899999999999991</v>
      </c>
      <c r="C81" s="118">
        <f t="shared" si="10"/>
        <v>0.10092961487383789</v>
      </c>
    </row>
    <row r="82" spans="1:3" x14ac:dyDescent="0.25">
      <c r="A82" s="12">
        <v>44844</v>
      </c>
      <c r="B82" s="18">
        <v>7.53</v>
      </c>
      <c r="C82" s="118">
        <f t="shared" si="10"/>
        <v>-7.6073619631901845E-2</v>
      </c>
    </row>
    <row r="83" spans="1:3" x14ac:dyDescent="0.25">
      <c r="A83" s="12">
        <v>44837</v>
      </c>
      <c r="B83" s="18">
        <v>8.15</v>
      </c>
      <c r="C83" s="118">
        <f t="shared" si="10"/>
        <v>2.4600246002459691E-3</v>
      </c>
    </row>
    <row r="84" spans="1:3" x14ac:dyDescent="0.25">
      <c r="A84" s="12">
        <v>44830</v>
      </c>
      <c r="B84" s="18">
        <v>8.1300000000000008</v>
      </c>
      <c r="C84" s="118">
        <f t="shared" si="10"/>
        <v>9.864864864864864E-2</v>
      </c>
    </row>
    <row r="85" spans="1:3" x14ac:dyDescent="0.25">
      <c r="A85" s="12">
        <v>44823</v>
      </c>
      <c r="B85" s="18">
        <v>7.4</v>
      </c>
      <c r="C85" s="118">
        <f t="shared" si="10"/>
        <v>-4.8843187660668419E-2</v>
      </c>
    </row>
    <row r="86" spans="1:3" x14ac:dyDescent="0.25">
      <c r="A86" s="12">
        <v>44816</v>
      </c>
      <c r="B86" s="18">
        <v>7.78</v>
      </c>
      <c r="C86" s="118">
        <f t="shared" si="10"/>
        <v>-1.2836970474967568E-3</v>
      </c>
    </row>
    <row r="87" spans="1:3" x14ac:dyDescent="0.25">
      <c r="A87" s="12">
        <v>44809</v>
      </c>
      <c r="B87" s="18">
        <v>7.79</v>
      </c>
      <c r="C87" s="118">
        <f t="shared" si="10"/>
        <v>5.270270270270272E-2</v>
      </c>
    </row>
    <row r="88" spans="1:3" x14ac:dyDescent="0.25">
      <c r="A88" s="12">
        <v>44802</v>
      </c>
      <c r="B88" s="18">
        <v>7.4</v>
      </c>
      <c r="C88" s="118">
        <f t="shared" si="10"/>
        <v>-6.801007556675065E-2</v>
      </c>
    </row>
    <row r="89" spans="1:3" x14ac:dyDescent="0.25">
      <c r="A89" s="12">
        <v>44795</v>
      </c>
      <c r="B89" s="18">
        <v>7.94</v>
      </c>
      <c r="C89" s="118">
        <f t="shared" si="10"/>
        <v>-6.6980023501762576E-2</v>
      </c>
    </row>
    <row r="90" spans="1:3" x14ac:dyDescent="0.25">
      <c r="A90" s="12">
        <v>44788</v>
      </c>
      <c r="B90" s="18">
        <v>8.51</v>
      </c>
      <c r="C90" s="118">
        <f t="shared" si="10"/>
        <v>-0.14127144298688199</v>
      </c>
    </row>
    <row r="91" spans="1:3" x14ac:dyDescent="0.25">
      <c r="A91" s="12">
        <v>44781</v>
      </c>
      <c r="B91" s="18">
        <v>9.91</v>
      </c>
      <c r="C91" s="118">
        <f t="shared" si="10"/>
        <v>-0.13449781659388638</v>
      </c>
    </row>
    <row r="92" spans="1:3" x14ac:dyDescent="0.25">
      <c r="A92" s="12">
        <v>44774</v>
      </c>
      <c r="B92" s="18">
        <v>11.45</v>
      </c>
      <c r="C92" s="118">
        <f t="shared" si="10"/>
        <v>0.106280193236715</v>
      </c>
    </row>
    <row r="93" spans="1:3" x14ac:dyDescent="0.25">
      <c r="A93" s="12">
        <v>44767</v>
      </c>
      <c r="B93" s="18">
        <v>10.35</v>
      </c>
      <c r="C93" s="118">
        <f t="shared" si="10"/>
        <v>5.1829268292682862E-2</v>
      </c>
    </row>
    <row r="94" spans="1:3" x14ac:dyDescent="0.25">
      <c r="A94" s="12">
        <v>44760</v>
      </c>
      <c r="B94" s="18">
        <v>9.84</v>
      </c>
      <c r="C94" s="118">
        <f t="shared" si="10"/>
        <v>8.8495575221239076E-2</v>
      </c>
    </row>
    <row r="95" spans="1:3" x14ac:dyDescent="0.25">
      <c r="A95" s="12">
        <v>44753</v>
      </c>
      <c r="B95" s="18">
        <v>9.0399999999999991</v>
      </c>
      <c r="C95" s="118">
        <f t="shared" si="10"/>
        <v>-0.11111111111111116</v>
      </c>
    </row>
    <row r="96" spans="1:3" x14ac:dyDescent="0.25">
      <c r="A96" s="12">
        <v>44746</v>
      </c>
      <c r="B96" s="18">
        <v>10.17</v>
      </c>
      <c r="C96" s="118">
        <f t="shared" si="10"/>
        <v>9.7087378640776656E-2</v>
      </c>
    </row>
    <row r="97" spans="1:3" x14ac:dyDescent="0.25">
      <c r="A97" s="12">
        <v>44739</v>
      </c>
      <c r="B97" s="18">
        <v>9.27</v>
      </c>
      <c r="C97" s="118">
        <f t="shared" si="10"/>
        <v>-9.0284592737978397E-2</v>
      </c>
    </row>
    <row r="98" spans="1:3" x14ac:dyDescent="0.25">
      <c r="A98" s="12">
        <v>44732</v>
      </c>
      <c r="B98" s="18">
        <v>10.19</v>
      </c>
      <c r="C98" s="118">
        <f t="shared" si="10"/>
        <v>0.23665048543689315</v>
      </c>
    </row>
    <row r="99" spans="1:3" x14ac:dyDescent="0.25">
      <c r="A99" s="12">
        <v>44725</v>
      </c>
      <c r="B99" s="18">
        <v>8.24</v>
      </c>
      <c r="C99" s="118">
        <f t="shared" si="10"/>
        <v>-2.421307506053183E-3</v>
      </c>
    </row>
    <row r="100" spans="1:3" x14ac:dyDescent="0.25">
      <c r="A100" s="12">
        <v>44718</v>
      </c>
      <c r="B100" s="18">
        <v>8.26</v>
      </c>
      <c r="C100" s="118">
        <f t="shared" si="10"/>
        <v>-7.606263982102901E-2</v>
      </c>
    </row>
    <row r="101" spans="1:3" x14ac:dyDescent="0.25">
      <c r="A101" s="12">
        <v>44711</v>
      </c>
      <c r="B101" s="18">
        <v>8.94</v>
      </c>
      <c r="C101" s="118">
        <f t="shared" si="10"/>
        <v>1.0169491525423791E-2</v>
      </c>
    </row>
    <row r="102" spans="1:3" x14ac:dyDescent="0.25">
      <c r="A102" s="12">
        <v>44704</v>
      </c>
      <c r="B102" s="18">
        <v>8.85</v>
      </c>
      <c r="C102" s="118">
        <f t="shared" si="10"/>
        <v>9.5297029702970271E-2</v>
      </c>
    </row>
    <row r="103" spans="1:3" x14ac:dyDescent="0.25">
      <c r="A103" s="12">
        <v>44697</v>
      </c>
      <c r="B103" s="18">
        <v>8.08</v>
      </c>
      <c r="C103" s="118">
        <f t="shared" si="10"/>
        <v>-3.1175059952038398E-2</v>
      </c>
    </row>
    <row r="104" spans="1:3" x14ac:dyDescent="0.25">
      <c r="A104" s="12">
        <v>44690</v>
      </c>
      <c r="B104" s="18">
        <v>8.34</v>
      </c>
      <c r="C104" s="118">
        <f t="shared" si="10"/>
        <v>-0.12025316455696211</v>
      </c>
    </row>
    <row r="105" spans="1:3" x14ac:dyDescent="0.25">
      <c r="A105" s="12">
        <v>44683</v>
      </c>
      <c r="B105" s="18">
        <v>9.48</v>
      </c>
      <c r="C105" s="118">
        <f t="shared" si="10"/>
        <v>-8.846153846153848E-2</v>
      </c>
    </row>
    <row r="106" spans="1:3" x14ac:dyDescent="0.25">
      <c r="A106" s="12">
        <v>44676</v>
      </c>
      <c r="B106" s="18">
        <v>10.4</v>
      </c>
      <c r="C106" s="118">
        <f t="shared" si="10"/>
        <v>-0.13043478260869568</v>
      </c>
    </row>
    <row r="107" spans="1:3" x14ac:dyDescent="0.25">
      <c r="A107" s="12">
        <v>44669</v>
      </c>
      <c r="B107" s="18">
        <v>11.96</v>
      </c>
      <c r="C107" s="118">
        <f t="shared" si="10"/>
        <v>-3.7037037037036979E-2</v>
      </c>
    </row>
    <row r="108" spans="1:3" x14ac:dyDescent="0.25">
      <c r="A108" s="12">
        <v>44662</v>
      </c>
      <c r="B108" s="18">
        <v>12.42</v>
      </c>
      <c r="C108" s="118">
        <f t="shared" si="10"/>
        <v>-2.2047244094488105E-2</v>
      </c>
    </row>
    <row r="109" spans="1:3" x14ac:dyDescent="0.25">
      <c r="A109" s="12">
        <v>44655</v>
      </c>
      <c r="B109" s="18">
        <v>12.7</v>
      </c>
      <c r="C109" s="118">
        <f t="shared" si="10"/>
        <v>-8.1706435285611057E-2</v>
      </c>
    </row>
    <row r="110" spans="1:3" x14ac:dyDescent="0.25">
      <c r="A110" s="12">
        <v>44648</v>
      </c>
      <c r="B110" s="18">
        <v>13.83</v>
      </c>
      <c r="C110" s="118">
        <f t="shared" si="10"/>
        <v>6.6306861989205768E-2</v>
      </c>
    </row>
    <row r="111" spans="1:3" x14ac:dyDescent="0.25">
      <c r="A111" s="12">
        <v>44641</v>
      </c>
      <c r="B111" s="18">
        <v>12.97</v>
      </c>
      <c r="C111" s="118">
        <f t="shared" si="10"/>
        <v>1.1700468018720711E-2</v>
      </c>
    </row>
    <row r="112" spans="1:3" x14ac:dyDescent="0.25">
      <c r="A112" s="12">
        <v>44634</v>
      </c>
      <c r="B112" s="18">
        <v>12.82</v>
      </c>
      <c r="C112" s="118">
        <f t="shared" si="10"/>
        <v>0.12554872695346786</v>
      </c>
    </row>
    <row r="113" spans="1:3" x14ac:dyDescent="0.25">
      <c r="A113" s="12">
        <v>44627</v>
      </c>
      <c r="B113" s="18">
        <v>11.39</v>
      </c>
      <c r="C113" s="118">
        <f t="shared" si="10"/>
        <v>3.9233576642335732E-2</v>
      </c>
    </row>
    <row r="114" spans="1:3" x14ac:dyDescent="0.25">
      <c r="A114" s="12">
        <v>44620</v>
      </c>
      <c r="B114" s="18">
        <v>10.96</v>
      </c>
      <c r="C114" s="118">
        <f t="shared" si="10"/>
        <v>-4.4463818657367038E-2</v>
      </c>
    </row>
    <row r="115" spans="1:3" x14ac:dyDescent="0.25">
      <c r="A115" s="12">
        <v>44613</v>
      </c>
      <c r="B115" s="18">
        <v>11.47</v>
      </c>
      <c r="C115" s="118">
        <f t="shared" si="10"/>
        <v>4.0834845735027381E-2</v>
      </c>
    </row>
    <row r="116" spans="1:3" x14ac:dyDescent="0.25">
      <c r="A116" s="12">
        <v>44606</v>
      </c>
      <c r="B116" s="18">
        <v>11.02</v>
      </c>
      <c r="C116" s="118">
        <f t="shared" si="10"/>
        <v>-0.16070068545316074</v>
      </c>
    </row>
    <row r="117" spans="1:3" x14ac:dyDescent="0.25">
      <c r="A117" s="12">
        <v>44599</v>
      </c>
      <c r="B117" s="18">
        <v>13.13</v>
      </c>
      <c r="C117" s="118">
        <f t="shared" si="10"/>
        <v>1.4683153013910433E-2</v>
      </c>
    </row>
    <row r="118" spans="1:3" x14ac:dyDescent="0.25">
      <c r="A118" s="12">
        <v>44592</v>
      </c>
      <c r="B118" s="18">
        <v>12.94</v>
      </c>
      <c r="C118" s="118">
        <f t="shared" si="10"/>
        <v>1.8095987411486991E-2</v>
      </c>
    </row>
    <row r="119" spans="1:3" x14ac:dyDescent="0.25">
      <c r="A119" s="12">
        <v>44585</v>
      </c>
      <c r="B119" s="18">
        <v>12.71</v>
      </c>
      <c r="C119" s="118">
        <f t="shared" si="10"/>
        <v>-6.0606060606060552E-2</v>
      </c>
    </row>
    <row r="120" spans="1:3" x14ac:dyDescent="0.25">
      <c r="A120" s="12">
        <v>44578</v>
      </c>
      <c r="B120" s="18">
        <v>13.53</v>
      </c>
      <c r="C120" s="118">
        <f t="shared" si="10"/>
        <v>-0.15490318550905691</v>
      </c>
    </row>
    <row r="121" spans="1:3" x14ac:dyDescent="0.25">
      <c r="A121" s="12">
        <v>44571</v>
      </c>
      <c r="B121" s="18">
        <v>16.010000000000002</v>
      </c>
      <c r="C121" s="118">
        <f t="shared" si="10"/>
        <v>-3.3212502005585898E-2</v>
      </c>
    </row>
    <row r="122" spans="1:3" x14ac:dyDescent="0.25">
      <c r="A122" s="12">
        <v>44564</v>
      </c>
      <c r="B122" s="18">
        <v>16.559999000000001</v>
      </c>
      <c r="C122" s="118">
        <f t="shared" si="10"/>
        <v>-9.0609560165269554E-2</v>
      </c>
    </row>
    <row r="123" spans="1:3" x14ac:dyDescent="0.25">
      <c r="A123" s="12">
        <v>44557</v>
      </c>
      <c r="B123" s="18">
        <v>18.209999</v>
      </c>
      <c r="C123" s="118">
        <f t="shared" si="10"/>
        <v>-3.8034918119387195E-2</v>
      </c>
    </row>
    <row r="124" spans="1:3" x14ac:dyDescent="0.25">
      <c r="A124" s="12">
        <v>44550</v>
      </c>
      <c r="B124" s="18">
        <v>18.93</v>
      </c>
      <c r="C124" s="118">
        <f t="shared" si="10"/>
        <v>-6.8205145236367448E-3</v>
      </c>
    </row>
    <row r="125" spans="1:3" x14ac:dyDescent="0.25">
      <c r="A125" s="12">
        <v>44543</v>
      </c>
      <c r="B125" s="18">
        <v>19.059999000000001</v>
      </c>
      <c r="C125" s="118">
        <f t="shared" si="10"/>
        <v>6.3356913233532097E-3</v>
      </c>
    </row>
    <row r="126" spans="1:3" x14ac:dyDescent="0.25">
      <c r="A126" s="12">
        <v>44536</v>
      </c>
      <c r="B126" s="18">
        <v>18.940000999999999</v>
      </c>
      <c r="C126" s="118">
        <f t="shared" si="10"/>
        <v>-2.1074288724974855E-3</v>
      </c>
    </row>
    <row r="127" spans="1:3" x14ac:dyDescent="0.25">
      <c r="A127" s="12">
        <v>44529</v>
      </c>
      <c r="B127" s="18">
        <v>18.98</v>
      </c>
      <c r="C127" s="118">
        <f t="shared" si="10"/>
        <v>-9.747983369092561E-2</v>
      </c>
    </row>
    <row r="128" spans="1:3" x14ac:dyDescent="0.25">
      <c r="A128" s="12">
        <v>44522</v>
      </c>
      <c r="B128" s="18">
        <v>21.030000999999999</v>
      </c>
      <c r="C128" s="118">
        <f t="shared" si="10"/>
        <v>-1.7748668846333526E-2</v>
      </c>
    </row>
    <row r="129" spans="1:3" x14ac:dyDescent="0.25">
      <c r="A129" s="12">
        <v>44515</v>
      </c>
      <c r="B129" s="18">
        <v>21.41</v>
      </c>
      <c r="C129" s="118">
        <f t="shared" si="10"/>
        <v>-6.219886114761275E-2</v>
      </c>
    </row>
    <row r="130" spans="1:3" x14ac:dyDescent="0.25">
      <c r="A130" s="12">
        <v>44508</v>
      </c>
      <c r="B130" s="18">
        <v>22.83</v>
      </c>
      <c r="C130" s="118">
        <f t="shared" si="10"/>
        <v>-0.12192307692307702</v>
      </c>
    </row>
    <row r="131" spans="1:3" x14ac:dyDescent="0.25">
      <c r="A131" s="12">
        <v>44501</v>
      </c>
      <c r="B131" s="18">
        <v>26</v>
      </c>
      <c r="C131" s="118">
        <f t="shared" si="10"/>
        <v>4.6368239813301404E-3</v>
      </c>
    </row>
    <row r="132" spans="1:3" x14ac:dyDescent="0.25">
      <c r="A132" s="12">
        <v>44494</v>
      </c>
      <c r="B132" s="18">
        <v>25.879999000000002</v>
      </c>
      <c r="C132" s="118">
        <f t="shared" ref="C132:C187" si="11">B132/B133-1</f>
        <v>5.9353213262382409E-2</v>
      </c>
    </row>
    <row r="133" spans="1:3" x14ac:dyDescent="0.25">
      <c r="A133" s="12">
        <v>44487</v>
      </c>
      <c r="B133" s="18">
        <v>24.43</v>
      </c>
      <c r="C133" s="118">
        <f t="shared" si="11"/>
        <v>1.7916666666666581E-2</v>
      </c>
    </row>
    <row r="134" spans="1:3" x14ac:dyDescent="0.25">
      <c r="A134" s="12">
        <v>44480</v>
      </c>
      <c r="B134" s="18">
        <v>24</v>
      </c>
      <c r="C134" s="118">
        <f t="shared" si="11"/>
        <v>2.1276595744680771E-2</v>
      </c>
    </row>
    <row r="135" spans="1:3" x14ac:dyDescent="0.25">
      <c r="A135" s="12">
        <v>44473</v>
      </c>
      <c r="B135" s="18">
        <v>23.5</v>
      </c>
      <c r="C135" s="118">
        <f t="shared" si="11"/>
        <v>-3.4114262227702308E-2</v>
      </c>
    </row>
    <row r="136" spans="1:3" x14ac:dyDescent="0.25">
      <c r="A136" s="12">
        <v>44466</v>
      </c>
      <c r="B136" s="18">
        <v>24.33</v>
      </c>
      <c r="C136" s="118">
        <f t="shared" si="11"/>
        <v>-0.14810921386937037</v>
      </c>
    </row>
    <row r="137" spans="1:3" x14ac:dyDescent="0.25">
      <c r="A137" s="12">
        <v>44459</v>
      </c>
      <c r="B137" s="18">
        <v>28.559999000000001</v>
      </c>
      <c r="C137" s="118">
        <f t="shared" si="11"/>
        <v>-5.2246605790546852E-3</v>
      </c>
    </row>
    <row r="138" spans="1:3" x14ac:dyDescent="0.25">
      <c r="A138" s="12">
        <v>44452</v>
      </c>
      <c r="B138" s="18">
        <v>28.709999</v>
      </c>
      <c r="C138" s="118">
        <f t="shared" si="11"/>
        <v>9.2465673802676118E-2</v>
      </c>
    </row>
    <row r="139" spans="1:3" x14ac:dyDescent="0.25">
      <c r="A139" s="12">
        <v>44445</v>
      </c>
      <c r="B139" s="18">
        <v>26.280000999999999</v>
      </c>
      <c r="C139" s="118">
        <f t="shared" si="11"/>
        <v>-1.3513438945699674E-2</v>
      </c>
    </row>
    <row r="140" spans="1:3" x14ac:dyDescent="0.25">
      <c r="A140" s="12">
        <v>44438</v>
      </c>
      <c r="B140" s="18">
        <v>26.639999</v>
      </c>
      <c r="C140" s="118">
        <f t="shared" si="11"/>
        <v>3.6172696856191955E-2</v>
      </c>
    </row>
    <row r="141" spans="1:3" x14ac:dyDescent="0.25">
      <c r="A141" s="12">
        <v>44431</v>
      </c>
      <c r="B141" s="18">
        <v>25.709999</v>
      </c>
      <c r="C141" s="118">
        <f t="shared" si="11"/>
        <v>7.0803790087463403E-2</v>
      </c>
    </row>
    <row r="142" spans="1:3" x14ac:dyDescent="0.25">
      <c r="A142" s="12">
        <v>44424</v>
      </c>
      <c r="B142" s="18">
        <v>24.01</v>
      </c>
      <c r="C142" s="118">
        <f t="shared" si="11"/>
        <v>-3.5742971887550046E-2</v>
      </c>
    </row>
    <row r="143" spans="1:3" x14ac:dyDescent="0.25">
      <c r="A143" s="12">
        <v>44417</v>
      </c>
      <c r="B143" s="18">
        <v>24.9</v>
      </c>
      <c r="C143" s="118">
        <f t="shared" si="11"/>
        <v>0.14115490375801998</v>
      </c>
    </row>
    <row r="144" spans="1:3" x14ac:dyDescent="0.25">
      <c r="A144" s="12">
        <v>44410</v>
      </c>
      <c r="B144" s="18">
        <v>21.82</v>
      </c>
      <c r="C144" s="118">
        <f t="shared" si="11"/>
        <v>5.0668357930372387E-3</v>
      </c>
    </row>
    <row r="145" spans="1:3" x14ac:dyDescent="0.25">
      <c r="A145" s="12">
        <v>44403</v>
      </c>
      <c r="B145" s="18">
        <v>21.709999</v>
      </c>
      <c r="C145" s="118">
        <f t="shared" si="11"/>
        <v>-4.5850529383335559E-3</v>
      </c>
    </row>
    <row r="146" spans="1:3" x14ac:dyDescent="0.25">
      <c r="A146" s="12">
        <v>44396</v>
      </c>
      <c r="B146" s="18">
        <v>21.809999000000001</v>
      </c>
      <c r="C146" s="118">
        <f t="shared" si="11"/>
        <v>2.0589517052432615E-2</v>
      </c>
    </row>
    <row r="147" spans="1:3" x14ac:dyDescent="0.25">
      <c r="A147" s="12">
        <v>44389</v>
      </c>
      <c r="B147" s="18">
        <v>21.370000999999998</v>
      </c>
      <c r="C147" s="118">
        <f t="shared" si="11"/>
        <v>-8.2438811402369749E-2</v>
      </c>
    </row>
    <row r="148" spans="1:3" x14ac:dyDescent="0.25">
      <c r="A148" s="12">
        <v>44382</v>
      </c>
      <c r="B148" s="18">
        <v>23.290001</v>
      </c>
      <c r="C148" s="118">
        <f t="shared" si="11"/>
        <v>-4.7054007894680505E-2</v>
      </c>
    </row>
    <row r="149" spans="1:3" x14ac:dyDescent="0.25">
      <c r="A149" s="12">
        <v>44375</v>
      </c>
      <c r="B149" s="18">
        <v>24.440000999999999</v>
      </c>
      <c r="C149" s="118">
        <f t="shared" si="11"/>
        <v>-8.7378637513867208E-2</v>
      </c>
    </row>
    <row r="150" spans="1:3" x14ac:dyDescent="0.25">
      <c r="A150" s="12">
        <v>44368</v>
      </c>
      <c r="B150" s="18">
        <v>26.780000999999999</v>
      </c>
      <c r="C150" s="118">
        <f t="shared" si="11"/>
        <v>5.5577451494779107E-2</v>
      </c>
    </row>
    <row r="151" spans="1:3" x14ac:dyDescent="0.25">
      <c r="A151" s="12">
        <v>44361</v>
      </c>
      <c r="B151" s="18">
        <v>25.370000999999998</v>
      </c>
      <c r="C151" s="118">
        <f t="shared" si="11"/>
        <v>2.8374584515605816E-2</v>
      </c>
    </row>
    <row r="152" spans="1:3" x14ac:dyDescent="0.25">
      <c r="A152" s="12">
        <v>44354</v>
      </c>
      <c r="B152" s="18">
        <v>24.67</v>
      </c>
      <c r="C152" s="118">
        <f t="shared" si="11"/>
        <v>2.6633332224996753E-2</v>
      </c>
    </row>
    <row r="153" spans="1:3" x14ac:dyDescent="0.25">
      <c r="A153" s="12">
        <v>44347</v>
      </c>
      <c r="B153" s="18">
        <v>24.030000999999999</v>
      </c>
      <c r="C153" s="118">
        <f t="shared" si="11"/>
        <v>4.7058821478918489E-2</v>
      </c>
    </row>
    <row r="154" spans="1:3" x14ac:dyDescent="0.25">
      <c r="A154" s="12">
        <v>44340</v>
      </c>
      <c r="B154" s="18">
        <v>22.950001</v>
      </c>
      <c r="C154" s="118">
        <f t="shared" si="11"/>
        <v>0.10602414457831322</v>
      </c>
    </row>
    <row r="155" spans="1:3" x14ac:dyDescent="0.25">
      <c r="A155" s="12">
        <v>44333</v>
      </c>
      <c r="B155" s="18">
        <v>20.75</v>
      </c>
      <c r="C155" s="118">
        <f t="shared" si="11"/>
        <v>3.3366533864541914E-2</v>
      </c>
    </row>
    <row r="156" spans="1:3" x14ac:dyDescent="0.25">
      <c r="A156" s="12">
        <v>44326</v>
      </c>
      <c r="B156" s="18">
        <v>20.079999999999998</v>
      </c>
      <c r="C156" s="118">
        <f t="shared" si="11"/>
        <v>1.6708860759493627E-2</v>
      </c>
    </row>
    <row r="157" spans="1:3" x14ac:dyDescent="0.25">
      <c r="A157" s="12">
        <v>44319</v>
      </c>
      <c r="B157" s="18">
        <v>19.75</v>
      </c>
      <c r="C157" s="118">
        <f t="shared" si="11"/>
        <v>-0.14279517609395942</v>
      </c>
    </row>
    <row r="158" spans="1:3" x14ac:dyDescent="0.25">
      <c r="A158" s="12">
        <v>44312</v>
      </c>
      <c r="B158" s="18">
        <v>23.040001</v>
      </c>
      <c r="C158" s="118">
        <f t="shared" si="11"/>
        <v>-1.5805168731311436E-2</v>
      </c>
    </row>
    <row r="159" spans="1:3" x14ac:dyDescent="0.25">
      <c r="A159" s="12">
        <v>44305</v>
      </c>
      <c r="B159" s="18">
        <v>23.41</v>
      </c>
      <c r="C159" s="118">
        <f t="shared" si="11"/>
        <v>4.183360221778365E-2</v>
      </c>
    </row>
    <row r="160" spans="1:3" x14ac:dyDescent="0.25">
      <c r="A160" s="12">
        <v>44298</v>
      </c>
      <c r="B160" s="18">
        <v>22.469999000000001</v>
      </c>
      <c r="C160" s="118">
        <f t="shared" si="11"/>
        <v>-6.5307900777541561E-2</v>
      </c>
    </row>
    <row r="161" spans="1:3" x14ac:dyDescent="0.25">
      <c r="A161" s="12">
        <v>44291</v>
      </c>
      <c r="B161" s="18">
        <v>24.040001</v>
      </c>
      <c r="C161" s="118">
        <f t="shared" si="11"/>
        <v>4.2045990463805749E-2</v>
      </c>
    </row>
    <row r="162" spans="1:3" x14ac:dyDescent="0.25">
      <c r="A162" s="12">
        <v>44284</v>
      </c>
      <c r="B162" s="18">
        <v>23.07</v>
      </c>
      <c r="C162" s="118">
        <f t="shared" si="11"/>
        <v>2.1700620017714778E-2</v>
      </c>
    </row>
    <row r="163" spans="1:3" x14ac:dyDescent="0.25">
      <c r="A163" s="12">
        <v>44277</v>
      </c>
      <c r="B163" s="18">
        <v>22.58</v>
      </c>
      <c r="C163" s="118">
        <f t="shared" si="11"/>
        <v>-7.1546052631578982E-2</v>
      </c>
    </row>
    <row r="164" spans="1:3" x14ac:dyDescent="0.25">
      <c r="A164" s="12">
        <v>44270</v>
      </c>
      <c r="B164" s="18">
        <v>24.32</v>
      </c>
      <c r="C164" s="118">
        <f t="shared" si="11"/>
        <v>-9.6582466567607828E-2</v>
      </c>
    </row>
    <row r="165" spans="1:3" x14ac:dyDescent="0.25">
      <c r="A165" s="12">
        <v>44263</v>
      </c>
      <c r="B165" s="18">
        <v>26.92</v>
      </c>
      <c r="C165" s="118">
        <f t="shared" si="11"/>
        <v>0.12400830379923589</v>
      </c>
    </row>
    <row r="166" spans="1:3" x14ac:dyDescent="0.25">
      <c r="A166" s="12">
        <v>44256</v>
      </c>
      <c r="B166" s="18">
        <v>23.950001</v>
      </c>
      <c r="C166" s="118">
        <f t="shared" si="11"/>
        <v>2.0920920502092155E-3</v>
      </c>
    </row>
    <row r="167" spans="1:3" x14ac:dyDescent="0.25">
      <c r="A167" s="12">
        <v>44249</v>
      </c>
      <c r="B167" s="18">
        <v>23.9</v>
      </c>
      <c r="C167" s="118">
        <f t="shared" si="11"/>
        <v>-0.17586206896551726</v>
      </c>
    </row>
    <row r="168" spans="1:3" x14ac:dyDescent="0.25">
      <c r="A168" s="12">
        <v>44242</v>
      </c>
      <c r="B168" s="18">
        <v>29</v>
      </c>
      <c r="C168" s="118">
        <f t="shared" si="11"/>
        <v>-9.1193983077405227E-2</v>
      </c>
    </row>
    <row r="169" spans="1:3" x14ac:dyDescent="0.25">
      <c r="A169" s="12">
        <v>44235</v>
      </c>
      <c r="B169" s="18">
        <v>31.91</v>
      </c>
      <c r="C169" s="118">
        <f t="shared" si="11"/>
        <v>-6.2848724312737803E-2</v>
      </c>
    </row>
    <row r="170" spans="1:3" x14ac:dyDescent="0.25">
      <c r="A170" s="12">
        <v>44228</v>
      </c>
      <c r="B170" s="18">
        <v>34.049999</v>
      </c>
      <c r="C170" s="118">
        <f t="shared" si="11"/>
        <v>-3.2120551449687285E-2</v>
      </c>
    </row>
    <row r="171" spans="1:3" x14ac:dyDescent="0.25">
      <c r="A171" s="12">
        <v>44221</v>
      </c>
      <c r="B171" s="18">
        <v>35.18</v>
      </c>
      <c r="C171" s="118">
        <f t="shared" si="11"/>
        <v>7.9803494180264334E-2</v>
      </c>
    </row>
    <row r="172" spans="1:3" x14ac:dyDescent="0.25">
      <c r="A172" s="12">
        <v>44214</v>
      </c>
      <c r="B172" s="18">
        <v>32.580002</v>
      </c>
      <c r="C172" s="118">
        <f t="shared" si="11"/>
        <v>0.27067095439434308</v>
      </c>
    </row>
    <row r="173" spans="1:3" x14ac:dyDescent="0.25">
      <c r="A173" s="12">
        <v>44207</v>
      </c>
      <c r="B173" s="18">
        <v>25.639999</v>
      </c>
      <c r="C173" s="118">
        <f t="shared" si="11"/>
        <v>1.746023740237157E-2</v>
      </c>
    </row>
    <row r="174" spans="1:3" x14ac:dyDescent="0.25">
      <c r="A174" s="12">
        <v>44200</v>
      </c>
      <c r="B174" s="18">
        <v>25.200001</v>
      </c>
      <c r="C174" s="118">
        <f t="shared" si="11"/>
        <v>7.0063782168313438E-2</v>
      </c>
    </row>
    <row r="175" spans="1:3" x14ac:dyDescent="0.25">
      <c r="A175" s="12">
        <v>44193</v>
      </c>
      <c r="B175" s="18">
        <v>23.549999</v>
      </c>
      <c r="C175" s="118">
        <f t="shared" si="11"/>
        <v>-0.1513513873873874</v>
      </c>
    </row>
    <row r="176" spans="1:3" x14ac:dyDescent="0.25">
      <c r="A176" s="12">
        <v>44186</v>
      </c>
      <c r="B176" s="18">
        <v>27.75</v>
      </c>
      <c r="C176" s="118">
        <f t="shared" si="11"/>
        <v>6.8540664941881602E-2</v>
      </c>
    </row>
    <row r="177" spans="1:3" x14ac:dyDescent="0.25">
      <c r="A177" s="12">
        <v>44179</v>
      </c>
      <c r="B177" s="18">
        <v>25.969999000000001</v>
      </c>
      <c r="C177" s="118">
        <f t="shared" si="11"/>
        <v>-4.522066010218162E-2</v>
      </c>
    </row>
    <row r="178" spans="1:3" x14ac:dyDescent="0.25">
      <c r="A178" s="12">
        <v>44172</v>
      </c>
      <c r="B178" s="18">
        <v>27.200001</v>
      </c>
      <c r="C178" s="118">
        <f t="shared" si="11"/>
        <v>0.1404612578616351</v>
      </c>
    </row>
    <row r="179" spans="1:3" x14ac:dyDescent="0.25">
      <c r="A179" s="12">
        <v>44165</v>
      </c>
      <c r="B179" s="18">
        <v>23.85</v>
      </c>
      <c r="C179" s="118">
        <f t="shared" si="11"/>
        <v>-0.13774403470715835</v>
      </c>
    </row>
    <row r="180" spans="1:3" x14ac:dyDescent="0.25">
      <c r="A180" s="12">
        <v>44158</v>
      </c>
      <c r="B180" s="18">
        <v>27.66</v>
      </c>
      <c r="C180" s="118">
        <f t="shared" si="11"/>
        <v>0.5239669421487605</v>
      </c>
    </row>
    <row r="181" spans="1:3" x14ac:dyDescent="0.25">
      <c r="A181" s="12">
        <v>44151</v>
      </c>
      <c r="B181" s="18">
        <v>18.149999999999999</v>
      </c>
      <c r="C181" s="118">
        <f t="shared" si="11"/>
        <v>0.14873417721518978</v>
      </c>
    </row>
    <row r="182" spans="1:3" x14ac:dyDescent="0.25">
      <c r="A182" s="12">
        <v>44144</v>
      </c>
      <c r="B182" s="18">
        <v>15.8</v>
      </c>
      <c r="C182" s="118">
        <f t="shared" si="11"/>
        <v>0.14244396240057844</v>
      </c>
    </row>
    <row r="183" spans="1:3" x14ac:dyDescent="0.25">
      <c r="A183" s="12">
        <v>44137</v>
      </c>
      <c r="B183" s="18">
        <v>13.83</v>
      </c>
      <c r="C183" s="118">
        <f t="shared" si="11"/>
        <v>0.36525172754195445</v>
      </c>
    </row>
    <row r="184" spans="1:3" x14ac:dyDescent="0.25">
      <c r="A184" s="12">
        <v>44130</v>
      </c>
      <c r="B184" s="18">
        <v>10.130000000000001</v>
      </c>
      <c r="C184" s="118">
        <f t="shared" si="11"/>
        <v>6.7439409905163394E-2</v>
      </c>
    </row>
    <row r="185" spans="1:3" x14ac:dyDescent="0.25">
      <c r="A185" s="12">
        <v>44123</v>
      </c>
      <c r="B185" s="18">
        <v>9.49</v>
      </c>
      <c r="C185" s="118">
        <f t="shared" si="11"/>
        <v>-2.2657054582904235E-2</v>
      </c>
    </row>
    <row r="186" spans="1:3" x14ac:dyDescent="0.25">
      <c r="A186" s="12">
        <v>44116</v>
      </c>
      <c r="B186" s="18">
        <v>9.7100000000000009</v>
      </c>
      <c r="C186" s="118">
        <f t="shared" si="11"/>
        <v>-2.4120603015075237E-2</v>
      </c>
    </row>
    <row r="187" spans="1:3" x14ac:dyDescent="0.25">
      <c r="A187" s="12">
        <v>44109</v>
      </c>
      <c r="B187" s="18">
        <v>9.9499999999999993</v>
      </c>
      <c r="C187" s="118">
        <f t="shared" si="11"/>
        <v>8.1521739130434812E-2</v>
      </c>
    </row>
    <row r="188" spans="1:3" x14ac:dyDescent="0.25">
      <c r="A188" s="12">
        <v>44102</v>
      </c>
      <c r="B188" s="18">
        <v>9.1999999999999993</v>
      </c>
    </row>
  </sheetData>
  <autoFilter ref="A1:C1" xr:uid="{366AC5E7-7FF6-4287-9F23-7D3A6FE15A5F}">
    <sortState xmlns:xlrd2="http://schemas.microsoft.com/office/spreadsheetml/2017/richdata2" ref="A2:C183">
      <sortCondition descending="1" ref="A1"/>
    </sortState>
  </autoFilter>
  <mergeCells count="4">
    <mergeCell ref="G1:L1"/>
    <mergeCell ref="G43:L43"/>
    <mergeCell ref="G17:H17"/>
    <mergeCell ref="G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2024-11-09T22:02:41Z</dcterms:modified>
</cp:coreProperties>
</file>