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Gaming\"/>
    </mc:Choice>
  </mc:AlternateContent>
  <xr:revisionPtr revIDLastSave="0" documentId="13_ncr:1_{B94F2105-35B6-4AE1-A067-B67A584D05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externalReferences>
    <externalReference r:id="rId6"/>
  </externalReferences>
  <definedNames>
    <definedName name="_xlchart.v1.0" hidden="1">Model!$A$17</definedName>
    <definedName name="_xlchart.v1.1" hidden="1">Model!$A$18</definedName>
    <definedName name="_xlchart.v1.2" hidden="1">Model!$B$17:$R$17</definedName>
    <definedName name="_xlchart.v1.3" hidden="1">Model!$B$18:$R$18</definedName>
    <definedName name="_xlchart.v1.4" hidden="1">Model!$B$2:$R$2</definedName>
    <definedName name="_xlchart.v1.5" hidden="1">Model!$A$3</definedName>
    <definedName name="_xlchart.v1.6" hidden="1">Model!$A$4</definedName>
    <definedName name="_xlchart.v1.7" hidden="1">Model!$B$2:$R$2</definedName>
    <definedName name="_xlchart.v1.8" hidden="1">Model!$B$3:$R$3</definedName>
    <definedName name="_xlchart.v1.9" hidden="1">Model!$B$4:$R$4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5" l="1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C35" i="1"/>
  <c r="C34" i="1"/>
  <c r="C33" i="1"/>
  <c r="C32" i="1"/>
  <c r="C31" i="1"/>
  <c r="C30" i="1"/>
  <c r="C29" i="1"/>
  <c r="C28" i="1"/>
  <c r="C27" i="1"/>
  <c r="C25" i="1"/>
  <c r="C24" i="1"/>
  <c r="C23" i="1"/>
  <c r="C22" i="1"/>
  <c r="U15" i="2"/>
  <c r="T15" i="2"/>
  <c r="R16" i="2"/>
  <c r="R11" i="2"/>
  <c r="R10" i="2"/>
  <c r="U21" i="2"/>
  <c r="T21" i="2"/>
  <c r="U24" i="2"/>
  <c r="T24" i="2"/>
  <c r="R28" i="2"/>
  <c r="R33" i="2" s="1"/>
  <c r="R40" i="2" s="1"/>
  <c r="R23" i="2"/>
  <c r="R22" i="2"/>
  <c r="R21" i="2"/>
  <c r="R19" i="2"/>
  <c r="R9" i="2"/>
  <c r="R45" i="2"/>
  <c r="R51" i="2" s="1"/>
  <c r="P27" i="2"/>
  <c r="C21" i="1"/>
  <c r="C20" i="1"/>
  <c r="C16" i="1"/>
  <c r="C15" i="1"/>
  <c r="C14" i="1"/>
  <c r="C13" i="1"/>
  <c r="C10" i="1"/>
  <c r="C11" i="1"/>
  <c r="R12" i="2" l="1"/>
  <c r="R15" i="2" s="1"/>
  <c r="R20" i="2" s="1"/>
  <c r="R27" i="2"/>
  <c r="C7" i="1"/>
  <c r="R52" i="2"/>
  <c r="C19" i="1"/>
  <c r="C18" i="1"/>
  <c r="C8" i="1" l="1"/>
  <c r="C12" i="1" s="1"/>
  <c r="C26" i="1" s="1"/>
  <c r="J9" i="1"/>
  <c r="J10" i="1"/>
  <c r="J8" i="1"/>
  <c r="J5" i="1"/>
  <c r="J4" i="1"/>
  <c r="J11" i="1"/>
  <c r="J7" i="1"/>
  <c r="J3" i="1"/>
  <c r="J6" i="1"/>
  <c r="D68" i="5"/>
  <c r="D67" i="5"/>
  <c r="D66" i="5"/>
  <c r="I65" i="5"/>
  <c r="D65" i="5"/>
  <c r="I64" i="5"/>
  <c r="D64" i="5"/>
  <c r="D63" i="5"/>
  <c r="D62" i="5"/>
  <c r="D61" i="5"/>
  <c r="D60" i="5"/>
  <c r="D59" i="5"/>
  <c r="I58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J36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I22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M56" i="5" s="1"/>
  <c r="I48" i="5" l="1"/>
  <c r="I52" i="5"/>
  <c r="I54" i="5"/>
  <c r="M58" i="5"/>
  <c r="I24" i="5"/>
  <c r="I34" i="5"/>
  <c r="K44" i="5"/>
  <c r="K46" i="5"/>
  <c r="K48" i="5"/>
  <c r="K50" i="5"/>
  <c r="K52" i="5"/>
  <c r="K54" i="5"/>
  <c r="K56" i="5"/>
  <c r="I50" i="5"/>
  <c r="I56" i="5"/>
  <c r="I20" i="5"/>
  <c r="I29" i="5"/>
  <c r="J34" i="5"/>
  <c r="M44" i="5"/>
  <c r="M46" i="5"/>
  <c r="M48" i="5"/>
  <c r="M50" i="5"/>
  <c r="M52" i="5"/>
  <c r="M54" i="5"/>
  <c r="I31" i="5"/>
  <c r="I25" i="5"/>
  <c r="I44" i="5"/>
  <c r="I21" i="5"/>
  <c r="I30" i="5"/>
  <c r="I35" i="5"/>
  <c r="I45" i="5"/>
  <c r="I47" i="5"/>
  <c r="I49" i="5"/>
  <c r="I51" i="5"/>
  <c r="I53" i="5"/>
  <c r="I55" i="5"/>
  <c r="I57" i="5"/>
  <c r="I28" i="5"/>
  <c r="I46" i="5"/>
  <c r="I26" i="5"/>
  <c r="J35" i="5"/>
  <c r="K45" i="5"/>
  <c r="K47" i="5"/>
  <c r="K49" i="5"/>
  <c r="K51" i="5"/>
  <c r="K53" i="5"/>
  <c r="K55" i="5"/>
  <c r="M57" i="5"/>
  <c r="M45" i="5"/>
  <c r="M47" i="5"/>
  <c r="M49" i="5"/>
  <c r="M51" i="5"/>
  <c r="M53" i="5"/>
  <c r="M55" i="5"/>
  <c r="K35" i="5"/>
  <c r="L35" i="5" s="1"/>
  <c r="K34" i="5"/>
  <c r="L34" i="5" s="1"/>
  <c r="K36" i="5"/>
  <c r="L36" i="5" s="1"/>
  <c r="I19" i="5"/>
  <c r="I23" i="5"/>
  <c r="I27" i="5" l="1"/>
  <c r="I40" i="5"/>
  <c r="H7" i="5"/>
  <c r="J41" i="5"/>
  <c r="H8" i="5"/>
  <c r="H9" i="5"/>
  <c r="H10" i="5"/>
  <c r="H11" i="5"/>
  <c r="I41" i="5"/>
  <c r="J39" i="5"/>
  <c r="I39" i="5"/>
  <c r="H12" i="5"/>
  <c r="H4" i="5"/>
  <c r="H13" i="5"/>
  <c r="H5" i="5"/>
  <c r="H14" i="5"/>
  <c r="H6" i="5"/>
  <c r="J40" i="5"/>
  <c r="K41" i="5" l="1"/>
  <c r="L41" i="5" s="1"/>
  <c r="K7" i="5"/>
  <c r="J6" i="5"/>
  <c r="L6" i="5" s="1"/>
  <c r="I6" i="5"/>
  <c r="J15" i="5"/>
  <c r="L15" i="5" s="1"/>
  <c r="J14" i="5"/>
  <c r="L14" i="5" s="1"/>
  <c r="I14" i="5"/>
  <c r="K15" i="5"/>
  <c r="K11" i="5"/>
  <c r="J10" i="5"/>
  <c r="L10" i="5" s="1"/>
  <c r="I10" i="5"/>
  <c r="K14" i="5"/>
  <c r="I13" i="5"/>
  <c r="J13" i="5"/>
  <c r="L13" i="5" s="1"/>
  <c r="K10" i="5"/>
  <c r="J9" i="5"/>
  <c r="L9" i="5" s="1"/>
  <c r="I9" i="5"/>
  <c r="K40" i="5"/>
  <c r="L40" i="5" s="1"/>
  <c r="K12" i="5"/>
  <c r="J11" i="5"/>
  <c r="L11" i="5" s="1"/>
  <c r="I11" i="5"/>
  <c r="J5" i="5"/>
  <c r="L5" i="5" s="1"/>
  <c r="I5" i="5"/>
  <c r="K6" i="5"/>
  <c r="K4" i="5"/>
  <c r="K5" i="5"/>
  <c r="J4" i="5"/>
  <c r="L4" i="5" s="1"/>
  <c r="M4" i="5" s="1"/>
  <c r="I4" i="5"/>
  <c r="I8" i="5"/>
  <c r="K9" i="5"/>
  <c r="J8" i="5"/>
  <c r="L8" i="5" s="1"/>
  <c r="K13" i="5"/>
  <c r="J12" i="5"/>
  <c r="L12" i="5" s="1"/>
  <c r="I12" i="5"/>
  <c r="K39" i="5"/>
  <c r="L39" i="5" s="1"/>
  <c r="K8" i="5"/>
  <c r="J7" i="5"/>
  <c r="L7" i="5" s="1"/>
  <c r="I7" i="5"/>
  <c r="M5" i="5" l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X22" i="2" l="1"/>
  <c r="AB23" i="2"/>
  <c r="AA23" i="2"/>
  <c r="Z23" i="2"/>
  <c r="Y23" i="2"/>
  <c r="X23" i="2"/>
  <c r="Q23" i="2"/>
  <c r="P23" i="2"/>
  <c r="O23" i="2"/>
  <c r="N23" i="2"/>
  <c r="L23" i="2"/>
  <c r="K23" i="2"/>
  <c r="J23" i="2"/>
  <c r="H23" i="2"/>
  <c r="G23" i="2"/>
  <c r="F23" i="2"/>
  <c r="D23" i="2"/>
  <c r="C23" i="2"/>
  <c r="B23" i="2"/>
  <c r="S15" i="2"/>
  <c r="Q11" i="2"/>
  <c r="P11" i="2"/>
  <c r="P10" i="2"/>
  <c r="O11" i="2"/>
  <c r="O10" i="2"/>
  <c r="N11" i="2"/>
  <c r="N10" i="2"/>
  <c r="L11" i="2"/>
  <c r="K11" i="2"/>
  <c r="J11" i="2"/>
  <c r="P50" i="2"/>
  <c r="P44" i="2"/>
  <c r="O50" i="2"/>
  <c r="O44" i="2"/>
  <c r="N50" i="2"/>
  <c r="N44" i="2"/>
  <c r="L50" i="2"/>
  <c r="L44" i="2"/>
  <c r="K50" i="2"/>
  <c r="K44" i="2"/>
  <c r="J50" i="2"/>
  <c r="Q50" i="2"/>
  <c r="AC50" i="2" s="1"/>
  <c r="Q44" i="2"/>
  <c r="AC44" i="2" s="1"/>
  <c r="Q32" i="2"/>
  <c r="AC32" i="2" s="1"/>
  <c r="AB50" i="2"/>
  <c r="AB44" i="2"/>
  <c r="AA50" i="2"/>
  <c r="F50" i="2"/>
  <c r="Q10" i="2"/>
  <c r="AB11" i="2"/>
  <c r="AA11" i="2"/>
  <c r="AB27" i="2"/>
  <c r="AA27" i="2"/>
  <c r="Z27" i="2"/>
  <c r="Q27" i="2"/>
  <c r="O27" i="2"/>
  <c r="N27" i="2"/>
  <c r="L27" i="2"/>
  <c r="K27" i="2"/>
  <c r="J27" i="2"/>
  <c r="H27" i="2"/>
  <c r="G27" i="2"/>
  <c r="F27" i="2"/>
  <c r="D27" i="2"/>
  <c r="C27" i="2"/>
  <c r="B52" i="2"/>
  <c r="AD6" i="2"/>
  <c r="AD5" i="2"/>
  <c r="AD15" i="2"/>
  <c r="AD20" i="2" s="1"/>
  <c r="AE5" i="2"/>
  <c r="AB19" i="2"/>
  <c r="AA19" i="2"/>
  <c r="Z19" i="2"/>
  <c r="Y19" i="2"/>
  <c r="X19" i="2"/>
  <c r="AE6" i="2"/>
  <c r="S21" i="2"/>
  <c r="AB22" i="2"/>
  <c r="AA22" i="2"/>
  <c r="Z22" i="2"/>
  <c r="Y22" i="2"/>
  <c r="H22" i="2"/>
  <c r="C22" i="2"/>
  <c r="D22" i="2"/>
  <c r="F22" i="2"/>
  <c r="G22" i="2"/>
  <c r="J22" i="2"/>
  <c r="K22" i="2"/>
  <c r="L22" i="2"/>
  <c r="N22" i="2"/>
  <c r="O22" i="2"/>
  <c r="P22" i="2"/>
  <c r="Q22" i="2"/>
  <c r="B22" i="2"/>
  <c r="AE15" i="2"/>
  <c r="AE20" i="2" s="1"/>
  <c r="AE21" i="2"/>
  <c r="AC47" i="2"/>
  <c r="AC49" i="2"/>
  <c r="AC46" i="2"/>
  <c r="AC42" i="2"/>
  <c r="AC41" i="2"/>
  <c r="AC35" i="2"/>
  <c r="AC36" i="2"/>
  <c r="AC37" i="2"/>
  <c r="AC38" i="2"/>
  <c r="AC39" i="2"/>
  <c r="AC34" i="2"/>
  <c r="AC31" i="2"/>
  <c r="AC30" i="2"/>
  <c r="AC29" i="2"/>
  <c r="AC28" i="2"/>
  <c r="AC13" i="2"/>
  <c r="AC14" i="2"/>
  <c r="AC8" i="2"/>
  <c r="AC7" i="2"/>
  <c r="AC6" i="2"/>
  <c r="AC5" i="2"/>
  <c r="AC3" i="2"/>
  <c r="AD21" i="2" s="1"/>
  <c r="B19" i="2"/>
  <c r="C19" i="2"/>
  <c r="D19" i="2"/>
  <c r="F19" i="2"/>
  <c r="G19" i="2"/>
  <c r="H19" i="2"/>
  <c r="J19" i="2"/>
  <c r="K19" i="2"/>
  <c r="L19" i="2"/>
  <c r="N19" i="2"/>
  <c r="O19" i="2"/>
  <c r="P19" i="2"/>
  <c r="Q19" i="2"/>
  <c r="Q9" i="2"/>
  <c r="AC23" i="2" l="1"/>
  <c r="Q33" i="2"/>
  <c r="Q40" i="2" s="1"/>
  <c r="AC22" i="2"/>
  <c r="AC27" i="2"/>
  <c r="AD9" i="2"/>
  <c r="AD12" i="2" s="1"/>
  <c r="Q12" i="2"/>
  <c r="Q15" i="2" s="1"/>
  <c r="Q20" i="2" s="1"/>
  <c r="AC21" i="2"/>
  <c r="AC19" i="2"/>
  <c r="AE9" i="2"/>
  <c r="AE12" i="2" s="1"/>
  <c r="Q45" i="2"/>
  <c r="Q51" i="2" s="1"/>
  <c r="Q52" i="2" s="1"/>
  <c r="AC45" i="2"/>
  <c r="AC51" i="2" s="1"/>
  <c r="AC33" i="2"/>
  <c r="AC40" i="2" s="1"/>
  <c r="AC9" i="2"/>
  <c r="B27" i="2"/>
  <c r="N45" i="2"/>
  <c r="AC10" i="2"/>
  <c r="AC11" i="2"/>
  <c r="I11" i="2"/>
  <c r="I17" i="2"/>
  <c r="I14" i="2"/>
  <c r="I13" i="2"/>
  <c r="I10" i="2"/>
  <c r="I5" i="2"/>
  <c r="I6" i="2"/>
  <c r="I7" i="2"/>
  <c r="I8" i="2"/>
  <c r="I3" i="2"/>
  <c r="M17" i="2"/>
  <c r="M14" i="2"/>
  <c r="M13" i="2"/>
  <c r="M10" i="2"/>
  <c r="M5" i="2"/>
  <c r="M6" i="2"/>
  <c r="M7" i="2"/>
  <c r="M8" i="2"/>
  <c r="M3" i="2"/>
  <c r="Q21" i="2" s="1"/>
  <c r="AA21" i="2"/>
  <c r="AB21" i="2"/>
  <c r="M50" i="2"/>
  <c r="M44" i="2"/>
  <c r="M47" i="2"/>
  <c r="M49" i="2"/>
  <c r="M46" i="2"/>
  <c r="M42" i="2"/>
  <c r="M41" i="2"/>
  <c r="M35" i="2"/>
  <c r="M36" i="2"/>
  <c r="M37" i="2"/>
  <c r="M38" i="2"/>
  <c r="M39" i="2"/>
  <c r="M34" i="2"/>
  <c r="M29" i="2"/>
  <c r="M30" i="2"/>
  <c r="M31" i="2"/>
  <c r="M32" i="2"/>
  <c r="M28" i="2"/>
  <c r="L45" i="2"/>
  <c r="F21" i="2"/>
  <c r="G21" i="2"/>
  <c r="H21" i="2"/>
  <c r="J21" i="2"/>
  <c r="K21" i="2"/>
  <c r="L21" i="2"/>
  <c r="N21" i="2"/>
  <c r="O21" i="2"/>
  <c r="P21" i="2"/>
  <c r="I47" i="2"/>
  <c r="I49" i="2"/>
  <c r="I46" i="2"/>
  <c r="I42" i="2"/>
  <c r="I44" i="2"/>
  <c r="I41" i="2"/>
  <c r="I35" i="2"/>
  <c r="I36" i="2"/>
  <c r="I37" i="2"/>
  <c r="I38" i="2"/>
  <c r="I39" i="2"/>
  <c r="I34" i="2"/>
  <c r="I29" i="2"/>
  <c r="I30" i="2"/>
  <c r="I31" i="2"/>
  <c r="I32" i="2"/>
  <c r="I28" i="2"/>
  <c r="I50" i="2"/>
  <c r="E50" i="2"/>
  <c r="E49" i="2"/>
  <c r="E47" i="2"/>
  <c r="E46" i="2"/>
  <c r="E44" i="2"/>
  <c r="E42" i="2"/>
  <c r="E41" i="2"/>
  <c r="E39" i="2"/>
  <c r="E38" i="2"/>
  <c r="E37" i="2"/>
  <c r="E36" i="2"/>
  <c r="E35" i="2"/>
  <c r="E34" i="2"/>
  <c r="E29" i="2"/>
  <c r="E30" i="2"/>
  <c r="E31" i="2"/>
  <c r="E32" i="2"/>
  <c r="E28" i="2"/>
  <c r="E17" i="2"/>
  <c r="E14" i="2"/>
  <c r="E13" i="2"/>
  <c r="E11" i="2"/>
  <c r="E10" i="2"/>
  <c r="E5" i="2"/>
  <c r="E6" i="2"/>
  <c r="E7" i="2"/>
  <c r="E8" i="2"/>
  <c r="E3" i="2"/>
  <c r="Z21" i="2"/>
  <c r="Y21" i="2"/>
  <c r="X9" i="2"/>
  <c r="X12" i="2" s="1"/>
  <c r="X15" i="2" s="1"/>
  <c r="X20" i="2" s="1"/>
  <c r="Z45" i="2"/>
  <c r="Z51" i="2" s="1"/>
  <c r="AA45" i="2"/>
  <c r="AB45" i="2"/>
  <c r="Z33" i="2"/>
  <c r="Z40" i="2" s="1"/>
  <c r="AA33" i="2"/>
  <c r="AA40" i="2" s="1"/>
  <c r="AB33" i="2"/>
  <c r="AB40" i="2" s="1"/>
  <c r="C33" i="2"/>
  <c r="C40" i="2" s="1"/>
  <c r="C45" i="2"/>
  <c r="C51" i="2" s="1"/>
  <c r="D45" i="2"/>
  <c r="D51" i="2" s="1"/>
  <c r="F45" i="2"/>
  <c r="G45" i="2"/>
  <c r="G51" i="2" s="1"/>
  <c r="H45" i="2"/>
  <c r="H51" i="2" s="1"/>
  <c r="J45" i="2"/>
  <c r="D33" i="2"/>
  <c r="D40" i="2" s="1"/>
  <c r="F33" i="2"/>
  <c r="F40" i="2" s="1"/>
  <c r="G33" i="2"/>
  <c r="G40" i="2" s="1"/>
  <c r="H33" i="2"/>
  <c r="H40" i="2" s="1"/>
  <c r="J33" i="2"/>
  <c r="J40" i="2" s="1"/>
  <c r="K33" i="2"/>
  <c r="K40" i="2" s="1"/>
  <c r="L33" i="2"/>
  <c r="L40" i="2" s="1"/>
  <c r="N33" i="2"/>
  <c r="N40" i="2" s="1"/>
  <c r="O33" i="2"/>
  <c r="O40" i="2" s="1"/>
  <c r="P33" i="2"/>
  <c r="P40" i="2" s="1"/>
  <c r="AB9" i="2"/>
  <c r="AA9" i="2"/>
  <c r="Z9" i="2"/>
  <c r="Z12" i="2" s="1"/>
  <c r="Y9" i="2"/>
  <c r="Y12" i="2" s="1"/>
  <c r="B9" i="2"/>
  <c r="D9" i="2"/>
  <c r="D12" i="2" s="1"/>
  <c r="D15" i="2" s="1"/>
  <c r="F9" i="2"/>
  <c r="G9" i="2"/>
  <c r="G12" i="2" s="1"/>
  <c r="G15" i="2" s="1"/>
  <c r="G20" i="2" s="1"/>
  <c r="H9" i="2"/>
  <c r="H12" i="2" s="1"/>
  <c r="H15" i="2" s="1"/>
  <c r="H16" i="2" s="1"/>
  <c r="J9" i="2"/>
  <c r="K9" i="2"/>
  <c r="L9" i="2"/>
  <c r="N9" i="2"/>
  <c r="O9" i="2"/>
  <c r="P9" i="2"/>
  <c r="C9" i="2"/>
  <c r="C12" i="2" s="1"/>
  <c r="I23" i="2" l="1"/>
  <c r="H52" i="2"/>
  <c r="G52" i="2"/>
  <c r="E23" i="2"/>
  <c r="M23" i="2"/>
  <c r="E27" i="2"/>
  <c r="Q16" i="2"/>
  <c r="M27" i="2"/>
  <c r="I27" i="2"/>
  <c r="D52" i="2"/>
  <c r="C52" i="2"/>
  <c r="AC12" i="2"/>
  <c r="O45" i="2"/>
  <c r="O51" i="2" s="1"/>
  <c r="O52" i="2" s="1"/>
  <c r="M22" i="2"/>
  <c r="M19" i="2"/>
  <c r="I22" i="2"/>
  <c r="E22" i="2"/>
  <c r="I19" i="2"/>
  <c r="E19" i="2"/>
  <c r="K12" i="2"/>
  <c r="K15" i="2" s="1"/>
  <c r="K16" i="2" s="1"/>
  <c r="P45" i="2"/>
  <c r="P51" i="2" s="1"/>
  <c r="P52" i="2" s="1"/>
  <c r="M11" i="2"/>
  <c r="AB51" i="2"/>
  <c r="K45" i="2"/>
  <c r="K51" i="2" s="1"/>
  <c r="K52" i="2" s="1"/>
  <c r="AA51" i="2"/>
  <c r="E33" i="2"/>
  <c r="E40" i="2" s="1"/>
  <c r="G16" i="2"/>
  <c r="AA12" i="2"/>
  <c r="AA15" i="2" s="1"/>
  <c r="P12" i="2"/>
  <c r="P15" i="2" s="1"/>
  <c r="O12" i="2"/>
  <c r="O15" i="2" s="1"/>
  <c r="S24" i="2" s="1"/>
  <c r="N51" i="2"/>
  <c r="N52" i="2" s="1"/>
  <c r="N12" i="2"/>
  <c r="N15" i="2" s="1"/>
  <c r="R24" i="2" s="1"/>
  <c r="I9" i="2"/>
  <c r="I12" i="2" s="1"/>
  <c r="I15" i="2" s="1"/>
  <c r="I21" i="2"/>
  <c r="M21" i="2"/>
  <c r="M9" i="2"/>
  <c r="AB12" i="2"/>
  <c r="AB15" i="2" s="1"/>
  <c r="AB16" i="2" s="1"/>
  <c r="M45" i="2"/>
  <c r="M51" i="2" s="1"/>
  <c r="M33" i="2"/>
  <c r="M40" i="2" s="1"/>
  <c r="L51" i="2"/>
  <c r="L52" i="2" s="1"/>
  <c r="L12" i="2"/>
  <c r="J51" i="2"/>
  <c r="J52" i="2" s="1"/>
  <c r="I45" i="2"/>
  <c r="I51" i="2" s="1"/>
  <c r="E45" i="2"/>
  <c r="E51" i="2" s="1"/>
  <c r="I33" i="2"/>
  <c r="I40" i="2" s="1"/>
  <c r="J12" i="2"/>
  <c r="J15" i="2" s="1"/>
  <c r="F51" i="2"/>
  <c r="F52" i="2" s="1"/>
  <c r="E9" i="2"/>
  <c r="E12" i="2" s="1"/>
  <c r="E15" i="2" s="1"/>
  <c r="B12" i="2"/>
  <c r="B15" i="2" s="1"/>
  <c r="C15" i="2"/>
  <c r="Y15" i="2"/>
  <c r="F12" i="2"/>
  <c r="F15" i="2" s="1"/>
  <c r="F16" i="2" s="1"/>
  <c r="Z15" i="2"/>
  <c r="D16" i="2"/>
  <c r="AC15" i="2" l="1"/>
  <c r="AC16" i="2" s="1"/>
  <c r="K24" i="2"/>
  <c r="M52" i="2"/>
  <c r="I52" i="2"/>
  <c r="E52" i="2"/>
  <c r="N16" i="2"/>
  <c r="K20" i="2"/>
  <c r="F24" i="2"/>
  <c r="M12" i="2"/>
  <c r="M15" i="2" s="1"/>
  <c r="G24" i="2"/>
  <c r="O24" i="2"/>
  <c r="O16" i="2"/>
  <c r="P20" i="2"/>
  <c r="P16" i="2"/>
  <c r="L15" i="2"/>
  <c r="L16" i="2" s="1"/>
  <c r="J16" i="2"/>
  <c r="J20" i="2"/>
  <c r="J24" i="2"/>
  <c r="AB20" i="2"/>
  <c r="O20" i="2"/>
  <c r="N20" i="2"/>
  <c r="N24" i="2"/>
  <c r="AA24" i="2"/>
  <c r="AB24" i="2"/>
  <c r="AA20" i="2"/>
  <c r="AA16" i="2"/>
  <c r="I20" i="2"/>
  <c r="I24" i="2"/>
  <c r="H24" i="2"/>
  <c r="H20" i="2"/>
  <c r="F20" i="2"/>
  <c r="E20" i="2"/>
  <c r="E16" i="2"/>
  <c r="B20" i="2"/>
  <c r="B16" i="2"/>
  <c r="Y20" i="2"/>
  <c r="Y16" i="2"/>
  <c r="Y24" i="2"/>
  <c r="Z16" i="2"/>
  <c r="Z24" i="2"/>
  <c r="Z20" i="2"/>
  <c r="D20" i="2"/>
  <c r="C20" i="2"/>
  <c r="AC20" i="2" l="1"/>
  <c r="AC24" i="2"/>
  <c r="M16" i="2"/>
  <c r="Q24" i="2"/>
  <c r="M20" i="2"/>
  <c r="M24" i="2"/>
  <c r="L20" i="2"/>
  <c r="P24" i="2"/>
  <c r="I16" i="2"/>
  <c r="L24" i="2"/>
  <c r="C16" i="2"/>
  <c r="X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3573353D-629D-4D6E-81FC-72E002FCA5D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1DE5AA83-783E-4E5D-BAFA-05314D376B0F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96977434-76C1-4A68-910A-D375EEF40B64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242DD560-F97B-4730-8725-02F5AAD91256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B02589AC-88DB-4AC2-8238-2895D0C5C95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5C6C40EA-33AC-4B9E-9966-F2201CB03978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47520F9E-9B3E-4060-B033-6C765DF2316F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18E7DED9-5D94-429F-9DF0-8C01A1BBDD4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2F73131E-7F58-4C88-BC7E-B025F8733E38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33080111-BD07-4AC3-98C2-5784CAA787C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<sst xmlns="http://schemas.openxmlformats.org/spreadsheetml/2006/main" count="246" uniqueCount="224">
  <si>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</si>
  <si>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</si>
  <si>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</si>
  <si>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</si>
  <si>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</si>
  <si>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</si>
  <si>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</si>
  <si>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</si>
  <si>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</si>
  <si>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</si>
  <si>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</si>
  <si>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</si>
  <si>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</si>
  <si>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</si>
  <si>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</si>
  <si>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</si>
  <si>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</si>
  <si>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</si>
  <si>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</si>
  <si>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</si>
  <si>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</si>
  <si>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</si>
  <si>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</si>
  <si>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</si>
  <si>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</si>
  <si>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</si>
  <si>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</si>
  <si>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</si>
  <si>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P&amp;E</t>
  </si>
  <si>
    <t>Goodwill</t>
  </si>
  <si>
    <t>Intangible Assets</t>
  </si>
  <si>
    <t>Other long-term Assets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</si>
  <si>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</si>
  <si>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</si>
  <si>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</si>
  <si>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</si>
  <si>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</si>
  <si>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</si>
  <si>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</si>
  <si>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</si>
  <si>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</si>
  <si>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</si>
  <si>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Q420</t>
  </si>
  <si>
    <t>Q320</t>
  </si>
  <si>
    <t>Q220</t>
  </si>
  <si>
    <t>Net Income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</si>
  <si>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</si>
  <si>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</si>
  <si>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</si>
  <si>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</si>
  <si>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</si>
  <si>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</si>
  <si>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</si>
  <si>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</si>
  <si>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</si>
  <si>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</si>
  <si>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</si>
  <si>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</si>
  <si>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</si>
  <si>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</si>
  <si>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</si>
  <si>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</si>
  <si>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</si>
  <si>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</si>
  <si>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</si>
  <si>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</si>
  <si>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</si>
  <si>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</si>
  <si>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</si>
  <si>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</si>
  <si>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</si>
  <si>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</si>
  <si>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</si>
  <si>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</si>
  <si>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</si>
  <si>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Vanguard Group Inc</t>
  </si>
  <si>
    <t>Blackrock Inc.</t>
  </si>
  <si>
    <t>State Street Corporation</t>
  </si>
  <si>
    <t>Date</t>
  </si>
  <si>
    <t>Close</t>
  </si>
  <si>
    <t>Event</t>
  </si>
  <si>
    <t>Earnings</t>
  </si>
  <si>
    <t>Driving business factors:</t>
  </si>
  <si>
    <t>DKNG</t>
  </si>
  <si>
    <t>xxx</t>
  </si>
  <si>
    <t>7.94%</t>
  </si>
  <si>
    <t>4.28%</t>
  </si>
  <si>
    <t>ARK Investment Management, LLC</t>
  </si>
  <si>
    <t>2.64%</t>
  </si>
  <si>
    <t>Sumitomo Mitsui Trust Holdings, Inc.</t>
  </si>
  <si>
    <t>1.80%</t>
  </si>
  <si>
    <t>Whale Rock Capital Management LLC</t>
  </si>
  <si>
    <t>1.79%</t>
  </si>
  <si>
    <t>Nikko Asset Management Americas, Inc.</t>
  </si>
  <si>
    <t>1.60%</t>
  </si>
  <si>
    <t>Shaw D.E. &amp; Co., Inc.</t>
  </si>
  <si>
    <t>1.55%</t>
  </si>
  <si>
    <t>Capital Research Global Investors</t>
  </si>
  <si>
    <t>1.54%</t>
  </si>
  <si>
    <t>Jericho Capital Asset Management, LP</t>
  </si>
  <si>
    <t>1.53%</t>
  </si>
  <si>
    <t>Insiders</t>
  </si>
  <si>
    <t>DODGE ROBERT STANTON</t>
  </si>
  <si>
    <t>KALISH MATTHEW</t>
  </si>
  <si>
    <t>LIBERMAN PAUL</t>
  </si>
  <si>
    <t>MOSLEY VALERIE A</t>
  </si>
  <si>
    <t>MURRAY STEVEN JOSEPH</t>
  </si>
  <si>
    <t>PARK JASON</t>
  </si>
  <si>
    <t>ROBINS JASON</t>
  </si>
  <si>
    <t>SLOAN HARRY EVANS</t>
  </si>
  <si>
    <t>WALDEN MARNI M</t>
  </si>
  <si>
    <t>Comment</t>
  </si>
  <si>
    <t>Role</t>
  </si>
  <si>
    <t>Q120</t>
  </si>
  <si>
    <t>COGS</t>
  </si>
  <si>
    <t>Sales &amp; Marketing</t>
  </si>
  <si>
    <t>Product &amp; Tech</t>
  </si>
  <si>
    <t>G&amp;A</t>
  </si>
  <si>
    <t>Cash reserved User</t>
  </si>
  <si>
    <t>Receivables for User</t>
  </si>
  <si>
    <t>Current Assets</t>
  </si>
  <si>
    <t>Libilities to Users</t>
  </si>
  <si>
    <t>Revolving Credit Line</t>
  </si>
  <si>
    <t>Total Current Liabilities</t>
  </si>
  <si>
    <t>Convertible notes</t>
  </si>
  <si>
    <t>FY18</t>
  </si>
  <si>
    <t>Gains on Equity</t>
  </si>
  <si>
    <t>Loss from Equity</t>
  </si>
  <si>
    <t>Operating Lease</t>
  </si>
  <si>
    <t>Equity Method invest.</t>
  </si>
  <si>
    <t>Non-Current operating lease</t>
  </si>
  <si>
    <t>Long-term income tax</t>
  </si>
  <si>
    <t>Q124</t>
  </si>
  <si>
    <t>Jason Robins</t>
  </si>
  <si>
    <t>CEO, Cofounder</t>
  </si>
  <si>
    <t>Matt Kalish</t>
  </si>
  <si>
    <t>President, Cofounder</t>
  </si>
  <si>
    <t>Paul Liberman</t>
  </si>
  <si>
    <t>Tech + Product, Cofounder</t>
  </si>
  <si>
    <t xml:space="preserve">Jason Park </t>
  </si>
  <si>
    <t>CFO</t>
  </si>
  <si>
    <t>Travis Dunn</t>
  </si>
  <si>
    <t>CTO</t>
  </si>
  <si>
    <t>Corey Gottlieb</t>
  </si>
  <si>
    <t>CPO (Product)</t>
  </si>
  <si>
    <t>Stephanie Sherman</t>
  </si>
  <si>
    <t>CMO</t>
  </si>
  <si>
    <t>Greg Karamitis</t>
  </si>
  <si>
    <t>CRO</t>
  </si>
  <si>
    <t>ex Vistaprint</t>
  </si>
  <si>
    <t>Analytics guy, ex Vistaprint</t>
  </si>
  <si>
    <t>Ex Fidelity, Econ, CS Major, ex Vistaprint</t>
  </si>
  <si>
    <t>Marketing &amp; Analysis Bg, CS+Math Econ BS, ex Vistaprint</t>
  </si>
  <si>
    <t>Wharton, Bain Capital, McKinsey</t>
  </si>
  <si>
    <t xml:space="preserve">Harvard, Major League Baseball, </t>
  </si>
  <si>
    <t>Approval in different states</t>
  </si>
  <si>
    <t>Customer retention rates</t>
  </si>
  <si>
    <t>moving the business on non-gaap data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</si>
  <si>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</si>
  <si>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</si>
  <si>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</si>
  <si>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</si>
  <si>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</si>
  <si>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</si>
  <si>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</si>
  <si>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</si>
  <si>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</si>
  <si>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</si>
  <si>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G&amp;A / REV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</si>
  <si>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</si>
  <si>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</si>
  <si>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</si>
  <si>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</si>
  <si>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</si>
  <si>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</si>
  <si>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</si>
  <si>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</si>
  <si>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</si>
  <si>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</si>
  <si>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</si>
  <si>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</si>
  <si>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</si>
  <si>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</si>
  <si>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</si>
  <si>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</si>
  <si>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</si>
  <si>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</si>
  <si>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</si>
  <si>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</si>
  <si>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</si>
  <si>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</si>
  <si>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</si>
  <si>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</si>
  <si>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</si>
  <si>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</si>
  <si>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</si>
  <si>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</si>
  <si>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</si>
  <si>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</si>
  <si>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</si>
  <si>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</si>
  <si>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</si>
  <si>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</si>
  <si>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</si>
  <si>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</si>
  <si>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</si>
  <si>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</si>
  <si>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</si>
  <si>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</si>
  <si>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</si>
  <si>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</si>
  <si>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</si>
  <si>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</si>
  <si>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</si>
  <si>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</si>
  <si>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</si>
  <si>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</si>
  <si>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</si>
  <si>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</si>
  <si>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</si>
  <si>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</si>
  <si>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Warrant liabilities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</si>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</sst>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7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8" borderId="9" applyNumberFormat="0" applyAlignment="0" applyProtection="0"/>
  </cellStyleXfs>
  <cellXfs count="148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0" fontId="0" fillId="3" borderId="3" xfId="0" applyFill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2" xfId="0" applyNumberFormat="1" applyFont="1" applyBorder="1"/>
    <xf numFmtId="164" fontId="0" fillId="0" borderId="2" xfId="0" applyNumberFormat="1" applyBorder="1"/>
    <xf numFmtId="2" fontId="2" fillId="6" borderId="0" xfId="0" applyNumberFormat="1" applyFont="1" applyFill="1" applyAlignment="1">
      <alignment horizontal="right"/>
    </xf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2" fontId="5" fillId="7" borderId="0" xfId="0" applyNumberFormat="1" applyFont="1" applyFill="1"/>
    <xf numFmtId="2" fontId="5" fillId="3" borderId="0" xfId="0" applyNumberFormat="1" applyFont="1" applyFill="1"/>
    <xf numFmtId="3" fontId="5" fillId="7" borderId="0" xfId="0" applyNumberFormat="1" applyFont="1" applyFill="1"/>
    <xf numFmtId="3" fontId="5" fillId="3" borderId="0" xfId="0" applyNumberFormat="1" applyFont="1" applyFill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0" borderId="0" xfId="0" applyNumberFormat="1" applyFont="1"/>
    <xf numFmtId="0" fontId="6" fillId="0" borderId="0" xfId="0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9" fontId="5" fillId="6" borderId="1" xfId="1" applyFont="1" applyFill="1" applyBorder="1"/>
    <xf numFmtId="3" fontId="6" fillId="7" borderId="0" xfId="0" applyNumberFormat="1" applyFont="1" applyFill="1"/>
    <xf numFmtId="3" fontId="6" fillId="3" borderId="0" xfId="0" applyNumberFormat="1" applyFont="1" applyFill="1"/>
    <xf numFmtId="0" fontId="0" fillId="0" borderId="0" xfId="0" applyBorder="1"/>
    <xf numFmtId="3" fontId="0" fillId="0" borderId="0" xfId="0" applyNumberFormat="1" applyBorder="1"/>
    <xf numFmtId="3" fontId="0" fillId="7" borderId="0" xfId="0" applyNumberFormat="1" applyFill="1" applyBorder="1"/>
    <xf numFmtId="3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2" fillId="7" borderId="0" xfId="0" applyNumberFormat="1" applyFont="1" applyFill="1" applyBorder="1" applyAlignment="1">
      <alignment horizontal="right"/>
    </xf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0" fontId="8" fillId="9" borderId="10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9" fillId="10" borderId="13" xfId="0" applyFont="1" applyFill="1" applyBorder="1"/>
    <xf numFmtId="0" fontId="9" fillId="10" borderId="14" xfId="0" applyFont="1" applyFill="1" applyBorder="1"/>
    <xf numFmtId="0" fontId="9" fillId="10" borderId="15" xfId="0" applyFont="1" applyFill="1" applyBorder="1"/>
    <xf numFmtId="0" fontId="9" fillId="10" borderId="16" xfId="0" applyFont="1" applyFill="1" applyBorder="1"/>
    <xf numFmtId="0" fontId="10" fillId="10" borderId="17" xfId="0" applyFont="1" applyFill="1" applyBorder="1" applyAlignment="1">
      <alignment horizontal="center"/>
    </xf>
    <xf numFmtId="0" fontId="10" fillId="10" borderId="18" xfId="0" applyFont="1" applyFill="1" applyBorder="1" applyAlignment="1">
      <alignment horizontal="center"/>
    </xf>
    <xf numFmtId="0" fontId="9" fillId="10" borderId="19" xfId="0" applyFont="1" applyFill="1" applyBorder="1"/>
    <xf numFmtId="0" fontId="9" fillId="10" borderId="20" xfId="0" applyFont="1" applyFill="1" applyBorder="1"/>
    <xf numFmtId="167" fontId="9" fillId="10" borderId="21" xfId="0" applyNumberFormat="1" applyFont="1" applyFill="1" applyBorder="1"/>
    <xf numFmtId="167" fontId="9" fillId="10" borderId="22" xfId="0" applyNumberFormat="1" applyFont="1" applyFill="1" applyBorder="1"/>
    <xf numFmtId="0" fontId="9" fillId="10" borderId="22" xfId="0" applyFont="1" applyFill="1" applyBorder="1"/>
    <xf numFmtId="10" fontId="9" fillId="10" borderId="22" xfId="0" applyNumberFormat="1" applyFont="1" applyFill="1" applyBorder="1"/>
    <xf numFmtId="10" fontId="9" fillId="10" borderId="23" xfId="0" applyNumberFormat="1" applyFont="1" applyFill="1" applyBorder="1"/>
    <xf numFmtId="167" fontId="9" fillId="10" borderId="24" xfId="0" applyNumberFormat="1" applyFont="1" applyFill="1" applyBorder="1"/>
    <xf numFmtId="167" fontId="9" fillId="10" borderId="25" xfId="0" applyNumberFormat="1" applyFont="1" applyFill="1" applyBorder="1"/>
    <xf numFmtId="0" fontId="9" fillId="10" borderId="25" xfId="0" applyFont="1" applyFill="1" applyBorder="1"/>
    <xf numFmtId="0" fontId="9" fillId="10" borderId="25" xfId="0" quotePrefix="1" applyFont="1" applyFill="1" applyBorder="1"/>
    <xf numFmtId="10" fontId="9" fillId="10" borderId="25" xfId="0" applyNumberFormat="1" applyFont="1" applyFill="1" applyBorder="1"/>
    <xf numFmtId="10" fontId="9" fillId="10" borderId="26" xfId="0" applyNumberFormat="1" applyFont="1" applyFill="1" applyBorder="1"/>
    <xf numFmtId="0" fontId="9" fillId="10" borderId="27" xfId="0" applyFont="1" applyFill="1" applyBorder="1"/>
    <xf numFmtId="0" fontId="9" fillId="10" borderId="28" xfId="0" applyFont="1" applyFill="1" applyBorder="1"/>
    <xf numFmtId="10" fontId="9" fillId="10" borderId="29" xfId="0" applyNumberFormat="1" applyFont="1" applyFill="1" applyBorder="1"/>
    <xf numFmtId="167" fontId="9" fillId="10" borderId="30" xfId="0" applyNumberFormat="1" applyFont="1" applyFill="1" applyBorder="1"/>
    <xf numFmtId="0" fontId="9" fillId="10" borderId="31" xfId="0" applyFont="1" applyFill="1" applyBorder="1"/>
    <xf numFmtId="167" fontId="9" fillId="10" borderId="32" xfId="0" applyNumberFormat="1" applyFont="1" applyFill="1" applyBorder="1" applyAlignment="1">
      <alignment horizontal="center"/>
    </xf>
    <xf numFmtId="167" fontId="9" fillId="10" borderId="33" xfId="0" applyNumberFormat="1" applyFont="1" applyFill="1" applyBorder="1" applyAlignment="1">
      <alignment horizontal="center"/>
    </xf>
    <xf numFmtId="167" fontId="9" fillId="10" borderId="34" xfId="0" applyNumberFormat="1" applyFont="1" applyFill="1" applyBorder="1" applyAlignment="1">
      <alignment horizontal="center"/>
    </xf>
    <xf numFmtId="167" fontId="9" fillId="10" borderId="35" xfId="0" applyNumberFormat="1" applyFont="1" applyFill="1" applyBorder="1" applyAlignment="1">
      <alignment horizontal="center"/>
    </xf>
    <xf numFmtId="167" fontId="9" fillId="10" borderId="36" xfId="0" applyNumberFormat="1" applyFont="1" applyFill="1" applyBorder="1"/>
    <xf numFmtId="165" fontId="9" fillId="10" borderId="31" xfId="0" applyNumberFormat="1" applyFont="1" applyFill="1" applyBorder="1"/>
    <xf numFmtId="2" fontId="9" fillId="10" borderId="31" xfId="0" applyNumberFormat="1" applyFont="1" applyFill="1" applyBorder="1"/>
    <xf numFmtId="167" fontId="9" fillId="10" borderId="13" xfId="0" applyNumberFormat="1" applyFont="1" applyFill="1" applyBorder="1"/>
    <xf numFmtId="167" fontId="9" fillId="10" borderId="37" xfId="0" applyNumberFormat="1" applyFont="1" applyFill="1" applyBorder="1"/>
    <xf numFmtId="167" fontId="9" fillId="10" borderId="38" xfId="0" applyNumberFormat="1" applyFont="1" applyFill="1" applyBorder="1"/>
    <xf numFmtId="0" fontId="11" fillId="10" borderId="22" xfId="0" applyFont="1" applyFill="1" applyBorder="1"/>
    <xf numFmtId="0" fontId="11" fillId="10" borderId="23" xfId="0" applyFont="1" applyFill="1" applyBorder="1"/>
    <xf numFmtId="167" fontId="11" fillId="10" borderId="24" xfId="0" applyNumberFormat="1" applyFont="1" applyFill="1" applyBorder="1"/>
    <xf numFmtId="167" fontId="11" fillId="10" borderId="30" xfId="0" applyNumberFormat="1" applyFont="1" applyFill="1" applyBorder="1"/>
    <xf numFmtId="10" fontId="9" fillId="10" borderId="28" xfId="0" applyNumberFormat="1" applyFont="1" applyFill="1" applyBorder="1"/>
    <xf numFmtId="0" fontId="9" fillId="10" borderId="0" xfId="0" applyFont="1" applyFill="1"/>
    <xf numFmtId="1" fontId="9" fillId="10" borderId="24" xfId="0" applyNumberFormat="1" applyFont="1" applyFill="1" applyBorder="1"/>
    <xf numFmtId="10" fontId="9" fillId="10" borderId="39" xfId="0" applyNumberFormat="1" applyFont="1" applyFill="1" applyBorder="1"/>
    <xf numFmtId="0" fontId="2" fillId="0" borderId="4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9" fontId="11" fillId="10" borderId="40" xfId="0" applyNumberFormat="1" applyFont="1" applyFill="1" applyBorder="1"/>
    <xf numFmtId="10" fontId="0" fillId="10" borderId="42" xfId="0" applyNumberFormat="1" applyFill="1" applyBorder="1" applyAlignment="1">
      <alignment horizontal="centerContinuous"/>
    </xf>
    <xf numFmtId="9" fontId="11" fillId="10" borderId="43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1" fillId="10" borderId="36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1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1" fillId="10" borderId="13" xfId="0" applyNumberFormat="1" applyFont="1" applyFill="1" applyBorder="1"/>
    <xf numFmtId="10" fontId="0" fillId="10" borderId="44" xfId="0" applyNumberFormat="1" applyFill="1" applyBorder="1" applyAlignment="1">
      <alignment horizontal="centerContinuous"/>
    </xf>
    <xf numFmtId="0" fontId="9" fillId="10" borderId="45" xfId="0" applyFont="1" applyFill="1" applyBorder="1"/>
    <xf numFmtId="0" fontId="0" fillId="10" borderId="44" xfId="0" applyFill="1" applyBorder="1"/>
    <xf numFmtId="9" fontId="11" fillId="10" borderId="45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1" fillId="0" borderId="21" xfId="0" applyFont="1" applyBorder="1"/>
    <xf numFmtId="9" fontId="7" fillId="8" borderId="23" xfId="3" applyNumberFormat="1" applyBorder="1"/>
    <xf numFmtId="0" fontId="11" fillId="0" borderId="27" xfId="0" applyFont="1" applyBorder="1"/>
    <xf numFmtId="9" fontId="7" fillId="8" borderId="29" xfId="3" applyNumberFormat="1" applyBorder="1"/>
    <xf numFmtId="0" fontId="9" fillId="0" borderId="0" xfId="0" applyFont="1"/>
    <xf numFmtId="2" fontId="7" fillId="8" borderId="23" xfId="3" applyNumberFormat="1" applyBorder="1"/>
    <xf numFmtId="0" fontId="11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0" applyNumberFormat="1" applyBorder="1"/>
    <xf numFmtId="2" fontId="0" fillId="0" borderId="2" xfId="1" applyNumberFormat="1" applyFont="1" applyBorder="1"/>
    <xf numFmtId="2" fontId="5" fillId="3" borderId="2" xfId="0" applyNumberFormat="1" applyFont="1" applyFill="1" applyBorder="1"/>
    <xf numFmtId="3" fontId="5" fillId="3" borderId="2" xfId="0" applyNumberFormat="1" applyFont="1" applyFill="1" applyBorder="1"/>
    <xf numFmtId="3" fontId="5" fillId="0" borderId="0" xfId="0" applyNumberFormat="1" applyFont="1" applyFill="1" applyBorder="1"/>
    <xf numFmtId="9" fontId="0" fillId="0" borderId="0" xfId="0" applyNumberFormat="1" applyFill="1"/>
    <xf numFmtId="10" fontId="0" fillId="0" borderId="0" xfId="1" applyNumberFormat="1" applyFont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9-4BC3-B844-B084D47DE3AD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62-4E3A-962D-275F8A00133C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94D-4E89-87A6-6450899394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Model!$B$2:$S$2</c:f>
              <c:strCache>
                <c:ptCount val="18"/>
                <c:pt idx="0">
                  <c:v>Q120</c:v>
                </c:pt>
                <c:pt idx="1">
                  <c:v>Q220</c:v>
                </c:pt>
                <c:pt idx="2">
                  <c:v>Q320</c:v>
                </c:pt>
                <c:pt idx="3">
                  <c:v>Q420</c:v>
                </c:pt>
                <c:pt idx="4">
                  <c:v>Q121</c:v>
                </c:pt>
                <c:pt idx="5">
                  <c:v>Q221</c:v>
                </c:pt>
                <c:pt idx="6">
                  <c:v>Q321</c:v>
                </c:pt>
                <c:pt idx="7">
                  <c:v>Q421</c:v>
                </c:pt>
                <c:pt idx="8">
                  <c:v>Q122</c:v>
                </c:pt>
                <c:pt idx="9">
                  <c:v>Q222</c:v>
                </c:pt>
                <c:pt idx="10">
                  <c:v>Q322</c:v>
                </c:pt>
                <c:pt idx="11">
                  <c:v>Q422</c:v>
                </c:pt>
                <c:pt idx="12">
                  <c:v>Q123</c:v>
                </c:pt>
                <c:pt idx="13">
                  <c:v>Q223</c:v>
                </c:pt>
                <c:pt idx="14">
                  <c:v>Q323</c:v>
                </c:pt>
                <c:pt idx="15">
                  <c:v>Q423</c:v>
                </c:pt>
                <c:pt idx="16">
                  <c:v>Q124</c:v>
                </c:pt>
                <c:pt idx="17">
                  <c:v>Q224</c:v>
                </c:pt>
              </c:strCache>
            </c:strRef>
          </c:cat>
          <c:val>
            <c:numRef>
              <c:f>Model!$B$3:$S$3</c:f>
              <c:numCache>
                <c:formatCode>#,##0</c:formatCode>
                <c:ptCount val="18"/>
                <c:pt idx="0">
                  <c:v>88.542000000000002</c:v>
                </c:pt>
                <c:pt idx="1">
                  <c:v>70.930999999999997</c:v>
                </c:pt>
                <c:pt idx="2">
                  <c:v>132.83600000000001</c:v>
                </c:pt>
                <c:pt idx="3">
                  <c:v>322.22300000000007</c:v>
                </c:pt>
                <c:pt idx="4">
                  <c:v>312.27600000000001</c:v>
                </c:pt>
                <c:pt idx="5">
                  <c:v>297.60500000000002</c:v>
                </c:pt>
                <c:pt idx="6">
                  <c:v>212.81899999999999</c:v>
                </c:pt>
                <c:pt idx="7">
                  <c:v>473.3250000000001</c:v>
                </c:pt>
                <c:pt idx="8">
                  <c:v>417.20499999999998</c:v>
                </c:pt>
                <c:pt idx="9">
                  <c:v>466.185</c:v>
                </c:pt>
                <c:pt idx="10">
                  <c:v>501.93799999999999</c:v>
                </c:pt>
                <c:pt idx="11">
                  <c:v>855.13299999999981</c:v>
                </c:pt>
                <c:pt idx="12">
                  <c:v>769.65200000000004</c:v>
                </c:pt>
                <c:pt idx="13">
                  <c:v>874.92700000000002</c:v>
                </c:pt>
                <c:pt idx="14">
                  <c:v>789.95699999999999</c:v>
                </c:pt>
                <c:pt idx="15">
                  <c:v>1230.857</c:v>
                </c:pt>
                <c:pt idx="16">
                  <c:v>1174.9960000000001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Model!$B$21:$S$21</c:f>
              <c:numCache>
                <c:formatCode>0%</c:formatCode>
                <c:ptCount val="18"/>
                <c:pt idx="4">
                  <c:v>2.5268686047299589</c:v>
                </c:pt>
                <c:pt idx="5">
                  <c:v>3.1956972268824639</c:v>
                </c:pt>
                <c:pt idx="6">
                  <c:v>0.60211840163810981</c:v>
                </c:pt>
                <c:pt idx="7">
                  <c:v>0.46893610946456343</c:v>
                </c:pt>
                <c:pt idx="8">
                  <c:v>0.33601365458760823</c:v>
                </c:pt>
                <c:pt idx="9">
                  <c:v>0.5664555367013322</c:v>
                </c:pt>
                <c:pt idx="10">
                  <c:v>1.3585206208092324</c:v>
                </c:pt>
                <c:pt idx="11">
                  <c:v>0.80665082131727583</c:v>
                </c:pt>
                <c:pt idx="12">
                  <c:v>0.84478134250548309</c:v>
                </c:pt>
                <c:pt idx="13">
                  <c:v>0.87678067719896613</c:v>
                </c:pt>
                <c:pt idx="14">
                  <c:v>0.57381389733393373</c:v>
                </c:pt>
                <c:pt idx="15">
                  <c:v>0.4393749276428347</c:v>
                </c:pt>
                <c:pt idx="16">
                  <c:v>0.52665880164022183</c:v>
                </c:pt>
                <c:pt idx="17">
                  <c:v>0.25724774752636503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FA1-4450-8EE0-3FE2DAE0EFFF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6F-4F99-B83A-E056CDADD3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Model!$X$2:$AE$2</c:f>
              <c:strCache>
                <c:ptCount val="8"/>
                <c:pt idx="0">
                  <c:v>FY18</c:v>
                </c:pt>
                <c:pt idx="1">
                  <c:v>FY19</c:v>
                </c:pt>
                <c:pt idx="2">
                  <c:v>FY20</c:v>
                </c:pt>
                <c:pt idx="3">
                  <c:v>FY21</c:v>
                </c:pt>
                <c:pt idx="4">
                  <c:v>FY22</c:v>
                </c:pt>
                <c:pt idx="5">
                  <c:v>FY23</c:v>
                </c:pt>
                <c:pt idx="6">
                  <c:v>FY24</c:v>
                </c:pt>
                <c:pt idx="7">
                  <c:v>FY25</c:v>
                </c:pt>
              </c:strCache>
            </c:strRef>
          </c:cat>
          <c:val>
            <c:numRef>
              <c:f>Model!$X$3:$AE$3</c:f>
              <c:numCache>
                <c:formatCode>#,##0</c:formatCode>
                <c:ptCount val="8"/>
                <c:pt idx="0">
                  <c:v>226.27699999999999</c:v>
                </c:pt>
                <c:pt idx="1">
                  <c:v>323.41000000000003</c:v>
                </c:pt>
                <c:pt idx="2">
                  <c:v>614.53200000000004</c:v>
                </c:pt>
                <c:pt idx="3">
                  <c:v>1296.0250000000001</c:v>
                </c:pt>
                <c:pt idx="4">
                  <c:v>2240.4609999999998</c:v>
                </c:pt>
                <c:pt idx="5">
                  <c:v>3665.393</c:v>
                </c:pt>
                <c:pt idx="6">
                  <c:v>4810</c:v>
                </c:pt>
                <c:pt idx="7">
                  <c:v>5680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Model!$X$21:$AE$21</c:f>
              <c:numCache>
                <c:formatCode>0%</c:formatCode>
                <c:ptCount val="8"/>
                <c:pt idx="1">
                  <c:v>0.42926589976002894</c:v>
                </c:pt>
                <c:pt idx="2">
                  <c:v>0.90016387866794467</c:v>
                </c:pt>
                <c:pt idx="3">
                  <c:v>1.1089625926721474</c:v>
                </c:pt>
                <c:pt idx="4">
                  <c:v>0.72871742443239884</c:v>
                </c:pt>
                <c:pt idx="5">
                  <c:v>0.63599946618129044</c:v>
                </c:pt>
                <c:pt idx="6">
                  <c:v>0.31227401809301214</c:v>
                </c:pt>
                <c:pt idx="7">
                  <c:v>0.18087318087318094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31-41E6-A59B-643874A510DF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31-41E6-A59B-643874A510DF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FF8-464D-991B-FDF806CA60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Model!$B$2:$S$2</c:f>
              <c:strCache>
                <c:ptCount val="18"/>
                <c:pt idx="0">
                  <c:v>Q120</c:v>
                </c:pt>
                <c:pt idx="1">
                  <c:v>Q220</c:v>
                </c:pt>
                <c:pt idx="2">
                  <c:v>Q320</c:v>
                </c:pt>
                <c:pt idx="3">
                  <c:v>Q420</c:v>
                </c:pt>
                <c:pt idx="4">
                  <c:v>Q121</c:v>
                </c:pt>
                <c:pt idx="5">
                  <c:v>Q221</c:v>
                </c:pt>
                <c:pt idx="6">
                  <c:v>Q321</c:v>
                </c:pt>
                <c:pt idx="7">
                  <c:v>Q421</c:v>
                </c:pt>
                <c:pt idx="8">
                  <c:v>Q122</c:v>
                </c:pt>
                <c:pt idx="9">
                  <c:v>Q222</c:v>
                </c:pt>
                <c:pt idx="10">
                  <c:v>Q322</c:v>
                </c:pt>
                <c:pt idx="11">
                  <c:v>Q422</c:v>
                </c:pt>
                <c:pt idx="12">
                  <c:v>Q123</c:v>
                </c:pt>
                <c:pt idx="13">
                  <c:v>Q223</c:v>
                </c:pt>
                <c:pt idx="14">
                  <c:v>Q323</c:v>
                </c:pt>
                <c:pt idx="15">
                  <c:v>Q423</c:v>
                </c:pt>
                <c:pt idx="16">
                  <c:v>Q124</c:v>
                </c:pt>
                <c:pt idx="17">
                  <c:v>Q224</c:v>
                </c:pt>
              </c:strCache>
            </c:strRef>
          </c:cat>
          <c:val>
            <c:numRef>
              <c:f>Model!$B$15:$S$15</c:f>
              <c:numCache>
                <c:formatCode>#,##0</c:formatCode>
                <c:ptCount val="18"/>
                <c:pt idx="0">
                  <c:v>-68.680000000000007</c:v>
                </c:pt>
                <c:pt idx="1">
                  <c:v>-161.43700000000001</c:v>
                </c:pt>
                <c:pt idx="2">
                  <c:v>-347.76300000000003</c:v>
                </c:pt>
                <c:pt idx="3">
                  <c:v>-266.81399999999996</c:v>
                </c:pt>
                <c:pt idx="4">
                  <c:v>-346.34399999999999</c:v>
                </c:pt>
                <c:pt idx="5">
                  <c:v>-305.52600000000001</c:v>
                </c:pt>
                <c:pt idx="6">
                  <c:v>-545.02800000000002</c:v>
                </c:pt>
                <c:pt idx="7">
                  <c:v>-319.60099999999983</c:v>
                </c:pt>
                <c:pt idx="8">
                  <c:v>-462.05300000000005</c:v>
                </c:pt>
                <c:pt idx="9">
                  <c:v>-217.10300000000004</c:v>
                </c:pt>
                <c:pt idx="10">
                  <c:v>-450.49400000000009</c:v>
                </c:pt>
                <c:pt idx="11">
                  <c:v>-222.43700000000018</c:v>
                </c:pt>
                <c:pt idx="12">
                  <c:v>-397.14800000000002</c:v>
                </c:pt>
                <c:pt idx="13">
                  <c:v>-77.269999999999953</c:v>
                </c:pt>
                <c:pt idx="14">
                  <c:v>-283.10299999999989</c:v>
                </c:pt>
                <c:pt idx="15">
                  <c:v>-44.620999999999988</c:v>
                </c:pt>
                <c:pt idx="16">
                  <c:v>-142.56799999999987</c:v>
                </c:pt>
                <c:pt idx="17">
                  <c:v>14.25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Model!$A$19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Model!$B$19:$S$19</c:f>
              <c:numCache>
                <c:formatCode>0%</c:formatCode>
                <c:ptCount val="18"/>
                <c:pt idx="0">
                  <c:v>0.50965643423460061</c:v>
                </c:pt>
                <c:pt idx="1">
                  <c:v>0.33273180978697603</c:v>
                </c:pt>
                <c:pt idx="2">
                  <c:v>0.27302086783703217</c:v>
                </c:pt>
                <c:pt idx="3">
                  <c:v>0.50570257244206662</c:v>
                </c:pt>
                <c:pt idx="4">
                  <c:v>0.41325942435537799</c:v>
                </c:pt>
                <c:pt idx="5">
                  <c:v>0.37163018094454059</c:v>
                </c:pt>
                <c:pt idx="6">
                  <c:v>0.19767971844619137</c:v>
                </c:pt>
                <c:pt idx="7">
                  <c:v>0.46509903343368719</c:v>
                </c:pt>
                <c:pt idx="8">
                  <c:v>0.2488608717536942</c:v>
                </c:pt>
                <c:pt idx="9">
                  <c:v>0.32909252764460462</c:v>
                </c:pt>
                <c:pt idx="10">
                  <c:v>0.25749395343648018</c:v>
                </c:pt>
                <c:pt idx="11">
                  <c:v>0.43232807060422185</c:v>
                </c:pt>
                <c:pt idx="12">
                  <c:v>0.32210921299496398</c:v>
                </c:pt>
                <c:pt idx="13">
                  <c:v>0.41672505249009351</c:v>
                </c:pt>
                <c:pt idx="14">
                  <c:v>0.31204609871170208</c:v>
                </c:pt>
                <c:pt idx="15">
                  <c:v>0.41775689621133894</c:v>
                </c:pt>
                <c:pt idx="16">
                  <c:v>0.39568390020051136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3E-4C1E-A0CC-EC95A227BB78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A3E-4C1E-A0CC-EC95A227BB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Model!$X$2:$AE$2</c:f>
              <c:strCache>
                <c:ptCount val="8"/>
                <c:pt idx="0">
                  <c:v>FY18</c:v>
                </c:pt>
                <c:pt idx="1">
                  <c:v>FY19</c:v>
                </c:pt>
                <c:pt idx="2">
                  <c:v>FY20</c:v>
                </c:pt>
                <c:pt idx="3">
                  <c:v>FY21</c:v>
                </c:pt>
                <c:pt idx="4">
                  <c:v>FY22</c:v>
                </c:pt>
                <c:pt idx="5">
                  <c:v>FY23</c:v>
                </c:pt>
                <c:pt idx="6">
                  <c:v>FY24</c:v>
                </c:pt>
                <c:pt idx="7">
                  <c:v>FY25</c:v>
                </c:pt>
              </c:strCache>
            </c:strRef>
          </c:cat>
          <c:val>
            <c:numRef>
              <c:f>Model!$X$15:$AE$15</c:f>
              <c:numCache>
                <c:formatCode>#,##0</c:formatCode>
                <c:ptCount val="8"/>
                <c:pt idx="0">
                  <c:v>-76.220000000000013</c:v>
                </c:pt>
                <c:pt idx="1">
                  <c:v>-142.73399999999998</c:v>
                </c:pt>
                <c:pt idx="2">
                  <c:v>-844.2700000000001</c:v>
                </c:pt>
                <c:pt idx="3">
                  <c:v>-1523.1949999999997</c:v>
                </c:pt>
                <c:pt idx="4">
                  <c:v>-1377.9870000000003</c:v>
                </c:pt>
                <c:pt idx="5">
                  <c:v>-802.14199999999994</c:v>
                </c:pt>
                <c:pt idx="6">
                  <c:v>-60.27656647398841</c:v>
                </c:pt>
                <c:pt idx="7">
                  <c:v>375.56937572254321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Model!$A$19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Model!$X$19:$AE$19</c:f>
              <c:numCache>
                <c:formatCode>0%</c:formatCode>
                <c:ptCount val="8"/>
                <c:pt idx="0">
                  <c:v>0.78482567826159966</c:v>
                </c:pt>
                <c:pt idx="1">
                  <c:v>0.67876998237531305</c:v>
                </c:pt>
                <c:pt idx="2">
                  <c:v>0.4360114688901473</c:v>
                </c:pt>
                <c:pt idx="3">
                  <c:v>0.38723249937308313</c:v>
                </c:pt>
                <c:pt idx="4">
                  <c:v>0.33751446688873399</c:v>
                </c:pt>
                <c:pt idx="5">
                  <c:v>0.37464413775003114</c:v>
                </c:pt>
                <c:pt idx="6">
                  <c:v>0.43</c:v>
                </c:pt>
                <c:pt idx="7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Model!$A$22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Model!$B$2:$S$2</c:f>
              <c:strCache>
                <c:ptCount val="18"/>
                <c:pt idx="0">
                  <c:v>Q120</c:v>
                </c:pt>
                <c:pt idx="1">
                  <c:v>Q220</c:v>
                </c:pt>
                <c:pt idx="2">
                  <c:v>Q320</c:v>
                </c:pt>
                <c:pt idx="3">
                  <c:v>Q420</c:v>
                </c:pt>
                <c:pt idx="4">
                  <c:v>Q121</c:v>
                </c:pt>
                <c:pt idx="5">
                  <c:v>Q221</c:v>
                </c:pt>
                <c:pt idx="6">
                  <c:v>Q321</c:v>
                </c:pt>
                <c:pt idx="7">
                  <c:v>Q421</c:v>
                </c:pt>
                <c:pt idx="8">
                  <c:v>Q122</c:v>
                </c:pt>
                <c:pt idx="9">
                  <c:v>Q222</c:v>
                </c:pt>
                <c:pt idx="10">
                  <c:v>Q322</c:v>
                </c:pt>
                <c:pt idx="11">
                  <c:v>Q422</c:v>
                </c:pt>
                <c:pt idx="12">
                  <c:v>Q123</c:v>
                </c:pt>
                <c:pt idx="13">
                  <c:v>Q223</c:v>
                </c:pt>
                <c:pt idx="14">
                  <c:v>Q323</c:v>
                </c:pt>
                <c:pt idx="15">
                  <c:v>Q423</c:v>
                </c:pt>
                <c:pt idx="16">
                  <c:v>Q124</c:v>
                </c:pt>
                <c:pt idx="17">
                  <c:v>Q224</c:v>
                </c:pt>
              </c:strCache>
            </c:strRef>
          </c:cat>
          <c:val>
            <c:numRef>
              <c:f>Model!$B$22:$S$22</c:f>
              <c:numCache>
                <c:formatCode>0%</c:formatCode>
                <c:ptCount val="18"/>
                <c:pt idx="0">
                  <c:v>0.60655959883445143</c:v>
                </c:pt>
                <c:pt idx="1">
                  <c:v>0.65116803654255551</c:v>
                </c:pt>
                <c:pt idx="2">
                  <c:v>1.5307522057273628</c:v>
                </c:pt>
                <c:pt idx="3">
                  <c:v>0.59573338960905942</c:v>
                </c:pt>
                <c:pt idx="4">
                  <c:v>0.73232012706708172</c:v>
                </c:pt>
                <c:pt idx="5">
                  <c:v>0.57361939483543611</c:v>
                </c:pt>
                <c:pt idx="6">
                  <c:v>1.426836889563432</c:v>
                </c:pt>
                <c:pt idx="7">
                  <c:v>0.5882723287381818</c:v>
                </c:pt>
                <c:pt idx="8">
                  <c:v>0.77048932778849732</c:v>
                </c:pt>
                <c:pt idx="9">
                  <c:v>0.42371376170404451</c:v>
                </c:pt>
                <c:pt idx="10">
                  <c:v>0.64094370221023311</c:v>
                </c:pt>
                <c:pt idx="11">
                  <c:v>0.40377578692437344</c:v>
                </c:pt>
                <c:pt idx="12">
                  <c:v>0.50559603561089939</c:v>
                </c:pt>
                <c:pt idx="13">
                  <c:v>0.23714778490091173</c:v>
                </c:pt>
                <c:pt idx="14">
                  <c:v>0.39663298128885494</c:v>
                </c:pt>
                <c:pt idx="15">
                  <c:v>0.23623784078897872</c:v>
                </c:pt>
                <c:pt idx="16">
                  <c:v>0.28995758283432455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Model!$A$23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Model!$B$23:$S$23</c:f>
              <c:numCache>
                <c:formatCode>0%</c:formatCode>
                <c:ptCount val="18"/>
                <c:pt idx="0">
                  <c:v>0.4460707912629035</c:v>
                </c:pt>
                <c:pt idx="1">
                  <c:v>1.5128505166993276</c:v>
                </c:pt>
                <c:pt idx="2">
                  <c:v>0.95897196543105767</c:v>
                </c:pt>
                <c:pt idx="3">
                  <c:v>0.53746628887447523</c:v>
                </c:pt>
                <c:pt idx="4">
                  <c:v>0.54117831661735138</c:v>
                </c:pt>
                <c:pt idx="5">
                  <c:v>0.66801969052939303</c:v>
                </c:pt>
                <c:pt idx="6">
                  <c:v>1.0323608324444715</c:v>
                </c:pt>
                <c:pt idx="7">
                  <c:v>0.50877515449215638</c:v>
                </c:pt>
                <c:pt idx="8">
                  <c:v>0.51918361476971753</c:v>
                </c:pt>
                <c:pt idx="9">
                  <c:v>0.40243465576970516</c:v>
                </c:pt>
                <c:pt idx="10">
                  <c:v>0.37108367965764694</c:v>
                </c:pt>
                <c:pt idx="11">
                  <c:v>0.20259304692954203</c:v>
                </c:pt>
                <c:pt idx="12">
                  <c:v>0.20850462286851718</c:v>
                </c:pt>
                <c:pt idx="13">
                  <c:v>0.15573413553359308</c:v>
                </c:pt>
                <c:pt idx="14">
                  <c:v>0.16552926298520046</c:v>
                </c:pt>
                <c:pt idx="15">
                  <c:v>0.14548887482461406</c:v>
                </c:pt>
                <c:pt idx="16">
                  <c:v>0.14829922825269193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2-4C98-997C-B583826BC8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Catalysts!$A$2:$A$1147</c:f>
              <c:numCache>
                <c:formatCode>m/d/yyyy</c:formatCode>
                <c:ptCount val="1146"/>
                <c:pt idx="0">
                  <c:v>45411</c:v>
                </c:pt>
                <c:pt idx="1">
                  <c:v>45404</c:v>
                </c:pt>
                <c:pt idx="2">
                  <c:v>45397</c:v>
                </c:pt>
                <c:pt idx="3">
                  <c:v>45390</c:v>
                </c:pt>
                <c:pt idx="4">
                  <c:v>45383</c:v>
                </c:pt>
                <c:pt idx="5">
                  <c:v>45376</c:v>
                </c:pt>
                <c:pt idx="6">
                  <c:v>45369</c:v>
                </c:pt>
                <c:pt idx="7">
                  <c:v>45362</c:v>
                </c:pt>
                <c:pt idx="8">
                  <c:v>45355</c:v>
                </c:pt>
                <c:pt idx="9">
                  <c:v>45348</c:v>
                </c:pt>
                <c:pt idx="10">
                  <c:v>45341</c:v>
                </c:pt>
                <c:pt idx="11">
                  <c:v>45334</c:v>
                </c:pt>
                <c:pt idx="12">
                  <c:v>45327</c:v>
                </c:pt>
                <c:pt idx="13">
                  <c:v>45320</c:v>
                </c:pt>
                <c:pt idx="14">
                  <c:v>45313</c:v>
                </c:pt>
                <c:pt idx="15">
                  <c:v>45306</c:v>
                </c:pt>
                <c:pt idx="16">
                  <c:v>45299</c:v>
                </c:pt>
                <c:pt idx="17">
                  <c:v>45292</c:v>
                </c:pt>
                <c:pt idx="18">
                  <c:v>45285</c:v>
                </c:pt>
                <c:pt idx="19">
                  <c:v>45278</c:v>
                </c:pt>
                <c:pt idx="20">
                  <c:v>45271</c:v>
                </c:pt>
                <c:pt idx="21">
                  <c:v>45264</c:v>
                </c:pt>
                <c:pt idx="22">
                  <c:v>45257</c:v>
                </c:pt>
                <c:pt idx="23">
                  <c:v>45250</c:v>
                </c:pt>
                <c:pt idx="24">
                  <c:v>45243</c:v>
                </c:pt>
                <c:pt idx="25">
                  <c:v>45236</c:v>
                </c:pt>
                <c:pt idx="26">
                  <c:v>45229</c:v>
                </c:pt>
                <c:pt idx="27">
                  <c:v>45222</c:v>
                </c:pt>
                <c:pt idx="28">
                  <c:v>45215</c:v>
                </c:pt>
                <c:pt idx="29">
                  <c:v>45208</c:v>
                </c:pt>
                <c:pt idx="30">
                  <c:v>45201</c:v>
                </c:pt>
                <c:pt idx="31">
                  <c:v>45194</c:v>
                </c:pt>
                <c:pt idx="32">
                  <c:v>45187</c:v>
                </c:pt>
                <c:pt idx="33">
                  <c:v>45180</c:v>
                </c:pt>
                <c:pt idx="34">
                  <c:v>45173</c:v>
                </c:pt>
                <c:pt idx="35">
                  <c:v>45166</c:v>
                </c:pt>
                <c:pt idx="36">
                  <c:v>45159</c:v>
                </c:pt>
                <c:pt idx="37">
                  <c:v>45152</c:v>
                </c:pt>
                <c:pt idx="38">
                  <c:v>45145</c:v>
                </c:pt>
                <c:pt idx="39">
                  <c:v>45138</c:v>
                </c:pt>
                <c:pt idx="40">
                  <c:v>45131</c:v>
                </c:pt>
                <c:pt idx="41">
                  <c:v>45124</c:v>
                </c:pt>
                <c:pt idx="42">
                  <c:v>45117</c:v>
                </c:pt>
                <c:pt idx="43">
                  <c:v>45110</c:v>
                </c:pt>
                <c:pt idx="44">
                  <c:v>45103</c:v>
                </c:pt>
                <c:pt idx="45">
                  <c:v>45096</c:v>
                </c:pt>
                <c:pt idx="46">
                  <c:v>45089</c:v>
                </c:pt>
                <c:pt idx="47">
                  <c:v>45082</c:v>
                </c:pt>
                <c:pt idx="48">
                  <c:v>45075</c:v>
                </c:pt>
                <c:pt idx="49">
                  <c:v>45068</c:v>
                </c:pt>
                <c:pt idx="50">
                  <c:v>45061</c:v>
                </c:pt>
                <c:pt idx="51">
                  <c:v>45054</c:v>
                </c:pt>
                <c:pt idx="52">
                  <c:v>45047</c:v>
                </c:pt>
                <c:pt idx="53">
                  <c:v>45040</c:v>
                </c:pt>
                <c:pt idx="54">
                  <c:v>45033</c:v>
                </c:pt>
                <c:pt idx="55">
                  <c:v>45026</c:v>
                </c:pt>
                <c:pt idx="56">
                  <c:v>45019</c:v>
                </c:pt>
                <c:pt idx="57">
                  <c:v>45012</c:v>
                </c:pt>
                <c:pt idx="58">
                  <c:v>45005</c:v>
                </c:pt>
                <c:pt idx="59">
                  <c:v>44998</c:v>
                </c:pt>
                <c:pt idx="60">
                  <c:v>44991</c:v>
                </c:pt>
                <c:pt idx="61">
                  <c:v>44984</c:v>
                </c:pt>
                <c:pt idx="62">
                  <c:v>44977</c:v>
                </c:pt>
                <c:pt idx="63">
                  <c:v>44970</c:v>
                </c:pt>
                <c:pt idx="64">
                  <c:v>44963</c:v>
                </c:pt>
                <c:pt idx="65">
                  <c:v>44956</c:v>
                </c:pt>
                <c:pt idx="66">
                  <c:v>44949</c:v>
                </c:pt>
                <c:pt idx="67">
                  <c:v>44942</c:v>
                </c:pt>
                <c:pt idx="68">
                  <c:v>44935</c:v>
                </c:pt>
                <c:pt idx="69">
                  <c:v>44928</c:v>
                </c:pt>
                <c:pt idx="70">
                  <c:v>44921</c:v>
                </c:pt>
                <c:pt idx="71">
                  <c:v>44914</c:v>
                </c:pt>
                <c:pt idx="72">
                  <c:v>44907</c:v>
                </c:pt>
                <c:pt idx="73">
                  <c:v>44900</c:v>
                </c:pt>
                <c:pt idx="74">
                  <c:v>44893</c:v>
                </c:pt>
                <c:pt idx="75">
                  <c:v>44886</c:v>
                </c:pt>
                <c:pt idx="76">
                  <c:v>44879</c:v>
                </c:pt>
                <c:pt idx="77">
                  <c:v>44872</c:v>
                </c:pt>
                <c:pt idx="78">
                  <c:v>44865</c:v>
                </c:pt>
                <c:pt idx="79">
                  <c:v>44858</c:v>
                </c:pt>
                <c:pt idx="80">
                  <c:v>44851</c:v>
                </c:pt>
                <c:pt idx="81">
                  <c:v>44844</c:v>
                </c:pt>
                <c:pt idx="82">
                  <c:v>44837</c:v>
                </c:pt>
                <c:pt idx="83">
                  <c:v>44830</c:v>
                </c:pt>
                <c:pt idx="84">
                  <c:v>44823</c:v>
                </c:pt>
                <c:pt idx="85">
                  <c:v>44816</c:v>
                </c:pt>
                <c:pt idx="86">
                  <c:v>44809</c:v>
                </c:pt>
                <c:pt idx="87">
                  <c:v>44802</c:v>
                </c:pt>
                <c:pt idx="88">
                  <c:v>44795</c:v>
                </c:pt>
                <c:pt idx="89">
                  <c:v>44788</c:v>
                </c:pt>
                <c:pt idx="90">
                  <c:v>44781</c:v>
                </c:pt>
                <c:pt idx="91">
                  <c:v>44774</c:v>
                </c:pt>
                <c:pt idx="92">
                  <c:v>44767</c:v>
                </c:pt>
                <c:pt idx="93">
                  <c:v>44760</c:v>
                </c:pt>
                <c:pt idx="94">
                  <c:v>44753</c:v>
                </c:pt>
                <c:pt idx="95">
                  <c:v>44746</c:v>
                </c:pt>
                <c:pt idx="96">
                  <c:v>44739</c:v>
                </c:pt>
                <c:pt idx="97">
                  <c:v>44732</c:v>
                </c:pt>
                <c:pt idx="98">
                  <c:v>44725</c:v>
                </c:pt>
                <c:pt idx="99">
                  <c:v>44718</c:v>
                </c:pt>
                <c:pt idx="100">
                  <c:v>44711</c:v>
                </c:pt>
                <c:pt idx="101">
                  <c:v>44704</c:v>
                </c:pt>
                <c:pt idx="102">
                  <c:v>44697</c:v>
                </c:pt>
                <c:pt idx="103">
                  <c:v>44690</c:v>
                </c:pt>
                <c:pt idx="104">
                  <c:v>44683</c:v>
                </c:pt>
                <c:pt idx="105">
                  <c:v>44676</c:v>
                </c:pt>
                <c:pt idx="106">
                  <c:v>44669</c:v>
                </c:pt>
                <c:pt idx="107">
                  <c:v>44662</c:v>
                </c:pt>
                <c:pt idx="108">
                  <c:v>44655</c:v>
                </c:pt>
                <c:pt idx="109">
                  <c:v>44648</c:v>
                </c:pt>
                <c:pt idx="110">
                  <c:v>44641</c:v>
                </c:pt>
                <c:pt idx="111">
                  <c:v>44634</c:v>
                </c:pt>
                <c:pt idx="112">
                  <c:v>44627</c:v>
                </c:pt>
                <c:pt idx="113">
                  <c:v>44620</c:v>
                </c:pt>
                <c:pt idx="114">
                  <c:v>44613</c:v>
                </c:pt>
                <c:pt idx="115">
                  <c:v>44606</c:v>
                </c:pt>
                <c:pt idx="116">
                  <c:v>44599</c:v>
                </c:pt>
                <c:pt idx="117">
                  <c:v>44592</c:v>
                </c:pt>
                <c:pt idx="118">
                  <c:v>44585</c:v>
                </c:pt>
                <c:pt idx="119">
                  <c:v>44578</c:v>
                </c:pt>
                <c:pt idx="120">
                  <c:v>44571</c:v>
                </c:pt>
                <c:pt idx="121">
                  <c:v>44564</c:v>
                </c:pt>
                <c:pt idx="122">
                  <c:v>44557</c:v>
                </c:pt>
                <c:pt idx="123">
                  <c:v>44550</c:v>
                </c:pt>
                <c:pt idx="124">
                  <c:v>44543</c:v>
                </c:pt>
                <c:pt idx="125">
                  <c:v>44536</c:v>
                </c:pt>
                <c:pt idx="126">
                  <c:v>44529</c:v>
                </c:pt>
                <c:pt idx="127">
                  <c:v>44522</c:v>
                </c:pt>
                <c:pt idx="128">
                  <c:v>44515</c:v>
                </c:pt>
                <c:pt idx="129">
                  <c:v>44508</c:v>
                </c:pt>
                <c:pt idx="130">
                  <c:v>44501</c:v>
                </c:pt>
                <c:pt idx="131">
                  <c:v>44494</c:v>
                </c:pt>
                <c:pt idx="132">
                  <c:v>44487</c:v>
                </c:pt>
                <c:pt idx="133">
                  <c:v>44480</c:v>
                </c:pt>
                <c:pt idx="134">
                  <c:v>44473</c:v>
                </c:pt>
                <c:pt idx="135">
                  <c:v>44466</c:v>
                </c:pt>
                <c:pt idx="136">
                  <c:v>44459</c:v>
                </c:pt>
                <c:pt idx="137">
                  <c:v>44452</c:v>
                </c:pt>
                <c:pt idx="138">
                  <c:v>44445</c:v>
                </c:pt>
                <c:pt idx="139">
                  <c:v>44438</c:v>
                </c:pt>
                <c:pt idx="140">
                  <c:v>44431</c:v>
                </c:pt>
                <c:pt idx="141">
                  <c:v>44424</c:v>
                </c:pt>
                <c:pt idx="142">
                  <c:v>44417</c:v>
                </c:pt>
                <c:pt idx="143">
                  <c:v>44410</c:v>
                </c:pt>
                <c:pt idx="144">
                  <c:v>44403</c:v>
                </c:pt>
                <c:pt idx="145">
                  <c:v>44396</c:v>
                </c:pt>
                <c:pt idx="146">
                  <c:v>44389</c:v>
                </c:pt>
                <c:pt idx="147">
                  <c:v>44382</c:v>
                </c:pt>
                <c:pt idx="148">
                  <c:v>44375</c:v>
                </c:pt>
                <c:pt idx="149">
                  <c:v>44368</c:v>
                </c:pt>
                <c:pt idx="150">
                  <c:v>44361</c:v>
                </c:pt>
                <c:pt idx="151">
                  <c:v>44354</c:v>
                </c:pt>
                <c:pt idx="152">
                  <c:v>44347</c:v>
                </c:pt>
                <c:pt idx="153">
                  <c:v>44340</c:v>
                </c:pt>
                <c:pt idx="154">
                  <c:v>44333</c:v>
                </c:pt>
                <c:pt idx="155">
                  <c:v>44326</c:v>
                </c:pt>
                <c:pt idx="156">
                  <c:v>44319</c:v>
                </c:pt>
                <c:pt idx="157">
                  <c:v>44312</c:v>
                </c:pt>
                <c:pt idx="158">
                  <c:v>44305</c:v>
                </c:pt>
                <c:pt idx="159">
                  <c:v>44298</c:v>
                </c:pt>
                <c:pt idx="160">
                  <c:v>44291</c:v>
                </c:pt>
                <c:pt idx="161">
                  <c:v>44284</c:v>
                </c:pt>
                <c:pt idx="162">
                  <c:v>44277</c:v>
                </c:pt>
                <c:pt idx="163">
                  <c:v>44270</c:v>
                </c:pt>
                <c:pt idx="164">
                  <c:v>44263</c:v>
                </c:pt>
                <c:pt idx="165">
                  <c:v>44256</c:v>
                </c:pt>
                <c:pt idx="166">
                  <c:v>44249</c:v>
                </c:pt>
                <c:pt idx="167">
                  <c:v>44242</c:v>
                </c:pt>
                <c:pt idx="168">
                  <c:v>44235</c:v>
                </c:pt>
                <c:pt idx="169">
                  <c:v>44228</c:v>
                </c:pt>
                <c:pt idx="170">
                  <c:v>44221</c:v>
                </c:pt>
                <c:pt idx="171">
                  <c:v>44214</c:v>
                </c:pt>
                <c:pt idx="172">
                  <c:v>44207</c:v>
                </c:pt>
                <c:pt idx="173">
                  <c:v>44200</c:v>
                </c:pt>
                <c:pt idx="174">
                  <c:v>44193</c:v>
                </c:pt>
                <c:pt idx="175">
                  <c:v>44186</c:v>
                </c:pt>
                <c:pt idx="176">
                  <c:v>44179</c:v>
                </c:pt>
                <c:pt idx="177">
                  <c:v>44172</c:v>
                </c:pt>
                <c:pt idx="178">
                  <c:v>44165</c:v>
                </c:pt>
                <c:pt idx="179">
                  <c:v>44158</c:v>
                </c:pt>
                <c:pt idx="180">
                  <c:v>44151</c:v>
                </c:pt>
                <c:pt idx="181">
                  <c:v>44144</c:v>
                </c:pt>
                <c:pt idx="182">
                  <c:v>44137</c:v>
                </c:pt>
                <c:pt idx="183">
                  <c:v>44130</c:v>
                </c:pt>
                <c:pt idx="184">
                  <c:v>44123</c:v>
                </c:pt>
                <c:pt idx="185">
                  <c:v>44116</c:v>
                </c:pt>
                <c:pt idx="186">
                  <c:v>44109</c:v>
                </c:pt>
                <c:pt idx="187">
                  <c:v>44102</c:v>
                </c:pt>
                <c:pt idx="188">
                  <c:v>44095</c:v>
                </c:pt>
                <c:pt idx="189">
                  <c:v>44088</c:v>
                </c:pt>
                <c:pt idx="190">
                  <c:v>44081</c:v>
                </c:pt>
                <c:pt idx="191">
                  <c:v>44074</c:v>
                </c:pt>
                <c:pt idx="192">
                  <c:v>44067</c:v>
                </c:pt>
                <c:pt idx="193">
                  <c:v>44060</c:v>
                </c:pt>
                <c:pt idx="194">
                  <c:v>44053</c:v>
                </c:pt>
                <c:pt idx="195">
                  <c:v>44046</c:v>
                </c:pt>
                <c:pt idx="196">
                  <c:v>44039</c:v>
                </c:pt>
                <c:pt idx="197">
                  <c:v>44032</c:v>
                </c:pt>
                <c:pt idx="198">
                  <c:v>44025</c:v>
                </c:pt>
                <c:pt idx="199">
                  <c:v>44018</c:v>
                </c:pt>
                <c:pt idx="200">
                  <c:v>44011</c:v>
                </c:pt>
                <c:pt idx="201">
                  <c:v>44004</c:v>
                </c:pt>
                <c:pt idx="202">
                  <c:v>43997</c:v>
                </c:pt>
                <c:pt idx="203">
                  <c:v>43990</c:v>
                </c:pt>
                <c:pt idx="204">
                  <c:v>43983</c:v>
                </c:pt>
                <c:pt idx="205">
                  <c:v>43976</c:v>
                </c:pt>
                <c:pt idx="206">
                  <c:v>43969</c:v>
                </c:pt>
                <c:pt idx="207">
                  <c:v>43962</c:v>
                </c:pt>
                <c:pt idx="208">
                  <c:v>43955</c:v>
                </c:pt>
                <c:pt idx="209">
                  <c:v>43948</c:v>
                </c:pt>
                <c:pt idx="210">
                  <c:v>43941</c:v>
                </c:pt>
                <c:pt idx="211">
                  <c:v>43934</c:v>
                </c:pt>
                <c:pt idx="212">
                  <c:v>43927</c:v>
                </c:pt>
                <c:pt idx="213">
                  <c:v>43920</c:v>
                </c:pt>
                <c:pt idx="214">
                  <c:v>43913</c:v>
                </c:pt>
                <c:pt idx="215">
                  <c:v>43906</c:v>
                </c:pt>
                <c:pt idx="216">
                  <c:v>43899</c:v>
                </c:pt>
                <c:pt idx="217">
                  <c:v>43892</c:v>
                </c:pt>
                <c:pt idx="218">
                  <c:v>43885</c:v>
                </c:pt>
                <c:pt idx="219">
                  <c:v>43878</c:v>
                </c:pt>
                <c:pt idx="220">
                  <c:v>43871</c:v>
                </c:pt>
                <c:pt idx="221">
                  <c:v>43864</c:v>
                </c:pt>
                <c:pt idx="222">
                  <c:v>43857</c:v>
                </c:pt>
                <c:pt idx="223">
                  <c:v>43850</c:v>
                </c:pt>
                <c:pt idx="224">
                  <c:v>43843</c:v>
                </c:pt>
                <c:pt idx="225">
                  <c:v>43836</c:v>
                </c:pt>
                <c:pt idx="226">
                  <c:v>43829</c:v>
                </c:pt>
                <c:pt idx="227">
                  <c:v>43822</c:v>
                </c:pt>
                <c:pt idx="228">
                  <c:v>43815</c:v>
                </c:pt>
                <c:pt idx="229">
                  <c:v>43808</c:v>
                </c:pt>
                <c:pt idx="230">
                  <c:v>43801</c:v>
                </c:pt>
                <c:pt idx="231">
                  <c:v>43794</c:v>
                </c:pt>
                <c:pt idx="232">
                  <c:v>43787</c:v>
                </c:pt>
                <c:pt idx="233">
                  <c:v>43780</c:v>
                </c:pt>
                <c:pt idx="234">
                  <c:v>43773</c:v>
                </c:pt>
                <c:pt idx="235">
                  <c:v>43766</c:v>
                </c:pt>
                <c:pt idx="236">
                  <c:v>43759</c:v>
                </c:pt>
                <c:pt idx="237">
                  <c:v>43752</c:v>
                </c:pt>
                <c:pt idx="238">
                  <c:v>43745</c:v>
                </c:pt>
                <c:pt idx="239">
                  <c:v>43738</c:v>
                </c:pt>
                <c:pt idx="240">
                  <c:v>43731</c:v>
                </c:pt>
                <c:pt idx="241">
                  <c:v>43724</c:v>
                </c:pt>
                <c:pt idx="242">
                  <c:v>43717</c:v>
                </c:pt>
                <c:pt idx="243">
                  <c:v>43710</c:v>
                </c:pt>
                <c:pt idx="244">
                  <c:v>43703</c:v>
                </c:pt>
                <c:pt idx="245">
                  <c:v>43696</c:v>
                </c:pt>
                <c:pt idx="246">
                  <c:v>43689</c:v>
                </c:pt>
                <c:pt idx="247">
                  <c:v>43682</c:v>
                </c:pt>
                <c:pt idx="248">
                  <c:v>43675</c:v>
                </c:pt>
                <c:pt idx="249">
                  <c:v>43668</c:v>
                </c:pt>
              </c:numCache>
            </c:numRef>
          </c:cat>
          <c:val>
            <c:numRef>
              <c:f>Catalysts!$B$2:$B$1147</c:f>
              <c:numCache>
                <c:formatCode>0.00</c:formatCode>
                <c:ptCount val="1146"/>
                <c:pt idx="0">
                  <c:v>43.029998999999997</c:v>
                </c:pt>
                <c:pt idx="1">
                  <c:v>43.130001</c:v>
                </c:pt>
                <c:pt idx="2">
                  <c:v>40.68</c:v>
                </c:pt>
                <c:pt idx="3">
                  <c:v>44.220001000000003</c:v>
                </c:pt>
                <c:pt idx="4">
                  <c:v>47.200001</c:v>
                </c:pt>
                <c:pt idx="5">
                  <c:v>45.41</c:v>
                </c:pt>
                <c:pt idx="6">
                  <c:v>47.200001</c:v>
                </c:pt>
                <c:pt idx="7">
                  <c:v>41.779998999999997</c:v>
                </c:pt>
                <c:pt idx="8">
                  <c:v>41.740001999999997</c:v>
                </c:pt>
                <c:pt idx="9">
                  <c:v>43.529998999999997</c:v>
                </c:pt>
                <c:pt idx="10">
                  <c:v>41.279998999999997</c:v>
                </c:pt>
                <c:pt idx="11">
                  <c:v>44.57</c:v>
                </c:pt>
                <c:pt idx="12">
                  <c:v>43.380001</c:v>
                </c:pt>
                <c:pt idx="13">
                  <c:v>41.59</c:v>
                </c:pt>
                <c:pt idx="14">
                  <c:v>38.479999999999997</c:v>
                </c:pt>
                <c:pt idx="15">
                  <c:v>37.619999</c:v>
                </c:pt>
                <c:pt idx="16">
                  <c:v>32.950001</c:v>
                </c:pt>
                <c:pt idx="17">
                  <c:v>33.18</c:v>
                </c:pt>
                <c:pt idx="18">
                  <c:v>35.25</c:v>
                </c:pt>
                <c:pt idx="19">
                  <c:v>35.720001000000003</c:v>
                </c:pt>
                <c:pt idx="20">
                  <c:v>35.349997999999999</c:v>
                </c:pt>
                <c:pt idx="21">
                  <c:v>35.900002000000001</c:v>
                </c:pt>
                <c:pt idx="22">
                  <c:v>39</c:v>
                </c:pt>
                <c:pt idx="23">
                  <c:v>38.700001</c:v>
                </c:pt>
                <c:pt idx="24">
                  <c:v>38.369999</c:v>
                </c:pt>
                <c:pt idx="25">
                  <c:v>35.029998999999997</c:v>
                </c:pt>
                <c:pt idx="26">
                  <c:v>33.75</c:v>
                </c:pt>
                <c:pt idx="27">
                  <c:v>26.639999</c:v>
                </c:pt>
                <c:pt idx="28">
                  <c:v>27.07</c:v>
                </c:pt>
                <c:pt idx="29">
                  <c:v>28.549999</c:v>
                </c:pt>
                <c:pt idx="30">
                  <c:v>29.639999</c:v>
                </c:pt>
                <c:pt idx="31">
                  <c:v>29.440000999999999</c:v>
                </c:pt>
                <c:pt idx="32">
                  <c:v>27.76</c:v>
                </c:pt>
                <c:pt idx="33">
                  <c:v>31.040001</c:v>
                </c:pt>
                <c:pt idx="34">
                  <c:v>31.85</c:v>
                </c:pt>
                <c:pt idx="35">
                  <c:v>29.639999</c:v>
                </c:pt>
                <c:pt idx="36">
                  <c:v>28.15</c:v>
                </c:pt>
                <c:pt idx="37">
                  <c:v>26.57</c:v>
                </c:pt>
                <c:pt idx="38">
                  <c:v>29.389999</c:v>
                </c:pt>
                <c:pt idx="39">
                  <c:v>31.74</c:v>
                </c:pt>
                <c:pt idx="40">
                  <c:v>32.380001</c:v>
                </c:pt>
                <c:pt idx="41">
                  <c:v>31.08</c:v>
                </c:pt>
                <c:pt idx="42">
                  <c:v>30.549999</c:v>
                </c:pt>
                <c:pt idx="43">
                  <c:v>26.65</c:v>
                </c:pt>
                <c:pt idx="44">
                  <c:v>26.57</c:v>
                </c:pt>
                <c:pt idx="45">
                  <c:v>25.030000999999999</c:v>
                </c:pt>
                <c:pt idx="46">
                  <c:v>24.51</c:v>
                </c:pt>
                <c:pt idx="47">
                  <c:v>24.940000999999999</c:v>
                </c:pt>
                <c:pt idx="48">
                  <c:v>24.92</c:v>
                </c:pt>
                <c:pt idx="49">
                  <c:v>23.379999000000002</c:v>
                </c:pt>
                <c:pt idx="50">
                  <c:v>24.110001</c:v>
                </c:pt>
                <c:pt idx="51">
                  <c:v>23.530000999999999</c:v>
                </c:pt>
                <c:pt idx="52">
                  <c:v>24.58</c:v>
                </c:pt>
                <c:pt idx="53">
                  <c:v>21.91</c:v>
                </c:pt>
                <c:pt idx="54">
                  <c:v>21.969999000000001</c:v>
                </c:pt>
                <c:pt idx="55">
                  <c:v>19.16</c:v>
                </c:pt>
                <c:pt idx="56">
                  <c:v>18.16</c:v>
                </c:pt>
                <c:pt idx="57">
                  <c:v>19.360001</c:v>
                </c:pt>
                <c:pt idx="58">
                  <c:v>17.73</c:v>
                </c:pt>
                <c:pt idx="59">
                  <c:v>17.870000999999998</c:v>
                </c:pt>
                <c:pt idx="60">
                  <c:v>18.549999</c:v>
                </c:pt>
                <c:pt idx="61">
                  <c:v>19.040001</c:v>
                </c:pt>
                <c:pt idx="62">
                  <c:v>18.190000999999999</c:v>
                </c:pt>
                <c:pt idx="63">
                  <c:v>20.540001</c:v>
                </c:pt>
                <c:pt idx="64">
                  <c:v>15.99</c:v>
                </c:pt>
                <c:pt idx="65">
                  <c:v>16.870000999999998</c:v>
                </c:pt>
                <c:pt idx="66">
                  <c:v>15.04</c:v>
                </c:pt>
                <c:pt idx="67">
                  <c:v>13.88</c:v>
                </c:pt>
                <c:pt idx="68">
                  <c:v>14.11</c:v>
                </c:pt>
                <c:pt idx="69">
                  <c:v>11.63</c:v>
                </c:pt>
                <c:pt idx="70">
                  <c:v>11.39</c:v>
                </c:pt>
                <c:pt idx="71">
                  <c:v>11.53</c:v>
                </c:pt>
                <c:pt idx="72">
                  <c:v>12.12</c:v>
                </c:pt>
                <c:pt idx="73">
                  <c:v>13.96</c:v>
                </c:pt>
                <c:pt idx="74">
                  <c:v>15.49</c:v>
                </c:pt>
                <c:pt idx="75">
                  <c:v>15.14</c:v>
                </c:pt>
                <c:pt idx="76">
                  <c:v>15.05</c:v>
                </c:pt>
                <c:pt idx="77">
                  <c:v>14.88</c:v>
                </c:pt>
                <c:pt idx="78">
                  <c:v>11.31</c:v>
                </c:pt>
                <c:pt idx="79">
                  <c:v>15.12</c:v>
                </c:pt>
                <c:pt idx="80">
                  <c:v>13.21</c:v>
                </c:pt>
                <c:pt idx="81">
                  <c:v>12.48</c:v>
                </c:pt>
                <c:pt idx="82">
                  <c:v>16.57</c:v>
                </c:pt>
                <c:pt idx="83">
                  <c:v>15.14</c:v>
                </c:pt>
                <c:pt idx="84">
                  <c:v>14.98</c:v>
                </c:pt>
                <c:pt idx="85">
                  <c:v>18.600000000000001</c:v>
                </c:pt>
                <c:pt idx="86">
                  <c:v>17.629999000000002</c:v>
                </c:pt>
                <c:pt idx="87">
                  <c:v>15.49</c:v>
                </c:pt>
                <c:pt idx="88">
                  <c:v>16.530000999999999</c:v>
                </c:pt>
                <c:pt idx="89">
                  <c:v>18.139999</c:v>
                </c:pt>
                <c:pt idx="90">
                  <c:v>20.67</c:v>
                </c:pt>
                <c:pt idx="91">
                  <c:v>17.959999</c:v>
                </c:pt>
                <c:pt idx="92">
                  <c:v>13.73</c:v>
                </c:pt>
                <c:pt idx="93">
                  <c:v>13.53</c:v>
                </c:pt>
                <c:pt idx="94">
                  <c:v>12.86</c:v>
                </c:pt>
                <c:pt idx="95">
                  <c:v>12.74</c:v>
                </c:pt>
                <c:pt idx="96">
                  <c:v>11.77</c:v>
                </c:pt>
                <c:pt idx="97">
                  <c:v>14.15</c:v>
                </c:pt>
                <c:pt idx="98">
                  <c:v>11.42</c:v>
                </c:pt>
                <c:pt idx="99">
                  <c:v>13.1</c:v>
                </c:pt>
                <c:pt idx="100">
                  <c:v>12.72</c:v>
                </c:pt>
                <c:pt idx="101">
                  <c:v>14.72</c:v>
                </c:pt>
                <c:pt idx="102">
                  <c:v>14.03</c:v>
                </c:pt>
                <c:pt idx="103">
                  <c:v>12.61</c:v>
                </c:pt>
                <c:pt idx="104">
                  <c:v>13.15</c:v>
                </c:pt>
                <c:pt idx="105">
                  <c:v>13.68</c:v>
                </c:pt>
                <c:pt idx="106">
                  <c:v>14.03</c:v>
                </c:pt>
                <c:pt idx="107">
                  <c:v>16.489999999999998</c:v>
                </c:pt>
                <c:pt idx="108">
                  <c:v>16.379999000000002</c:v>
                </c:pt>
                <c:pt idx="109">
                  <c:v>19.049999</c:v>
                </c:pt>
                <c:pt idx="110">
                  <c:v>18.200001</c:v>
                </c:pt>
                <c:pt idx="111">
                  <c:v>19.620000999999998</c:v>
                </c:pt>
                <c:pt idx="112">
                  <c:v>16.110001</c:v>
                </c:pt>
                <c:pt idx="113">
                  <c:v>20.690000999999999</c:v>
                </c:pt>
                <c:pt idx="114">
                  <c:v>22.200001</c:v>
                </c:pt>
                <c:pt idx="115">
                  <c:v>17.290001</c:v>
                </c:pt>
                <c:pt idx="116">
                  <c:v>23.33</c:v>
                </c:pt>
                <c:pt idx="117">
                  <c:v>21.889999</c:v>
                </c:pt>
                <c:pt idx="118">
                  <c:v>20.639999</c:v>
                </c:pt>
                <c:pt idx="119">
                  <c:v>19.459999</c:v>
                </c:pt>
                <c:pt idx="120">
                  <c:v>23.190000999999999</c:v>
                </c:pt>
                <c:pt idx="121">
                  <c:v>27.24</c:v>
                </c:pt>
                <c:pt idx="122">
                  <c:v>27.469999000000001</c:v>
                </c:pt>
                <c:pt idx="123">
                  <c:v>29.440000999999999</c:v>
                </c:pt>
                <c:pt idx="124">
                  <c:v>28.67</c:v>
                </c:pt>
                <c:pt idx="125">
                  <c:v>30.41</c:v>
                </c:pt>
                <c:pt idx="126">
                  <c:v>28.370000999999998</c:v>
                </c:pt>
                <c:pt idx="127">
                  <c:v>36.040000999999997</c:v>
                </c:pt>
                <c:pt idx="128">
                  <c:v>36.139999000000003</c:v>
                </c:pt>
                <c:pt idx="129">
                  <c:v>40.509998000000003</c:v>
                </c:pt>
                <c:pt idx="130">
                  <c:v>43.619999</c:v>
                </c:pt>
                <c:pt idx="131">
                  <c:v>46.59</c:v>
                </c:pt>
                <c:pt idx="132">
                  <c:v>46.110000999999997</c:v>
                </c:pt>
                <c:pt idx="133">
                  <c:v>48.080002</c:v>
                </c:pt>
                <c:pt idx="134">
                  <c:v>47.91</c:v>
                </c:pt>
                <c:pt idx="135">
                  <c:v>50.560001</c:v>
                </c:pt>
                <c:pt idx="136">
                  <c:v>51.330002</c:v>
                </c:pt>
                <c:pt idx="137">
                  <c:v>60.419998</c:v>
                </c:pt>
                <c:pt idx="138">
                  <c:v>62.459999000000003</c:v>
                </c:pt>
                <c:pt idx="139">
                  <c:v>61.02</c:v>
                </c:pt>
                <c:pt idx="140">
                  <c:v>60.009998000000003</c:v>
                </c:pt>
                <c:pt idx="141">
                  <c:v>52.009998000000003</c:v>
                </c:pt>
                <c:pt idx="142">
                  <c:v>53.5</c:v>
                </c:pt>
                <c:pt idx="143">
                  <c:v>51.59</c:v>
                </c:pt>
                <c:pt idx="144">
                  <c:v>48.5</c:v>
                </c:pt>
                <c:pt idx="145">
                  <c:v>49.330002</c:v>
                </c:pt>
                <c:pt idx="146">
                  <c:v>43.790000999999997</c:v>
                </c:pt>
                <c:pt idx="147">
                  <c:v>49.09</c:v>
                </c:pt>
                <c:pt idx="148">
                  <c:v>51.279998999999997</c:v>
                </c:pt>
                <c:pt idx="149">
                  <c:v>51.669998</c:v>
                </c:pt>
                <c:pt idx="150">
                  <c:v>48.060001</c:v>
                </c:pt>
                <c:pt idx="151">
                  <c:v>53.139999000000003</c:v>
                </c:pt>
                <c:pt idx="152">
                  <c:v>50.330002</c:v>
                </c:pt>
                <c:pt idx="153">
                  <c:v>49.950001</c:v>
                </c:pt>
                <c:pt idx="154">
                  <c:v>44.630001</c:v>
                </c:pt>
                <c:pt idx="155">
                  <c:v>44.889999000000003</c:v>
                </c:pt>
                <c:pt idx="156">
                  <c:v>48.419998</c:v>
                </c:pt>
                <c:pt idx="157">
                  <c:v>56.66</c:v>
                </c:pt>
                <c:pt idx="158">
                  <c:v>58.119999</c:v>
                </c:pt>
                <c:pt idx="159">
                  <c:v>57.98</c:v>
                </c:pt>
                <c:pt idx="160">
                  <c:v>62.310001</c:v>
                </c:pt>
                <c:pt idx="161">
                  <c:v>62.880001</c:v>
                </c:pt>
                <c:pt idx="162">
                  <c:v>63.599997999999999</c:v>
                </c:pt>
                <c:pt idx="163">
                  <c:v>71.980002999999996</c:v>
                </c:pt>
                <c:pt idx="164">
                  <c:v>71.75</c:v>
                </c:pt>
                <c:pt idx="165">
                  <c:v>59.52</c:v>
                </c:pt>
                <c:pt idx="166">
                  <c:v>61.529998999999997</c:v>
                </c:pt>
                <c:pt idx="167">
                  <c:v>60.91</c:v>
                </c:pt>
                <c:pt idx="168">
                  <c:v>61.07</c:v>
                </c:pt>
                <c:pt idx="169">
                  <c:v>63.869999</c:v>
                </c:pt>
                <c:pt idx="170">
                  <c:v>54.110000999999997</c:v>
                </c:pt>
                <c:pt idx="171">
                  <c:v>52.529998999999997</c:v>
                </c:pt>
                <c:pt idx="172">
                  <c:v>53.700001</c:v>
                </c:pt>
                <c:pt idx="173">
                  <c:v>52</c:v>
                </c:pt>
                <c:pt idx="174">
                  <c:v>46.560001</c:v>
                </c:pt>
                <c:pt idx="175">
                  <c:v>52.110000999999997</c:v>
                </c:pt>
                <c:pt idx="176">
                  <c:v>53.900002000000001</c:v>
                </c:pt>
                <c:pt idx="177">
                  <c:v>50.09</c:v>
                </c:pt>
                <c:pt idx="178">
                  <c:v>49.25</c:v>
                </c:pt>
                <c:pt idx="179">
                  <c:v>52.75</c:v>
                </c:pt>
                <c:pt idx="180">
                  <c:v>48.23</c:v>
                </c:pt>
                <c:pt idx="181">
                  <c:v>42.84</c:v>
                </c:pt>
                <c:pt idx="182">
                  <c:v>42.32</c:v>
                </c:pt>
                <c:pt idx="183">
                  <c:v>35.400002000000001</c:v>
                </c:pt>
                <c:pt idx="184">
                  <c:v>42.740001999999997</c:v>
                </c:pt>
                <c:pt idx="185">
                  <c:v>44.34</c:v>
                </c:pt>
                <c:pt idx="186">
                  <c:v>48.82</c:v>
                </c:pt>
                <c:pt idx="187">
                  <c:v>63.779998999999997</c:v>
                </c:pt>
                <c:pt idx="188">
                  <c:v>53.189999</c:v>
                </c:pt>
                <c:pt idx="189">
                  <c:v>55.389999000000003</c:v>
                </c:pt>
                <c:pt idx="190">
                  <c:v>41.459999000000003</c:v>
                </c:pt>
                <c:pt idx="191">
                  <c:v>37</c:v>
                </c:pt>
                <c:pt idx="192">
                  <c:v>36.32</c:v>
                </c:pt>
                <c:pt idx="193">
                  <c:v>35.150002000000001</c:v>
                </c:pt>
                <c:pt idx="194">
                  <c:v>33.909999999999997</c:v>
                </c:pt>
                <c:pt idx="195">
                  <c:v>34.090000000000003</c:v>
                </c:pt>
                <c:pt idx="196">
                  <c:v>33.375</c:v>
                </c:pt>
                <c:pt idx="197">
                  <c:v>37.549999</c:v>
                </c:pt>
                <c:pt idx="198">
                  <c:v>35.360000999999997</c:v>
                </c:pt>
                <c:pt idx="199">
                  <c:v>32.43</c:v>
                </c:pt>
                <c:pt idx="200">
                  <c:v>33.060001</c:v>
                </c:pt>
                <c:pt idx="201">
                  <c:v>33.340000000000003</c:v>
                </c:pt>
                <c:pt idx="202">
                  <c:v>42</c:v>
                </c:pt>
                <c:pt idx="203">
                  <c:v>36.880001</c:v>
                </c:pt>
                <c:pt idx="204">
                  <c:v>39.340000000000003</c:v>
                </c:pt>
                <c:pt idx="205">
                  <c:v>39.700001</c:v>
                </c:pt>
                <c:pt idx="206">
                  <c:v>29.110001</c:v>
                </c:pt>
                <c:pt idx="207">
                  <c:v>29.23</c:v>
                </c:pt>
                <c:pt idx="208">
                  <c:v>23.450001</c:v>
                </c:pt>
                <c:pt idx="209">
                  <c:v>20.120000999999998</c:v>
                </c:pt>
                <c:pt idx="210">
                  <c:v>19.350000000000001</c:v>
                </c:pt>
                <c:pt idx="211">
                  <c:v>16.950001</c:v>
                </c:pt>
                <c:pt idx="212">
                  <c:v>14.51</c:v>
                </c:pt>
                <c:pt idx="213">
                  <c:v>12.25</c:v>
                </c:pt>
                <c:pt idx="214">
                  <c:v>12.69</c:v>
                </c:pt>
                <c:pt idx="215">
                  <c:v>11.48</c:v>
                </c:pt>
                <c:pt idx="216">
                  <c:v>12.45</c:v>
                </c:pt>
                <c:pt idx="217">
                  <c:v>16.829999999999998</c:v>
                </c:pt>
                <c:pt idx="218">
                  <c:v>16.02</c:v>
                </c:pt>
                <c:pt idx="219">
                  <c:v>16.950001</c:v>
                </c:pt>
                <c:pt idx="220">
                  <c:v>17.329999999999998</c:v>
                </c:pt>
                <c:pt idx="221">
                  <c:v>14.5</c:v>
                </c:pt>
                <c:pt idx="222">
                  <c:v>14.53</c:v>
                </c:pt>
                <c:pt idx="223">
                  <c:v>14.36</c:v>
                </c:pt>
                <c:pt idx="224">
                  <c:v>13.57</c:v>
                </c:pt>
                <c:pt idx="225">
                  <c:v>12.39</c:v>
                </c:pt>
                <c:pt idx="226">
                  <c:v>10.68</c:v>
                </c:pt>
                <c:pt idx="227">
                  <c:v>10.68</c:v>
                </c:pt>
                <c:pt idx="228">
                  <c:v>10.17</c:v>
                </c:pt>
                <c:pt idx="229">
                  <c:v>10.09</c:v>
                </c:pt>
                <c:pt idx="230">
                  <c:v>10.065</c:v>
                </c:pt>
                <c:pt idx="231">
                  <c:v>10.050000000000001</c:v>
                </c:pt>
                <c:pt idx="232">
                  <c:v>10.042999999999999</c:v>
                </c:pt>
                <c:pt idx="233">
                  <c:v>10.09</c:v>
                </c:pt>
                <c:pt idx="234">
                  <c:v>10.1</c:v>
                </c:pt>
                <c:pt idx="235">
                  <c:v>10.08</c:v>
                </c:pt>
                <c:pt idx="236">
                  <c:v>9.85</c:v>
                </c:pt>
                <c:pt idx="237">
                  <c:v>9.9499999999999993</c:v>
                </c:pt>
                <c:pt idx="238">
                  <c:v>9.92</c:v>
                </c:pt>
                <c:pt idx="239">
                  <c:v>9.92</c:v>
                </c:pt>
                <c:pt idx="240">
                  <c:v>9.85</c:v>
                </c:pt>
                <c:pt idx="241">
                  <c:v>9.85</c:v>
                </c:pt>
                <c:pt idx="242">
                  <c:v>9.85</c:v>
                </c:pt>
                <c:pt idx="243">
                  <c:v>9.85</c:v>
                </c:pt>
                <c:pt idx="244">
                  <c:v>9.85</c:v>
                </c:pt>
                <c:pt idx="245">
                  <c:v>9.85</c:v>
                </c:pt>
                <c:pt idx="246">
                  <c:v>9.7799999999999994</c:v>
                </c:pt>
                <c:pt idx="247">
                  <c:v>9.76</c:v>
                </c:pt>
                <c:pt idx="248">
                  <c:v>9.8000000000000007</c:v>
                </c:pt>
                <c:pt idx="249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5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-30,16%</c:v>
                </c:pt>
                <c:pt idx="1">
                  <c:v>-30,16% to -23,90%</c:v>
                </c:pt>
                <c:pt idx="2">
                  <c:v>-23,90% to -17,64%</c:v>
                </c:pt>
                <c:pt idx="3">
                  <c:v>-17,64% to -11,39%</c:v>
                </c:pt>
                <c:pt idx="4">
                  <c:v>-11,39% to -5,13%</c:v>
                </c:pt>
                <c:pt idx="5">
                  <c:v>-5,13% to 1,13%</c:v>
                </c:pt>
                <c:pt idx="6">
                  <c:v>1,13% to 7,38%</c:v>
                </c:pt>
                <c:pt idx="7">
                  <c:v>7,38% to 13,64%</c:v>
                </c:pt>
                <c:pt idx="8">
                  <c:v>13,64% to 19,90%</c:v>
                </c:pt>
                <c:pt idx="9">
                  <c:v>19,90% to 26,16%</c:v>
                </c:pt>
                <c:pt idx="10">
                  <c:v>26,16% to 32,41%</c:v>
                </c:pt>
                <c:pt idx="11">
                  <c:v>Greater than 32,41%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14</c:v>
                </c:pt>
                <c:pt idx="4">
                  <c:v>33</c:v>
                </c:pt>
                <c:pt idx="5">
                  <c:v>89</c:v>
                </c:pt>
                <c:pt idx="6">
                  <c:v>53</c:v>
                </c:pt>
                <c:pt idx="7">
                  <c:v>22</c:v>
                </c:pt>
                <c:pt idx="8">
                  <c:v>16</c:v>
                </c:pt>
                <c:pt idx="9">
                  <c:v>6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C-494F-B78F-272FC977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142874</xdr:rowOff>
    </xdr:from>
    <xdr:to>
      <xdr:col>10</xdr:col>
      <xdr:colOff>600075</xdr:colOff>
      <xdr:row>30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228599</xdr:colOff>
      <xdr:row>30</xdr:row>
      <xdr:rowOff>61912</xdr:rowOff>
    </xdr:from>
    <xdr:to>
      <xdr:col>11</xdr:col>
      <xdr:colOff>9524</xdr:colOff>
      <xdr:row>47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2BD79DE-6BE5-19E2-6CBE-9442C7A73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199" y="5776912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30</xdr:row>
      <xdr:rowOff>66675</xdr:rowOff>
    </xdr:from>
    <xdr:to>
      <xdr:col>20</xdr:col>
      <xdr:colOff>428625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B11E3F9-A5D3-4E61-8332-833055A25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157161</xdr:rowOff>
    </xdr:from>
    <xdr:to>
      <xdr:col>12</xdr:col>
      <xdr:colOff>1438274</xdr:colOff>
      <xdr:row>30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BD331-86D1-4176-9AB9-CED1A9AAD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mon\Documents\models\x_template.xlsx" TargetMode="External"/><Relationship Id="rId1" Type="http://schemas.openxmlformats.org/officeDocument/2006/relationships/externalLinkPath" Target="/Users/simon/Documents/models/x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odel-graph"/>
      <sheetName val="KPIs"/>
      <sheetName val="Catalysts"/>
      <sheetName val="DoR"/>
    </sheetNames>
    <sheetDataSet>
      <sheetData sheetId="0"/>
      <sheetData sheetId="1"/>
      <sheetData sheetId="2" refreshError="1"/>
      <sheetData sheetId="3" refreshError="1"/>
      <sheetData sheetId="4" refreshError="1"/>
      <sheetData sheetId="5">
        <row r="3">
          <cell r="J3" t="str">
            <v>Frequency</v>
          </cell>
        </row>
        <row r="4">
          <cell r="J4">
            <v>67</v>
          </cell>
          <cell r="K4" t="e">
            <v>#DIV/0!</v>
          </cell>
        </row>
        <row r="5">
          <cell r="J5">
            <v>67</v>
          </cell>
          <cell r="K5" t="e">
            <v>#DIV/0!</v>
          </cell>
        </row>
        <row r="6">
          <cell r="J6">
            <v>67</v>
          </cell>
          <cell r="K6" t="e">
            <v>#DIV/0!</v>
          </cell>
        </row>
        <row r="7">
          <cell r="J7">
            <v>67</v>
          </cell>
          <cell r="K7" t="e">
            <v>#DIV/0!</v>
          </cell>
        </row>
        <row r="8">
          <cell r="J8">
            <v>67</v>
          </cell>
          <cell r="K8" t="e">
            <v>#DIV/0!</v>
          </cell>
        </row>
        <row r="9">
          <cell r="J9">
            <v>67</v>
          </cell>
          <cell r="K9" t="e">
            <v>#DIV/0!</v>
          </cell>
        </row>
        <row r="10">
          <cell r="J10">
            <v>67</v>
          </cell>
          <cell r="K10" t="e">
            <v>#DIV/0!</v>
          </cell>
        </row>
        <row r="11">
          <cell r="J11">
            <v>67</v>
          </cell>
          <cell r="K11" t="e">
            <v>#DIV/0!</v>
          </cell>
        </row>
        <row r="12">
          <cell r="J12">
            <v>67</v>
          </cell>
          <cell r="K12" t="e">
            <v>#DIV/0!</v>
          </cell>
        </row>
        <row r="13">
          <cell r="J13">
            <v>67</v>
          </cell>
          <cell r="K13" t="e">
            <v>#DIV/0!</v>
          </cell>
        </row>
        <row r="14">
          <cell r="J14">
            <v>67</v>
          </cell>
          <cell r="K14" t="e">
            <v>#DIV/0!</v>
          </cell>
        </row>
        <row r="15">
          <cell r="J15">
            <v>67</v>
          </cell>
          <cell r="K15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workbookViewId="0">
      <selection activeCell="F20" sqref="F20"/>
    </sheetView>
  </sheetViews>
  <sheetFormatPr defaultColWidth="9.140625" defaultRowHeight="15" x14ac:dyDescent="0.25"/>
  <cols>
    <col min="2" max="2" width="22.140625" bestFit="1" customWidth="1"/>
    <col min="3" max="3" width="14.140625" customWidth="1"/>
    <col min="4" max="4" width="10.140625" customWidth="1"/>
    <col min="5" max="5" width="37" customWidth="1"/>
    <col min="7" max="7" width="5.28515625" customWidth="1"/>
    <col min="8" max="8" width="27.28515625" customWidth="1"/>
    <col min="9" max="9" width="11.28515625" customWidth="1"/>
    <col min="10" max="10" width="12.5703125" customWidth="1"/>
    <col min="11" max="11" width="5.28515625" customWidth="1"/>
    <col min="12" max="12" width="25" customWidth="1"/>
    <col min="13" max="13" width="26" customWidth="1"/>
    <col min="14" max="14" width="39.42578125" customWidth="1"/>
  </cols>
  <sheetData>
    <row r="2" spans="2:14" x14ac:dyDescent="0.25">
      <c r="B2" s="34" t="s">
        <v>83</v>
      </c>
      <c r="C2" s="19"/>
      <c r="E2" s="24" t="s">
        <v>73</v>
      </c>
      <c r="F2" s="35" t="s">
        <v>74</v>
      </c>
      <c r="G2" s="25"/>
      <c r="H2" s="26" t="s">
        <v>101</v>
      </c>
      <c r="I2" s="26" t="s">
        <v>1</v>
      </c>
      <c r="J2" s="27" t="s">
        <v>74</v>
      </c>
      <c r="L2" s="30" t="s">
        <v>67</v>
      </c>
      <c r="M2" s="31" t="s">
        <v>112</v>
      </c>
      <c r="N2" s="32" t="s">
        <v>111</v>
      </c>
    </row>
    <row r="3" spans="2:14" ht="30" x14ac:dyDescent="0.25">
      <c r="B3" s="5" t="s">
        <v>66</v>
      </c>
      <c r="C3" s="20">
        <v>45418</v>
      </c>
      <c r="E3" s="5" t="s">
        <v>75</v>
      </c>
      <c r="F3" s="28" t="s">
        <v>85</v>
      </c>
      <c r="H3" t="s">
        <v>102</v>
      </c>
      <c r="I3" s="10">
        <v>2082</v>
      </c>
      <c r="J3" s="41">
        <f>I3/($C$7*100000)</f>
        <v>4.3810672801750783E-5</v>
      </c>
      <c r="L3" s="5" t="s">
        <v>133</v>
      </c>
      <c r="M3" t="s">
        <v>134</v>
      </c>
      <c r="N3" s="40" t="s">
        <v>152</v>
      </c>
    </row>
    <row r="4" spans="2:14" x14ac:dyDescent="0.25">
      <c r="B4" s="5"/>
      <c r="C4" s="21">
        <v>0.56319444444444444</v>
      </c>
      <c r="E4" s="5" t="s">
        <v>76</v>
      </c>
      <c r="F4" s="28" t="s">
        <v>86</v>
      </c>
      <c r="H4" t="s">
        <v>103</v>
      </c>
      <c r="I4" s="10">
        <v>3583110</v>
      </c>
      <c r="J4" s="41">
        <f>I4/($C$7*100000)</f>
        <v>7.5397915380730665E-2</v>
      </c>
      <c r="L4" s="5" t="s">
        <v>135</v>
      </c>
      <c r="M4" t="s">
        <v>136</v>
      </c>
      <c r="N4" s="13" t="s">
        <v>151</v>
      </c>
    </row>
    <row r="5" spans="2:14" x14ac:dyDescent="0.25">
      <c r="B5" s="5"/>
      <c r="C5" s="13"/>
      <c r="E5" s="5" t="s">
        <v>87</v>
      </c>
      <c r="F5" s="28" t="s">
        <v>88</v>
      </c>
      <c r="H5" t="s">
        <v>104</v>
      </c>
      <c r="I5" s="10">
        <v>3695930</v>
      </c>
      <c r="J5" s="41">
        <f>I5/($C$7*100000)</f>
        <v>7.777194040738461E-2</v>
      </c>
      <c r="L5" s="5" t="s">
        <v>137</v>
      </c>
      <c r="M5" t="s">
        <v>138</v>
      </c>
      <c r="N5" s="13" t="s">
        <v>150</v>
      </c>
    </row>
    <row r="6" spans="2:14" x14ac:dyDescent="0.25">
      <c r="B6" s="5" t="s">
        <v>0</v>
      </c>
      <c r="C6" s="13">
        <v>41.82</v>
      </c>
      <c r="E6" s="5" t="s">
        <v>89</v>
      </c>
      <c r="F6" s="28" t="s">
        <v>90</v>
      </c>
      <c r="H6" t="s">
        <v>105</v>
      </c>
      <c r="I6" s="10">
        <v>28221</v>
      </c>
      <c r="J6" s="41">
        <f>I6/($C$7*100000)</f>
        <v>5.938429381067285E-4</v>
      </c>
      <c r="L6" s="5" t="s">
        <v>139</v>
      </c>
      <c r="M6" t="s">
        <v>140</v>
      </c>
      <c r="N6" s="13" t="s">
        <v>153</v>
      </c>
    </row>
    <row r="7" spans="2:14" x14ac:dyDescent="0.25">
      <c r="B7" s="5" t="s">
        <v>1</v>
      </c>
      <c r="C7" s="15">
        <f>Model!R16</f>
        <v>475.22666666666623</v>
      </c>
      <c r="E7" s="5" t="s">
        <v>91</v>
      </c>
      <c r="F7" s="28" t="s">
        <v>92</v>
      </c>
      <c r="H7" t="s">
        <v>106</v>
      </c>
      <c r="I7" s="10">
        <v>54379</v>
      </c>
      <c r="J7" s="41">
        <f>I7/($C$7*100000)</f>
        <v>1.1442750126255551E-3</v>
      </c>
      <c r="L7" s="5" t="s">
        <v>141</v>
      </c>
      <c r="M7" t="s">
        <v>142</v>
      </c>
      <c r="N7" s="13" t="s">
        <v>149</v>
      </c>
    </row>
    <row r="8" spans="2:14" x14ac:dyDescent="0.25">
      <c r="B8" s="5" t="s">
        <v>2</v>
      </c>
      <c r="C8" s="15">
        <f>C6*C7</f>
        <v>19873.979199999983</v>
      </c>
      <c r="E8" s="5" t="s">
        <v>77</v>
      </c>
      <c r="F8" s="28" t="s">
        <v>92</v>
      </c>
      <c r="H8" t="s">
        <v>107</v>
      </c>
      <c r="I8" s="10">
        <v>313</v>
      </c>
      <c r="J8" s="41">
        <f>I8/($C$7*100000)</f>
        <v>6.5863307334044162E-6</v>
      </c>
      <c r="L8" s="5" t="s">
        <v>143</v>
      </c>
      <c r="M8" t="s">
        <v>144</v>
      </c>
      <c r="N8" s="13" t="s">
        <v>154</v>
      </c>
    </row>
    <row r="9" spans="2:14" x14ac:dyDescent="0.25">
      <c r="B9" s="5" t="s">
        <v>3</v>
      </c>
      <c r="C9" s="15"/>
      <c r="E9" s="5" t="s">
        <v>93</v>
      </c>
      <c r="F9" s="28" t="s">
        <v>94</v>
      </c>
      <c r="H9" t="s">
        <v>108</v>
      </c>
      <c r="I9" s="10">
        <v>3478810</v>
      </c>
      <c r="J9" s="41">
        <f>I9/($C$7*100000)</f>
        <v>7.3203173222602613E-2</v>
      </c>
      <c r="L9" s="5" t="s">
        <v>145</v>
      </c>
      <c r="M9" t="s">
        <v>146</v>
      </c>
      <c r="N9" s="13" t="s">
        <v>149</v>
      </c>
    </row>
    <row r="10" spans="2:14" x14ac:dyDescent="0.25">
      <c r="B10" s="5" t="s">
        <v>4</v>
      </c>
      <c r="C10" s="15">
        <f>[1]Model!F41+[1]Model!F45</f>
        <v>0</v>
      </c>
      <c r="E10" s="5" t="s">
        <v>95</v>
      </c>
      <c r="F10" s="28" t="s">
        <v>96</v>
      </c>
      <c r="H10" t="s">
        <v>109</v>
      </c>
      <c r="I10" s="10">
        <v>176851</v>
      </c>
      <c r="J10" s="41">
        <f>I10/($C$7*100000)</f>
        <v>3.7214031199147104E-3</v>
      </c>
      <c r="L10" s="5" t="s">
        <v>147</v>
      </c>
      <c r="M10" t="s">
        <v>148</v>
      </c>
      <c r="N10" s="13" t="s">
        <v>149</v>
      </c>
    </row>
    <row r="11" spans="2:14" x14ac:dyDescent="0.25">
      <c r="B11" s="5" t="s">
        <v>47</v>
      </c>
      <c r="C11" s="15">
        <f>C9-C10</f>
        <v>0</v>
      </c>
      <c r="E11" s="5" t="s">
        <v>97</v>
      </c>
      <c r="F11" s="28" t="s">
        <v>98</v>
      </c>
      <c r="H11" t="s">
        <v>110</v>
      </c>
      <c r="I11" s="10">
        <v>174527</v>
      </c>
      <c r="J11" s="41">
        <f>I11/($C$7*100000)</f>
        <v>3.6725001402839377E-3</v>
      </c>
      <c r="L11" s="5"/>
      <c r="N11" s="13"/>
    </row>
    <row r="12" spans="2:14" x14ac:dyDescent="0.25">
      <c r="B12" s="5" t="s">
        <v>5</v>
      </c>
      <c r="C12" s="15">
        <f>C8-C9+C10</f>
        <v>19873.979199999983</v>
      </c>
      <c r="E12" s="5" t="s">
        <v>99</v>
      </c>
      <c r="F12" s="28" t="s">
        <v>100</v>
      </c>
      <c r="J12" s="13"/>
      <c r="L12" s="5"/>
      <c r="N12" s="13"/>
    </row>
    <row r="13" spans="2:14" x14ac:dyDescent="0.25">
      <c r="B13" s="5" t="s">
        <v>72</v>
      </c>
      <c r="C13" s="38">
        <f>C6/Model!AC17</f>
        <v>-24.173410404624278</v>
      </c>
      <c r="E13" s="5"/>
      <c r="J13" s="13"/>
      <c r="L13" s="5"/>
      <c r="N13" s="13"/>
    </row>
    <row r="14" spans="2:14" x14ac:dyDescent="0.25">
      <c r="B14" s="5" t="s">
        <v>70</v>
      </c>
      <c r="C14" s="38">
        <f>C6/Model!AD18</f>
        <v>-321.69230769230768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71</v>
      </c>
      <c r="C15" s="38">
        <f>C6/Model!AE18</f>
        <v>51.629629629629626</v>
      </c>
    </row>
    <row r="16" spans="2:14" x14ac:dyDescent="0.25">
      <c r="B16" s="5" t="s">
        <v>68</v>
      </c>
      <c r="C16" s="6">
        <f>Model!AD18/Model!AC18-1</f>
        <v>-0.91447368421052633</v>
      </c>
    </row>
    <row r="17" spans="2:5" x14ac:dyDescent="0.25">
      <c r="B17" s="5" t="s">
        <v>69</v>
      </c>
      <c r="C17" s="6">
        <v>1</v>
      </c>
      <c r="E17" s="33" t="s">
        <v>82</v>
      </c>
    </row>
    <row r="18" spans="2:5" x14ac:dyDescent="0.25">
      <c r="B18" s="5" t="s">
        <v>164</v>
      </c>
      <c r="C18" s="141">
        <f>C14/(C16*100)</f>
        <v>3.5177863862755947</v>
      </c>
      <c r="E18" t="s">
        <v>155</v>
      </c>
    </row>
    <row r="19" spans="2:5" x14ac:dyDescent="0.25">
      <c r="B19" s="5" t="s">
        <v>165</v>
      </c>
      <c r="C19" s="141">
        <f>C15/(C17*100)</f>
        <v>0.51629629629629625</v>
      </c>
      <c r="E19" t="s">
        <v>156</v>
      </c>
    </row>
    <row r="20" spans="2:5" x14ac:dyDescent="0.25">
      <c r="B20" s="5" t="s">
        <v>209</v>
      </c>
      <c r="C20" s="6">
        <f>Model!AD4/Model!AC4-1</f>
        <v>0.30706521739130443</v>
      </c>
    </row>
    <row r="21" spans="2:5" x14ac:dyDescent="0.25">
      <c r="B21" s="5" t="s">
        <v>210</v>
      </c>
      <c r="C21" s="6">
        <f>Model!AE4/Model!AD4-1</f>
        <v>0.18087318087318094</v>
      </c>
    </row>
    <row r="22" spans="2:5" x14ac:dyDescent="0.25">
      <c r="B22" s="5" t="s">
        <v>166</v>
      </c>
      <c r="C22" s="15">
        <f>Model!R9</f>
        <v>-138.83799999999988</v>
      </c>
    </row>
    <row r="23" spans="2:5" x14ac:dyDescent="0.25">
      <c r="B23" s="5" t="s">
        <v>19</v>
      </c>
      <c r="C23" s="15">
        <f>Model!R9</f>
        <v>-138.83799999999988</v>
      </c>
      <c r="E23" t="s">
        <v>157</v>
      </c>
    </row>
    <row r="24" spans="2:5" x14ac:dyDescent="0.25">
      <c r="B24" s="5" t="s">
        <v>36</v>
      </c>
      <c r="C24" s="7">
        <f>Model!R19</f>
        <v>0.39568390020051136</v>
      </c>
    </row>
    <row r="25" spans="2:5" x14ac:dyDescent="0.25">
      <c r="B25" s="5" t="s">
        <v>37</v>
      </c>
      <c r="C25" s="7">
        <f>Model!R20</f>
        <v>-0.12133488114002078</v>
      </c>
    </row>
    <row r="26" spans="2:5" x14ac:dyDescent="0.25">
      <c r="B26" s="5" t="s">
        <v>167</v>
      </c>
      <c r="C26" s="38">
        <f>C12/C23</f>
        <v>-143.14509860412855</v>
      </c>
    </row>
    <row r="27" spans="2:5" x14ac:dyDescent="0.25">
      <c r="B27" s="5" t="s">
        <v>211</v>
      </c>
      <c r="C27" s="142">
        <f>Model!R46/Model!R52</f>
        <v>1.5095543930713045</v>
      </c>
    </row>
    <row r="28" spans="2:5" x14ac:dyDescent="0.25">
      <c r="B28" s="5" t="s">
        <v>212</v>
      </c>
      <c r="C28" s="38">
        <f>C22/Model!R10</f>
        <v>-9.6294909141351006</v>
      </c>
    </row>
    <row r="29" spans="2:5" x14ac:dyDescent="0.25">
      <c r="B29" s="5" t="s">
        <v>213</v>
      </c>
      <c r="C29" s="38">
        <f>Model!R33/Model!R45</f>
        <v>1.3443115683159801</v>
      </c>
    </row>
    <row r="30" spans="2:5" x14ac:dyDescent="0.25">
      <c r="B30" s="5" t="s">
        <v>214</v>
      </c>
      <c r="C30" s="38">
        <f>(Model!R28+Model!R29)/Model!R41</f>
        <v>2.4481035848682908</v>
      </c>
    </row>
    <row r="31" spans="2:5" x14ac:dyDescent="0.25">
      <c r="B31" s="5" t="s">
        <v>215</v>
      </c>
      <c r="C31" s="6">
        <f>(Model!R33-Model!R45)/Model!R40</f>
        <v>0.13059939962948472</v>
      </c>
    </row>
    <row r="32" spans="2:5" x14ac:dyDescent="0.25">
      <c r="B32" s="5" t="s">
        <v>216</v>
      </c>
      <c r="C32" s="38">
        <f>(Model!R40-Model!R51)/C7</f>
        <v>1.7485950563941439</v>
      </c>
    </row>
    <row r="33" spans="2:3" x14ac:dyDescent="0.25">
      <c r="B33" s="5" t="s">
        <v>217</v>
      </c>
      <c r="C33" s="38">
        <f>Model!R3/Model!R40</f>
        <v>0.30915634760658234</v>
      </c>
    </row>
    <row r="34" spans="2:3" x14ac:dyDescent="0.25">
      <c r="B34" s="5" t="s">
        <v>218</v>
      </c>
      <c r="C34" s="41">
        <f>Model!R15/Model!R40</f>
        <v>-3.7511448690527617E-2</v>
      </c>
    </row>
    <row r="35" spans="2:3" x14ac:dyDescent="0.25">
      <c r="B35" s="5" t="s">
        <v>219</v>
      </c>
      <c r="C35" s="41">
        <f>Model!R15/Model!R52</f>
        <v>-0.17156630913657242</v>
      </c>
    </row>
    <row r="36" spans="2:3" x14ac:dyDescent="0.25">
      <c r="B36" s="22" t="s">
        <v>220</v>
      </c>
      <c r="C36" s="2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E73"/>
  <sheetViews>
    <sheetView zoomScaleNormal="100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T8" sqref="T8"/>
    </sheetView>
  </sheetViews>
  <sheetFormatPr defaultColWidth="11.42578125" defaultRowHeight="15" x14ac:dyDescent="0.25"/>
  <cols>
    <col min="1" max="1" width="27.28515625" customWidth="1"/>
    <col min="17" max="17" width="11.42578125" style="61"/>
    <col min="18" max="18" width="11.42578125" style="13"/>
    <col min="29" max="29" width="11.42578125" style="13"/>
  </cols>
  <sheetData>
    <row r="1" spans="1:31" x14ac:dyDescent="0.25">
      <c r="A1" s="8" t="s">
        <v>48</v>
      </c>
    </row>
    <row r="2" spans="1:31" x14ac:dyDescent="0.25">
      <c r="B2" t="s">
        <v>113</v>
      </c>
      <c r="C2" t="s">
        <v>44</v>
      </c>
      <c r="D2" t="s">
        <v>43</v>
      </c>
      <c r="E2" t="s">
        <v>42</v>
      </c>
      <c r="F2" t="s">
        <v>40</v>
      </c>
      <c r="G2" t="s">
        <v>10</v>
      </c>
      <c r="H2" t="s">
        <v>11</v>
      </c>
      <c r="I2" t="s">
        <v>12</v>
      </c>
      <c r="J2" t="s">
        <v>13</v>
      </c>
      <c r="K2" t="s">
        <v>6</v>
      </c>
      <c r="L2" t="s">
        <v>7</v>
      </c>
      <c r="M2" t="s">
        <v>8</v>
      </c>
      <c r="N2" t="s">
        <v>9</v>
      </c>
      <c r="O2" t="s">
        <v>46</v>
      </c>
      <c r="P2" t="s">
        <v>64</v>
      </c>
      <c r="Q2" s="61" t="s">
        <v>65</v>
      </c>
      <c r="R2" s="13" t="s">
        <v>132</v>
      </c>
      <c r="S2" t="s">
        <v>161</v>
      </c>
      <c r="T2" t="s">
        <v>222</v>
      </c>
      <c r="U2" t="s">
        <v>223</v>
      </c>
      <c r="X2" t="s">
        <v>125</v>
      </c>
      <c r="Y2" t="s">
        <v>41</v>
      </c>
      <c r="Z2" t="s">
        <v>18</v>
      </c>
      <c r="AA2" t="s">
        <v>14</v>
      </c>
      <c r="AB2" t="s">
        <v>15</v>
      </c>
      <c r="AC2" s="13" t="s">
        <v>16</v>
      </c>
      <c r="AD2" t="s">
        <v>39</v>
      </c>
      <c r="AE2" t="s">
        <v>163</v>
      </c>
    </row>
    <row r="3" spans="1:31" x14ac:dyDescent="0.25">
      <c r="A3" t="s">
        <v>17</v>
      </c>
      <c r="B3" s="10">
        <v>88.542000000000002</v>
      </c>
      <c r="C3" s="10">
        <v>70.930999999999997</v>
      </c>
      <c r="D3" s="10">
        <v>132.83600000000001</v>
      </c>
      <c r="E3" s="10">
        <f>Z3-D3-C3-B3</f>
        <v>322.22300000000007</v>
      </c>
      <c r="F3" s="10">
        <v>312.27600000000001</v>
      </c>
      <c r="G3" s="10">
        <v>297.60500000000002</v>
      </c>
      <c r="H3" s="10">
        <v>212.81899999999999</v>
      </c>
      <c r="I3" s="10">
        <f>AA3-H3-G3-F3</f>
        <v>473.3250000000001</v>
      </c>
      <c r="J3" s="10">
        <v>417.20499999999998</v>
      </c>
      <c r="K3" s="10">
        <v>466.185</v>
      </c>
      <c r="L3" s="10">
        <v>501.93799999999999</v>
      </c>
      <c r="M3" s="10">
        <f>AB3-L3-K3-J3</f>
        <v>855.13299999999981</v>
      </c>
      <c r="N3" s="10">
        <v>769.65200000000004</v>
      </c>
      <c r="O3" s="10">
        <v>874.92700000000002</v>
      </c>
      <c r="P3" s="10">
        <v>789.95699999999999</v>
      </c>
      <c r="Q3" s="62">
        <v>1230.857</v>
      </c>
      <c r="R3" s="15">
        <v>1174.9960000000001</v>
      </c>
      <c r="S3" s="43"/>
      <c r="X3" s="10">
        <v>226.27699999999999</v>
      </c>
      <c r="Y3" s="10">
        <v>323.41000000000003</v>
      </c>
      <c r="Z3" s="10">
        <v>614.53200000000004</v>
      </c>
      <c r="AA3" s="10">
        <v>1296.0250000000001</v>
      </c>
      <c r="AB3" s="10">
        <v>2240.4609999999998</v>
      </c>
      <c r="AC3" s="15">
        <f>SUM(N3:Q3)</f>
        <v>3665.393</v>
      </c>
      <c r="AD3" s="43">
        <v>4810</v>
      </c>
      <c r="AE3" s="43">
        <v>5680</v>
      </c>
    </row>
    <row r="4" spans="1:31" x14ac:dyDescent="0.25">
      <c r="A4" s="9" t="s">
        <v>159</v>
      </c>
      <c r="B4" s="46">
        <v>104.37</v>
      </c>
      <c r="C4" s="47">
        <v>66.394000000000005</v>
      </c>
      <c r="D4" s="47">
        <v>131.755</v>
      </c>
      <c r="E4" s="47">
        <v>233.23599999999999</v>
      </c>
      <c r="F4" s="47">
        <v>236.20599999999999</v>
      </c>
      <c r="G4" s="47">
        <v>245.523</v>
      </c>
      <c r="H4" s="46">
        <v>236.852</v>
      </c>
      <c r="I4" s="47">
        <v>447.12700000000001</v>
      </c>
      <c r="J4" s="47">
        <v>412.20299999999997</v>
      </c>
      <c r="K4" s="47">
        <v>438.59300000000002</v>
      </c>
      <c r="L4" s="47">
        <v>441.42</v>
      </c>
      <c r="M4" s="47">
        <v>802.47</v>
      </c>
      <c r="N4" s="47">
        <v>704.29899999999998</v>
      </c>
      <c r="O4" s="47">
        <v>764.548</v>
      </c>
      <c r="P4" s="47">
        <v>704.86699999999996</v>
      </c>
      <c r="Q4" s="63">
        <v>1240</v>
      </c>
      <c r="R4" s="144">
        <v>1130</v>
      </c>
      <c r="S4" s="43">
        <v>1100</v>
      </c>
      <c r="T4" s="145">
        <v>1030</v>
      </c>
      <c r="U4" s="145">
        <v>1600</v>
      </c>
      <c r="V4" s="145"/>
      <c r="X4" s="10"/>
      <c r="Y4" s="10"/>
      <c r="Z4" s="10"/>
      <c r="AA4" s="10"/>
      <c r="AB4" s="10"/>
      <c r="AC4" s="15">
        <v>3680</v>
      </c>
      <c r="AD4" s="49">
        <v>4810</v>
      </c>
      <c r="AE4" s="49">
        <v>5680</v>
      </c>
    </row>
    <row r="5" spans="1:31" x14ac:dyDescent="0.25">
      <c r="A5" t="s">
        <v>114</v>
      </c>
      <c r="B5" s="10">
        <v>43.415999999999997</v>
      </c>
      <c r="C5" s="10">
        <v>47.33</v>
      </c>
      <c r="D5" s="10">
        <v>96.569000000000003</v>
      </c>
      <c r="E5" s="10">
        <f>Z5-D5-C5-B5</f>
        <v>159.274</v>
      </c>
      <c r="F5" s="10">
        <v>183.22499999999999</v>
      </c>
      <c r="G5" s="10">
        <v>187.006</v>
      </c>
      <c r="H5" s="10">
        <v>170.749</v>
      </c>
      <c r="I5" s="10">
        <f>AA5-H5-G5-F5</f>
        <v>253.18200000000004</v>
      </c>
      <c r="J5" s="10">
        <v>313.37900000000002</v>
      </c>
      <c r="K5" s="10">
        <v>312.767</v>
      </c>
      <c r="L5" s="10">
        <v>372.69200000000001</v>
      </c>
      <c r="M5" s="10">
        <f>AB5-L5-K5-J5</f>
        <v>485.43499999999983</v>
      </c>
      <c r="N5" s="10">
        <v>521.74</v>
      </c>
      <c r="O5" s="10">
        <v>510.32299999999998</v>
      </c>
      <c r="P5" s="10">
        <v>543.45399999999995</v>
      </c>
      <c r="Q5" s="62">
        <v>716.65800000000002</v>
      </c>
      <c r="R5" s="15">
        <v>710.06899999999996</v>
      </c>
      <c r="X5" s="10">
        <v>48.689</v>
      </c>
      <c r="Y5" s="10">
        <v>103.889</v>
      </c>
      <c r="Z5" s="10">
        <v>346.589</v>
      </c>
      <c r="AA5" s="10">
        <v>794.16200000000003</v>
      </c>
      <c r="AB5" s="10">
        <v>1484.2729999999999</v>
      </c>
      <c r="AC5" s="15">
        <f>SUM(N5:Q5)</f>
        <v>2292.1750000000002</v>
      </c>
      <c r="AD5" s="43">
        <f>AD3*(1-AD19)</f>
        <v>2741.7000000000003</v>
      </c>
      <c r="AE5" s="43">
        <f>AE3*(1-AE19)</f>
        <v>3124.0000000000005</v>
      </c>
    </row>
    <row r="6" spans="1:31" x14ac:dyDescent="0.25">
      <c r="A6" t="s">
        <v>115</v>
      </c>
      <c r="B6" s="10">
        <v>53.706000000000003</v>
      </c>
      <c r="C6" s="10">
        <v>46.188000000000002</v>
      </c>
      <c r="D6" s="10">
        <v>203.339</v>
      </c>
      <c r="E6" s="10">
        <f>Z6-D6-C6-B6</f>
        <v>191.959</v>
      </c>
      <c r="F6" s="10">
        <v>228.68600000000001</v>
      </c>
      <c r="G6" s="10">
        <v>170.71199999999999</v>
      </c>
      <c r="H6" s="10">
        <v>303.65800000000002</v>
      </c>
      <c r="I6" s="10">
        <f>AA6-H6-G6-F6</f>
        <v>278.44399999999996</v>
      </c>
      <c r="J6" s="10">
        <v>321.452</v>
      </c>
      <c r="K6" s="10">
        <v>197.529</v>
      </c>
      <c r="L6" s="10">
        <v>321.714</v>
      </c>
      <c r="M6" s="10">
        <f>AB6-L6-K6-J6</f>
        <v>345.28200000000015</v>
      </c>
      <c r="N6" s="10">
        <v>389.13299999999998</v>
      </c>
      <c r="O6" s="10">
        <v>207.48699999999999</v>
      </c>
      <c r="P6" s="10">
        <v>313.32299999999998</v>
      </c>
      <c r="Q6" s="62">
        <v>290.77499999999998</v>
      </c>
      <c r="R6" s="15">
        <v>340.69900000000001</v>
      </c>
      <c r="X6" s="10">
        <v>145.58000000000001</v>
      </c>
      <c r="Y6" s="10">
        <v>185.26900000000001</v>
      </c>
      <c r="Z6" s="10">
        <v>495.19200000000001</v>
      </c>
      <c r="AA6" s="10">
        <v>981.5</v>
      </c>
      <c r="AB6" s="10">
        <v>1185.9770000000001</v>
      </c>
      <c r="AC6" s="15">
        <f>SUM(N6:Q6)</f>
        <v>1200.7179999999998</v>
      </c>
      <c r="AD6" s="43">
        <f>AD4*AD22</f>
        <v>1298.7</v>
      </c>
      <c r="AE6" s="43">
        <f>AE4*AE22</f>
        <v>1306.4000000000001</v>
      </c>
    </row>
    <row r="7" spans="1:31" x14ac:dyDescent="0.25">
      <c r="A7" t="s">
        <v>116</v>
      </c>
      <c r="B7" s="10">
        <v>18.041</v>
      </c>
      <c r="C7" s="10">
        <v>30.548999999999999</v>
      </c>
      <c r="D7" s="10">
        <v>53.908999999999999</v>
      </c>
      <c r="E7" s="10">
        <f>Z7-D7-C7-B7</f>
        <v>66.134000000000015</v>
      </c>
      <c r="F7" s="10">
        <v>56.158999999999999</v>
      </c>
      <c r="G7" s="10">
        <v>62.634999999999998</v>
      </c>
      <c r="H7" s="10">
        <v>65.221999999999994</v>
      </c>
      <c r="I7" s="10">
        <f>AA7-H7-G7-F7</f>
        <v>69.63900000000001</v>
      </c>
      <c r="J7" s="10">
        <v>81.352000000000004</v>
      </c>
      <c r="K7" s="10">
        <v>77.201999999999998</v>
      </c>
      <c r="L7" s="10">
        <v>76.299000000000007</v>
      </c>
      <c r="M7" s="10">
        <f>AB7-L7-K7-J7</f>
        <v>83.394000000000005</v>
      </c>
      <c r="N7" s="10">
        <v>88.087999999999994</v>
      </c>
      <c r="O7" s="10">
        <v>89.906000000000006</v>
      </c>
      <c r="P7" s="10">
        <v>89.004999999999995</v>
      </c>
      <c r="Q7" s="62">
        <v>88.156999999999996</v>
      </c>
      <c r="R7" s="15">
        <v>88.814999999999998</v>
      </c>
      <c r="X7" s="10">
        <v>32.884999999999998</v>
      </c>
      <c r="Y7" s="10">
        <v>55.929000000000002</v>
      </c>
      <c r="Z7" s="10">
        <v>168.63300000000001</v>
      </c>
      <c r="AA7" s="10">
        <v>253.655</v>
      </c>
      <c r="AB7" s="10">
        <v>318.24700000000001</v>
      </c>
      <c r="AC7" s="15">
        <f>SUM(N7:Q7)</f>
        <v>355.15600000000001</v>
      </c>
      <c r="AD7" s="43">
        <v>350</v>
      </c>
      <c r="AE7" s="43">
        <v>350</v>
      </c>
    </row>
    <row r="8" spans="1:31" x14ac:dyDescent="0.25">
      <c r="A8" t="s">
        <v>117</v>
      </c>
      <c r="B8" s="10">
        <v>39.496000000000002</v>
      </c>
      <c r="C8" s="10">
        <v>107.30800000000001</v>
      </c>
      <c r="D8" s="10">
        <v>127.386</v>
      </c>
      <c r="E8" s="10">
        <f>Z8-D8-C8-B8</f>
        <v>173.18400000000005</v>
      </c>
      <c r="F8" s="10">
        <v>168.99700000000001</v>
      </c>
      <c r="G8" s="10">
        <v>198.80600000000001</v>
      </c>
      <c r="H8" s="10">
        <v>219.70599999999999</v>
      </c>
      <c r="I8" s="10">
        <f>AA8-H8-G8-F8</f>
        <v>240.81599999999997</v>
      </c>
      <c r="J8" s="10">
        <v>216.60599999999999</v>
      </c>
      <c r="K8" s="10">
        <v>187.60900000000001</v>
      </c>
      <c r="L8" s="10">
        <v>186.261</v>
      </c>
      <c r="M8" s="10">
        <f>AB8-L8-K8-J8</f>
        <v>173.24400000000003</v>
      </c>
      <c r="N8" s="10">
        <v>160.476</v>
      </c>
      <c r="O8" s="10">
        <v>136.256</v>
      </c>
      <c r="P8" s="10">
        <v>130.761</v>
      </c>
      <c r="Q8" s="62">
        <v>179.07599999999999</v>
      </c>
      <c r="R8" s="15">
        <v>174.251</v>
      </c>
      <c r="X8" s="10">
        <v>75.903999999999996</v>
      </c>
      <c r="Y8" s="10">
        <v>124.86799999999999</v>
      </c>
      <c r="Z8" s="10">
        <v>447.37400000000002</v>
      </c>
      <c r="AA8" s="10">
        <v>828.32500000000005</v>
      </c>
      <c r="AB8" s="10">
        <v>763.72</v>
      </c>
      <c r="AC8" s="15">
        <f>SUM(N8:Q8)</f>
        <v>606.56899999999996</v>
      </c>
      <c r="AD8" s="43">
        <v>500</v>
      </c>
      <c r="AE8" s="43">
        <v>500</v>
      </c>
    </row>
    <row r="9" spans="1:31" s="1" customFormat="1" x14ac:dyDescent="0.25">
      <c r="A9" s="1" t="s">
        <v>23</v>
      </c>
      <c r="B9" s="11">
        <f t="shared" ref="B9" si="0">B3-B5-B6-B7-B8</f>
        <v>-66.117000000000004</v>
      </c>
      <c r="C9" s="11">
        <f>C3-C5-C6-C7-C8</f>
        <v>-160.44400000000002</v>
      </c>
      <c r="D9" s="11">
        <f t="shared" ref="D9:Q9" si="1">D3-D5-D6-D7-D8</f>
        <v>-348.36699999999996</v>
      </c>
      <c r="E9" s="11">
        <f t="shared" si="1"/>
        <v>-268.32799999999997</v>
      </c>
      <c r="F9" s="11">
        <f t="shared" si="1"/>
        <v>-324.791</v>
      </c>
      <c r="G9" s="11">
        <f t="shared" si="1"/>
        <v>-321.55399999999997</v>
      </c>
      <c r="H9" s="11">
        <f t="shared" si="1"/>
        <v>-546.51599999999996</v>
      </c>
      <c r="I9" s="11">
        <f t="shared" si="1"/>
        <v>-368.75599999999986</v>
      </c>
      <c r="J9" s="11">
        <f t="shared" si="1"/>
        <v>-515.58400000000006</v>
      </c>
      <c r="K9" s="11">
        <f t="shared" si="1"/>
        <v>-308.92200000000003</v>
      </c>
      <c r="L9" s="11">
        <f t="shared" si="1"/>
        <v>-455.02800000000002</v>
      </c>
      <c r="M9" s="11">
        <f t="shared" si="1"/>
        <v>-232.22200000000021</v>
      </c>
      <c r="N9" s="11">
        <f t="shared" si="1"/>
        <v>-389.78499999999997</v>
      </c>
      <c r="O9" s="11">
        <f t="shared" si="1"/>
        <v>-69.044999999999959</v>
      </c>
      <c r="P9" s="11">
        <f t="shared" si="1"/>
        <v>-286.5859999999999</v>
      </c>
      <c r="Q9" s="64">
        <f t="shared" si="1"/>
        <v>-43.808999999999997</v>
      </c>
      <c r="R9" s="14">
        <f t="shared" ref="R9" si="2">R3-R5-R6-R7-R8</f>
        <v>-138.83799999999988</v>
      </c>
      <c r="X9" s="11">
        <f t="shared" ref="X9:AC9" si="3">X3-X5-X6-X7-X8</f>
        <v>-76.781000000000006</v>
      </c>
      <c r="Y9" s="11">
        <f t="shared" si="3"/>
        <v>-146.54499999999999</v>
      </c>
      <c r="Z9" s="11">
        <f t="shared" si="3"/>
        <v>-843.25599999999997</v>
      </c>
      <c r="AA9" s="11">
        <f t="shared" si="3"/>
        <v>-1561.617</v>
      </c>
      <c r="AB9" s="11">
        <f t="shared" si="3"/>
        <v>-1511.7560000000003</v>
      </c>
      <c r="AC9" s="14">
        <f t="shared" si="3"/>
        <v>-789.22499999999991</v>
      </c>
      <c r="AD9" s="50">
        <f>AD4-AD5-AD6-AD7-AD8</f>
        <v>-80.400000000000318</v>
      </c>
      <c r="AE9" s="50">
        <f>AE4-AE5-AE6-AE7-AE8</f>
        <v>399.59999999999945</v>
      </c>
    </row>
    <row r="10" spans="1:31" x14ac:dyDescent="0.25">
      <c r="A10" t="s">
        <v>162</v>
      </c>
      <c r="B10" s="10">
        <v>-2.351</v>
      </c>
      <c r="C10" s="10">
        <v>-0.58799999999999997</v>
      </c>
      <c r="D10" s="10">
        <v>0.68600000000000005</v>
      </c>
      <c r="E10" s="10">
        <f>Z10-D10-C10-B10</f>
        <v>1.1829999999999998</v>
      </c>
      <c r="F10" s="10">
        <v>0.98499999999999999</v>
      </c>
      <c r="G10" s="10">
        <v>1.6419999999999999</v>
      </c>
      <c r="H10" s="10">
        <v>-1.556</v>
      </c>
      <c r="I10" s="10">
        <f>AA10-H10-G10-F10</f>
        <v>0.88600000000000001</v>
      </c>
      <c r="J10" s="10">
        <v>0.14799999999999999</v>
      </c>
      <c r="K10" s="10">
        <v>1.929</v>
      </c>
      <c r="L10" s="10">
        <v>6.3010000000000002</v>
      </c>
      <c r="M10" s="10">
        <f>AB10-L10-K10-J10</f>
        <v>10.324000000000002</v>
      </c>
      <c r="N10" s="10">
        <f>11.795-0.655</f>
        <v>11.14</v>
      </c>
      <c r="O10" s="10">
        <f>13.411-0.666</f>
        <v>12.744999999999999</v>
      </c>
      <c r="P10" s="10">
        <f>14.42-0.67</f>
        <v>13.75</v>
      </c>
      <c r="Q10" s="62">
        <f>18.792-0.688</f>
        <v>18.104000000000003</v>
      </c>
      <c r="R10" s="15">
        <f>15.067-0.649</f>
        <v>14.417999999999999</v>
      </c>
      <c r="X10" s="10">
        <v>0.66600000000000004</v>
      </c>
      <c r="Y10" s="10">
        <v>1.3480000000000001</v>
      </c>
      <c r="Z10" s="10">
        <v>-1.07</v>
      </c>
      <c r="AA10" s="10">
        <v>1.9570000000000001</v>
      </c>
      <c r="AB10" s="10">
        <v>18.702000000000002</v>
      </c>
      <c r="AC10" s="15">
        <f>SUM(N10:Q10)</f>
        <v>55.739000000000004</v>
      </c>
      <c r="AD10" s="43">
        <v>55.738999999999997</v>
      </c>
      <c r="AE10" s="43">
        <v>55.738999999999997</v>
      </c>
    </row>
    <row r="11" spans="1:31" x14ac:dyDescent="0.25">
      <c r="A11" t="s">
        <v>126</v>
      </c>
      <c r="B11" s="10"/>
      <c r="C11" s="10"/>
      <c r="D11" s="10"/>
      <c r="E11" s="10">
        <f>Z11-D11-C11-B11</f>
        <v>0</v>
      </c>
      <c r="F11" s="10">
        <v>-26.98</v>
      </c>
      <c r="G11" s="10">
        <v>16.984000000000002</v>
      </c>
      <c r="H11" s="10">
        <v>7.0910000000000002</v>
      </c>
      <c r="I11" s="10">
        <f>AA11-H11-G11-F11</f>
        <v>44.921000000000006</v>
      </c>
      <c r="J11" s="10">
        <f>12.681+37.882</f>
        <v>50.562999999999995</v>
      </c>
      <c r="K11" s="10">
        <f>14.315-5.573</f>
        <v>8.7419999999999991</v>
      </c>
      <c r="L11" s="10">
        <f>-6.797+8.257</f>
        <v>1.46</v>
      </c>
      <c r="M11" s="10">
        <f>AB11-L11-K11-J11</f>
        <v>-10.66899999999999</v>
      </c>
      <c r="N11" s="10">
        <f>-17.035+0.019</f>
        <v>-17.016000000000002</v>
      </c>
      <c r="O11" s="10">
        <f>-20.041+0.045</f>
        <v>-19.995999999999999</v>
      </c>
      <c r="P11" s="10">
        <f>-7.751-1.217</f>
        <v>-8.968</v>
      </c>
      <c r="Q11" s="62">
        <f>-12.716+0.929</f>
        <v>-11.786999999999999</v>
      </c>
      <c r="R11" s="15">
        <f>-18.094-0.735</f>
        <v>-18.829000000000001</v>
      </c>
      <c r="X11" s="10"/>
      <c r="Y11" s="10">
        <v>3</v>
      </c>
      <c r="Z11" s="10">
        <v>0</v>
      </c>
      <c r="AA11" s="10">
        <f>30.065+11.951</f>
        <v>42.016000000000005</v>
      </c>
      <c r="AB11" s="10">
        <f>29.396+20.7</f>
        <v>50.096000000000004</v>
      </c>
      <c r="AC11" s="15">
        <f>SUM(N11:Q11)</f>
        <v>-57.767000000000003</v>
      </c>
      <c r="AD11" s="43">
        <v>25</v>
      </c>
      <c r="AE11" s="43">
        <v>25</v>
      </c>
    </row>
    <row r="12" spans="1:31" s="1" customFormat="1" x14ac:dyDescent="0.25">
      <c r="A12" s="1" t="s">
        <v>19</v>
      </c>
      <c r="B12" s="11">
        <f t="shared" ref="B12:N12" si="4">B9+B10+B11</f>
        <v>-68.468000000000004</v>
      </c>
      <c r="C12" s="11">
        <f t="shared" si="4"/>
        <v>-161.03200000000001</v>
      </c>
      <c r="D12" s="11">
        <f t="shared" si="4"/>
        <v>-347.68099999999998</v>
      </c>
      <c r="E12" s="11">
        <f t="shared" si="4"/>
        <v>-267.14499999999998</v>
      </c>
      <c r="F12" s="11">
        <f t="shared" si="4"/>
        <v>-350.786</v>
      </c>
      <c r="G12" s="11">
        <f t="shared" si="4"/>
        <v>-302.928</v>
      </c>
      <c r="H12" s="11">
        <f t="shared" si="4"/>
        <v>-540.98099999999999</v>
      </c>
      <c r="I12" s="11">
        <f t="shared" si="4"/>
        <v>-322.94899999999984</v>
      </c>
      <c r="J12" s="11">
        <f t="shared" si="4"/>
        <v>-464.87300000000005</v>
      </c>
      <c r="K12" s="11">
        <f t="shared" si="4"/>
        <v>-298.25100000000003</v>
      </c>
      <c r="L12" s="11">
        <f t="shared" si="4"/>
        <v>-447.26700000000005</v>
      </c>
      <c r="M12" s="11">
        <f t="shared" si="4"/>
        <v>-232.56700000000018</v>
      </c>
      <c r="N12" s="11">
        <f t="shared" si="4"/>
        <v>-395.661</v>
      </c>
      <c r="O12" s="11">
        <f>O9+O10+O11</f>
        <v>-76.295999999999964</v>
      </c>
      <c r="P12" s="11">
        <f>P9+P10+P11</f>
        <v>-281.80399999999992</v>
      </c>
      <c r="Q12" s="64">
        <f>Q9+Q10+Q11</f>
        <v>-37.49199999999999</v>
      </c>
      <c r="R12" s="14">
        <f>R9+R10+R11</f>
        <v>-143.24899999999988</v>
      </c>
      <c r="X12" s="11">
        <f>X9+X10+X11</f>
        <v>-76.115000000000009</v>
      </c>
      <c r="Y12" s="11">
        <f>Y9+Y10+Y11</f>
        <v>-142.19699999999997</v>
      </c>
      <c r="Z12" s="11">
        <f t="shared" ref="Z12:AC12" si="5">Z9+Z10+Z11</f>
        <v>-844.32600000000002</v>
      </c>
      <c r="AA12" s="11">
        <f t="shared" si="5"/>
        <v>-1517.6439999999998</v>
      </c>
      <c r="AB12" s="11">
        <f t="shared" si="5"/>
        <v>-1442.9580000000003</v>
      </c>
      <c r="AC12" s="14">
        <f t="shared" si="5"/>
        <v>-791.25299999999993</v>
      </c>
      <c r="AD12" s="59">
        <f>AD9+AD10+AD11</f>
        <v>0.33899999999967889</v>
      </c>
      <c r="AE12" s="60">
        <f>AE9+AE10+AE11</f>
        <v>480.33899999999943</v>
      </c>
    </row>
    <row r="13" spans="1:31" x14ac:dyDescent="0.25">
      <c r="A13" t="s">
        <v>20</v>
      </c>
      <c r="B13" s="10">
        <v>8.9999999999999993E-3</v>
      </c>
      <c r="C13" s="10">
        <v>-0.32300000000000001</v>
      </c>
      <c r="D13" s="10">
        <v>1.2999999999999999E-2</v>
      </c>
      <c r="E13" s="10">
        <f>Z13-D13-C13-B13</f>
        <v>0.92299999999999993</v>
      </c>
      <c r="F13" s="10">
        <v>-4.5949999999999998</v>
      </c>
      <c r="G13" s="10">
        <v>2.4039999999999999</v>
      </c>
      <c r="H13" s="10">
        <v>3.8450000000000002</v>
      </c>
      <c r="I13" s="10">
        <f>AA13-H13-G13-F13</f>
        <v>6.6149999999999993</v>
      </c>
      <c r="J13" s="10">
        <v>0.46899999999999997</v>
      </c>
      <c r="K13" s="10">
        <v>-81.225999999999999</v>
      </c>
      <c r="L13" s="10">
        <v>3.177</v>
      </c>
      <c r="M13" s="10">
        <f>AB13-L13-K13-J13</f>
        <v>9.7139999999999933</v>
      </c>
      <c r="N13" s="10">
        <v>1.3680000000000001</v>
      </c>
      <c r="O13" s="10">
        <v>0.65100000000000002</v>
      </c>
      <c r="P13" s="10">
        <v>1.2909999999999999</v>
      </c>
      <c r="Q13" s="62">
        <v>6.86</v>
      </c>
      <c r="R13" s="15">
        <v>-0.35099999999999998</v>
      </c>
      <c r="X13" s="10">
        <v>-0.105</v>
      </c>
      <c r="Y13" s="10">
        <v>-5.8000000000000003E-2</v>
      </c>
      <c r="Z13" s="10">
        <v>0.622</v>
      </c>
      <c r="AA13" s="10">
        <v>8.2690000000000001</v>
      </c>
      <c r="AB13" s="10">
        <v>-67.866</v>
      </c>
      <c r="AC13" s="15">
        <f>SUM(N13:Q13)</f>
        <v>10.17</v>
      </c>
      <c r="AD13" s="43"/>
      <c r="AE13" s="9"/>
    </row>
    <row r="14" spans="1:31" x14ac:dyDescent="0.25">
      <c r="A14" t="s">
        <v>127</v>
      </c>
      <c r="B14" s="10">
        <v>0.20300000000000001</v>
      </c>
      <c r="C14" s="10">
        <v>-8.2000000000000003E-2</v>
      </c>
      <c r="D14" s="10">
        <v>-9.5000000000000001E-2</v>
      </c>
      <c r="E14" s="10">
        <f>Z14-D14-C14-B14</f>
        <v>-0.59199999999999997</v>
      </c>
      <c r="F14" s="10">
        <v>0.153</v>
      </c>
      <c r="G14" s="10">
        <v>0.19400000000000001</v>
      </c>
      <c r="H14" s="10">
        <v>0.20200000000000001</v>
      </c>
      <c r="I14" s="10">
        <f>AA14-H14-G14-F14</f>
        <v>-3.2669999999999999</v>
      </c>
      <c r="J14" s="10">
        <v>2.351</v>
      </c>
      <c r="K14" s="10">
        <v>7.8E-2</v>
      </c>
      <c r="L14" s="10">
        <v>0.05</v>
      </c>
      <c r="M14" s="10">
        <f>AB14-L14-K14-J14</f>
        <v>0.41600000000000037</v>
      </c>
      <c r="N14" s="10">
        <v>0.11899999999999999</v>
      </c>
      <c r="O14" s="10">
        <v>0.32300000000000001</v>
      </c>
      <c r="P14" s="10">
        <v>8.0000000000000002E-3</v>
      </c>
      <c r="Q14" s="62">
        <v>0.26900000000000002</v>
      </c>
      <c r="R14" s="15">
        <v>-0.33</v>
      </c>
      <c r="X14" s="10">
        <v>0</v>
      </c>
      <c r="Y14" s="10">
        <v>-0.47899999999999998</v>
      </c>
      <c r="Z14" s="10">
        <v>-0.56599999999999995</v>
      </c>
      <c r="AA14" s="10">
        <v>-2.718</v>
      </c>
      <c r="AB14" s="10">
        <v>2.895</v>
      </c>
      <c r="AC14" s="15">
        <f>SUM(N14:Q14)</f>
        <v>0.71900000000000008</v>
      </c>
      <c r="AD14" s="43"/>
      <c r="AE14" s="9"/>
    </row>
    <row r="15" spans="1:31" s="1" customFormat="1" x14ac:dyDescent="0.25">
      <c r="A15" s="1" t="s">
        <v>21</v>
      </c>
      <c r="B15" s="11">
        <f>B12-B13-B14</f>
        <v>-68.680000000000007</v>
      </c>
      <c r="C15" s="11">
        <f t="shared" ref="C15:M15" si="6">C12+C13+C14</f>
        <v>-161.43700000000001</v>
      </c>
      <c r="D15" s="11">
        <f t="shared" si="6"/>
        <v>-347.76300000000003</v>
      </c>
      <c r="E15" s="11">
        <f t="shared" si="6"/>
        <v>-266.81399999999996</v>
      </c>
      <c r="F15" s="11">
        <f>F12-F13-F14</f>
        <v>-346.34399999999999</v>
      </c>
      <c r="G15" s="11">
        <f>G12-G13-G14</f>
        <v>-305.52600000000001</v>
      </c>
      <c r="H15" s="11">
        <f>H12-H13-H14</f>
        <v>-545.02800000000002</v>
      </c>
      <c r="I15" s="11">
        <f t="shared" si="6"/>
        <v>-319.60099999999983</v>
      </c>
      <c r="J15" s="11">
        <f t="shared" si="6"/>
        <v>-462.05300000000005</v>
      </c>
      <c r="K15" s="11">
        <f>K12-K13-K14</f>
        <v>-217.10300000000004</v>
      </c>
      <c r="L15" s="11">
        <f>L12-L13-L14</f>
        <v>-450.49400000000009</v>
      </c>
      <c r="M15" s="11">
        <f t="shared" si="6"/>
        <v>-222.43700000000018</v>
      </c>
      <c r="N15" s="11">
        <f>N12-N13-N14</f>
        <v>-397.14800000000002</v>
      </c>
      <c r="O15" s="11">
        <f>O12-O13-O14</f>
        <v>-77.269999999999953</v>
      </c>
      <c r="P15" s="11">
        <f>P12-P13-P14</f>
        <v>-283.10299999999989</v>
      </c>
      <c r="Q15" s="64">
        <f>Q12-Q13-Q14</f>
        <v>-44.620999999999988</v>
      </c>
      <c r="R15" s="14">
        <f>R12-R13-R14</f>
        <v>-142.56799999999987</v>
      </c>
      <c r="S15" s="11">
        <f>S16*S18</f>
        <v>14.25</v>
      </c>
      <c r="T15" s="11">
        <f>T16*T18</f>
        <v>-128.25</v>
      </c>
      <c r="U15" s="11">
        <f>U16*U18</f>
        <v>171</v>
      </c>
      <c r="X15" s="11">
        <f t="shared" ref="X15:Z15" si="7">X12+X13+X14</f>
        <v>-76.220000000000013</v>
      </c>
      <c r="Y15" s="11">
        <f t="shared" si="7"/>
        <v>-142.73399999999998</v>
      </c>
      <c r="Z15" s="11">
        <f t="shared" si="7"/>
        <v>-844.2700000000001</v>
      </c>
      <c r="AA15" s="11">
        <f>AA12-AA13-AA14</f>
        <v>-1523.1949999999997</v>
      </c>
      <c r="AB15" s="11">
        <f>AB12-AB13-AB14</f>
        <v>-1377.9870000000003</v>
      </c>
      <c r="AC15" s="14">
        <f>AC12-AC13-AC14</f>
        <v>-802.14199999999994</v>
      </c>
      <c r="AD15" s="50">
        <f>AD18*AD16</f>
        <v>-60.27656647398841</v>
      </c>
      <c r="AE15" s="50">
        <f>AE18*AE16</f>
        <v>375.56937572254321</v>
      </c>
    </row>
    <row r="16" spans="1:31" x14ac:dyDescent="0.25">
      <c r="A16" t="s">
        <v>1</v>
      </c>
      <c r="B16" s="10">
        <f t="shared" ref="B16:H16" si="8">B15/B17</f>
        <v>185.62162162162164</v>
      </c>
      <c r="C16" s="10">
        <f t="shared" si="8"/>
        <v>293.52181818181816</v>
      </c>
      <c r="D16" s="10">
        <f t="shared" si="8"/>
        <v>354.86020408163267</v>
      </c>
      <c r="E16" s="10">
        <f t="shared" si="8"/>
        <v>310.24883720930239</v>
      </c>
      <c r="F16" s="10">
        <f>F15/F17</f>
        <v>398.09655172413795</v>
      </c>
      <c r="G16" s="10">
        <f t="shared" si="8"/>
        <v>402.0078947368421</v>
      </c>
      <c r="H16" s="10">
        <f t="shared" si="8"/>
        <v>403.72444444444443</v>
      </c>
      <c r="I16" s="10">
        <f>AA16-H16-G16-F16</f>
        <v>-800.8672506937844</v>
      </c>
      <c r="J16" s="10">
        <f t="shared" ref="J16:R16" si="9">J15/J17</f>
        <v>405.30964912280712</v>
      </c>
      <c r="K16" s="10">
        <f t="shared" si="9"/>
        <v>434.20600000000007</v>
      </c>
      <c r="L16" s="10">
        <f t="shared" si="9"/>
        <v>450.49400000000009</v>
      </c>
      <c r="M16" s="10">
        <f t="shared" si="9"/>
        <v>427.76346153846168</v>
      </c>
      <c r="N16" s="10">
        <f t="shared" si="9"/>
        <v>456.49195402298852</v>
      </c>
      <c r="O16" s="10">
        <f t="shared" si="9"/>
        <v>454.52941176470557</v>
      </c>
      <c r="P16" s="10">
        <f t="shared" si="9"/>
        <v>464.10327868852443</v>
      </c>
      <c r="Q16" s="62">
        <f t="shared" si="9"/>
        <v>446.20999999999987</v>
      </c>
      <c r="R16" s="15">
        <f t="shared" si="9"/>
        <v>475.22666666666623</v>
      </c>
      <c r="S16" s="10">
        <v>475</v>
      </c>
      <c r="T16">
        <v>475</v>
      </c>
      <c r="U16">
        <v>475</v>
      </c>
      <c r="X16" s="10">
        <f t="shared" ref="X16:AA16" si="10">X15/X17</f>
        <v>169.37777777777779</v>
      </c>
      <c r="Y16" s="10">
        <f t="shared" si="10"/>
        <v>185.36883116883115</v>
      </c>
      <c r="Z16" s="10">
        <f t="shared" si="10"/>
        <v>305.89492753623193</v>
      </c>
      <c r="AA16" s="10">
        <f t="shared" si="10"/>
        <v>402.96164021164014</v>
      </c>
      <c r="AB16" s="10">
        <f>AB15/AB17</f>
        <v>436.07183544303803</v>
      </c>
      <c r="AC16" s="15">
        <f>AC15/AC17</f>
        <v>463.66589595375717</v>
      </c>
      <c r="AD16" s="43">
        <v>463.665895953757</v>
      </c>
      <c r="AE16" s="43">
        <v>463.665895953757</v>
      </c>
    </row>
    <row r="17" spans="1:31" s="1" customFormat="1" x14ac:dyDescent="0.25">
      <c r="A17" s="1" t="s">
        <v>22</v>
      </c>
      <c r="B17" s="2">
        <v>-0.37</v>
      </c>
      <c r="C17" s="2">
        <v>-0.55000000000000004</v>
      </c>
      <c r="D17" s="2">
        <v>-0.98</v>
      </c>
      <c r="E17" s="2">
        <f>Z17-D17-C17-B17</f>
        <v>-0.85999999999999976</v>
      </c>
      <c r="F17" s="2">
        <v>-0.87</v>
      </c>
      <c r="G17" s="2">
        <v>-0.76</v>
      </c>
      <c r="H17" s="2">
        <v>-1.35</v>
      </c>
      <c r="I17" s="2">
        <f>AA17-H17-G17-F17</f>
        <v>-0.79999999999999971</v>
      </c>
      <c r="J17" s="2">
        <v>-1.1399999999999999</v>
      </c>
      <c r="K17" s="2">
        <v>-0.5</v>
      </c>
      <c r="L17" s="2">
        <v>-1</v>
      </c>
      <c r="M17" s="2">
        <f>AB17-L17-K17-J17</f>
        <v>-0.52000000000000024</v>
      </c>
      <c r="N17" s="2">
        <v>-0.87</v>
      </c>
      <c r="O17" s="2">
        <v>-0.17</v>
      </c>
      <c r="P17" s="2">
        <v>-0.61</v>
      </c>
      <c r="Q17" s="65">
        <v>-0.1</v>
      </c>
      <c r="R17" s="37">
        <v>-0.3</v>
      </c>
      <c r="S17" s="36"/>
      <c r="X17" s="2">
        <v>-0.45</v>
      </c>
      <c r="Y17" s="2">
        <v>-0.77</v>
      </c>
      <c r="Z17" s="2">
        <v>-2.76</v>
      </c>
      <c r="AA17" s="2">
        <v>-3.78</v>
      </c>
      <c r="AB17" s="2">
        <v>-3.16</v>
      </c>
      <c r="AC17" s="37">
        <v>-1.73</v>
      </c>
      <c r="AD17" s="51"/>
      <c r="AE17" s="52"/>
    </row>
    <row r="18" spans="1:31" s="1" customFormat="1" x14ac:dyDescent="0.25">
      <c r="A18" s="9" t="s">
        <v>158</v>
      </c>
      <c r="B18" s="44">
        <v>-0.15</v>
      </c>
      <c r="C18" s="44">
        <v>-0.19600000000000001</v>
      </c>
      <c r="D18" s="44">
        <v>-0.62</v>
      </c>
      <c r="E18" s="44">
        <v>-0.43099999999999999</v>
      </c>
      <c r="F18" s="44">
        <v>-0.434</v>
      </c>
      <c r="G18" s="44">
        <v>-0.224</v>
      </c>
      <c r="H18" s="44">
        <v>-0.97899999999999998</v>
      </c>
      <c r="I18" s="45">
        <v>-0.80800000000000005</v>
      </c>
      <c r="J18" s="45">
        <v>-1.1180000000000001</v>
      </c>
      <c r="K18" s="45">
        <v>-0.755</v>
      </c>
      <c r="L18" s="45">
        <v>-1.0009999999999999</v>
      </c>
      <c r="M18" s="45">
        <v>-0.61699999999999999</v>
      </c>
      <c r="N18" s="45">
        <v>-0.877</v>
      </c>
      <c r="O18" s="45">
        <v>-0.245</v>
      </c>
      <c r="P18" s="45">
        <v>-0.69</v>
      </c>
      <c r="Q18" s="66">
        <v>0.08</v>
      </c>
      <c r="R18" s="143">
        <v>-0.28999999999999998</v>
      </c>
      <c r="S18" s="39">
        <v>0.03</v>
      </c>
      <c r="T18" s="1">
        <v>-0.27</v>
      </c>
      <c r="U18" s="1">
        <v>0.36</v>
      </c>
      <c r="X18" s="2"/>
      <c r="Y18" s="2"/>
      <c r="Z18" s="2"/>
      <c r="AA18" s="2"/>
      <c r="AB18" s="2"/>
      <c r="AC18" s="37">
        <v>-1.52</v>
      </c>
      <c r="AD18" s="53">
        <v>-0.13</v>
      </c>
      <c r="AE18" s="54">
        <v>0.81</v>
      </c>
    </row>
    <row r="19" spans="1:31" s="1" customFormat="1" x14ac:dyDescent="0.25">
      <c r="A19" t="s">
        <v>36</v>
      </c>
      <c r="B19" s="3">
        <f t="shared" ref="B19:Q19" si="11">1-B5/B3</f>
        <v>0.50965643423460061</v>
      </c>
      <c r="C19" s="3">
        <f t="shared" si="11"/>
        <v>0.33273180978697603</v>
      </c>
      <c r="D19" s="3">
        <f t="shared" si="11"/>
        <v>0.27302086783703217</v>
      </c>
      <c r="E19" s="3">
        <f>1-E5/E3</f>
        <v>0.50570257244206662</v>
      </c>
      <c r="F19" s="3">
        <f t="shared" si="11"/>
        <v>0.41325942435537799</v>
      </c>
      <c r="G19" s="3">
        <f t="shared" si="11"/>
        <v>0.37163018094454059</v>
      </c>
      <c r="H19" s="3">
        <f t="shared" si="11"/>
        <v>0.19767971844619137</v>
      </c>
      <c r="I19" s="3">
        <f t="shared" si="11"/>
        <v>0.46509903343368719</v>
      </c>
      <c r="J19" s="3">
        <f t="shared" si="11"/>
        <v>0.2488608717536942</v>
      </c>
      <c r="K19" s="3">
        <f t="shared" si="11"/>
        <v>0.32909252764460462</v>
      </c>
      <c r="L19" s="3">
        <f t="shared" si="11"/>
        <v>0.25749395343648018</v>
      </c>
      <c r="M19" s="3">
        <f t="shared" si="11"/>
        <v>0.43232807060422185</v>
      </c>
      <c r="N19" s="3">
        <f t="shared" si="11"/>
        <v>0.32210921299496398</v>
      </c>
      <c r="O19" s="3">
        <f t="shared" si="11"/>
        <v>0.41672505249009351</v>
      </c>
      <c r="P19" s="3">
        <f t="shared" si="11"/>
        <v>0.31204609871170208</v>
      </c>
      <c r="Q19" s="42">
        <f t="shared" si="11"/>
        <v>0.41775689621133894</v>
      </c>
      <c r="R19" s="6">
        <f t="shared" ref="R19" si="12">1-R5/R3</f>
        <v>0.39568390020051136</v>
      </c>
      <c r="X19" s="3">
        <f t="shared" ref="X19:AC19" si="13">1-X5/X3</f>
        <v>0.78482567826159966</v>
      </c>
      <c r="Y19" s="3">
        <f t="shared" si="13"/>
        <v>0.67876998237531305</v>
      </c>
      <c r="Z19" s="3">
        <f t="shared" si="13"/>
        <v>0.4360114688901473</v>
      </c>
      <c r="AA19" s="3">
        <f t="shared" si="13"/>
        <v>0.38723249937308313</v>
      </c>
      <c r="AB19" s="3">
        <f t="shared" si="13"/>
        <v>0.33751446688873399</v>
      </c>
      <c r="AC19" s="6">
        <f t="shared" si="13"/>
        <v>0.37464413775003114</v>
      </c>
      <c r="AD19" s="55">
        <v>0.43</v>
      </c>
      <c r="AE19" s="55">
        <v>0.45</v>
      </c>
    </row>
    <row r="20" spans="1:31" x14ac:dyDescent="0.25">
      <c r="A20" t="s">
        <v>37</v>
      </c>
      <c r="B20" s="4">
        <f t="shared" ref="B20:G20" si="14">B15/B3</f>
        <v>-0.77567707980393497</v>
      </c>
      <c r="C20" s="4">
        <f t="shared" si="14"/>
        <v>-2.2759724239049217</v>
      </c>
      <c r="D20" s="4">
        <f t="shared" si="14"/>
        <v>-2.6179875937245929</v>
      </c>
      <c r="E20" s="4">
        <f t="shared" si="14"/>
        <v>-0.82804144955512149</v>
      </c>
      <c r="F20" s="4">
        <f t="shared" si="14"/>
        <v>-1.1090957998693463</v>
      </c>
      <c r="G20" s="4">
        <f t="shared" si="14"/>
        <v>-1.0266158162665278</v>
      </c>
      <c r="H20" s="4">
        <f t="shared" ref="H20:Q20" si="15">H15/H3</f>
        <v>-2.5609931444090992</v>
      </c>
      <c r="I20" s="4">
        <f t="shared" si="15"/>
        <v>-0.67522526805049332</v>
      </c>
      <c r="J20" s="4">
        <f t="shared" si="15"/>
        <v>-1.1074963147613286</v>
      </c>
      <c r="K20" s="4">
        <f t="shared" si="15"/>
        <v>-0.46570138464343563</v>
      </c>
      <c r="L20" s="4">
        <f t="shared" si="15"/>
        <v>-0.89750925413098848</v>
      </c>
      <c r="M20" s="4">
        <f t="shared" si="15"/>
        <v>-0.26011977084266452</v>
      </c>
      <c r="N20" s="4">
        <f t="shared" si="15"/>
        <v>-0.51600983301544079</v>
      </c>
      <c r="O20" s="4">
        <f t="shared" si="15"/>
        <v>-8.8315939501238339E-2</v>
      </c>
      <c r="P20" s="4">
        <f t="shared" si="15"/>
        <v>-0.35837773448428195</v>
      </c>
      <c r="Q20" s="67">
        <f t="shared" si="15"/>
        <v>-3.6251977280870151E-2</v>
      </c>
      <c r="R20" s="7">
        <f t="shared" ref="R20" si="16">R15/R3</f>
        <v>-0.12133488114002078</v>
      </c>
      <c r="X20" s="4">
        <f>X15/X3</f>
        <v>-0.33684377996879938</v>
      </c>
      <c r="Y20" s="4">
        <f>Y15/Y3</f>
        <v>-0.441340713026808</v>
      </c>
      <c r="Z20" s="4">
        <f>Z15/Z3</f>
        <v>-1.3738422083797102</v>
      </c>
      <c r="AA20" s="4">
        <f t="shared" ref="AA20:AC20" si="17">AA15/AA3</f>
        <v>-1.1752821126135682</v>
      </c>
      <c r="AB20" s="4">
        <f t="shared" si="17"/>
        <v>-0.61504618915482145</v>
      </c>
      <c r="AC20" s="7">
        <f t="shared" si="17"/>
        <v>-0.21884201775907794</v>
      </c>
      <c r="AD20" s="56">
        <f>AD15/AD4</f>
        <v>-1.2531510701452891E-2</v>
      </c>
      <c r="AE20" s="56">
        <f>AE15/AE4</f>
        <v>6.6121368965236488E-2</v>
      </c>
    </row>
    <row r="21" spans="1:31" x14ac:dyDescent="0.25">
      <c r="A21" t="s">
        <v>38</v>
      </c>
      <c r="B21" s="4"/>
      <c r="C21" s="4"/>
      <c r="D21" s="4"/>
      <c r="E21" s="4"/>
      <c r="F21" s="4">
        <f t="shared" ref="F21:R21" si="18">F3/B3-1</f>
        <v>2.5268686047299589</v>
      </c>
      <c r="G21" s="4">
        <f t="shared" si="18"/>
        <v>3.1956972268824639</v>
      </c>
      <c r="H21" s="4">
        <f t="shared" si="18"/>
        <v>0.60211840163810981</v>
      </c>
      <c r="I21" s="4">
        <f t="shared" si="18"/>
        <v>0.46893610946456343</v>
      </c>
      <c r="J21" s="4">
        <f t="shared" si="18"/>
        <v>0.33601365458760823</v>
      </c>
      <c r="K21" s="4">
        <f t="shared" si="18"/>
        <v>0.5664555367013322</v>
      </c>
      <c r="L21" s="4">
        <f t="shared" si="18"/>
        <v>1.3585206208092324</v>
      </c>
      <c r="M21" s="4">
        <f t="shared" si="18"/>
        <v>0.80665082131727583</v>
      </c>
      <c r="N21" s="4">
        <f t="shared" si="18"/>
        <v>0.84478134250548309</v>
      </c>
      <c r="O21" s="4">
        <f t="shared" si="18"/>
        <v>0.87678067719896613</v>
      </c>
      <c r="P21" s="4">
        <f t="shared" si="18"/>
        <v>0.57381389733393373</v>
      </c>
      <c r="Q21" s="67">
        <f t="shared" si="18"/>
        <v>0.4393749276428347</v>
      </c>
      <c r="R21" s="7">
        <f t="shared" si="18"/>
        <v>0.52665880164022183</v>
      </c>
      <c r="S21" s="146">
        <f>S4/O3-1</f>
        <v>0.25724774752636503</v>
      </c>
      <c r="T21" s="146">
        <f>T4/P3-1</f>
        <v>0.30386843840867295</v>
      </c>
      <c r="U21" s="146">
        <f>U4/Q3-1</f>
        <v>0.29990730036064317</v>
      </c>
      <c r="Y21" s="3">
        <f>Y3/X3-1</f>
        <v>0.42926589976002894</v>
      </c>
      <c r="Z21" s="3">
        <f>Z3/Y3-1</f>
        <v>0.90016387866794467</v>
      </c>
      <c r="AA21" s="3">
        <f t="shared" ref="AA21:AD21" si="19">AA3/Z3-1</f>
        <v>1.1089625926721474</v>
      </c>
      <c r="AB21" s="42">
        <f t="shared" si="19"/>
        <v>0.72871742443239884</v>
      </c>
      <c r="AC21" s="6">
        <f t="shared" si="19"/>
        <v>0.63599946618129044</v>
      </c>
      <c r="AD21" s="57">
        <f t="shared" si="19"/>
        <v>0.31227401809301214</v>
      </c>
      <c r="AE21" s="57">
        <f>AE3/AD3-1</f>
        <v>0.18087318087318094</v>
      </c>
    </row>
    <row r="22" spans="1:31" x14ac:dyDescent="0.25">
      <c r="A22" t="s">
        <v>160</v>
      </c>
      <c r="B22" s="4">
        <f>B6/B3</f>
        <v>0.60655959883445143</v>
      </c>
      <c r="C22" s="4">
        <f t="shared" ref="C22:Q22" si="20">C6/C3</f>
        <v>0.65116803654255551</v>
      </c>
      <c r="D22" s="4">
        <f t="shared" si="20"/>
        <v>1.5307522057273628</v>
      </c>
      <c r="E22" s="4">
        <f t="shared" si="20"/>
        <v>0.59573338960905942</v>
      </c>
      <c r="F22" s="4">
        <f t="shared" si="20"/>
        <v>0.73232012706708172</v>
      </c>
      <c r="G22" s="4">
        <f t="shared" si="20"/>
        <v>0.57361939483543611</v>
      </c>
      <c r="H22" s="4">
        <f>H6/H3</f>
        <v>1.426836889563432</v>
      </c>
      <c r="I22" s="4">
        <f t="shared" si="20"/>
        <v>0.5882723287381818</v>
      </c>
      <c r="J22" s="4">
        <f t="shared" si="20"/>
        <v>0.77048932778849732</v>
      </c>
      <c r="K22" s="4">
        <f t="shared" si="20"/>
        <v>0.42371376170404451</v>
      </c>
      <c r="L22" s="4">
        <f t="shared" si="20"/>
        <v>0.64094370221023311</v>
      </c>
      <c r="M22" s="4">
        <f t="shared" si="20"/>
        <v>0.40377578692437344</v>
      </c>
      <c r="N22" s="4">
        <f t="shared" si="20"/>
        <v>0.50559603561089939</v>
      </c>
      <c r="O22" s="4">
        <f t="shared" si="20"/>
        <v>0.23714778490091173</v>
      </c>
      <c r="P22" s="4">
        <f t="shared" si="20"/>
        <v>0.39663298128885494</v>
      </c>
      <c r="Q22" s="67">
        <f t="shared" si="20"/>
        <v>0.23623784078897872</v>
      </c>
      <c r="R22" s="7">
        <f t="shared" ref="R22" si="21">R6/R3</f>
        <v>0.28995758283432455</v>
      </c>
      <c r="X22" s="4">
        <f t="shared" ref="X22:AC22" si="22">X6/X3</f>
        <v>0.64337073586798488</v>
      </c>
      <c r="Y22" s="4">
        <f t="shared" si="22"/>
        <v>0.57286107417828758</v>
      </c>
      <c r="Z22" s="4">
        <f t="shared" si="22"/>
        <v>0.80580344066704412</v>
      </c>
      <c r="AA22" s="4">
        <f t="shared" si="22"/>
        <v>0.75731563820142356</v>
      </c>
      <c r="AB22" s="4">
        <f t="shared" si="22"/>
        <v>0.52934507674982967</v>
      </c>
      <c r="AC22" s="4">
        <f t="shared" si="22"/>
        <v>0.32758233564586386</v>
      </c>
      <c r="AD22" s="58">
        <v>0.27</v>
      </c>
      <c r="AE22" s="57">
        <v>0.23</v>
      </c>
    </row>
    <row r="23" spans="1:31" x14ac:dyDescent="0.25">
      <c r="A23" t="s">
        <v>168</v>
      </c>
      <c r="B23" s="4">
        <f>B8/B3</f>
        <v>0.4460707912629035</v>
      </c>
      <c r="C23" s="4">
        <f t="shared" ref="C23:Q23" si="23">C8/C3</f>
        <v>1.5128505166993276</v>
      </c>
      <c r="D23" s="4">
        <f t="shared" si="23"/>
        <v>0.95897196543105767</v>
      </c>
      <c r="E23" s="4">
        <f t="shared" si="23"/>
        <v>0.53746628887447523</v>
      </c>
      <c r="F23" s="4">
        <f t="shared" si="23"/>
        <v>0.54117831661735138</v>
      </c>
      <c r="G23" s="4">
        <f t="shared" si="23"/>
        <v>0.66801969052939303</v>
      </c>
      <c r="H23" s="4">
        <f t="shared" si="23"/>
        <v>1.0323608324444715</v>
      </c>
      <c r="I23" s="4">
        <f t="shared" si="23"/>
        <v>0.50877515449215638</v>
      </c>
      <c r="J23" s="4">
        <f t="shared" si="23"/>
        <v>0.51918361476971753</v>
      </c>
      <c r="K23" s="4">
        <f t="shared" si="23"/>
        <v>0.40243465576970516</v>
      </c>
      <c r="L23" s="4">
        <f t="shared" si="23"/>
        <v>0.37108367965764694</v>
      </c>
      <c r="M23" s="4">
        <f t="shared" si="23"/>
        <v>0.20259304692954203</v>
      </c>
      <c r="N23" s="4">
        <f t="shared" si="23"/>
        <v>0.20850462286851718</v>
      </c>
      <c r="O23" s="4">
        <f t="shared" si="23"/>
        <v>0.15573413553359308</v>
      </c>
      <c r="P23" s="4">
        <f t="shared" si="23"/>
        <v>0.16552926298520046</v>
      </c>
      <c r="Q23" s="67">
        <f t="shared" si="23"/>
        <v>0.14548887482461406</v>
      </c>
      <c r="R23" s="7">
        <f t="shared" ref="R23" si="24">R8/R3</f>
        <v>0.14829922825269193</v>
      </c>
      <c r="X23" s="4">
        <f t="shared" ref="X23:AC23" si="25">X8/X3</f>
        <v>0.335447261542269</v>
      </c>
      <c r="Y23" s="4">
        <f t="shared" si="25"/>
        <v>0.38609814167774648</v>
      </c>
      <c r="Z23" s="4">
        <f t="shared" si="25"/>
        <v>0.72799138205984393</v>
      </c>
      <c r="AA23" s="4">
        <f t="shared" si="25"/>
        <v>0.63912733164869506</v>
      </c>
      <c r="AB23" s="4">
        <f t="shared" si="25"/>
        <v>0.34087627501661494</v>
      </c>
      <c r="AC23" s="7">
        <f t="shared" si="25"/>
        <v>0.16548539269868195</v>
      </c>
      <c r="AD23" s="57"/>
      <c r="AE23" s="57"/>
    </row>
    <row r="24" spans="1:31" x14ac:dyDescent="0.25">
      <c r="A24" t="s">
        <v>45</v>
      </c>
      <c r="B24" s="4"/>
      <c r="C24" s="4"/>
      <c r="D24" s="4"/>
      <c r="E24" s="4"/>
      <c r="F24" s="4">
        <f t="shared" ref="F24:U24" si="26">F15/B15-1</f>
        <v>4.0428654630168896</v>
      </c>
      <c r="G24" s="4">
        <f t="shared" si="26"/>
        <v>0.89254012401122407</v>
      </c>
      <c r="H24" s="4">
        <f t="shared" si="26"/>
        <v>0.56723975811112726</v>
      </c>
      <c r="I24" s="4">
        <f t="shared" si="26"/>
        <v>0.19784194232686403</v>
      </c>
      <c r="J24" s="4">
        <f t="shared" si="26"/>
        <v>0.33408691936340773</v>
      </c>
      <c r="K24" s="4">
        <f t="shared" si="26"/>
        <v>-0.28941235770441787</v>
      </c>
      <c r="L24" s="4">
        <f t="shared" si="26"/>
        <v>-0.17344796964559606</v>
      </c>
      <c r="M24" s="4">
        <f t="shared" si="26"/>
        <v>-0.30401657066154264</v>
      </c>
      <c r="N24" s="4">
        <f t="shared" si="26"/>
        <v>-0.14047089836014492</v>
      </c>
      <c r="O24" s="4">
        <f t="shared" si="26"/>
        <v>-0.64408598683574181</v>
      </c>
      <c r="P24" s="4">
        <f t="shared" si="26"/>
        <v>-0.37157209640971944</v>
      </c>
      <c r="Q24" s="67">
        <f t="shared" si="26"/>
        <v>-0.79939938049874815</v>
      </c>
      <c r="R24" s="7">
        <f t="shared" si="26"/>
        <v>-0.64102047599383638</v>
      </c>
      <c r="S24" s="4">
        <f t="shared" si="26"/>
        <v>-1.1844182735861266</v>
      </c>
      <c r="T24" s="4">
        <f>T18/P18-1</f>
        <v>-0.60869565217391297</v>
      </c>
      <c r="U24" s="4">
        <f>U18/Q18-1</f>
        <v>3.5</v>
      </c>
      <c r="Y24" s="3">
        <f>-(Y15/X15-1)</f>
        <v>-0.87265809498819147</v>
      </c>
      <c r="Z24" s="3">
        <f>-(Z15/Y15-1)</f>
        <v>-4.9149887202768801</v>
      </c>
      <c r="AA24" s="3">
        <f t="shared" ref="AA24:AB24" si="27">-(AA15/Z15-1)</f>
        <v>-0.80415625333127982</v>
      </c>
      <c r="AB24" s="42">
        <f t="shared" si="27"/>
        <v>9.533119528359757E-2</v>
      </c>
      <c r="AC24" s="6">
        <f>-(AC15/AB15-1)</f>
        <v>0.41788855772949984</v>
      </c>
      <c r="AD24" s="42"/>
      <c r="AE24" s="42"/>
    </row>
    <row r="27" spans="1:31" s="1" customFormat="1" x14ac:dyDescent="0.25">
      <c r="A27" s="1" t="s">
        <v>49</v>
      </c>
      <c r="B27" s="11">
        <f t="shared" ref="B27" si="28">B28+B29+B30-B41-B42-B44</f>
        <v>0</v>
      </c>
      <c r="C27" s="11">
        <f>C28+C29+C30-C42-C46</f>
        <v>1244.29</v>
      </c>
      <c r="D27" s="11">
        <f>D28+D29+D30-D42-D46</f>
        <v>1140.9319999999998</v>
      </c>
      <c r="E27" s="11">
        <f>E28+E29+E30-E42-E46</f>
        <v>1817.2829999999999</v>
      </c>
      <c r="F27" s="11">
        <f>F28+F29+F30-F42-F46</f>
        <v>1571.0409999999999</v>
      </c>
      <c r="G27" s="11">
        <f>G28+G29+G30-G42-G46</f>
        <v>0</v>
      </c>
      <c r="H27" s="11">
        <f>H28+H29+H30-H42-H46</f>
        <v>0</v>
      </c>
      <c r="I27" s="11">
        <f>I28+I29+I30-I42-I46</f>
        <v>904.46499999999946</v>
      </c>
      <c r="J27" s="11">
        <f>J28+J29+J30-J42-J46</f>
        <v>523.81099999999992</v>
      </c>
      <c r="K27" s="11">
        <f>K28+K29+K30-K42-K46</f>
        <v>264.65399999999977</v>
      </c>
      <c r="L27" s="11">
        <f>L28+L29+L30-L42-L46</f>
        <v>132.24199999999996</v>
      </c>
      <c r="M27" s="11">
        <f>M28+M29+M30-M42-M46</f>
        <v>1.6320000000000618</v>
      </c>
      <c r="N27" s="11">
        <f>N28+N29+N30-N42-N46</f>
        <v>-273.07500000000016</v>
      </c>
      <c r="O27" s="11">
        <f>O28+O29+O30-O42-O46</f>
        <v>-248.60100000000011</v>
      </c>
      <c r="P27" s="11">
        <f>P28+P29+P30-P42-P46</f>
        <v>-312.35799999999983</v>
      </c>
      <c r="Q27" s="64">
        <f>Q28+Q29+Q30-Q42-Q46</f>
        <v>-192.09500000000003</v>
      </c>
      <c r="R27" s="14">
        <f>R28+R29+R30-R42-R46</f>
        <v>-275.7249999999998</v>
      </c>
      <c r="X27" s="11"/>
      <c r="Y27" s="11"/>
      <c r="Z27" s="11">
        <f t="shared" ref="Z27" si="29">Z28+Z29+Z30-Z42-Z46</f>
        <v>1817.2829999999999</v>
      </c>
      <c r="AA27" s="11">
        <f t="shared" ref="AA27" si="30">AA28+AA29+AA30-AA42-AA46</f>
        <v>904.46499999999946</v>
      </c>
      <c r="AB27" s="11">
        <f t="shared" ref="AB27" si="31">AB28+AB29+AB30-AB42-AB46</f>
        <v>1.6320000000000618</v>
      </c>
      <c r="AC27" s="14">
        <f t="shared" ref="AC27" si="32">AC28+AC29+AC30-AC42-AC46</f>
        <v>-192.09500000000003</v>
      </c>
    </row>
    <row r="28" spans="1:31" x14ac:dyDescent="0.25">
      <c r="A28" t="s">
        <v>25</v>
      </c>
      <c r="C28" s="10">
        <v>1244.2660000000001</v>
      </c>
      <c r="D28" s="10">
        <v>1140.9069999999999</v>
      </c>
      <c r="E28" s="10">
        <f>Z28</f>
        <v>1817.258</v>
      </c>
      <c r="F28" s="10">
        <v>2818.1280000000002</v>
      </c>
      <c r="G28" s="10"/>
      <c r="H28" s="10"/>
      <c r="I28" s="10">
        <f>AA28</f>
        <v>2152.8919999999998</v>
      </c>
      <c r="J28" s="10">
        <v>1772.8920000000001</v>
      </c>
      <c r="K28" s="10">
        <v>1514.3710000000001</v>
      </c>
      <c r="L28" s="10">
        <v>1382.6510000000001</v>
      </c>
      <c r="M28" s="10">
        <f>AB28</f>
        <v>1309.172</v>
      </c>
      <c r="N28" s="10">
        <v>1087.6679999999999</v>
      </c>
      <c r="O28" s="10">
        <v>1113.7149999999999</v>
      </c>
      <c r="P28" s="10">
        <v>1111.596</v>
      </c>
      <c r="Q28" s="62">
        <v>1270.5029999999999</v>
      </c>
      <c r="R28" s="15">
        <f>1192.662+12.454</f>
        <v>1205.116</v>
      </c>
      <c r="X28" s="10"/>
      <c r="Y28" s="10"/>
      <c r="Z28" s="10">
        <v>1817.258</v>
      </c>
      <c r="AA28" s="10">
        <v>2152.8919999999998</v>
      </c>
      <c r="AB28" s="10">
        <v>1309.172</v>
      </c>
      <c r="AC28" s="15">
        <f>Q28</f>
        <v>1270.5029999999999</v>
      </c>
    </row>
    <row r="29" spans="1:31" x14ac:dyDescent="0.25">
      <c r="A29" t="s">
        <v>118</v>
      </c>
      <c r="C29" s="10">
        <v>131.995</v>
      </c>
      <c r="D29" s="10">
        <v>257.43200000000002</v>
      </c>
      <c r="E29" s="10">
        <f t="shared" ref="E29:E50" si="33">Z29</f>
        <v>287.71800000000002</v>
      </c>
      <c r="F29" s="10">
        <v>305.73200000000003</v>
      </c>
      <c r="G29" s="10"/>
      <c r="H29" s="10"/>
      <c r="I29" s="10">
        <f t="shared" ref="I29:I50" si="34">AA29</f>
        <v>476.95</v>
      </c>
      <c r="J29" s="10">
        <v>464.85399999999998</v>
      </c>
      <c r="K29" s="10">
        <v>426.16899999999998</v>
      </c>
      <c r="L29" s="10">
        <v>581.35500000000002</v>
      </c>
      <c r="M29" s="10">
        <f t="shared" ref="M29:M50" si="35">AB29</f>
        <v>469.65300000000002</v>
      </c>
      <c r="N29" s="10">
        <v>436.935</v>
      </c>
      <c r="O29" s="10">
        <v>381.09699999999998</v>
      </c>
      <c r="P29" s="10">
        <v>475.98399999999998</v>
      </c>
      <c r="Q29" s="62">
        <v>341.29</v>
      </c>
      <c r="R29" s="15">
        <v>278.14100000000002</v>
      </c>
      <c r="X29" s="10"/>
      <c r="Y29" s="10"/>
      <c r="Z29" s="10">
        <v>287.71800000000002</v>
      </c>
      <c r="AA29" s="10">
        <v>476.95</v>
      </c>
      <c r="AB29" s="10">
        <v>469.65300000000002</v>
      </c>
      <c r="AC29" s="15">
        <f>Q29</f>
        <v>341.29</v>
      </c>
    </row>
    <row r="30" spans="1:31" x14ac:dyDescent="0.25">
      <c r="A30" t="s">
        <v>119</v>
      </c>
      <c r="C30" s="10">
        <v>15.06</v>
      </c>
      <c r="D30" s="10">
        <v>29.099</v>
      </c>
      <c r="E30" s="10">
        <f t="shared" si="33"/>
        <v>30.248999999999999</v>
      </c>
      <c r="F30" s="10">
        <v>24.036000000000001</v>
      </c>
      <c r="G30" s="10"/>
      <c r="H30" s="10"/>
      <c r="I30" s="10">
        <f t="shared" si="34"/>
        <v>51.948999999999998</v>
      </c>
      <c r="J30" s="10">
        <v>55.945999999999998</v>
      </c>
      <c r="K30" s="10">
        <v>56.82</v>
      </c>
      <c r="L30" s="10">
        <v>89.453999999999994</v>
      </c>
      <c r="M30" s="10">
        <f t="shared" si="35"/>
        <v>160.083</v>
      </c>
      <c r="N30" s="10">
        <v>124.536</v>
      </c>
      <c r="O30" s="10">
        <v>109.15300000000001</v>
      </c>
      <c r="P30" s="10">
        <v>209.48500000000001</v>
      </c>
      <c r="Q30" s="62">
        <v>301.77</v>
      </c>
      <c r="R30" s="15">
        <v>265.96100000000001</v>
      </c>
      <c r="X30" s="10"/>
      <c r="Y30" s="10"/>
      <c r="Z30" s="10">
        <v>30.248999999999999</v>
      </c>
      <c r="AA30" s="10">
        <v>51.948999999999998</v>
      </c>
      <c r="AB30" s="10">
        <v>160.083</v>
      </c>
      <c r="AC30" s="15">
        <f>Q30</f>
        <v>301.77</v>
      </c>
    </row>
    <row r="31" spans="1:31" x14ac:dyDescent="0.25">
      <c r="A31" t="s">
        <v>26</v>
      </c>
      <c r="C31" s="10">
        <v>35.103999999999999</v>
      </c>
      <c r="D31" s="10">
        <v>46.084000000000003</v>
      </c>
      <c r="E31" s="10">
        <f t="shared" si="33"/>
        <v>44.521999999999998</v>
      </c>
      <c r="F31" s="10">
        <v>48.359000000000002</v>
      </c>
      <c r="G31" s="10"/>
      <c r="H31" s="10"/>
      <c r="I31" s="10">
        <f t="shared" si="34"/>
        <v>45.863999999999997</v>
      </c>
      <c r="J31" s="10">
        <v>48.210999999999999</v>
      </c>
      <c r="K31" s="10">
        <v>45.06</v>
      </c>
      <c r="L31" s="10">
        <v>40.991</v>
      </c>
      <c r="M31" s="10">
        <f t="shared" si="35"/>
        <v>51.097000000000001</v>
      </c>
      <c r="N31" s="10">
        <v>41.423000000000002</v>
      </c>
      <c r="O31" s="10">
        <v>32.401000000000003</v>
      </c>
      <c r="P31" s="10">
        <v>27.777999999999999</v>
      </c>
      <c r="Q31" s="62">
        <v>47.539000000000001</v>
      </c>
      <c r="R31" s="15">
        <v>53.320999999999998</v>
      </c>
      <c r="X31" s="10"/>
      <c r="Y31" s="10"/>
      <c r="Z31" s="10">
        <v>44.521999999999998</v>
      </c>
      <c r="AA31" s="10">
        <v>45.863999999999997</v>
      </c>
      <c r="AB31" s="10">
        <v>51.097000000000001</v>
      </c>
      <c r="AC31" s="15">
        <f>Q31</f>
        <v>47.539000000000001</v>
      </c>
    </row>
    <row r="32" spans="1:31" x14ac:dyDescent="0.25">
      <c r="A32" t="s">
        <v>27</v>
      </c>
      <c r="C32" s="10">
        <v>24.696000000000002</v>
      </c>
      <c r="D32" s="10">
        <v>12.334</v>
      </c>
      <c r="E32" s="10">
        <f t="shared" si="33"/>
        <v>14.558</v>
      </c>
      <c r="F32" s="10">
        <v>15.226000000000001</v>
      </c>
      <c r="G32" s="10"/>
      <c r="H32" s="10"/>
      <c r="I32" s="10">
        <f t="shared" si="34"/>
        <v>25.675000000000001</v>
      </c>
      <c r="J32" s="10">
        <v>56.561999999999998</v>
      </c>
      <c r="K32" s="10">
        <v>95.248999999999995</v>
      </c>
      <c r="L32" s="10">
        <v>98.626999999999995</v>
      </c>
      <c r="M32" s="10">
        <f t="shared" si="35"/>
        <v>94.835999999999999</v>
      </c>
      <c r="N32" s="10">
        <v>115.194</v>
      </c>
      <c r="O32" s="10">
        <v>82.655000000000001</v>
      </c>
      <c r="P32" s="10">
        <v>143.07900000000001</v>
      </c>
      <c r="Q32" s="62">
        <f>11.7+98.565</f>
        <v>110.265</v>
      </c>
      <c r="R32" s="15">
        <v>135.434</v>
      </c>
      <c r="X32" s="10"/>
      <c r="Y32" s="10"/>
      <c r="Z32" s="10">
        <v>14.558</v>
      </c>
      <c r="AA32" s="10">
        <v>25.675000000000001</v>
      </c>
      <c r="AB32" s="10">
        <v>94.835999999999999</v>
      </c>
      <c r="AC32" s="15">
        <f>Q32</f>
        <v>110.265</v>
      </c>
    </row>
    <row r="33" spans="1:29" s="1" customFormat="1" x14ac:dyDescent="0.25">
      <c r="A33" s="1" t="s">
        <v>120</v>
      </c>
      <c r="B33" s="11"/>
      <c r="C33" s="11">
        <f t="shared" ref="C33:D33" si="36">SUM(C28:C32)</f>
        <v>1451.1209999999999</v>
      </c>
      <c r="D33" s="11">
        <f t="shared" si="36"/>
        <v>1485.856</v>
      </c>
      <c r="E33" s="11">
        <f>SUM(E28:E32)</f>
        <v>2194.3049999999998</v>
      </c>
      <c r="F33" s="11">
        <f t="shared" ref="F33:Q33" si="37">SUM(F28:F32)</f>
        <v>3211.4810000000002</v>
      </c>
      <c r="G33" s="11">
        <f t="shared" si="37"/>
        <v>0</v>
      </c>
      <c r="H33" s="11">
        <f t="shared" si="37"/>
        <v>0</v>
      </c>
      <c r="I33" s="11">
        <f t="shared" si="37"/>
        <v>2753.33</v>
      </c>
      <c r="J33" s="11">
        <f t="shared" si="37"/>
        <v>2398.4649999999997</v>
      </c>
      <c r="K33" s="11">
        <f t="shared" si="37"/>
        <v>2137.6689999999999</v>
      </c>
      <c r="L33" s="11">
        <f t="shared" si="37"/>
        <v>2193.078</v>
      </c>
      <c r="M33" s="11">
        <f t="shared" si="37"/>
        <v>2084.8409999999999</v>
      </c>
      <c r="N33" s="11">
        <f t="shared" si="37"/>
        <v>1805.7559999999999</v>
      </c>
      <c r="O33" s="11">
        <f t="shared" si="37"/>
        <v>1719.021</v>
      </c>
      <c r="P33" s="11">
        <f t="shared" si="37"/>
        <v>1967.922</v>
      </c>
      <c r="Q33" s="64">
        <f t="shared" si="37"/>
        <v>2071.3669999999997</v>
      </c>
      <c r="R33" s="14">
        <f t="shared" ref="R33" si="38">SUM(R28:R32)</f>
        <v>1937.973</v>
      </c>
      <c r="X33" s="11"/>
      <c r="Y33" s="11"/>
      <c r="Z33" s="11">
        <f t="shared" ref="Z33" si="39">SUM(Z28:Z32)</f>
        <v>2194.3049999999998</v>
      </c>
      <c r="AA33" s="11">
        <f t="shared" ref="AA33" si="40">SUM(AA28:AA32)</f>
        <v>2753.33</v>
      </c>
      <c r="AB33" s="11">
        <f t="shared" ref="AB33:AC33" si="41">SUM(AB28:AB32)</f>
        <v>2084.8409999999999</v>
      </c>
      <c r="AC33" s="14">
        <f t="shared" si="41"/>
        <v>2071.3669999999997</v>
      </c>
    </row>
    <row r="34" spans="1:29" x14ac:dyDescent="0.25">
      <c r="A34" t="s">
        <v>28</v>
      </c>
      <c r="C34" s="10">
        <v>37.002000000000002</v>
      </c>
      <c r="D34" s="10">
        <v>39.481999999999999</v>
      </c>
      <c r="E34" s="10">
        <f t="shared" si="33"/>
        <v>40.826999999999998</v>
      </c>
      <c r="F34" s="10">
        <v>42.984999999999999</v>
      </c>
      <c r="G34" s="10"/>
      <c r="H34" s="10"/>
      <c r="I34" s="10">
        <f t="shared" si="34"/>
        <v>46.018999999999998</v>
      </c>
      <c r="J34" s="10">
        <v>49.734000000000002</v>
      </c>
      <c r="K34" s="10">
        <v>53.926000000000002</v>
      </c>
      <c r="L34" s="10">
        <v>58.225999999999999</v>
      </c>
      <c r="M34" s="10">
        <f t="shared" si="35"/>
        <v>60.101999999999997</v>
      </c>
      <c r="N34" s="10">
        <v>62.273000000000003</v>
      </c>
      <c r="O34" s="10">
        <v>59.933999999999997</v>
      </c>
      <c r="P34" s="10">
        <v>64.927000000000007</v>
      </c>
      <c r="Q34" s="62">
        <v>60.695</v>
      </c>
      <c r="R34" s="15">
        <v>59.796999999999997</v>
      </c>
      <c r="X34" s="10"/>
      <c r="Y34" s="10"/>
      <c r="Z34" s="10">
        <v>40.826999999999998</v>
      </c>
      <c r="AA34" s="10">
        <v>46.018999999999998</v>
      </c>
      <c r="AB34" s="10">
        <v>60.101999999999997</v>
      </c>
      <c r="AC34" s="15">
        <f>Q34</f>
        <v>60.695</v>
      </c>
    </row>
    <row r="35" spans="1:29" x14ac:dyDescent="0.25">
      <c r="A35" t="s">
        <v>30</v>
      </c>
      <c r="C35" s="10"/>
      <c r="D35" s="10">
        <v>549.25199999999995</v>
      </c>
      <c r="E35" s="10">
        <f t="shared" si="33"/>
        <v>555.92999999999995</v>
      </c>
      <c r="F35" s="10">
        <v>532.077</v>
      </c>
      <c r="G35" s="10"/>
      <c r="H35" s="10"/>
      <c r="I35" s="10">
        <f t="shared" si="34"/>
        <v>535.01700000000005</v>
      </c>
      <c r="J35" s="10">
        <v>523.02300000000002</v>
      </c>
      <c r="K35" s="10">
        <v>810.52499999999998</v>
      </c>
      <c r="L35" s="10">
        <v>788.64700000000005</v>
      </c>
      <c r="M35" s="10">
        <f t="shared" si="35"/>
        <v>776.93399999999997</v>
      </c>
      <c r="N35" s="10">
        <v>754.50900000000001</v>
      </c>
      <c r="O35" s="10">
        <v>734.63300000000004</v>
      </c>
      <c r="P35" s="10">
        <v>718.95799999999997</v>
      </c>
      <c r="Q35" s="62">
        <v>690.62</v>
      </c>
      <c r="R35" s="15">
        <v>682.35</v>
      </c>
      <c r="X35" s="10"/>
      <c r="Y35" s="10"/>
      <c r="Z35" s="10">
        <v>555.92999999999995</v>
      </c>
      <c r="AA35" s="10">
        <v>535.01700000000005</v>
      </c>
      <c r="AB35" s="10">
        <v>776.93399999999997</v>
      </c>
      <c r="AC35" s="15">
        <f>Q35</f>
        <v>690.62</v>
      </c>
    </row>
    <row r="36" spans="1:29" x14ac:dyDescent="0.25">
      <c r="A36" t="s">
        <v>29</v>
      </c>
      <c r="C36" s="10">
        <v>542.09500000000003</v>
      </c>
      <c r="D36" s="10">
        <v>486.327</v>
      </c>
      <c r="E36" s="10">
        <f t="shared" si="33"/>
        <v>569.60299999999995</v>
      </c>
      <c r="F36" s="10">
        <v>612.47900000000004</v>
      </c>
      <c r="G36" s="10"/>
      <c r="H36" s="10"/>
      <c r="I36" s="10">
        <f t="shared" si="34"/>
        <v>615.65499999999997</v>
      </c>
      <c r="J36" s="10">
        <v>615.65499999999997</v>
      </c>
      <c r="K36" s="10">
        <v>894.01900000000001</v>
      </c>
      <c r="L36" s="10">
        <v>894.01900000000001</v>
      </c>
      <c r="M36" s="10">
        <f t="shared" si="35"/>
        <v>886.37300000000005</v>
      </c>
      <c r="N36" s="10">
        <v>886.37300000000005</v>
      </c>
      <c r="O36" s="10">
        <v>886.37300000000005</v>
      </c>
      <c r="P36" s="10">
        <v>886.37300000000005</v>
      </c>
      <c r="Q36" s="62">
        <v>886.37300000000005</v>
      </c>
      <c r="R36" s="15">
        <v>886.37300000000005</v>
      </c>
      <c r="X36" s="10"/>
      <c r="Y36" s="10"/>
      <c r="Z36" s="10">
        <v>569.60299999999995</v>
      </c>
      <c r="AA36" s="10">
        <v>615.65499999999997</v>
      </c>
      <c r="AB36" s="10">
        <v>886.37300000000005</v>
      </c>
      <c r="AC36" s="15">
        <f>Q36</f>
        <v>886.37300000000005</v>
      </c>
    </row>
    <row r="37" spans="1:29" x14ac:dyDescent="0.25">
      <c r="A37" t="s">
        <v>128</v>
      </c>
      <c r="C37" s="10">
        <v>480.57799999999997</v>
      </c>
      <c r="D37" s="10"/>
      <c r="E37" s="10">
        <f t="shared" si="33"/>
        <v>68.076999999999998</v>
      </c>
      <c r="F37" s="10">
        <v>73.022000000000006</v>
      </c>
      <c r="G37" s="10"/>
      <c r="H37" s="10"/>
      <c r="I37" s="10">
        <f t="shared" si="34"/>
        <v>63.831000000000003</v>
      </c>
      <c r="J37" s="10">
        <v>61.168999999999997</v>
      </c>
      <c r="K37" s="10">
        <v>77.337999999999994</v>
      </c>
      <c r="L37" s="10">
        <v>74.703000000000003</v>
      </c>
      <c r="M37" s="10">
        <f t="shared" si="35"/>
        <v>65.956999999999994</v>
      </c>
      <c r="N37" s="10">
        <v>60.804000000000002</v>
      </c>
      <c r="O37" s="10">
        <v>58.348999999999997</v>
      </c>
      <c r="P37" s="10">
        <v>77.180000000000007</v>
      </c>
      <c r="Q37" s="62">
        <v>93.984999999999999</v>
      </c>
      <c r="R37" s="15">
        <v>90.554000000000002</v>
      </c>
      <c r="X37" s="10"/>
      <c r="Y37" s="10"/>
      <c r="Z37" s="10">
        <v>68.076999999999998</v>
      </c>
      <c r="AA37" s="10">
        <v>63.831000000000003</v>
      </c>
      <c r="AB37" s="10">
        <v>65.956999999999994</v>
      </c>
      <c r="AC37" s="15">
        <f>Q37</f>
        <v>93.984999999999999</v>
      </c>
    </row>
    <row r="38" spans="1:29" s="1" customFormat="1" x14ac:dyDescent="0.25">
      <c r="A38" t="s">
        <v>129</v>
      </c>
      <c r="B38"/>
      <c r="C38" s="10">
        <v>2.2360000000000002</v>
      </c>
      <c r="D38" s="10">
        <v>2.141</v>
      </c>
      <c r="E38" s="10">
        <f t="shared" si="33"/>
        <v>2.9550000000000001</v>
      </c>
      <c r="F38" s="10">
        <v>2.802</v>
      </c>
      <c r="G38" s="10"/>
      <c r="H38" s="10"/>
      <c r="I38" s="10">
        <f t="shared" si="34"/>
        <v>9.8249999999999993</v>
      </c>
      <c r="J38" s="10">
        <v>7.4740000000000002</v>
      </c>
      <c r="K38" s="10">
        <v>8.7959999999999994</v>
      </c>
      <c r="L38" s="10">
        <v>8.7460000000000004</v>
      </c>
      <c r="M38" s="10">
        <f t="shared" si="35"/>
        <v>10.08</v>
      </c>
      <c r="N38" s="10">
        <v>9.9610000000000003</v>
      </c>
      <c r="O38" s="10">
        <v>9.6379999999999999</v>
      </c>
      <c r="P38" s="10">
        <v>9.6300000000000008</v>
      </c>
      <c r="Q38" s="62">
        <v>10.28</v>
      </c>
      <c r="R38" s="15">
        <v>11.38</v>
      </c>
      <c r="X38" s="10"/>
      <c r="Y38" s="10"/>
      <c r="Z38" s="10">
        <v>2.9550000000000001</v>
      </c>
      <c r="AA38" s="10">
        <v>9.8249999999999993</v>
      </c>
      <c r="AB38" s="10">
        <v>10.08</v>
      </c>
      <c r="AC38" s="15">
        <f>Q38</f>
        <v>10.28</v>
      </c>
    </row>
    <row r="39" spans="1:29" x14ac:dyDescent="0.25">
      <c r="A39" t="s">
        <v>31</v>
      </c>
      <c r="C39" s="10">
        <v>3.105</v>
      </c>
      <c r="D39" s="10">
        <v>3.601</v>
      </c>
      <c r="E39" s="10">
        <f t="shared" si="33"/>
        <v>7.6319999999999997</v>
      </c>
      <c r="F39" s="10">
        <v>8.3049999999999997</v>
      </c>
      <c r="G39" s="10"/>
      <c r="H39" s="10"/>
      <c r="I39" s="10">
        <f t="shared" si="34"/>
        <v>45.377000000000002</v>
      </c>
      <c r="J39" s="10">
        <v>90.795000000000002</v>
      </c>
      <c r="K39" s="10">
        <v>171.49100000000001</v>
      </c>
      <c r="L39" s="10">
        <v>174.63399999999999</v>
      </c>
      <c r="M39" s="10">
        <f t="shared" si="35"/>
        <v>155.86500000000001</v>
      </c>
      <c r="N39" s="10">
        <v>159.59800000000001</v>
      </c>
      <c r="O39" s="10">
        <v>138.316</v>
      </c>
      <c r="P39" s="10">
        <v>136.52600000000001</v>
      </c>
      <c r="Q39" s="62">
        <v>131.54599999999999</v>
      </c>
      <c r="R39" s="15">
        <v>132.226</v>
      </c>
      <c r="X39" s="10"/>
      <c r="Y39" s="10"/>
      <c r="Z39" s="10">
        <v>7.6319999999999997</v>
      </c>
      <c r="AA39" s="10">
        <v>45.377000000000002</v>
      </c>
      <c r="AB39" s="10">
        <v>155.86500000000001</v>
      </c>
      <c r="AC39" s="15">
        <f>Q39</f>
        <v>131.54599999999999</v>
      </c>
    </row>
    <row r="40" spans="1:29" x14ac:dyDescent="0.25">
      <c r="A40" s="1" t="s">
        <v>33</v>
      </c>
      <c r="B40" s="11"/>
      <c r="C40" s="11">
        <f t="shared" ref="C40:Q40" si="42">SUM(C33:C39)</f>
        <v>2516.1369999999997</v>
      </c>
      <c r="D40" s="11">
        <f>SUM(D33:D39)</f>
        <v>2566.6590000000006</v>
      </c>
      <c r="E40" s="11">
        <f>SUM(E33:E39)</f>
        <v>3439.3289999999993</v>
      </c>
      <c r="F40" s="11">
        <f t="shared" si="42"/>
        <v>4483.1510000000007</v>
      </c>
      <c r="G40" s="11">
        <f t="shared" si="42"/>
        <v>0</v>
      </c>
      <c r="H40" s="11">
        <f t="shared" si="42"/>
        <v>0</v>
      </c>
      <c r="I40" s="11">
        <f>SUM(I33:I39)</f>
        <v>4069.0539999999996</v>
      </c>
      <c r="J40" s="11">
        <f t="shared" si="42"/>
        <v>3746.3149999999996</v>
      </c>
      <c r="K40" s="11">
        <f>SUM(K33:K39)</f>
        <v>4153.7640000000001</v>
      </c>
      <c r="L40" s="11">
        <f t="shared" si="42"/>
        <v>4192.0529999999999</v>
      </c>
      <c r="M40" s="11">
        <f t="shared" si="42"/>
        <v>4040.1519999999991</v>
      </c>
      <c r="N40" s="11">
        <f t="shared" si="42"/>
        <v>3739.2739999999994</v>
      </c>
      <c r="O40" s="11">
        <f t="shared" si="42"/>
        <v>3606.2639999999997</v>
      </c>
      <c r="P40" s="11">
        <f t="shared" si="42"/>
        <v>3861.5159999999996</v>
      </c>
      <c r="Q40" s="64">
        <f t="shared" si="42"/>
        <v>3944.866</v>
      </c>
      <c r="R40" s="14">
        <f t="shared" ref="R40" si="43">SUM(R33:R39)</f>
        <v>3800.6530000000002</v>
      </c>
      <c r="X40" s="11"/>
      <c r="Y40" s="11"/>
      <c r="Z40" s="11">
        <f t="shared" ref="Z40" si="44">SUM(Z33:Z39)</f>
        <v>3439.3289999999993</v>
      </c>
      <c r="AA40" s="11">
        <f t="shared" ref="AA40" si="45">SUM(AA33:AA39)</f>
        <v>4069.0539999999996</v>
      </c>
      <c r="AB40" s="11">
        <f t="shared" ref="AB40:AC40" si="46">SUM(AB33:AB39)</f>
        <v>4040.1519999999991</v>
      </c>
      <c r="AC40" s="14">
        <f t="shared" si="46"/>
        <v>3944.866</v>
      </c>
    </row>
    <row r="41" spans="1:29" x14ac:dyDescent="0.25">
      <c r="A41" t="s">
        <v>35</v>
      </c>
      <c r="C41" s="10">
        <v>122.946</v>
      </c>
      <c r="D41" s="10">
        <v>226.33199999999999</v>
      </c>
      <c r="E41" s="10">
        <f t="shared" si="33"/>
        <v>223.63300000000001</v>
      </c>
      <c r="F41" s="10">
        <v>295.30599999999998</v>
      </c>
      <c r="G41" s="10"/>
      <c r="H41" s="10"/>
      <c r="I41" s="10">
        <f t="shared" si="34"/>
        <v>387.73700000000002</v>
      </c>
      <c r="J41" s="10">
        <v>379.25400000000002</v>
      </c>
      <c r="K41" s="10">
        <v>414.68</v>
      </c>
      <c r="L41" s="10">
        <v>560.79399999999998</v>
      </c>
      <c r="M41" s="10">
        <f t="shared" si="35"/>
        <v>517.58699999999999</v>
      </c>
      <c r="N41" s="10">
        <v>508.72500000000002</v>
      </c>
      <c r="O41" s="10">
        <v>436.26499999999999</v>
      </c>
      <c r="P41" s="10">
        <v>594.06700000000001</v>
      </c>
      <c r="Q41" s="62">
        <v>639.59900000000005</v>
      </c>
      <c r="R41" s="15">
        <v>605.88</v>
      </c>
      <c r="X41" s="10"/>
      <c r="Y41" s="10"/>
      <c r="Z41" s="10">
        <v>223.63300000000001</v>
      </c>
      <c r="AA41" s="10">
        <v>387.73700000000002</v>
      </c>
      <c r="AB41" s="10">
        <v>517.58699999999999</v>
      </c>
      <c r="AC41" s="15">
        <f>Q41</f>
        <v>639.59900000000005</v>
      </c>
    </row>
    <row r="42" spans="1:29" x14ac:dyDescent="0.25">
      <c r="A42" t="s">
        <v>121</v>
      </c>
      <c r="C42" s="10">
        <v>147.03100000000001</v>
      </c>
      <c r="D42" s="10">
        <v>286.50599999999997</v>
      </c>
      <c r="E42" s="10">
        <f t="shared" si="33"/>
        <v>317.94200000000001</v>
      </c>
      <c r="F42" s="10">
        <v>329.74200000000002</v>
      </c>
      <c r="G42" s="10"/>
      <c r="H42" s="10"/>
      <c r="I42" s="10">
        <f t="shared" si="34"/>
        <v>528.87400000000002</v>
      </c>
      <c r="J42" s="10">
        <v>520.77499999999998</v>
      </c>
      <c r="K42" s="10">
        <v>482.94</v>
      </c>
      <c r="L42" s="10">
        <v>670.78399999999999</v>
      </c>
      <c r="M42" s="10">
        <f t="shared" si="35"/>
        <v>686.173</v>
      </c>
      <c r="N42" s="10">
        <v>670.45600000000002</v>
      </c>
      <c r="O42" s="10">
        <v>600.14599999999996</v>
      </c>
      <c r="P42" s="10">
        <v>856.33399999999995</v>
      </c>
      <c r="Q42" s="62">
        <v>851.89800000000002</v>
      </c>
      <c r="R42" s="15">
        <v>770.53499999999997</v>
      </c>
      <c r="X42" s="10"/>
      <c r="Y42" s="10"/>
      <c r="Z42" s="10">
        <v>317.94200000000001</v>
      </c>
      <c r="AA42" s="10">
        <v>528.87400000000002</v>
      </c>
      <c r="AB42" s="10">
        <v>686.173</v>
      </c>
      <c r="AC42" s="15">
        <f>Q42</f>
        <v>851.89800000000002</v>
      </c>
    </row>
    <row r="43" spans="1:29" x14ac:dyDescent="0.25">
      <c r="A43" t="s">
        <v>128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62"/>
      <c r="R43" s="15">
        <v>11.273999999999999</v>
      </c>
      <c r="X43" s="10"/>
      <c r="Y43" s="10"/>
      <c r="Z43" s="10"/>
      <c r="AA43" s="10"/>
      <c r="AB43" s="10"/>
      <c r="AC43" s="15"/>
    </row>
    <row r="44" spans="1:29" x14ac:dyDescent="0.25">
      <c r="A44" t="s">
        <v>122</v>
      </c>
      <c r="C44" s="10"/>
      <c r="D44" s="10"/>
      <c r="E44" s="10">
        <f t="shared" si="33"/>
        <v>12.837</v>
      </c>
      <c r="F44" s="10">
        <v>13.37</v>
      </c>
      <c r="G44" s="10"/>
      <c r="H44" s="10"/>
      <c r="I44" s="10">
        <f t="shared" si="34"/>
        <v>12.814</v>
      </c>
      <c r="J44" s="10">
        <v>12.911</v>
      </c>
      <c r="K44" s="10">
        <f>5.726+17.283</f>
        <v>23.009</v>
      </c>
      <c r="L44" s="10">
        <f>5.645+47.951</f>
        <v>53.596000000000004</v>
      </c>
      <c r="M44" s="10">
        <f t="shared" si="35"/>
        <v>42.697000000000003</v>
      </c>
      <c r="N44" s="10">
        <f>3.975+48.733</f>
        <v>52.707999999999998</v>
      </c>
      <c r="O44" s="10">
        <f>3.305+37.52</f>
        <v>40.825000000000003</v>
      </c>
      <c r="P44" s="10">
        <f>12.132+65.93</f>
        <v>78.062000000000012</v>
      </c>
      <c r="Q44" s="62">
        <f>11.499+46.624</f>
        <v>58.123000000000005</v>
      </c>
      <c r="R44" s="15">
        <v>53.920999999999999</v>
      </c>
      <c r="X44" s="10"/>
      <c r="Y44" s="10"/>
      <c r="Z44" s="10">
        <v>12.837</v>
      </c>
      <c r="AA44" s="10">
        <v>12.814</v>
      </c>
      <c r="AB44" s="10">
        <f>4.253+38.444</f>
        <v>42.697000000000003</v>
      </c>
      <c r="AC44" s="15">
        <f>Q44</f>
        <v>58.123000000000005</v>
      </c>
    </row>
    <row r="45" spans="1:29" s="1" customFormat="1" x14ac:dyDescent="0.25">
      <c r="A45" s="1" t="s">
        <v>123</v>
      </c>
      <c r="B45" s="11"/>
      <c r="C45" s="11">
        <f t="shared" ref="C45:Q45" si="47">SUM(C41:C44)</f>
        <v>269.97699999999998</v>
      </c>
      <c r="D45" s="11">
        <f t="shared" si="47"/>
        <v>512.83799999999997</v>
      </c>
      <c r="E45" s="11">
        <f t="shared" si="47"/>
        <v>554.41200000000003</v>
      </c>
      <c r="F45" s="11">
        <f t="shared" si="47"/>
        <v>638.41800000000001</v>
      </c>
      <c r="G45" s="11">
        <f t="shared" si="47"/>
        <v>0</v>
      </c>
      <c r="H45" s="11">
        <f t="shared" si="47"/>
        <v>0</v>
      </c>
      <c r="I45" s="11">
        <f t="shared" si="47"/>
        <v>929.42500000000007</v>
      </c>
      <c r="J45" s="11">
        <f>SUM(J41:J44)</f>
        <v>912.93999999999994</v>
      </c>
      <c r="K45" s="11">
        <f t="shared" si="47"/>
        <v>920.62900000000002</v>
      </c>
      <c r="L45" s="11">
        <f t="shared" si="47"/>
        <v>1285.174</v>
      </c>
      <c r="M45" s="11">
        <f t="shared" si="47"/>
        <v>1246.4569999999999</v>
      </c>
      <c r="N45" s="11">
        <f t="shared" si="47"/>
        <v>1231.8890000000001</v>
      </c>
      <c r="O45" s="11">
        <f t="shared" si="47"/>
        <v>1077.2360000000001</v>
      </c>
      <c r="P45" s="11">
        <f t="shared" si="47"/>
        <v>1528.4629999999997</v>
      </c>
      <c r="Q45" s="64">
        <f t="shared" si="47"/>
        <v>1549.6200000000001</v>
      </c>
      <c r="R45" s="14">
        <f t="shared" ref="R45" si="48">SUM(R41:R44)</f>
        <v>1441.61</v>
      </c>
      <c r="S45" s="11"/>
      <c r="T45" s="11"/>
      <c r="U45" s="11"/>
      <c r="V45" s="11"/>
      <c r="W45" s="11"/>
      <c r="X45" s="11"/>
      <c r="Y45" s="11"/>
      <c r="Z45" s="11">
        <f t="shared" ref="Z45" si="49">SUM(Z41:Z44)</f>
        <v>554.41200000000003</v>
      </c>
      <c r="AA45" s="11">
        <f t="shared" ref="AA45" si="50">SUM(AA41:AA44)</f>
        <v>929.42500000000007</v>
      </c>
      <c r="AB45" s="11">
        <f t="shared" ref="AB45:AC45" si="51">SUM(AB41:AB44)</f>
        <v>1246.4569999999999</v>
      </c>
      <c r="AC45" s="14">
        <f t="shared" si="51"/>
        <v>1549.6200000000001</v>
      </c>
    </row>
    <row r="46" spans="1:29" x14ac:dyDescent="0.25">
      <c r="A46" t="s">
        <v>124</v>
      </c>
      <c r="C46" s="10"/>
      <c r="D46" s="10"/>
      <c r="E46" s="10">
        <f t="shared" si="33"/>
        <v>0</v>
      </c>
      <c r="F46" s="10">
        <v>1247.1130000000001</v>
      </c>
      <c r="G46" s="10"/>
      <c r="H46" s="10"/>
      <c r="I46" s="10">
        <f t="shared" si="34"/>
        <v>1248.452</v>
      </c>
      <c r="J46" s="10">
        <v>1249.106</v>
      </c>
      <c r="K46" s="10">
        <v>1249.7660000000001</v>
      </c>
      <c r="L46" s="10">
        <v>1250.434</v>
      </c>
      <c r="M46" s="10">
        <f t="shared" si="35"/>
        <v>1251.1030000000001</v>
      </c>
      <c r="N46" s="10">
        <v>1251.758</v>
      </c>
      <c r="O46" s="10">
        <v>1252.42</v>
      </c>
      <c r="P46" s="10">
        <v>1253.0889999999999</v>
      </c>
      <c r="Q46" s="62">
        <v>1253.76</v>
      </c>
      <c r="R46" s="15">
        <v>1254.4079999999999</v>
      </c>
      <c r="X46" s="10"/>
      <c r="Y46" s="10"/>
      <c r="Z46" s="10"/>
      <c r="AA46" s="10">
        <v>1248.452</v>
      </c>
      <c r="AB46" s="10">
        <v>1251.1030000000001</v>
      </c>
      <c r="AC46" s="15">
        <f>Q46</f>
        <v>1253.76</v>
      </c>
    </row>
    <row r="47" spans="1:29" x14ac:dyDescent="0.25">
      <c r="A47" t="s">
        <v>130</v>
      </c>
      <c r="C47" s="10"/>
      <c r="D47" s="10"/>
      <c r="E47" s="10">
        <f t="shared" si="33"/>
        <v>68.775000000000006</v>
      </c>
      <c r="F47" s="10">
        <v>66.811000000000007</v>
      </c>
      <c r="G47" s="10"/>
      <c r="H47" s="10"/>
      <c r="I47" s="10">
        <f t="shared" si="34"/>
        <v>57.341000000000001</v>
      </c>
      <c r="J47" s="10">
        <v>54.457000000000001</v>
      </c>
      <c r="K47" s="10">
        <v>78.176000000000002</v>
      </c>
      <c r="L47" s="10">
        <v>76.08</v>
      </c>
      <c r="M47" s="10">
        <f t="shared" si="35"/>
        <v>69.331999999999994</v>
      </c>
      <c r="N47" s="10">
        <v>66.465999999999994</v>
      </c>
      <c r="O47" s="10">
        <v>64.418000000000006</v>
      </c>
      <c r="P47" s="10">
        <v>76.926000000000002</v>
      </c>
      <c r="Q47" s="62">
        <v>80.826999999999998</v>
      </c>
      <c r="R47" s="15">
        <v>78.930000000000007</v>
      </c>
      <c r="X47" s="10"/>
      <c r="Y47" s="10"/>
      <c r="Z47" s="10">
        <v>68.775000000000006</v>
      </c>
      <c r="AA47" s="10">
        <v>57.341000000000001</v>
      </c>
      <c r="AB47" s="10">
        <v>69.331999999999994</v>
      </c>
      <c r="AC47" s="15">
        <f>Q47</f>
        <v>80.826999999999998</v>
      </c>
    </row>
    <row r="48" spans="1:29" x14ac:dyDescent="0.25">
      <c r="A48" t="s">
        <v>221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62"/>
      <c r="R48" s="15">
        <v>35.484999999999999</v>
      </c>
      <c r="X48" s="10"/>
      <c r="Y48" s="10"/>
      <c r="Z48" s="10"/>
      <c r="AA48" s="10"/>
      <c r="AB48" s="10"/>
      <c r="AC48" s="15"/>
    </row>
    <row r="49" spans="1:29" x14ac:dyDescent="0.25">
      <c r="A49" t="s">
        <v>131</v>
      </c>
      <c r="C49" s="10"/>
      <c r="D49" s="10"/>
      <c r="E49" s="10">
        <f t="shared" si="33"/>
        <v>72.066000000000003</v>
      </c>
      <c r="F49" s="10">
        <v>70.296000000000006</v>
      </c>
      <c r="G49" s="10"/>
      <c r="H49" s="10"/>
      <c r="I49" s="10">
        <f t="shared" si="34"/>
        <v>79.125</v>
      </c>
      <c r="J49" s="10">
        <v>78.947000000000003</v>
      </c>
      <c r="K49" s="10">
        <v>73.858999999999995</v>
      </c>
      <c r="L49" s="10">
        <v>67.924999999999997</v>
      </c>
      <c r="M49" s="10">
        <f t="shared" si="35"/>
        <v>69.858000000000004</v>
      </c>
      <c r="N49" s="10">
        <v>69.238</v>
      </c>
      <c r="O49" s="10">
        <v>69.283000000000001</v>
      </c>
      <c r="P49" s="10">
        <v>68.253</v>
      </c>
      <c r="Q49" s="62">
        <v>63.567999999999998</v>
      </c>
      <c r="R49" s="15">
        <v>71.283000000000001</v>
      </c>
      <c r="X49" s="10"/>
      <c r="Y49" s="10"/>
      <c r="Z49" s="10">
        <v>72.066000000000003</v>
      </c>
      <c r="AA49" s="10">
        <v>79.125</v>
      </c>
      <c r="AB49" s="10">
        <v>69.858000000000004</v>
      </c>
      <c r="AC49" s="15">
        <f>Q49</f>
        <v>63.567999999999998</v>
      </c>
    </row>
    <row r="50" spans="1:29" x14ac:dyDescent="0.25">
      <c r="A50" t="s">
        <v>32</v>
      </c>
      <c r="C50" s="10"/>
      <c r="D50" s="10">
        <v>59.088000000000001</v>
      </c>
      <c r="E50" s="10">
        <f t="shared" si="33"/>
        <v>47.286999999999999</v>
      </c>
      <c r="F50" s="10">
        <f>48.421+90.862</f>
        <v>139.28299999999999</v>
      </c>
      <c r="G50" s="10"/>
      <c r="H50" s="10"/>
      <c r="I50" s="10">
        <f t="shared" si="34"/>
        <v>76.182999999999993</v>
      </c>
      <c r="J50" s="10">
        <f>51.035+14.23</f>
        <v>65.265000000000001</v>
      </c>
      <c r="K50" s="10">
        <f>54.369+13.081</f>
        <v>67.45</v>
      </c>
      <c r="L50" s="10">
        <f>57.447+19.877</f>
        <v>77.323999999999998</v>
      </c>
      <c r="M50" s="10">
        <f t="shared" si="35"/>
        <v>80.709000000000003</v>
      </c>
      <c r="N50" s="10">
        <f>74.428+27.715</f>
        <v>102.143</v>
      </c>
      <c r="O50" s="10">
        <f>78.13+46.286</f>
        <v>124.416</v>
      </c>
      <c r="P50" s="10">
        <f>79.668+53.695</f>
        <v>133.363</v>
      </c>
      <c r="Q50" s="62">
        <f>72.81+83.975</f>
        <v>156.785</v>
      </c>
      <c r="R50" s="15">
        <v>87.957999999999998</v>
      </c>
      <c r="X50" s="10"/>
      <c r="Y50" s="10"/>
      <c r="Z50" s="10">
        <v>47.286999999999999</v>
      </c>
      <c r="AA50" s="10">
        <f>49.272+26.911</f>
        <v>76.182999999999993</v>
      </c>
      <c r="AB50" s="10">
        <f>10.68+70.029</f>
        <v>80.709000000000003</v>
      </c>
      <c r="AC50" s="15">
        <f>Q50</f>
        <v>156.785</v>
      </c>
    </row>
    <row r="51" spans="1:29" x14ac:dyDescent="0.25">
      <c r="A51" s="1" t="s">
        <v>34</v>
      </c>
      <c r="B51" s="11"/>
      <c r="C51" s="11">
        <f t="shared" ref="C51:P51" si="52">SUM(C45:C50)</f>
        <v>269.97699999999998</v>
      </c>
      <c r="D51" s="11">
        <f t="shared" si="52"/>
        <v>571.92599999999993</v>
      </c>
      <c r="E51" s="11">
        <f t="shared" si="52"/>
        <v>742.54000000000008</v>
      </c>
      <c r="F51" s="11">
        <f t="shared" si="52"/>
        <v>2161.9209999999998</v>
      </c>
      <c r="G51" s="11">
        <f t="shared" si="52"/>
        <v>0</v>
      </c>
      <c r="H51" s="11">
        <f t="shared" si="52"/>
        <v>0</v>
      </c>
      <c r="I51" s="11">
        <f t="shared" si="52"/>
        <v>2390.5259999999998</v>
      </c>
      <c r="J51" s="11">
        <f t="shared" si="52"/>
        <v>2360.7149999999997</v>
      </c>
      <c r="K51" s="11">
        <f t="shared" si="52"/>
        <v>2389.8799999999997</v>
      </c>
      <c r="L51" s="11">
        <f t="shared" si="52"/>
        <v>2756.9370000000004</v>
      </c>
      <c r="M51" s="11">
        <f t="shared" si="52"/>
        <v>2717.4589999999998</v>
      </c>
      <c r="N51" s="11">
        <f t="shared" si="52"/>
        <v>2721.4939999999997</v>
      </c>
      <c r="O51" s="11">
        <f t="shared" si="52"/>
        <v>2587.7730000000001</v>
      </c>
      <c r="P51" s="11">
        <f t="shared" si="52"/>
        <v>3060.0939999999996</v>
      </c>
      <c r="Q51" s="64">
        <f>SUM(Q45:Q50)</f>
        <v>3104.5600000000004</v>
      </c>
      <c r="R51" s="14">
        <f t="shared" ref="R51" si="53">SUM(R45:R50)</f>
        <v>2969.674</v>
      </c>
      <c r="X51" s="11"/>
      <c r="Y51" s="11"/>
      <c r="Z51" s="11">
        <f t="shared" ref="Z51:AC51" si="54">SUM(Z45:Z50)</f>
        <v>742.54000000000008</v>
      </c>
      <c r="AA51" s="11">
        <f t="shared" si="54"/>
        <v>2390.5259999999998</v>
      </c>
      <c r="AB51" s="11">
        <f t="shared" si="54"/>
        <v>2717.4589999999998</v>
      </c>
      <c r="AC51" s="14">
        <f t="shared" si="54"/>
        <v>3104.5600000000004</v>
      </c>
    </row>
    <row r="52" spans="1:29" x14ac:dyDescent="0.25">
      <c r="B52" s="10">
        <f t="shared" ref="B52:O52" si="55">B40-B51</f>
        <v>0</v>
      </c>
      <c r="C52" s="10">
        <f t="shared" si="55"/>
        <v>2246.16</v>
      </c>
      <c r="D52" s="10">
        <f t="shared" si="55"/>
        <v>1994.7330000000006</v>
      </c>
      <c r="E52" s="10">
        <f t="shared" si="55"/>
        <v>2696.7889999999993</v>
      </c>
      <c r="F52" s="10">
        <f t="shared" si="55"/>
        <v>2321.2300000000009</v>
      </c>
      <c r="G52" s="10">
        <f t="shared" si="55"/>
        <v>0</v>
      </c>
      <c r="H52" s="10">
        <f t="shared" si="55"/>
        <v>0</v>
      </c>
      <c r="I52" s="10">
        <f t="shared" si="55"/>
        <v>1678.5279999999998</v>
      </c>
      <c r="J52" s="10">
        <f t="shared" si="55"/>
        <v>1385.6</v>
      </c>
      <c r="K52" s="10">
        <f t="shared" si="55"/>
        <v>1763.8840000000005</v>
      </c>
      <c r="L52" s="10">
        <f t="shared" si="55"/>
        <v>1435.1159999999995</v>
      </c>
      <c r="M52" s="10">
        <f t="shared" si="55"/>
        <v>1322.6929999999993</v>
      </c>
      <c r="N52" s="10">
        <f t="shared" si="55"/>
        <v>1017.7799999999997</v>
      </c>
      <c r="O52" s="10">
        <f t="shared" si="55"/>
        <v>1018.4909999999995</v>
      </c>
      <c r="P52" s="10">
        <f>P40-P51</f>
        <v>801.42200000000003</v>
      </c>
      <c r="Q52" s="62">
        <f>Q40-Q51</f>
        <v>840.30599999999959</v>
      </c>
      <c r="R52" s="15">
        <f>R40-R51</f>
        <v>830.97900000000027</v>
      </c>
      <c r="Z52" s="11"/>
      <c r="AA52" s="11"/>
      <c r="AB52" s="11"/>
    </row>
    <row r="54" spans="1:29" s="1" customFormat="1" x14ac:dyDescent="0.25">
      <c r="A54" s="1" t="s">
        <v>63</v>
      </c>
      <c r="Q54" s="68"/>
      <c r="R54" s="16"/>
      <c r="AC54" s="16"/>
    </row>
    <row r="55" spans="1:29" x14ac:dyDescent="0.25">
      <c r="A55" t="s">
        <v>50</v>
      </c>
    </row>
    <row r="56" spans="1:29" x14ac:dyDescent="0.25">
      <c r="A56" t="s">
        <v>24</v>
      </c>
    </row>
    <row r="57" spans="1:29" x14ac:dyDescent="0.25">
      <c r="A57" t="s">
        <v>51</v>
      </c>
    </row>
    <row r="58" spans="1:29" x14ac:dyDescent="0.25">
      <c r="A58" t="s">
        <v>52</v>
      </c>
    </row>
    <row r="59" spans="1:29" x14ac:dyDescent="0.25">
      <c r="A59" t="s">
        <v>27</v>
      </c>
    </row>
    <row r="60" spans="1:29" x14ac:dyDescent="0.25">
      <c r="A60" t="s">
        <v>26</v>
      </c>
    </row>
    <row r="61" spans="1:29" x14ac:dyDescent="0.25">
      <c r="A61" t="s">
        <v>53</v>
      </c>
    </row>
    <row r="62" spans="1:29" x14ac:dyDescent="0.25">
      <c r="A62" t="s">
        <v>35</v>
      </c>
    </row>
    <row r="63" spans="1:29" x14ac:dyDescent="0.25">
      <c r="A63" t="s">
        <v>54</v>
      </c>
    </row>
    <row r="64" spans="1:29" x14ac:dyDescent="0.25">
      <c r="A64" t="s">
        <v>55</v>
      </c>
    </row>
    <row r="65" spans="1:29" x14ac:dyDescent="0.25">
      <c r="A65" t="s">
        <v>56</v>
      </c>
    </row>
    <row r="66" spans="1:29" x14ac:dyDescent="0.25">
      <c r="A66" t="s">
        <v>27</v>
      </c>
    </row>
    <row r="67" spans="1:29" x14ac:dyDescent="0.25">
      <c r="A67" t="s">
        <v>57</v>
      </c>
    </row>
    <row r="68" spans="1:29" x14ac:dyDescent="0.25">
      <c r="A68" t="s">
        <v>58</v>
      </c>
    </row>
    <row r="69" spans="1:29" x14ac:dyDescent="0.25">
      <c r="A69" t="s">
        <v>59</v>
      </c>
    </row>
    <row r="70" spans="1:29" x14ac:dyDescent="0.25">
      <c r="A70" t="s">
        <v>27</v>
      </c>
    </row>
    <row r="71" spans="1:29" x14ac:dyDescent="0.25">
      <c r="A71" t="s">
        <v>60</v>
      </c>
    </row>
    <row r="72" spans="1:29" s="9" customFormat="1" x14ac:dyDescent="0.25">
      <c r="A72" s="9" t="s">
        <v>61</v>
      </c>
      <c r="Q72" s="69"/>
      <c r="R72" s="48"/>
      <c r="AC72" s="48"/>
    </row>
    <row r="73" spans="1:29" s="1" customFormat="1" x14ac:dyDescent="0.25">
      <c r="A73" s="1" t="s">
        <v>62</v>
      </c>
      <c r="Q73" s="68"/>
      <c r="R73" s="16"/>
      <c r="AC73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W20" sqref="W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1147"/>
  <sheetViews>
    <sheetView workbookViewId="0">
      <selection activeCell="H11" sqref="H11"/>
    </sheetView>
  </sheetViews>
  <sheetFormatPr defaultRowHeight="15" x14ac:dyDescent="0.25"/>
  <cols>
    <col min="1" max="1" width="11.7109375" customWidth="1"/>
    <col min="2" max="2" width="6.8554687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78</v>
      </c>
      <c r="B1" s="17" t="s">
        <v>79</v>
      </c>
    </row>
    <row r="2" spans="1:12" x14ac:dyDescent="0.25">
      <c r="A2" s="12">
        <v>45411</v>
      </c>
      <c r="B2" s="18">
        <v>43.029998999999997</v>
      </c>
      <c r="D2" t="s">
        <v>78</v>
      </c>
      <c r="E2" t="s">
        <v>80</v>
      </c>
      <c r="L2" t="s">
        <v>81</v>
      </c>
    </row>
    <row r="3" spans="1:12" x14ac:dyDescent="0.25">
      <c r="A3" s="12">
        <v>45404</v>
      </c>
      <c r="B3" s="18">
        <v>43.130001</v>
      </c>
      <c r="D3" s="12">
        <v>45328</v>
      </c>
      <c r="E3" t="s">
        <v>84</v>
      </c>
      <c r="L3" s="12"/>
    </row>
    <row r="4" spans="1:12" x14ac:dyDescent="0.25">
      <c r="A4" s="12">
        <v>45397</v>
      </c>
      <c r="B4" s="18">
        <v>40.68</v>
      </c>
      <c r="D4" s="12">
        <v>45302</v>
      </c>
      <c r="E4" t="s">
        <v>84</v>
      </c>
      <c r="L4" s="12"/>
    </row>
    <row r="5" spans="1:12" x14ac:dyDescent="0.25">
      <c r="A5" s="12">
        <v>45390</v>
      </c>
      <c r="B5" s="18">
        <v>44.220001000000003</v>
      </c>
      <c r="L5" s="12"/>
    </row>
    <row r="6" spans="1:12" x14ac:dyDescent="0.25">
      <c r="A6" s="12">
        <v>45383</v>
      </c>
      <c r="B6" s="18">
        <v>47.200001</v>
      </c>
      <c r="L6" s="12"/>
    </row>
    <row r="7" spans="1:12" x14ac:dyDescent="0.25">
      <c r="A7" s="12">
        <v>45376</v>
      </c>
      <c r="B7" s="18">
        <v>45.41</v>
      </c>
      <c r="L7" s="12"/>
    </row>
    <row r="8" spans="1:12" x14ac:dyDescent="0.25">
      <c r="A8" s="12">
        <v>45369</v>
      </c>
      <c r="B8" s="18">
        <v>47.200001</v>
      </c>
      <c r="L8" s="12"/>
    </row>
    <row r="9" spans="1:12" x14ac:dyDescent="0.25">
      <c r="A9" s="12">
        <v>45362</v>
      </c>
      <c r="B9" s="18">
        <v>41.779998999999997</v>
      </c>
      <c r="L9" s="12"/>
    </row>
    <row r="10" spans="1:12" x14ac:dyDescent="0.25">
      <c r="A10" s="12">
        <v>45355</v>
      </c>
      <c r="B10" s="18">
        <v>41.740001999999997</v>
      </c>
      <c r="L10" s="12"/>
    </row>
    <row r="11" spans="1:12" x14ac:dyDescent="0.25">
      <c r="A11" s="12">
        <v>45348</v>
      </c>
      <c r="B11" s="18">
        <v>43.529998999999997</v>
      </c>
      <c r="L11" s="12"/>
    </row>
    <row r="12" spans="1:12" x14ac:dyDescent="0.25">
      <c r="A12" s="12">
        <v>45341</v>
      </c>
      <c r="B12" s="18">
        <v>41.279998999999997</v>
      </c>
      <c r="L12" s="12"/>
    </row>
    <row r="13" spans="1:12" x14ac:dyDescent="0.25">
      <c r="A13" s="12">
        <v>45334</v>
      </c>
      <c r="B13" s="18">
        <v>44.57</v>
      </c>
    </row>
    <row r="14" spans="1:12" x14ac:dyDescent="0.25">
      <c r="A14" s="12">
        <v>45327</v>
      </c>
      <c r="B14" s="18">
        <v>43.380001</v>
      </c>
    </row>
    <row r="15" spans="1:12" x14ac:dyDescent="0.25">
      <c r="A15" s="12">
        <v>45320</v>
      </c>
      <c r="B15" s="18">
        <v>41.59</v>
      </c>
    </row>
    <row r="16" spans="1:12" x14ac:dyDescent="0.25">
      <c r="A16" s="12">
        <v>45313</v>
      </c>
      <c r="B16" s="18">
        <v>38.479999999999997</v>
      </c>
    </row>
    <row r="17" spans="1:2" x14ac:dyDescent="0.25">
      <c r="A17" s="12">
        <v>45306</v>
      </c>
      <c r="B17" s="18">
        <v>37.619999</v>
      </c>
    </row>
    <row r="18" spans="1:2" x14ac:dyDescent="0.25">
      <c r="A18" s="12">
        <v>45299</v>
      </c>
      <c r="B18" s="18">
        <v>32.950001</v>
      </c>
    </row>
    <row r="19" spans="1:2" x14ac:dyDescent="0.25">
      <c r="A19" s="12">
        <v>45292</v>
      </c>
      <c r="B19" s="18">
        <v>33.18</v>
      </c>
    </row>
    <row r="20" spans="1:2" x14ac:dyDescent="0.25">
      <c r="A20" s="12">
        <v>45285</v>
      </c>
      <c r="B20" s="18">
        <v>35.25</v>
      </c>
    </row>
    <row r="21" spans="1:2" x14ac:dyDescent="0.25">
      <c r="A21" s="12">
        <v>45278</v>
      </c>
      <c r="B21" s="18">
        <v>35.720001000000003</v>
      </c>
    </row>
    <row r="22" spans="1:2" x14ac:dyDescent="0.25">
      <c r="A22" s="12">
        <v>45271</v>
      </c>
      <c r="B22" s="18">
        <v>35.349997999999999</v>
      </c>
    </row>
    <row r="23" spans="1:2" x14ac:dyDescent="0.25">
      <c r="A23" s="12">
        <v>45264</v>
      </c>
      <c r="B23" s="18">
        <v>35.900002000000001</v>
      </c>
    </row>
    <row r="24" spans="1:2" x14ac:dyDescent="0.25">
      <c r="A24" s="12">
        <v>45257</v>
      </c>
      <c r="B24" s="18">
        <v>39</v>
      </c>
    </row>
    <row r="25" spans="1:2" x14ac:dyDescent="0.25">
      <c r="A25" s="12">
        <v>45250</v>
      </c>
      <c r="B25" s="18">
        <v>38.700001</v>
      </c>
    </row>
    <row r="26" spans="1:2" x14ac:dyDescent="0.25">
      <c r="A26" s="12">
        <v>45243</v>
      </c>
      <c r="B26" s="18">
        <v>38.369999</v>
      </c>
    </row>
    <row r="27" spans="1:2" x14ac:dyDescent="0.25">
      <c r="A27" s="12">
        <v>45236</v>
      </c>
      <c r="B27" s="18">
        <v>35.029998999999997</v>
      </c>
    </row>
    <row r="28" spans="1:2" x14ac:dyDescent="0.25">
      <c r="A28" s="12">
        <v>45229</v>
      </c>
      <c r="B28" s="18">
        <v>33.75</v>
      </c>
    </row>
    <row r="29" spans="1:2" x14ac:dyDescent="0.25">
      <c r="A29" s="12">
        <v>45222</v>
      </c>
      <c r="B29" s="18">
        <v>26.639999</v>
      </c>
    </row>
    <row r="30" spans="1:2" x14ac:dyDescent="0.25">
      <c r="A30" s="12">
        <v>45215</v>
      </c>
      <c r="B30" s="18">
        <v>27.07</v>
      </c>
    </row>
    <row r="31" spans="1:2" x14ac:dyDescent="0.25">
      <c r="A31" s="12">
        <v>45208</v>
      </c>
      <c r="B31" s="18">
        <v>28.549999</v>
      </c>
    </row>
    <row r="32" spans="1:2" x14ac:dyDescent="0.25">
      <c r="A32" s="12">
        <v>45201</v>
      </c>
      <c r="B32" s="18">
        <v>29.639999</v>
      </c>
    </row>
    <row r="33" spans="1:2" x14ac:dyDescent="0.25">
      <c r="A33" s="12">
        <v>45194</v>
      </c>
      <c r="B33" s="18">
        <v>29.440000999999999</v>
      </c>
    </row>
    <row r="34" spans="1:2" x14ac:dyDescent="0.25">
      <c r="A34" s="12">
        <v>45187</v>
      </c>
      <c r="B34" s="18">
        <v>27.76</v>
      </c>
    </row>
    <row r="35" spans="1:2" x14ac:dyDescent="0.25">
      <c r="A35" s="12">
        <v>45180</v>
      </c>
      <c r="B35" s="18">
        <v>31.040001</v>
      </c>
    </row>
    <row r="36" spans="1:2" x14ac:dyDescent="0.25">
      <c r="A36" s="12">
        <v>45173</v>
      </c>
      <c r="B36" s="18">
        <v>31.85</v>
      </c>
    </row>
    <row r="37" spans="1:2" x14ac:dyDescent="0.25">
      <c r="A37" s="12">
        <v>45166</v>
      </c>
      <c r="B37" s="18">
        <v>29.639999</v>
      </c>
    </row>
    <row r="38" spans="1:2" x14ac:dyDescent="0.25">
      <c r="A38" s="12">
        <v>45159</v>
      </c>
      <c r="B38" s="18">
        <v>28.15</v>
      </c>
    </row>
    <row r="39" spans="1:2" x14ac:dyDescent="0.25">
      <c r="A39" s="12">
        <v>45152</v>
      </c>
      <c r="B39" s="18">
        <v>26.57</v>
      </c>
    </row>
    <row r="40" spans="1:2" x14ac:dyDescent="0.25">
      <c r="A40" s="12">
        <v>45145</v>
      </c>
      <c r="B40" s="18">
        <v>29.389999</v>
      </c>
    </row>
    <row r="41" spans="1:2" x14ac:dyDescent="0.25">
      <c r="A41" s="12">
        <v>45138</v>
      </c>
      <c r="B41" s="18">
        <v>31.74</v>
      </c>
    </row>
    <row r="42" spans="1:2" x14ac:dyDescent="0.25">
      <c r="A42" s="12">
        <v>45131</v>
      </c>
      <c r="B42" s="18">
        <v>32.380001</v>
      </c>
    </row>
    <row r="43" spans="1:2" x14ac:dyDescent="0.25">
      <c r="A43" s="12">
        <v>45124</v>
      </c>
      <c r="B43" s="18">
        <v>31.08</v>
      </c>
    </row>
    <row r="44" spans="1:2" x14ac:dyDescent="0.25">
      <c r="A44" s="12">
        <v>45117</v>
      </c>
      <c r="B44" s="18">
        <v>30.549999</v>
      </c>
    </row>
    <row r="45" spans="1:2" x14ac:dyDescent="0.25">
      <c r="A45" s="12">
        <v>45110</v>
      </c>
      <c r="B45" s="18">
        <v>26.65</v>
      </c>
    </row>
    <row r="46" spans="1:2" x14ac:dyDescent="0.25">
      <c r="A46" s="12">
        <v>45103</v>
      </c>
      <c r="B46" s="18">
        <v>26.57</v>
      </c>
    </row>
    <row r="47" spans="1:2" x14ac:dyDescent="0.25">
      <c r="A47" s="12">
        <v>45096</v>
      </c>
      <c r="B47" s="18">
        <v>25.030000999999999</v>
      </c>
    </row>
    <row r="48" spans="1:2" x14ac:dyDescent="0.25">
      <c r="A48" s="12">
        <v>45089</v>
      </c>
      <c r="B48" s="18">
        <v>24.51</v>
      </c>
    </row>
    <row r="49" spans="1:2" x14ac:dyDescent="0.25">
      <c r="A49" s="12">
        <v>45082</v>
      </c>
      <c r="B49" s="18">
        <v>24.940000999999999</v>
      </c>
    </row>
    <row r="50" spans="1:2" x14ac:dyDescent="0.25">
      <c r="A50" s="12">
        <v>45075</v>
      </c>
      <c r="B50" s="18">
        <v>24.92</v>
      </c>
    </row>
    <row r="51" spans="1:2" x14ac:dyDescent="0.25">
      <c r="A51" s="12">
        <v>45068</v>
      </c>
      <c r="B51" s="18">
        <v>23.379999000000002</v>
      </c>
    </row>
    <row r="52" spans="1:2" x14ac:dyDescent="0.25">
      <c r="A52" s="12">
        <v>45061</v>
      </c>
      <c r="B52" s="18">
        <v>24.110001</v>
      </c>
    </row>
    <row r="53" spans="1:2" x14ac:dyDescent="0.25">
      <c r="A53" s="12">
        <v>45054</v>
      </c>
      <c r="B53" s="18">
        <v>23.530000999999999</v>
      </c>
    </row>
    <row r="54" spans="1:2" x14ac:dyDescent="0.25">
      <c r="A54" s="12">
        <v>45047</v>
      </c>
      <c r="B54" s="18">
        <v>24.58</v>
      </c>
    </row>
    <row r="55" spans="1:2" x14ac:dyDescent="0.25">
      <c r="A55" s="12">
        <v>45040</v>
      </c>
      <c r="B55" s="18">
        <v>21.91</v>
      </c>
    </row>
    <row r="56" spans="1:2" x14ac:dyDescent="0.25">
      <c r="A56" s="12">
        <v>45033</v>
      </c>
      <c r="B56" s="18">
        <v>21.969999000000001</v>
      </c>
    </row>
    <row r="57" spans="1:2" x14ac:dyDescent="0.25">
      <c r="A57" s="12">
        <v>45026</v>
      </c>
      <c r="B57" s="18">
        <v>19.16</v>
      </c>
    </row>
    <row r="58" spans="1:2" x14ac:dyDescent="0.25">
      <c r="A58" s="12">
        <v>45019</v>
      </c>
      <c r="B58" s="18">
        <v>18.16</v>
      </c>
    </row>
    <row r="59" spans="1:2" x14ac:dyDescent="0.25">
      <c r="A59" s="12">
        <v>45012</v>
      </c>
      <c r="B59" s="18">
        <v>19.360001</v>
      </c>
    </row>
    <row r="60" spans="1:2" x14ac:dyDescent="0.25">
      <c r="A60" s="12">
        <v>45005</v>
      </c>
      <c r="B60" s="18">
        <v>17.73</v>
      </c>
    </row>
    <row r="61" spans="1:2" x14ac:dyDescent="0.25">
      <c r="A61" s="12">
        <v>44998</v>
      </c>
      <c r="B61" s="18">
        <v>17.870000999999998</v>
      </c>
    </row>
    <row r="62" spans="1:2" x14ac:dyDescent="0.25">
      <c r="A62" s="12">
        <v>44991</v>
      </c>
      <c r="B62" s="18">
        <v>18.549999</v>
      </c>
    </row>
    <row r="63" spans="1:2" x14ac:dyDescent="0.25">
      <c r="A63" s="12">
        <v>44984</v>
      </c>
      <c r="B63" s="18">
        <v>19.040001</v>
      </c>
    </row>
    <row r="64" spans="1:2" x14ac:dyDescent="0.25">
      <c r="A64" s="12">
        <v>44977</v>
      </c>
      <c r="B64" s="18">
        <v>18.190000999999999</v>
      </c>
    </row>
    <row r="65" spans="1:2" x14ac:dyDescent="0.25">
      <c r="A65" s="12">
        <v>44970</v>
      </c>
      <c r="B65" s="18">
        <v>20.540001</v>
      </c>
    </row>
    <row r="66" spans="1:2" x14ac:dyDescent="0.25">
      <c r="A66" s="12">
        <v>44963</v>
      </c>
      <c r="B66" s="18">
        <v>15.99</v>
      </c>
    </row>
    <row r="67" spans="1:2" x14ac:dyDescent="0.25">
      <c r="A67" s="12">
        <v>44956</v>
      </c>
      <c r="B67" s="18">
        <v>16.870000999999998</v>
      </c>
    </row>
    <row r="68" spans="1:2" x14ac:dyDescent="0.25">
      <c r="A68" s="12">
        <v>44949</v>
      </c>
      <c r="B68" s="18">
        <v>15.04</v>
      </c>
    </row>
    <row r="69" spans="1:2" x14ac:dyDescent="0.25">
      <c r="A69" s="12">
        <v>44942</v>
      </c>
      <c r="B69" s="18">
        <v>13.88</v>
      </c>
    </row>
    <row r="70" spans="1:2" x14ac:dyDescent="0.25">
      <c r="A70" s="12">
        <v>44935</v>
      </c>
      <c r="B70" s="18">
        <v>14.11</v>
      </c>
    </row>
    <row r="71" spans="1:2" x14ac:dyDescent="0.25">
      <c r="A71" s="12">
        <v>44928</v>
      </c>
      <c r="B71" s="18">
        <v>11.63</v>
      </c>
    </row>
    <row r="72" spans="1:2" x14ac:dyDescent="0.25">
      <c r="A72" s="12">
        <v>44921</v>
      </c>
      <c r="B72" s="18">
        <v>11.39</v>
      </c>
    </row>
    <row r="73" spans="1:2" x14ac:dyDescent="0.25">
      <c r="A73" s="12">
        <v>44914</v>
      </c>
      <c r="B73" s="18">
        <v>11.53</v>
      </c>
    </row>
    <row r="74" spans="1:2" x14ac:dyDescent="0.25">
      <c r="A74" s="12">
        <v>44907</v>
      </c>
      <c r="B74" s="18">
        <v>12.12</v>
      </c>
    </row>
    <row r="75" spans="1:2" x14ac:dyDescent="0.25">
      <c r="A75" s="12">
        <v>44900</v>
      </c>
      <c r="B75" s="18">
        <v>13.96</v>
      </c>
    </row>
    <row r="76" spans="1:2" x14ac:dyDescent="0.25">
      <c r="A76" s="12">
        <v>44893</v>
      </c>
      <c r="B76" s="18">
        <v>15.49</v>
      </c>
    </row>
    <row r="77" spans="1:2" x14ac:dyDescent="0.25">
      <c r="A77" s="12">
        <v>44886</v>
      </c>
      <c r="B77" s="18">
        <v>15.14</v>
      </c>
    </row>
    <row r="78" spans="1:2" x14ac:dyDescent="0.25">
      <c r="A78" s="12">
        <v>44879</v>
      </c>
      <c r="B78" s="18">
        <v>15.05</v>
      </c>
    </row>
    <row r="79" spans="1:2" x14ac:dyDescent="0.25">
      <c r="A79" s="12">
        <v>44872</v>
      </c>
      <c r="B79" s="18">
        <v>14.88</v>
      </c>
    </row>
    <row r="80" spans="1:2" x14ac:dyDescent="0.25">
      <c r="A80" s="12">
        <v>44865</v>
      </c>
      <c r="B80" s="18">
        <v>11.31</v>
      </c>
    </row>
    <row r="81" spans="1:2" x14ac:dyDescent="0.25">
      <c r="A81" s="12">
        <v>44858</v>
      </c>
      <c r="B81" s="18">
        <v>15.12</v>
      </c>
    </row>
    <row r="82" spans="1:2" x14ac:dyDescent="0.25">
      <c r="A82" s="12">
        <v>44851</v>
      </c>
      <c r="B82" s="18">
        <v>13.21</v>
      </c>
    </row>
    <row r="83" spans="1:2" x14ac:dyDescent="0.25">
      <c r="A83" s="12">
        <v>44844</v>
      </c>
      <c r="B83" s="18">
        <v>12.48</v>
      </c>
    </row>
    <row r="84" spans="1:2" x14ac:dyDescent="0.25">
      <c r="A84" s="12">
        <v>44837</v>
      </c>
      <c r="B84" s="18">
        <v>16.57</v>
      </c>
    </row>
    <row r="85" spans="1:2" x14ac:dyDescent="0.25">
      <c r="A85" s="12">
        <v>44830</v>
      </c>
      <c r="B85" s="18">
        <v>15.14</v>
      </c>
    </row>
    <row r="86" spans="1:2" x14ac:dyDescent="0.25">
      <c r="A86" s="12">
        <v>44823</v>
      </c>
      <c r="B86" s="18">
        <v>14.98</v>
      </c>
    </row>
    <row r="87" spans="1:2" x14ac:dyDescent="0.25">
      <c r="A87" s="12">
        <v>44816</v>
      </c>
      <c r="B87" s="18">
        <v>18.600000000000001</v>
      </c>
    </row>
    <row r="88" spans="1:2" x14ac:dyDescent="0.25">
      <c r="A88" s="12">
        <v>44809</v>
      </c>
      <c r="B88" s="18">
        <v>17.629999000000002</v>
      </c>
    </row>
    <row r="89" spans="1:2" x14ac:dyDescent="0.25">
      <c r="A89" s="12">
        <v>44802</v>
      </c>
      <c r="B89" s="18">
        <v>15.49</v>
      </c>
    </row>
    <row r="90" spans="1:2" x14ac:dyDescent="0.25">
      <c r="A90" s="12">
        <v>44795</v>
      </c>
      <c r="B90" s="18">
        <v>16.530000999999999</v>
      </c>
    </row>
    <row r="91" spans="1:2" x14ac:dyDescent="0.25">
      <c r="A91" s="12">
        <v>44788</v>
      </c>
      <c r="B91" s="18">
        <v>18.139999</v>
      </c>
    </row>
    <row r="92" spans="1:2" x14ac:dyDescent="0.25">
      <c r="A92" s="12">
        <v>44781</v>
      </c>
      <c r="B92" s="18">
        <v>20.67</v>
      </c>
    </row>
    <row r="93" spans="1:2" x14ac:dyDescent="0.25">
      <c r="A93" s="12">
        <v>44774</v>
      </c>
      <c r="B93" s="18">
        <v>17.959999</v>
      </c>
    </row>
    <row r="94" spans="1:2" x14ac:dyDescent="0.25">
      <c r="A94" s="12">
        <v>44767</v>
      </c>
      <c r="B94" s="18">
        <v>13.73</v>
      </c>
    </row>
    <row r="95" spans="1:2" x14ac:dyDescent="0.25">
      <c r="A95" s="12">
        <v>44760</v>
      </c>
      <c r="B95" s="18">
        <v>13.53</v>
      </c>
    </row>
    <row r="96" spans="1:2" x14ac:dyDescent="0.25">
      <c r="A96" s="12">
        <v>44753</v>
      </c>
      <c r="B96" s="18">
        <v>12.86</v>
      </c>
    </row>
    <row r="97" spans="1:2" x14ac:dyDescent="0.25">
      <c r="A97" s="12">
        <v>44746</v>
      </c>
      <c r="B97" s="18">
        <v>12.74</v>
      </c>
    </row>
    <row r="98" spans="1:2" x14ac:dyDescent="0.25">
      <c r="A98" s="12">
        <v>44739</v>
      </c>
      <c r="B98" s="18">
        <v>11.77</v>
      </c>
    </row>
    <row r="99" spans="1:2" x14ac:dyDescent="0.25">
      <c r="A99" s="12">
        <v>44732</v>
      </c>
      <c r="B99" s="18">
        <v>14.15</v>
      </c>
    </row>
    <row r="100" spans="1:2" x14ac:dyDescent="0.25">
      <c r="A100" s="12">
        <v>44725</v>
      </c>
      <c r="B100" s="18">
        <v>11.42</v>
      </c>
    </row>
    <row r="101" spans="1:2" x14ac:dyDescent="0.25">
      <c r="A101" s="12">
        <v>44718</v>
      </c>
      <c r="B101" s="18">
        <v>13.1</v>
      </c>
    </row>
    <row r="102" spans="1:2" x14ac:dyDescent="0.25">
      <c r="A102" s="12">
        <v>44711</v>
      </c>
      <c r="B102" s="18">
        <v>12.72</v>
      </c>
    </row>
    <row r="103" spans="1:2" x14ac:dyDescent="0.25">
      <c r="A103" s="12">
        <v>44704</v>
      </c>
      <c r="B103" s="18">
        <v>14.72</v>
      </c>
    </row>
    <row r="104" spans="1:2" x14ac:dyDescent="0.25">
      <c r="A104" s="12">
        <v>44697</v>
      </c>
      <c r="B104" s="18">
        <v>14.03</v>
      </c>
    </row>
    <row r="105" spans="1:2" x14ac:dyDescent="0.25">
      <c r="A105" s="12">
        <v>44690</v>
      </c>
      <c r="B105" s="18">
        <v>12.61</v>
      </c>
    </row>
    <row r="106" spans="1:2" x14ac:dyDescent="0.25">
      <c r="A106" s="12">
        <v>44683</v>
      </c>
      <c r="B106" s="18">
        <v>13.15</v>
      </c>
    </row>
    <row r="107" spans="1:2" x14ac:dyDescent="0.25">
      <c r="A107" s="12">
        <v>44676</v>
      </c>
      <c r="B107" s="18">
        <v>13.68</v>
      </c>
    </row>
    <row r="108" spans="1:2" x14ac:dyDescent="0.25">
      <c r="A108" s="12">
        <v>44669</v>
      </c>
      <c r="B108" s="18">
        <v>14.03</v>
      </c>
    </row>
    <row r="109" spans="1:2" x14ac:dyDescent="0.25">
      <c r="A109" s="12">
        <v>44662</v>
      </c>
      <c r="B109" s="18">
        <v>16.489999999999998</v>
      </c>
    </row>
    <row r="110" spans="1:2" x14ac:dyDescent="0.25">
      <c r="A110" s="12">
        <v>44655</v>
      </c>
      <c r="B110" s="18">
        <v>16.379999000000002</v>
      </c>
    </row>
    <row r="111" spans="1:2" x14ac:dyDescent="0.25">
      <c r="A111" s="12">
        <v>44648</v>
      </c>
      <c r="B111" s="18">
        <v>19.049999</v>
      </c>
    </row>
    <row r="112" spans="1:2" x14ac:dyDescent="0.25">
      <c r="A112" s="12">
        <v>44641</v>
      </c>
      <c r="B112" s="18">
        <v>18.200001</v>
      </c>
    </row>
    <row r="113" spans="1:2" x14ac:dyDescent="0.25">
      <c r="A113" s="12">
        <v>44634</v>
      </c>
      <c r="B113" s="18">
        <v>19.620000999999998</v>
      </c>
    </row>
    <row r="114" spans="1:2" x14ac:dyDescent="0.25">
      <c r="A114" s="12">
        <v>44627</v>
      </c>
      <c r="B114" s="18">
        <v>16.110001</v>
      </c>
    </row>
    <row r="115" spans="1:2" x14ac:dyDescent="0.25">
      <c r="A115" s="12">
        <v>44620</v>
      </c>
      <c r="B115" s="18">
        <v>20.690000999999999</v>
      </c>
    </row>
    <row r="116" spans="1:2" x14ac:dyDescent="0.25">
      <c r="A116" s="12">
        <v>44613</v>
      </c>
      <c r="B116" s="18">
        <v>22.200001</v>
      </c>
    </row>
    <row r="117" spans="1:2" x14ac:dyDescent="0.25">
      <c r="A117" s="12">
        <v>44606</v>
      </c>
      <c r="B117" s="18">
        <v>17.290001</v>
      </c>
    </row>
    <row r="118" spans="1:2" x14ac:dyDescent="0.25">
      <c r="A118" s="12">
        <v>44599</v>
      </c>
      <c r="B118" s="18">
        <v>23.33</v>
      </c>
    </row>
    <row r="119" spans="1:2" x14ac:dyDescent="0.25">
      <c r="A119" s="12">
        <v>44592</v>
      </c>
      <c r="B119" s="18">
        <v>21.889999</v>
      </c>
    </row>
    <row r="120" spans="1:2" x14ac:dyDescent="0.25">
      <c r="A120" s="12">
        <v>44585</v>
      </c>
      <c r="B120" s="18">
        <v>20.639999</v>
      </c>
    </row>
    <row r="121" spans="1:2" x14ac:dyDescent="0.25">
      <c r="A121" s="12">
        <v>44578</v>
      </c>
      <c r="B121" s="18">
        <v>19.459999</v>
      </c>
    </row>
    <row r="122" spans="1:2" x14ac:dyDescent="0.25">
      <c r="A122" s="12">
        <v>44571</v>
      </c>
      <c r="B122" s="18">
        <v>23.190000999999999</v>
      </c>
    </row>
    <row r="123" spans="1:2" x14ac:dyDescent="0.25">
      <c r="A123" s="12">
        <v>44564</v>
      </c>
      <c r="B123" s="18">
        <v>27.24</v>
      </c>
    </row>
    <row r="124" spans="1:2" x14ac:dyDescent="0.25">
      <c r="A124" s="12">
        <v>44557</v>
      </c>
      <c r="B124" s="18">
        <v>27.469999000000001</v>
      </c>
    </row>
    <row r="125" spans="1:2" x14ac:dyDescent="0.25">
      <c r="A125" s="12">
        <v>44550</v>
      </c>
      <c r="B125" s="18">
        <v>29.440000999999999</v>
      </c>
    </row>
    <row r="126" spans="1:2" x14ac:dyDescent="0.25">
      <c r="A126" s="12">
        <v>44543</v>
      </c>
      <c r="B126" s="18">
        <v>28.67</v>
      </c>
    </row>
    <row r="127" spans="1:2" x14ac:dyDescent="0.25">
      <c r="A127" s="12">
        <v>44536</v>
      </c>
      <c r="B127" s="18">
        <v>30.41</v>
      </c>
    </row>
    <row r="128" spans="1:2" x14ac:dyDescent="0.25">
      <c r="A128" s="12">
        <v>44529</v>
      </c>
      <c r="B128" s="18">
        <v>28.370000999999998</v>
      </c>
    </row>
    <row r="129" spans="1:2" x14ac:dyDescent="0.25">
      <c r="A129" s="12">
        <v>44522</v>
      </c>
      <c r="B129" s="18">
        <v>36.040000999999997</v>
      </c>
    </row>
    <row r="130" spans="1:2" x14ac:dyDescent="0.25">
      <c r="A130" s="12">
        <v>44515</v>
      </c>
      <c r="B130" s="18">
        <v>36.139999000000003</v>
      </c>
    </row>
    <row r="131" spans="1:2" x14ac:dyDescent="0.25">
      <c r="A131" s="12">
        <v>44508</v>
      </c>
      <c r="B131" s="18">
        <v>40.509998000000003</v>
      </c>
    </row>
    <row r="132" spans="1:2" x14ac:dyDescent="0.25">
      <c r="A132" s="12">
        <v>44501</v>
      </c>
      <c r="B132" s="18">
        <v>43.619999</v>
      </c>
    </row>
    <row r="133" spans="1:2" x14ac:dyDescent="0.25">
      <c r="A133" s="12">
        <v>44494</v>
      </c>
      <c r="B133" s="18">
        <v>46.59</v>
      </c>
    </row>
    <row r="134" spans="1:2" x14ac:dyDescent="0.25">
      <c r="A134" s="12">
        <v>44487</v>
      </c>
      <c r="B134" s="18">
        <v>46.110000999999997</v>
      </c>
    </row>
    <row r="135" spans="1:2" x14ac:dyDescent="0.25">
      <c r="A135" s="12">
        <v>44480</v>
      </c>
      <c r="B135" s="18">
        <v>48.080002</v>
      </c>
    </row>
    <row r="136" spans="1:2" x14ac:dyDescent="0.25">
      <c r="A136" s="12">
        <v>44473</v>
      </c>
      <c r="B136" s="18">
        <v>47.91</v>
      </c>
    </row>
    <row r="137" spans="1:2" x14ac:dyDescent="0.25">
      <c r="A137" s="12">
        <v>44466</v>
      </c>
      <c r="B137" s="18">
        <v>50.560001</v>
      </c>
    </row>
    <row r="138" spans="1:2" x14ac:dyDescent="0.25">
      <c r="A138" s="12">
        <v>44459</v>
      </c>
      <c r="B138" s="18">
        <v>51.330002</v>
      </c>
    </row>
    <row r="139" spans="1:2" x14ac:dyDescent="0.25">
      <c r="A139" s="12">
        <v>44452</v>
      </c>
      <c r="B139" s="18">
        <v>60.419998</v>
      </c>
    </row>
    <row r="140" spans="1:2" x14ac:dyDescent="0.25">
      <c r="A140" s="12">
        <v>44445</v>
      </c>
      <c r="B140" s="18">
        <v>62.459999000000003</v>
      </c>
    </row>
    <row r="141" spans="1:2" x14ac:dyDescent="0.25">
      <c r="A141" s="12">
        <v>44438</v>
      </c>
      <c r="B141" s="18">
        <v>61.02</v>
      </c>
    </row>
    <row r="142" spans="1:2" x14ac:dyDescent="0.25">
      <c r="A142" s="12">
        <v>44431</v>
      </c>
      <c r="B142" s="18">
        <v>60.009998000000003</v>
      </c>
    </row>
    <row r="143" spans="1:2" x14ac:dyDescent="0.25">
      <c r="A143" s="12">
        <v>44424</v>
      </c>
      <c r="B143" s="18">
        <v>52.009998000000003</v>
      </c>
    </row>
    <row r="144" spans="1:2" x14ac:dyDescent="0.25">
      <c r="A144" s="12">
        <v>44417</v>
      </c>
      <c r="B144" s="18">
        <v>53.5</v>
      </c>
    </row>
    <row r="145" spans="1:2" x14ac:dyDescent="0.25">
      <c r="A145" s="12">
        <v>44410</v>
      </c>
      <c r="B145" s="18">
        <v>51.59</v>
      </c>
    </row>
    <row r="146" spans="1:2" x14ac:dyDescent="0.25">
      <c r="A146" s="12">
        <v>44403</v>
      </c>
      <c r="B146" s="18">
        <v>48.5</v>
      </c>
    </row>
    <row r="147" spans="1:2" x14ac:dyDescent="0.25">
      <c r="A147" s="12">
        <v>44396</v>
      </c>
      <c r="B147" s="18">
        <v>49.330002</v>
      </c>
    </row>
    <row r="148" spans="1:2" x14ac:dyDescent="0.25">
      <c r="A148" s="12">
        <v>44389</v>
      </c>
      <c r="B148" s="18">
        <v>43.790000999999997</v>
      </c>
    </row>
    <row r="149" spans="1:2" x14ac:dyDescent="0.25">
      <c r="A149" s="12">
        <v>44382</v>
      </c>
      <c r="B149" s="18">
        <v>49.09</v>
      </c>
    </row>
    <row r="150" spans="1:2" x14ac:dyDescent="0.25">
      <c r="A150" s="12">
        <v>44375</v>
      </c>
      <c r="B150" s="18">
        <v>51.279998999999997</v>
      </c>
    </row>
    <row r="151" spans="1:2" x14ac:dyDescent="0.25">
      <c r="A151" s="12">
        <v>44368</v>
      </c>
      <c r="B151" s="18">
        <v>51.669998</v>
      </c>
    </row>
    <row r="152" spans="1:2" x14ac:dyDescent="0.25">
      <c r="A152" s="12">
        <v>44361</v>
      </c>
      <c r="B152" s="18">
        <v>48.060001</v>
      </c>
    </row>
    <row r="153" spans="1:2" x14ac:dyDescent="0.25">
      <c r="A153" s="12">
        <v>44354</v>
      </c>
      <c r="B153" s="18">
        <v>53.139999000000003</v>
      </c>
    </row>
    <row r="154" spans="1:2" x14ac:dyDescent="0.25">
      <c r="A154" s="12">
        <v>44347</v>
      </c>
      <c r="B154" s="18">
        <v>50.330002</v>
      </c>
    </row>
    <row r="155" spans="1:2" x14ac:dyDescent="0.25">
      <c r="A155" s="12">
        <v>44340</v>
      </c>
      <c r="B155" s="18">
        <v>49.950001</v>
      </c>
    </row>
    <row r="156" spans="1:2" x14ac:dyDescent="0.25">
      <c r="A156" s="12">
        <v>44333</v>
      </c>
      <c r="B156" s="18">
        <v>44.630001</v>
      </c>
    </row>
    <row r="157" spans="1:2" x14ac:dyDescent="0.25">
      <c r="A157" s="12">
        <v>44326</v>
      </c>
      <c r="B157" s="18">
        <v>44.889999000000003</v>
      </c>
    </row>
    <row r="158" spans="1:2" x14ac:dyDescent="0.25">
      <c r="A158" s="12">
        <v>44319</v>
      </c>
      <c r="B158" s="18">
        <v>48.419998</v>
      </c>
    </row>
    <row r="159" spans="1:2" x14ac:dyDescent="0.25">
      <c r="A159" s="12">
        <v>44312</v>
      </c>
      <c r="B159" s="18">
        <v>56.66</v>
      </c>
    </row>
    <row r="160" spans="1:2" x14ac:dyDescent="0.25">
      <c r="A160" s="12">
        <v>44305</v>
      </c>
      <c r="B160" s="18">
        <v>58.119999</v>
      </c>
    </row>
    <row r="161" spans="1:2" x14ac:dyDescent="0.25">
      <c r="A161" s="12">
        <v>44298</v>
      </c>
      <c r="B161" s="18">
        <v>57.98</v>
      </c>
    </row>
    <row r="162" spans="1:2" x14ac:dyDescent="0.25">
      <c r="A162" s="12">
        <v>44291</v>
      </c>
      <c r="B162" s="18">
        <v>62.310001</v>
      </c>
    </row>
    <row r="163" spans="1:2" x14ac:dyDescent="0.25">
      <c r="A163" s="12">
        <v>44284</v>
      </c>
      <c r="B163" s="18">
        <v>62.880001</v>
      </c>
    </row>
    <row r="164" spans="1:2" x14ac:dyDescent="0.25">
      <c r="A164" s="12">
        <v>44277</v>
      </c>
      <c r="B164" s="18">
        <v>63.599997999999999</v>
      </c>
    </row>
    <row r="165" spans="1:2" x14ac:dyDescent="0.25">
      <c r="A165" s="12">
        <v>44270</v>
      </c>
      <c r="B165" s="18">
        <v>71.980002999999996</v>
      </c>
    </row>
    <row r="166" spans="1:2" x14ac:dyDescent="0.25">
      <c r="A166" s="12">
        <v>44263</v>
      </c>
      <c r="B166" s="18">
        <v>71.75</v>
      </c>
    </row>
    <row r="167" spans="1:2" x14ac:dyDescent="0.25">
      <c r="A167" s="12">
        <v>44256</v>
      </c>
      <c r="B167" s="18">
        <v>59.52</v>
      </c>
    </row>
    <row r="168" spans="1:2" x14ac:dyDescent="0.25">
      <c r="A168" s="12">
        <v>44249</v>
      </c>
      <c r="B168" s="18">
        <v>61.529998999999997</v>
      </c>
    </row>
    <row r="169" spans="1:2" x14ac:dyDescent="0.25">
      <c r="A169" s="12">
        <v>44242</v>
      </c>
      <c r="B169" s="18">
        <v>60.91</v>
      </c>
    </row>
    <row r="170" spans="1:2" x14ac:dyDescent="0.25">
      <c r="A170" s="12">
        <v>44235</v>
      </c>
      <c r="B170" s="18">
        <v>61.07</v>
      </c>
    </row>
    <row r="171" spans="1:2" x14ac:dyDescent="0.25">
      <c r="A171" s="12">
        <v>44228</v>
      </c>
      <c r="B171" s="18">
        <v>63.869999</v>
      </c>
    </row>
    <row r="172" spans="1:2" x14ac:dyDescent="0.25">
      <c r="A172" s="12">
        <v>44221</v>
      </c>
      <c r="B172" s="18">
        <v>54.110000999999997</v>
      </c>
    </row>
    <row r="173" spans="1:2" x14ac:dyDescent="0.25">
      <c r="A173" s="12">
        <v>44214</v>
      </c>
      <c r="B173" s="18">
        <v>52.529998999999997</v>
      </c>
    </row>
    <row r="174" spans="1:2" x14ac:dyDescent="0.25">
      <c r="A174" s="12">
        <v>44207</v>
      </c>
      <c r="B174" s="18">
        <v>53.700001</v>
      </c>
    </row>
    <row r="175" spans="1:2" x14ac:dyDescent="0.25">
      <c r="A175" s="12">
        <v>44200</v>
      </c>
      <c r="B175" s="18">
        <v>52</v>
      </c>
    </row>
    <row r="176" spans="1:2" x14ac:dyDescent="0.25">
      <c r="A176" s="12">
        <v>44193</v>
      </c>
      <c r="B176" s="18">
        <v>46.560001</v>
      </c>
    </row>
    <row r="177" spans="1:2" x14ac:dyDescent="0.25">
      <c r="A177" s="12">
        <v>44186</v>
      </c>
      <c r="B177" s="18">
        <v>52.110000999999997</v>
      </c>
    </row>
    <row r="178" spans="1:2" x14ac:dyDescent="0.25">
      <c r="A178" s="12">
        <v>44179</v>
      </c>
      <c r="B178" s="18">
        <v>53.900002000000001</v>
      </c>
    </row>
    <row r="179" spans="1:2" x14ac:dyDescent="0.25">
      <c r="A179" s="12">
        <v>44172</v>
      </c>
      <c r="B179" s="18">
        <v>50.09</v>
      </c>
    </row>
    <row r="180" spans="1:2" x14ac:dyDescent="0.25">
      <c r="A180" s="12">
        <v>44165</v>
      </c>
      <c r="B180" s="18">
        <v>49.25</v>
      </c>
    </row>
    <row r="181" spans="1:2" x14ac:dyDescent="0.25">
      <c r="A181" s="12">
        <v>44158</v>
      </c>
      <c r="B181" s="18">
        <v>52.75</v>
      </c>
    </row>
    <row r="182" spans="1:2" x14ac:dyDescent="0.25">
      <c r="A182" s="12">
        <v>44151</v>
      </c>
      <c r="B182" s="18">
        <v>48.23</v>
      </c>
    </row>
    <row r="183" spans="1:2" x14ac:dyDescent="0.25">
      <c r="A183" s="12">
        <v>44144</v>
      </c>
      <c r="B183" s="18">
        <v>42.84</v>
      </c>
    </row>
    <row r="184" spans="1:2" x14ac:dyDescent="0.25">
      <c r="A184" s="12">
        <v>44137</v>
      </c>
      <c r="B184" s="18">
        <v>42.32</v>
      </c>
    </row>
    <row r="185" spans="1:2" x14ac:dyDescent="0.25">
      <c r="A185" s="12">
        <v>44130</v>
      </c>
      <c r="B185" s="18">
        <v>35.400002000000001</v>
      </c>
    </row>
    <row r="186" spans="1:2" x14ac:dyDescent="0.25">
      <c r="A186" s="12">
        <v>44123</v>
      </c>
      <c r="B186" s="18">
        <v>42.740001999999997</v>
      </c>
    </row>
    <row r="187" spans="1:2" x14ac:dyDescent="0.25">
      <c r="A187" s="12">
        <v>44116</v>
      </c>
      <c r="B187" s="18">
        <v>44.34</v>
      </c>
    </row>
    <row r="188" spans="1:2" x14ac:dyDescent="0.25">
      <c r="A188" s="12">
        <v>44109</v>
      </c>
      <c r="B188" s="18">
        <v>48.82</v>
      </c>
    </row>
    <row r="189" spans="1:2" x14ac:dyDescent="0.25">
      <c r="A189" s="12">
        <v>44102</v>
      </c>
      <c r="B189" s="18">
        <v>63.779998999999997</v>
      </c>
    </row>
    <row r="190" spans="1:2" x14ac:dyDescent="0.25">
      <c r="A190" s="12">
        <v>44095</v>
      </c>
      <c r="B190" s="18">
        <v>53.189999</v>
      </c>
    </row>
    <row r="191" spans="1:2" x14ac:dyDescent="0.25">
      <c r="A191" s="12">
        <v>44088</v>
      </c>
      <c r="B191" s="18">
        <v>55.389999000000003</v>
      </c>
    </row>
    <row r="192" spans="1:2" x14ac:dyDescent="0.25">
      <c r="A192" s="12">
        <v>44081</v>
      </c>
      <c r="B192" s="18">
        <v>41.459999000000003</v>
      </c>
    </row>
    <row r="193" spans="1:2" x14ac:dyDescent="0.25">
      <c r="A193" s="12">
        <v>44074</v>
      </c>
      <c r="B193" s="18">
        <v>37</v>
      </c>
    </row>
    <row r="194" spans="1:2" x14ac:dyDescent="0.25">
      <c r="A194" s="12">
        <v>44067</v>
      </c>
      <c r="B194" s="18">
        <v>36.32</v>
      </c>
    </row>
    <row r="195" spans="1:2" x14ac:dyDescent="0.25">
      <c r="A195" s="12">
        <v>44060</v>
      </c>
      <c r="B195" s="18">
        <v>35.150002000000001</v>
      </c>
    </row>
    <row r="196" spans="1:2" x14ac:dyDescent="0.25">
      <c r="A196" s="12">
        <v>44053</v>
      </c>
      <c r="B196" s="18">
        <v>33.909999999999997</v>
      </c>
    </row>
    <row r="197" spans="1:2" x14ac:dyDescent="0.25">
      <c r="A197" s="12">
        <v>44046</v>
      </c>
      <c r="B197" s="18">
        <v>34.090000000000003</v>
      </c>
    </row>
    <row r="198" spans="1:2" x14ac:dyDescent="0.25">
      <c r="A198" s="12">
        <v>44039</v>
      </c>
      <c r="B198" s="18">
        <v>33.375</v>
      </c>
    </row>
    <row r="199" spans="1:2" x14ac:dyDescent="0.25">
      <c r="A199" s="12">
        <v>44032</v>
      </c>
      <c r="B199" s="18">
        <v>37.549999</v>
      </c>
    </row>
    <row r="200" spans="1:2" x14ac:dyDescent="0.25">
      <c r="A200" s="12">
        <v>44025</v>
      </c>
      <c r="B200" s="18">
        <v>35.360000999999997</v>
      </c>
    </row>
    <row r="201" spans="1:2" x14ac:dyDescent="0.25">
      <c r="A201" s="12">
        <v>44018</v>
      </c>
      <c r="B201" s="18">
        <v>32.43</v>
      </c>
    </row>
    <row r="202" spans="1:2" x14ac:dyDescent="0.25">
      <c r="A202" s="12">
        <v>44011</v>
      </c>
      <c r="B202" s="18">
        <v>33.060001</v>
      </c>
    </row>
    <row r="203" spans="1:2" x14ac:dyDescent="0.25">
      <c r="A203" s="12">
        <v>44004</v>
      </c>
      <c r="B203" s="18">
        <v>33.340000000000003</v>
      </c>
    </row>
    <row r="204" spans="1:2" x14ac:dyDescent="0.25">
      <c r="A204" s="12">
        <v>43997</v>
      </c>
      <c r="B204" s="18">
        <v>42</v>
      </c>
    </row>
    <row r="205" spans="1:2" x14ac:dyDescent="0.25">
      <c r="A205" s="12">
        <v>43990</v>
      </c>
      <c r="B205" s="18">
        <v>36.880001</v>
      </c>
    </row>
    <row r="206" spans="1:2" x14ac:dyDescent="0.25">
      <c r="A206" s="12">
        <v>43983</v>
      </c>
      <c r="B206" s="18">
        <v>39.340000000000003</v>
      </c>
    </row>
    <row r="207" spans="1:2" x14ac:dyDescent="0.25">
      <c r="A207" s="12">
        <v>43976</v>
      </c>
      <c r="B207" s="18">
        <v>39.700001</v>
      </c>
    </row>
    <row r="208" spans="1:2" x14ac:dyDescent="0.25">
      <c r="A208" s="12">
        <v>43969</v>
      </c>
      <c r="B208" s="18">
        <v>29.110001</v>
      </c>
    </row>
    <row r="209" spans="1:2" x14ac:dyDescent="0.25">
      <c r="A209" s="12">
        <v>43962</v>
      </c>
      <c r="B209" s="18">
        <v>29.23</v>
      </c>
    </row>
    <row r="210" spans="1:2" x14ac:dyDescent="0.25">
      <c r="A210" s="12">
        <v>43955</v>
      </c>
      <c r="B210" s="18">
        <v>23.450001</v>
      </c>
    </row>
    <row r="211" spans="1:2" x14ac:dyDescent="0.25">
      <c r="A211" s="12">
        <v>43948</v>
      </c>
      <c r="B211" s="18">
        <v>20.120000999999998</v>
      </c>
    </row>
    <row r="212" spans="1:2" x14ac:dyDescent="0.25">
      <c r="A212" s="12">
        <v>43941</v>
      </c>
      <c r="B212" s="18">
        <v>19.350000000000001</v>
      </c>
    </row>
    <row r="213" spans="1:2" x14ac:dyDescent="0.25">
      <c r="A213" s="12">
        <v>43934</v>
      </c>
      <c r="B213" s="18">
        <v>16.950001</v>
      </c>
    </row>
    <row r="214" spans="1:2" x14ac:dyDescent="0.25">
      <c r="A214" s="12">
        <v>43927</v>
      </c>
      <c r="B214" s="18">
        <v>14.51</v>
      </c>
    </row>
    <row r="215" spans="1:2" x14ac:dyDescent="0.25">
      <c r="A215" s="12">
        <v>43920</v>
      </c>
      <c r="B215" s="18">
        <v>12.25</v>
      </c>
    </row>
    <row r="216" spans="1:2" x14ac:dyDescent="0.25">
      <c r="A216" s="12">
        <v>43913</v>
      </c>
      <c r="B216" s="18">
        <v>12.69</v>
      </c>
    </row>
    <row r="217" spans="1:2" x14ac:dyDescent="0.25">
      <c r="A217" s="12">
        <v>43906</v>
      </c>
      <c r="B217" s="18">
        <v>11.48</v>
      </c>
    </row>
    <row r="218" spans="1:2" x14ac:dyDescent="0.25">
      <c r="A218" s="12">
        <v>43899</v>
      </c>
      <c r="B218" s="18">
        <v>12.45</v>
      </c>
    </row>
    <row r="219" spans="1:2" x14ac:dyDescent="0.25">
      <c r="A219" s="12">
        <v>43892</v>
      </c>
      <c r="B219" s="18">
        <v>16.829999999999998</v>
      </c>
    </row>
    <row r="220" spans="1:2" x14ac:dyDescent="0.25">
      <c r="A220" s="12">
        <v>43885</v>
      </c>
      <c r="B220" s="18">
        <v>16.02</v>
      </c>
    </row>
    <row r="221" spans="1:2" x14ac:dyDescent="0.25">
      <c r="A221" s="12">
        <v>43878</v>
      </c>
      <c r="B221" s="18">
        <v>16.950001</v>
      </c>
    </row>
    <row r="222" spans="1:2" x14ac:dyDescent="0.25">
      <c r="A222" s="12">
        <v>43871</v>
      </c>
      <c r="B222" s="18">
        <v>17.329999999999998</v>
      </c>
    </row>
    <row r="223" spans="1:2" x14ac:dyDescent="0.25">
      <c r="A223" s="12">
        <v>43864</v>
      </c>
      <c r="B223" s="18">
        <v>14.5</v>
      </c>
    </row>
    <row r="224" spans="1:2" x14ac:dyDescent="0.25">
      <c r="A224" s="12">
        <v>43857</v>
      </c>
      <c r="B224" s="18">
        <v>14.53</v>
      </c>
    </row>
    <row r="225" spans="1:2" x14ac:dyDescent="0.25">
      <c r="A225" s="12">
        <v>43850</v>
      </c>
      <c r="B225" s="18">
        <v>14.36</v>
      </c>
    </row>
    <row r="226" spans="1:2" x14ac:dyDescent="0.25">
      <c r="A226" s="12">
        <v>43843</v>
      </c>
      <c r="B226" s="18">
        <v>13.57</v>
      </c>
    </row>
    <row r="227" spans="1:2" x14ac:dyDescent="0.25">
      <c r="A227" s="12">
        <v>43836</v>
      </c>
      <c r="B227" s="18">
        <v>12.39</v>
      </c>
    </row>
    <row r="228" spans="1:2" x14ac:dyDescent="0.25">
      <c r="A228" s="12">
        <v>43829</v>
      </c>
      <c r="B228" s="18">
        <v>10.68</v>
      </c>
    </row>
    <row r="229" spans="1:2" x14ac:dyDescent="0.25">
      <c r="A229" s="12">
        <v>43822</v>
      </c>
      <c r="B229" s="18">
        <v>10.68</v>
      </c>
    </row>
    <row r="230" spans="1:2" x14ac:dyDescent="0.25">
      <c r="A230" s="12">
        <v>43815</v>
      </c>
      <c r="B230" s="18">
        <v>10.17</v>
      </c>
    </row>
    <row r="231" spans="1:2" x14ac:dyDescent="0.25">
      <c r="A231" s="12">
        <v>43808</v>
      </c>
      <c r="B231" s="18">
        <v>10.09</v>
      </c>
    </row>
    <row r="232" spans="1:2" x14ac:dyDescent="0.25">
      <c r="A232" s="12">
        <v>43801</v>
      </c>
      <c r="B232" s="18">
        <v>10.065</v>
      </c>
    </row>
    <row r="233" spans="1:2" x14ac:dyDescent="0.25">
      <c r="A233" s="12">
        <v>43794</v>
      </c>
      <c r="B233" s="18">
        <v>10.050000000000001</v>
      </c>
    </row>
    <row r="234" spans="1:2" x14ac:dyDescent="0.25">
      <c r="A234" s="12">
        <v>43787</v>
      </c>
      <c r="B234" s="18">
        <v>10.042999999999999</v>
      </c>
    </row>
    <row r="235" spans="1:2" x14ac:dyDescent="0.25">
      <c r="A235" s="12">
        <v>43780</v>
      </c>
      <c r="B235" s="18">
        <v>10.09</v>
      </c>
    </row>
    <row r="236" spans="1:2" x14ac:dyDescent="0.25">
      <c r="A236" s="12">
        <v>43773</v>
      </c>
      <c r="B236" s="18">
        <v>10.1</v>
      </c>
    </row>
    <row r="237" spans="1:2" x14ac:dyDescent="0.25">
      <c r="A237" s="12">
        <v>43766</v>
      </c>
      <c r="B237" s="18">
        <v>10.08</v>
      </c>
    </row>
    <row r="238" spans="1:2" x14ac:dyDescent="0.25">
      <c r="A238" s="12">
        <v>43759</v>
      </c>
      <c r="B238" s="18">
        <v>9.85</v>
      </c>
    </row>
    <row r="239" spans="1:2" x14ac:dyDescent="0.25">
      <c r="A239" s="12">
        <v>43752</v>
      </c>
      <c r="B239" s="18">
        <v>9.9499999999999993</v>
      </c>
    </row>
    <row r="240" spans="1:2" x14ac:dyDescent="0.25">
      <c r="A240" s="12">
        <v>43745</v>
      </c>
      <c r="B240" s="18">
        <v>9.92</v>
      </c>
    </row>
    <row r="241" spans="1:2" x14ac:dyDescent="0.25">
      <c r="A241" s="12">
        <v>43738</v>
      </c>
      <c r="B241" s="18">
        <v>9.92</v>
      </c>
    </row>
    <row r="242" spans="1:2" x14ac:dyDescent="0.25">
      <c r="A242" s="12">
        <v>43731</v>
      </c>
      <c r="B242" s="18">
        <v>9.85</v>
      </c>
    </row>
    <row r="243" spans="1:2" x14ac:dyDescent="0.25">
      <c r="A243" s="12">
        <v>43724</v>
      </c>
      <c r="B243" s="18">
        <v>9.85</v>
      </c>
    </row>
    <row r="244" spans="1:2" x14ac:dyDescent="0.25">
      <c r="A244" s="12">
        <v>43717</v>
      </c>
      <c r="B244" s="18">
        <v>9.85</v>
      </c>
    </row>
    <row r="245" spans="1:2" x14ac:dyDescent="0.25">
      <c r="A245" s="12">
        <v>43710</v>
      </c>
      <c r="B245" s="18">
        <v>9.85</v>
      </c>
    </row>
    <row r="246" spans="1:2" x14ac:dyDescent="0.25">
      <c r="A246" s="12">
        <v>43703</v>
      </c>
      <c r="B246" s="18">
        <v>9.85</v>
      </c>
    </row>
    <row r="247" spans="1:2" x14ac:dyDescent="0.25">
      <c r="A247" s="12">
        <v>43696</v>
      </c>
      <c r="B247" s="18">
        <v>9.85</v>
      </c>
    </row>
    <row r="248" spans="1:2" x14ac:dyDescent="0.25">
      <c r="A248" s="12">
        <v>43689</v>
      </c>
      <c r="B248" s="18">
        <v>9.7799999999999994</v>
      </c>
    </row>
    <row r="249" spans="1:2" x14ac:dyDescent="0.25">
      <c r="A249" s="12">
        <v>43682</v>
      </c>
      <c r="B249" s="18">
        <v>9.76</v>
      </c>
    </row>
    <row r="250" spans="1:2" x14ac:dyDescent="0.25">
      <c r="A250" s="12">
        <v>43675</v>
      </c>
      <c r="B250" s="18">
        <v>9.8000000000000007</v>
      </c>
    </row>
    <row r="251" spans="1:2" x14ac:dyDescent="0.25">
      <c r="A251" s="12">
        <v>43668</v>
      </c>
      <c r="B251" s="18">
        <v>9.8000000000000007</v>
      </c>
    </row>
    <row r="252" spans="1:2" x14ac:dyDescent="0.25">
      <c r="A252" s="12"/>
      <c r="B252" s="18"/>
    </row>
    <row r="253" spans="1:2" x14ac:dyDescent="0.25">
      <c r="A253" s="12"/>
      <c r="B253" s="18"/>
    </row>
    <row r="254" spans="1:2" x14ac:dyDescent="0.25">
      <c r="A254" s="12"/>
      <c r="B254" s="18"/>
    </row>
    <row r="255" spans="1:2" x14ac:dyDescent="0.25">
      <c r="A255" s="12"/>
      <c r="B255" s="18"/>
    </row>
    <row r="256" spans="1:2" x14ac:dyDescent="0.25">
      <c r="A256" s="12"/>
      <c r="B256" s="18"/>
    </row>
    <row r="257" spans="1:2" x14ac:dyDescent="0.25">
      <c r="A257" s="12"/>
      <c r="B257" s="18"/>
    </row>
    <row r="258" spans="1:2" x14ac:dyDescent="0.25">
      <c r="A258" s="12"/>
      <c r="B258" s="18"/>
    </row>
    <row r="259" spans="1:2" x14ac:dyDescent="0.25">
      <c r="A259" s="12"/>
      <c r="B259" s="18"/>
    </row>
    <row r="260" spans="1:2" x14ac:dyDescent="0.25">
      <c r="A260" s="12"/>
      <c r="B260" s="18"/>
    </row>
    <row r="261" spans="1:2" x14ac:dyDescent="0.25">
      <c r="A261" s="12"/>
      <c r="B261" s="18"/>
    </row>
    <row r="262" spans="1:2" x14ac:dyDescent="0.25">
      <c r="A262" s="12"/>
      <c r="B262" s="18"/>
    </row>
    <row r="263" spans="1:2" x14ac:dyDescent="0.25">
      <c r="A263" s="12"/>
      <c r="B263" s="18"/>
    </row>
    <row r="264" spans="1:2" x14ac:dyDescent="0.25">
      <c r="A264" s="12"/>
      <c r="B264" s="18"/>
    </row>
    <row r="265" spans="1:2" x14ac:dyDescent="0.25">
      <c r="A265" s="12"/>
      <c r="B265" s="18"/>
    </row>
    <row r="266" spans="1:2" x14ac:dyDescent="0.25">
      <c r="A266" s="12"/>
      <c r="B266" s="18"/>
    </row>
    <row r="267" spans="1:2" x14ac:dyDescent="0.25">
      <c r="A267" s="12"/>
      <c r="B267" s="18"/>
    </row>
    <row r="268" spans="1:2" x14ac:dyDescent="0.25">
      <c r="A268" s="12"/>
      <c r="B268" s="18"/>
    </row>
    <row r="269" spans="1:2" x14ac:dyDescent="0.25">
      <c r="A269" s="12"/>
      <c r="B269" s="18"/>
    </row>
    <row r="270" spans="1:2" x14ac:dyDescent="0.25">
      <c r="A270" s="12"/>
      <c r="B270" s="18"/>
    </row>
    <row r="271" spans="1:2" x14ac:dyDescent="0.25">
      <c r="A271" s="12"/>
      <c r="B271" s="18"/>
    </row>
    <row r="272" spans="1:2" x14ac:dyDescent="0.25">
      <c r="A272" s="12"/>
      <c r="B272" s="18"/>
    </row>
    <row r="273" spans="1:2" x14ac:dyDescent="0.25">
      <c r="A273" s="12"/>
      <c r="B273" s="18"/>
    </row>
    <row r="274" spans="1:2" x14ac:dyDescent="0.25">
      <c r="A274" s="12"/>
      <c r="B274" s="18"/>
    </row>
    <row r="275" spans="1:2" x14ac:dyDescent="0.25">
      <c r="A275" s="12"/>
      <c r="B275" s="18"/>
    </row>
    <row r="276" spans="1:2" x14ac:dyDescent="0.25">
      <c r="A276" s="12"/>
      <c r="B276" s="18"/>
    </row>
    <row r="277" spans="1:2" x14ac:dyDescent="0.25">
      <c r="A277" s="12"/>
      <c r="B277" s="18"/>
    </row>
    <row r="278" spans="1:2" x14ac:dyDescent="0.25">
      <c r="A278" s="12"/>
      <c r="B278" s="18"/>
    </row>
    <row r="279" spans="1:2" x14ac:dyDescent="0.25">
      <c r="A279" s="12"/>
      <c r="B279" s="18"/>
    </row>
    <row r="280" spans="1:2" x14ac:dyDescent="0.25">
      <c r="A280" s="12"/>
      <c r="B280" s="18"/>
    </row>
    <row r="281" spans="1:2" x14ac:dyDescent="0.25">
      <c r="A281" s="12"/>
      <c r="B281" s="18"/>
    </row>
    <row r="282" spans="1:2" x14ac:dyDescent="0.25">
      <c r="A282" s="12"/>
      <c r="B282" s="18"/>
    </row>
    <row r="283" spans="1:2" x14ac:dyDescent="0.25">
      <c r="A283" s="12"/>
      <c r="B283" s="18"/>
    </row>
    <row r="284" spans="1:2" x14ac:dyDescent="0.25">
      <c r="A284" s="12"/>
      <c r="B284" s="18"/>
    </row>
    <row r="285" spans="1:2" x14ac:dyDescent="0.25">
      <c r="A285" s="12"/>
      <c r="B285" s="18"/>
    </row>
    <row r="286" spans="1:2" x14ac:dyDescent="0.25">
      <c r="A286" s="12"/>
      <c r="B286" s="18"/>
    </row>
    <row r="287" spans="1:2" x14ac:dyDescent="0.25">
      <c r="A287" s="12"/>
      <c r="B287" s="18"/>
    </row>
    <row r="288" spans="1:2" x14ac:dyDescent="0.25">
      <c r="A288" s="12"/>
      <c r="B288" s="18"/>
    </row>
    <row r="289" spans="1:2" x14ac:dyDescent="0.25">
      <c r="A289" s="12"/>
      <c r="B289" s="18"/>
    </row>
    <row r="290" spans="1:2" x14ac:dyDescent="0.25">
      <c r="A290" s="12"/>
      <c r="B290" s="18"/>
    </row>
    <row r="291" spans="1:2" x14ac:dyDescent="0.25">
      <c r="A291" s="12"/>
      <c r="B291" s="18"/>
    </row>
    <row r="292" spans="1:2" x14ac:dyDescent="0.25">
      <c r="A292" s="12"/>
      <c r="B292" s="18"/>
    </row>
    <row r="293" spans="1:2" x14ac:dyDescent="0.25">
      <c r="A293" s="12"/>
      <c r="B293" s="18"/>
    </row>
    <row r="294" spans="1:2" x14ac:dyDescent="0.25">
      <c r="A294" s="12"/>
      <c r="B294" s="18"/>
    </row>
    <row r="295" spans="1:2" x14ac:dyDescent="0.25">
      <c r="A295" s="12"/>
      <c r="B295" s="18"/>
    </row>
    <row r="296" spans="1:2" x14ac:dyDescent="0.25">
      <c r="A296" s="12"/>
      <c r="B296" s="18"/>
    </row>
    <row r="297" spans="1:2" x14ac:dyDescent="0.25">
      <c r="A297" s="12"/>
      <c r="B297" s="18"/>
    </row>
    <row r="298" spans="1:2" x14ac:dyDescent="0.25">
      <c r="A298" s="12"/>
      <c r="B298" s="18"/>
    </row>
    <row r="299" spans="1:2" x14ac:dyDescent="0.25">
      <c r="A299" s="12"/>
      <c r="B299" s="18"/>
    </row>
    <row r="300" spans="1:2" x14ac:dyDescent="0.25">
      <c r="A300" s="12"/>
      <c r="B300" s="18"/>
    </row>
    <row r="301" spans="1:2" x14ac:dyDescent="0.25">
      <c r="A301" s="12"/>
      <c r="B301" s="18"/>
    </row>
    <row r="302" spans="1:2" x14ac:dyDescent="0.25">
      <c r="A302" s="12"/>
      <c r="B302" s="18"/>
    </row>
    <row r="303" spans="1:2" x14ac:dyDescent="0.25">
      <c r="A303" s="12"/>
      <c r="B303" s="18"/>
    </row>
    <row r="304" spans="1:2" x14ac:dyDescent="0.25">
      <c r="A304" s="12"/>
      <c r="B304" s="18"/>
    </row>
    <row r="305" spans="1:2" x14ac:dyDescent="0.25">
      <c r="A305" s="12"/>
      <c r="B305" s="18"/>
    </row>
    <row r="306" spans="1:2" x14ac:dyDescent="0.25">
      <c r="A306" s="12"/>
      <c r="B306" s="18"/>
    </row>
    <row r="307" spans="1:2" x14ac:dyDescent="0.25">
      <c r="A307" s="12"/>
      <c r="B307" s="18"/>
    </row>
    <row r="308" spans="1:2" x14ac:dyDescent="0.25">
      <c r="A308" s="12"/>
      <c r="B308" s="18"/>
    </row>
    <row r="309" spans="1:2" x14ac:dyDescent="0.25">
      <c r="A309" s="12"/>
      <c r="B309" s="18"/>
    </row>
    <row r="310" spans="1:2" x14ac:dyDescent="0.25">
      <c r="A310" s="12"/>
      <c r="B310" s="18"/>
    </row>
    <row r="311" spans="1:2" x14ac:dyDescent="0.25">
      <c r="A311" s="12"/>
      <c r="B311" s="18"/>
    </row>
    <row r="312" spans="1:2" x14ac:dyDescent="0.25">
      <c r="A312" s="12"/>
      <c r="B312" s="18"/>
    </row>
    <row r="313" spans="1:2" x14ac:dyDescent="0.25">
      <c r="A313" s="12"/>
      <c r="B313" s="18"/>
    </row>
    <row r="314" spans="1:2" x14ac:dyDescent="0.25">
      <c r="A314" s="12"/>
      <c r="B314" s="18"/>
    </row>
    <row r="315" spans="1:2" x14ac:dyDescent="0.25">
      <c r="A315" s="12"/>
      <c r="B315" s="18"/>
    </row>
    <row r="316" spans="1:2" x14ac:dyDescent="0.25">
      <c r="A316" s="12"/>
      <c r="B316" s="18"/>
    </row>
    <row r="317" spans="1:2" x14ac:dyDescent="0.25">
      <c r="A317" s="12"/>
      <c r="B317" s="18"/>
    </row>
    <row r="318" spans="1:2" x14ac:dyDescent="0.25">
      <c r="A318" s="12"/>
      <c r="B318" s="18"/>
    </row>
    <row r="319" spans="1:2" x14ac:dyDescent="0.25">
      <c r="A319" s="12"/>
      <c r="B319" s="18"/>
    </row>
    <row r="320" spans="1:2" x14ac:dyDescent="0.25">
      <c r="A320" s="12"/>
      <c r="B320" s="18"/>
    </row>
    <row r="321" spans="1:2" x14ac:dyDescent="0.25">
      <c r="A321" s="12"/>
      <c r="B321" s="18"/>
    </row>
    <row r="322" spans="1:2" x14ac:dyDescent="0.25">
      <c r="A322" s="12"/>
      <c r="B322" s="18"/>
    </row>
    <row r="323" spans="1:2" x14ac:dyDescent="0.25">
      <c r="A323" s="12"/>
      <c r="B323" s="18"/>
    </row>
    <row r="324" spans="1:2" x14ac:dyDescent="0.25">
      <c r="A324" s="12"/>
      <c r="B324" s="18"/>
    </row>
    <row r="325" spans="1:2" x14ac:dyDescent="0.25">
      <c r="A325" s="12"/>
      <c r="B325" s="18"/>
    </row>
    <row r="326" spans="1:2" x14ac:dyDescent="0.25">
      <c r="A326" s="12"/>
      <c r="B326" s="18"/>
    </row>
    <row r="327" spans="1:2" x14ac:dyDescent="0.25">
      <c r="A327" s="12"/>
      <c r="B327" s="18"/>
    </row>
    <row r="328" spans="1:2" x14ac:dyDescent="0.25">
      <c r="A328" s="12"/>
      <c r="B328" s="18"/>
    </row>
    <row r="329" spans="1:2" x14ac:dyDescent="0.25">
      <c r="A329" s="12"/>
      <c r="B329" s="18"/>
    </row>
    <row r="330" spans="1:2" x14ac:dyDescent="0.25">
      <c r="A330" s="12"/>
      <c r="B330" s="18"/>
    </row>
    <row r="331" spans="1:2" x14ac:dyDescent="0.25">
      <c r="A331" s="12"/>
      <c r="B331" s="18"/>
    </row>
    <row r="332" spans="1:2" x14ac:dyDescent="0.25">
      <c r="A332" s="12"/>
      <c r="B332" s="18"/>
    </row>
    <row r="333" spans="1:2" x14ac:dyDescent="0.25">
      <c r="A333" s="12"/>
      <c r="B333" s="18"/>
    </row>
    <row r="334" spans="1:2" x14ac:dyDescent="0.25">
      <c r="A334" s="12"/>
      <c r="B334" s="18"/>
    </row>
    <row r="335" spans="1:2" x14ac:dyDescent="0.25">
      <c r="A335" s="12"/>
      <c r="B335" s="18"/>
    </row>
    <row r="336" spans="1:2" x14ac:dyDescent="0.25">
      <c r="A336" s="12"/>
      <c r="B336" s="18"/>
    </row>
    <row r="337" spans="1:2" x14ac:dyDescent="0.25">
      <c r="A337" s="12"/>
      <c r="B337" s="18"/>
    </row>
    <row r="338" spans="1:2" x14ac:dyDescent="0.25">
      <c r="A338" s="12"/>
      <c r="B338" s="18"/>
    </row>
    <row r="339" spans="1:2" x14ac:dyDescent="0.25">
      <c r="A339" s="12"/>
      <c r="B339" s="18"/>
    </row>
    <row r="340" spans="1:2" x14ac:dyDescent="0.25">
      <c r="A340" s="12"/>
      <c r="B340" s="18"/>
    </row>
    <row r="341" spans="1:2" x14ac:dyDescent="0.25">
      <c r="A341" s="12"/>
      <c r="B341" s="18"/>
    </row>
    <row r="342" spans="1:2" x14ac:dyDescent="0.25">
      <c r="A342" s="12"/>
      <c r="B342" s="18"/>
    </row>
    <row r="343" spans="1:2" x14ac:dyDescent="0.25">
      <c r="A343" s="12"/>
      <c r="B343" s="18"/>
    </row>
    <row r="344" spans="1:2" x14ac:dyDescent="0.25">
      <c r="A344" s="12"/>
      <c r="B344" s="18"/>
    </row>
    <row r="345" spans="1:2" x14ac:dyDescent="0.25">
      <c r="A345" s="12"/>
      <c r="B345" s="18"/>
    </row>
    <row r="346" spans="1:2" x14ac:dyDescent="0.25">
      <c r="A346" s="12"/>
      <c r="B346" s="18"/>
    </row>
    <row r="347" spans="1:2" x14ac:dyDescent="0.25">
      <c r="A347" s="12"/>
      <c r="B347" s="18"/>
    </row>
    <row r="348" spans="1:2" x14ac:dyDescent="0.25">
      <c r="A348" s="12"/>
      <c r="B348" s="18"/>
    </row>
    <row r="349" spans="1:2" x14ac:dyDescent="0.25">
      <c r="A349" s="12"/>
      <c r="B349" s="18"/>
    </row>
    <row r="350" spans="1:2" x14ac:dyDescent="0.25">
      <c r="A350" s="12"/>
      <c r="B350" s="18"/>
    </row>
    <row r="351" spans="1:2" x14ac:dyDescent="0.25">
      <c r="A351" s="12"/>
      <c r="B351" s="18"/>
    </row>
    <row r="352" spans="1:2" x14ac:dyDescent="0.25">
      <c r="A352" s="12"/>
      <c r="B352" s="18"/>
    </row>
    <row r="353" spans="1:2" x14ac:dyDescent="0.25">
      <c r="A353" s="12"/>
      <c r="B353" s="18"/>
    </row>
    <row r="354" spans="1:2" x14ac:dyDescent="0.25">
      <c r="A354" s="12"/>
      <c r="B354" s="18"/>
    </row>
    <row r="355" spans="1:2" x14ac:dyDescent="0.25">
      <c r="A355" s="12"/>
      <c r="B355" s="18"/>
    </row>
    <row r="356" spans="1:2" x14ac:dyDescent="0.25">
      <c r="A356" s="12"/>
      <c r="B356" s="18"/>
    </row>
    <row r="357" spans="1:2" x14ac:dyDescent="0.25">
      <c r="A357" s="12"/>
      <c r="B357" s="18"/>
    </row>
    <row r="358" spans="1:2" x14ac:dyDescent="0.25">
      <c r="A358" s="12"/>
      <c r="B358" s="18"/>
    </row>
    <row r="359" spans="1:2" x14ac:dyDescent="0.25">
      <c r="A359" s="12"/>
      <c r="B359" s="18"/>
    </row>
    <row r="360" spans="1:2" x14ac:dyDescent="0.25">
      <c r="A360" s="12"/>
      <c r="B360" s="18"/>
    </row>
    <row r="361" spans="1:2" x14ac:dyDescent="0.25">
      <c r="A361" s="12"/>
      <c r="B361" s="18"/>
    </row>
    <row r="362" spans="1:2" x14ac:dyDescent="0.25">
      <c r="A362" s="12"/>
      <c r="B362" s="18"/>
    </row>
    <row r="363" spans="1:2" x14ac:dyDescent="0.25">
      <c r="A363" s="12"/>
      <c r="B363" s="18"/>
    </row>
    <row r="364" spans="1:2" x14ac:dyDescent="0.25">
      <c r="A364" s="12"/>
      <c r="B364" s="18"/>
    </row>
    <row r="365" spans="1:2" x14ac:dyDescent="0.25">
      <c r="A365" s="12"/>
      <c r="B365" s="18"/>
    </row>
    <row r="366" spans="1:2" x14ac:dyDescent="0.25">
      <c r="A366" s="12"/>
      <c r="B366" s="18"/>
    </row>
    <row r="367" spans="1:2" x14ac:dyDescent="0.25">
      <c r="A367" s="12"/>
      <c r="B367" s="18"/>
    </row>
    <row r="368" spans="1:2" x14ac:dyDescent="0.25">
      <c r="A368" s="12"/>
      <c r="B368" s="18"/>
    </row>
    <row r="369" spans="1:2" x14ac:dyDescent="0.25">
      <c r="A369" s="12"/>
      <c r="B369" s="18"/>
    </row>
    <row r="370" spans="1:2" x14ac:dyDescent="0.25">
      <c r="A370" s="12"/>
      <c r="B370" s="18"/>
    </row>
    <row r="371" spans="1:2" x14ac:dyDescent="0.25">
      <c r="A371" s="12"/>
      <c r="B371" s="18"/>
    </row>
    <row r="372" spans="1:2" x14ac:dyDescent="0.25">
      <c r="A372" s="12"/>
      <c r="B372" s="18"/>
    </row>
    <row r="373" spans="1:2" x14ac:dyDescent="0.25">
      <c r="A373" s="12"/>
      <c r="B373" s="18"/>
    </row>
    <row r="374" spans="1:2" x14ac:dyDescent="0.25">
      <c r="A374" s="12"/>
      <c r="B374" s="18"/>
    </row>
    <row r="375" spans="1:2" x14ac:dyDescent="0.25">
      <c r="A375" s="12"/>
      <c r="B375" s="18"/>
    </row>
    <row r="376" spans="1:2" x14ac:dyDescent="0.25">
      <c r="A376" s="12"/>
      <c r="B376" s="18"/>
    </row>
    <row r="377" spans="1:2" x14ac:dyDescent="0.25">
      <c r="A377" s="12"/>
      <c r="B377" s="18"/>
    </row>
    <row r="378" spans="1:2" x14ac:dyDescent="0.25">
      <c r="A378" s="12"/>
      <c r="B378" s="18"/>
    </row>
    <row r="379" spans="1:2" x14ac:dyDescent="0.25">
      <c r="A379" s="12"/>
      <c r="B379" s="18"/>
    </row>
    <row r="380" spans="1:2" x14ac:dyDescent="0.25">
      <c r="A380" s="12"/>
      <c r="B380" s="18"/>
    </row>
    <row r="381" spans="1:2" x14ac:dyDescent="0.25">
      <c r="A381" s="12"/>
      <c r="B381" s="18"/>
    </row>
    <row r="382" spans="1:2" x14ac:dyDescent="0.25">
      <c r="A382" s="12"/>
      <c r="B382" s="18"/>
    </row>
    <row r="383" spans="1:2" x14ac:dyDescent="0.25">
      <c r="A383" s="12"/>
      <c r="B383" s="18"/>
    </row>
    <row r="384" spans="1:2" x14ac:dyDescent="0.25">
      <c r="A384" s="12"/>
      <c r="B384" s="18"/>
    </row>
    <row r="385" spans="1:2" x14ac:dyDescent="0.25">
      <c r="A385" s="12"/>
      <c r="B385" s="18"/>
    </row>
    <row r="386" spans="1:2" x14ac:dyDescent="0.25">
      <c r="A386" s="12"/>
      <c r="B386" s="18"/>
    </row>
    <row r="387" spans="1:2" x14ac:dyDescent="0.25">
      <c r="A387" s="12"/>
      <c r="B387" s="18"/>
    </row>
    <row r="388" spans="1:2" x14ac:dyDescent="0.25">
      <c r="A388" s="12"/>
      <c r="B388" s="18"/>
    </row>
    <row r="389" spans="1:2" x14ac:dyDescent="0.25">
      <c r="A389" s="12"/>
      <c r="B389" s="18"/>
    </row>
    <row r="390" spans="1:2" x14ac:dyDescent="0.25">
      <c r="A390" s="12"/>
      <c r="B390" s="18"/>
    </row>
    <row r="391" spans="1:2" x14ac:dyDescent="0.25">
      <c r="A391" s="12"/>
      <c r="B391" s="18"/>
    </row>
    <row r="392" spans="1:2" x14ac:dyDescent="0.25">
      <c r="A392" s="12"/>
      <c r="B392" s="18"/>
    </row>
    <row r="393" spans="1:2" x14ac:dyDescent="0.25">
      <c r="A393" s="12"/>
      <c r="B393" s="18"/>
    </row>
    <row r="394" spans="1:2" x14ac:dyDescent="0.25">
      <c r="A394" s="12"/>
      <c r="B394" s="18"/>
    </row>
    <row r="395" spans="1:2" x14ac:dyDescent="0.25">
      <c r="A395" s="12"/>
      <c r="B395" s="18"/>
    </row>
    <row r="396" spans="1:2" x14ac:dyDescent="0.25">
      <c r="A396" s="12"/>
      <c r="B396" s="18"/>
    </row>
    <row r="397" spans="1:2" x14ac:dyDescent="0.25">
      <c r="A397" s="12"/>
      <c r="B397" s="18"/>
    </row>
    <row r="398" spans="1:2" x14ac:dyDescent="0.25">
      <c r="A398" s="12"/>
      <c r="B398" s="18"/>
    </row>
    <row r="399" spans="1:2" x14ac:dyDescent="0.25">
      <c r="A399" s="12"/>
      <c r="B399" s="18"/>
    </row>
    <row r="400" spans="1:2" x14ac:dyDescent="0.25">
      <c r="A400" s="12"/>
      <c r="B400" s="18"/>
    </row>
    <row r="401" spans="1:2" x14ac:dyDescent="0.25">
      <c r="A401" s="12"/>
      <c r="B401" s="18"/>
    </row>
    <row r="402" spans="1:2" x14ac:dyDescent="0.25">
      <c r="A402" s="12"/>
      <c r="B402" s="18"/>
    </row>
    <row r="403" spans="1:2" x14ac:dyDescent="0.25">
      <c r="A403" s="12"/>
      <c r="B403" s="18"/>
    </row>
    <row r="404" spans="1:2" x14ac:dyDescent="0.25">
      <c r="A404" s="12"/>
      <c r="B404" s="18"/>
    </row>
    <row r="405" spans="1:2" x14ac:dyDescent="0.25">
      <c r="A405" s="12"/>
      <c r="B405" s="18"/>
    </row>
    <row r="406" spans="1:2" x14ac:dyDescent="0.25">
      <c r="A406" s="12"/>
      <c r="B406" s="18"/>
    </row>
    <row r="407" spans="1:2" x14ac:dyDescent="0.25">
      <c r="A407" s="12"/>
      <c r="B407" s="18"/>
    </row>
    <row r="408" spans="1:2" x14ac:dyDescent="0.25">
      <c r="A408" s="12"/>
      <c r="B408" s="18"/>
    </row>
    <row r="409" spans="1:2" x14ac:dyDescent="0.25">
      <c r="A409" s="12"/>
      <c r="B409" s="18"/>
    </row>
    <row r="410" spans="1:2" x14ac:dyDescent="0.25">
      <c r="A410" s="12"/>
      <c r="B410" s="18"/>
    </row>
    <row r="411" spans="1:2" x14ac:dyDescent="0.25">
      <c r="A411" s="12"/>
      <c r="B411" s="18"/>
    </row>
    <row r="412" spans="1:2" x14ac:dyDescent="0.25">
      <c r="A412" s="12"/>
      <c r="B412" s="18"/>
    </row>
    <row r="413" spans="1:2" x14ac:dyDescent="0.25">
      <c r="A413" s="12"/>
      <c r="B413" s="18"/>
    </row>
    <row r="414" spans="1:2" x14ac:dyDescent="0.25">
      <c r="A414" s="12"/>
      <c r="B414" s="18"/>
    </row>
    <row r="415" spans="1:2" x14ac:dyDescent="0.25">
      <c r="A415" s="12"/>
      <c r="B415" s="18"/>
    </row>
    <row r="416" spans="1:2" x14ac:dyDescent="0.25">
      <c r="A416" s="12"/>
      <c r="B416" s="18"/>
    </row>
    <row r="417" spans="1:2" x14ac:dyDescent="0.25">
      <c r="A417" s="12"/>
      <c r="B417" s="18"/>
    </row>
    <row r="418" spans="1:2" x14ac:dyDescent="0.25">
      <c r="A418" s="12"/>
      <c r="B418" s="18"/>
    </row>
    <row r="419" spans="1:2" x14ac:dyDescent="0.25">
      <c r="A419" s="12"/>
      <c r="B419" s="18"/>
    </row>
    <row r="420" spans="1:2" x14ac:dyDescent="0.25">
      <c r="A420" s="12"/>
      <c r="B420" s="18"/>
    </row>
    <row r="421" spans="1:2" x14ac:dyDescent="0.25">
      <c r="A421" s="12"/>
      <c r="B421" s="18"/>
    </row>
    <row r="422" spans="1:2" x14ac:dyDescent="0.25">
      <c r="A422" s="12"/>
      <c r="B422" s="18"/>
    </row>
    <row r="423" spans="1:2" x14ac:dyDescent="0.25">
      <c r="A423" s="12"/>
      <c r="B423" s="18"/>
    </row>
    <row r="424" spans="1:2" x14ac:dyDescent="0.25">
      <c r="A424" s="12"/>
      <c r="B424" s="18"/>
    </row>
    <row r="425" spans="1:2" x14ac:dyDescent="0.25">
      <c r="A425" s="12"/>
      <c r="B425" s="18"/>
    </row>
    <row r="426" spans="1:2" x14ac:dyDescent="0.25">
      <c r="A426" s="12"/>
      <c r="B426" s="18"/>
    </row>
    <row r="427" spans="1:2" x14ac:dyDescent="0.25">
      <c r="A427" s="12"/>
      <c r="B427" s="18"/>
    </row>
    <row r="428" spans="1:2" x14ac:dyDescent="0.25">
      <c r="A428" s="12"/>
      <c r="B428" s="18"/>
    </row>
    <row r="429" spans="1:2" x14ac:dyDescent="0.25">
      <c r="A429" s="12"/>
      <c r="B429" s="18"/>
    </row>
    <row r="430" spans="1:2" x14ac:dyDescent="0.25">
      <c r="A430" s="12"/>
      <c r="B430" s="18"/>
    </row>
    <row r="431" spans="1:2" x14ac:dyDescent="0.25">
      <c r="A431" s="12"/>
      <c r="B431" s="18"/>
    </row>
    <row r="432" spans="1:2" x14ac:dyDescent="0.25">
      <c r="A432" s="12"/>
      <c r="B432" s="18"/>
    </row>
    <row r="433" spans="1:2" x14ac:dyDescent="0.25">
      <c r="A433" s="12"/>
      <c r="B433" s="18"/>
    </row>
    <row r="434" spans="1:2" x14ac:dyDescent="0.25">
      <c r="A434" s="12"/>
      <c r="B434" s="18"/>
    </row>
    <row r="435" spans="1:2" x14ac:dyDescent="0.25">
      <c r="A435" s="12"/>
      <c r="B435" s="18"/>
    </row>
    <row r="436" spans="1:2" x14ac:dyDescent="0.25">
      <c r="A436" s="12"/>
      <c r="B436" s="18"/>
    </row>
    <row r="437" spans="1:2" x14ac:dyDescent="0.25">
      <c r="A437" s="12"/>
      <c r="B437" s="18"/>
    </row>
    <row r="438" spans="1:2" x14ac:dyDescent="0.25">
      <c r="A438" s="12"/>
      <c r="B438" s="18"/>
    </row>
    <row r="439" spans="1:2" x14ac:dyDescent="0.25">
      <c r="A439" s="12"/>
      <c r="B439" s="18"/>
    </row>
    <row r="440" spans="1:2" x14ac:dyDescent="0.25">
      <c r="A440" s="12"/>
      <c r="B440" s="18"/>
    </row>
    <row r="441" spans="1:2" x14ac:dyDescent="0.25">
      <c r="A441" s="12"/>
      <c r="B441" s="18"/>
    </row>
    <row r="442" spans="1:2" x14ac:dyDescent="0.25">
      <c r="A442" s="12"/>
      <c r="B442" s="18"/>
    </row>
    <row r="443" spans="1:2" x14ac:dyDescent="0.25">
      <c r="A443" s="12"/>
      <c r="B443" s="18"/>
    </row>
    <row r="444" spans="1:2" x14ac:dyDescent="0.25">
      <c r="A444" s="12"/>
      <c r="B444" s="18"/>
    </row>
    <row r="445" spans="1:2" x14ac:dyDescent="0.25">
      <c r="A445" s="12"/>
      <c r="B445" s="18"/>
    </row>
    <row r="446" spans="1:2" x14ac:dyDescent="0.25">
      <c r="A446" s="12"/>
      <c r="B446" s="18"/>
    </row>
    <row r="447" spans="1:2" x14ac:dyDescent="0.25">
      <c r="A447" s="12"/>
      <c r="B447" s="18"/>
    </row>
    <row r="448" spans="1:2" x14ac:dyDescent="0.25">
      <c r="A448" s="12"/>
      <c r="B448" s="18"/>
    </row>
    <row r="449" spans="1:2" x14ac:dyDescent="0.25">
      <c r="A449" s="12"/>
      <c r="B449" s="18"/>
    </row>
    <row r="450" spans="1:2" x14ac:dyDescent="0.25">
      <c r="A450" s="12"/>
      <c r="B450" s="18"/>
    </row>
    <row r="451" spans="1:2" x14ac:dyDescent="0.25">
      <c r="A451" s="12"/>
      <c r="B451" s="18"/>
    </row>
    <row r="452" spans="1:2" x14ac:dyDescent="0.25">
      <c r="A452" s="12"/>
      <c r="B452" s="18"/>
    </row>
    <row r="453" spans="1:2" x14ac:dyDescent="0.25">
      <c r="A453" s="12"/>
      <c r="B453" s="18"/>
    </row>
    <row r="454" spans="1:2" x14ac:dyDescent="0.25">
      <c r="A454" s="12"/>
      <c r="B454" s="18"/>
    </row>
    <row r="455" spans="1:2" x14ac:dyDescent="0.25">
      <c r="A455" s="12"/>
      <c r="B455" s="18"/>
    </row>
    <row r="456" spans="1:2" x14ac:dyDescent="0.25">
      <c r="A456" s="12"/>
      <c r="B456" s="18"/>
    </row>
    <row r="457" spans="1:2" x14ac:dyDescent="0.25">
      <c r="A457" s="12"/>
      <c r="B457" s="18"/>
    </row>
    <row r="458" spans="1:2" x14ac:dyDescent="0.25">
      <c r="A458" s="12"/>
      <c r="B458" s="18"/>
    </row>
    <row r="459" spans="1:2" x14ac:dyDescent="0.25">
      <c r="A459" s="12"/>
      <c r="B459" s="18"/>
    </row>
    <row r="460" spans="1:2" x14ac:dyDescent="0.25">
      <c r="A460" s="12"/>
      <c r="B460" s="18"/>
    </row>
    <row r="461" spans="1:2" x14ac:dyDescent="0.25">
      <c r="A461" s="12"/>
      <c r="B461" s="18"/>
    </row>
    <row r="462" spans="1:2" x14ac:dyDescent="0.25">
      <c r="A462" s="12"/>
      <c r="B462" s="18"/>
    </row>
    <row r="463" spans="1:2" x14ac:dyDescent="0.25">
      <c r="A463" s="12"/>
      <c r="B463" s="18"/>
    </row>
    <row r="464" spans="1:2" x14ac:dyDescent="0.25">
      <c r="A464" s="12"/>
      <c r="B464" s="18"/>
    </row>
    <row r="465" spans="1:2" x14ac:dyDescent="0.25">
      <c r="A465" s="12"/>
      <c r="B465" s="18"/>
    </row>
    <row r="466" spans="1:2" x14ac:dyDescent="0.25">
      <c r="A466" s="12"/>
      <c r="B466" s="18"/>
    </row>
    <row r="467" spans="1:2" x14ac:dyDescent="0.25">
      <c r="A467" s="12"/>
      <c r="B467" s="18"/>
    </row>
    <row r="468" spans="1:2" x14ac:dyDescent="0.25">
      <c r="A468" s="12"/>
      <c r="B468" s="18"/>
    </row>
    <row r="469" spans="1:2" x14ac:dyDescent="0.25">
      <c r="A469" s="12"/>
      <c r="B469" s="18"/>
    </row>
    <row r="470" spans="1:2" x14ac:dyDescent="0.25">
      <c r="A470" s="12"/>
      <c r="B470" s="18"/>
    </row>
    <row r="471" spans="1:2" x14ac:dyDescent="0.25">
      <c r="A471" s="12"/>
      <c r="B471" s="18"/>
    </row>
    <row r="472" spans="1:2" x14ac:dyDescent="0.25">
      <c r="A472" s="12"/>
      <c r="B472" s="18"/>
    </row>
    <row r="473" spans="1:2" x14ac:dyDescent="0.25">
      <c r="A473" s="12"/>
      <c r="B473" s="18"/>
    </row>
    <row r="474" spans="1:2" x14ac:dyDescent="0.25">
      <c r="A474" s="12"/>
      <c r="B474" s="18"/>
    </row>
    <row r="475" spans="1:2" x14ac:dyDescent="0.25">
      <c r="A475" s="12"/>
      <c r="B475" s="18"/>
    </row>
    <row r="476" spans="1:2" x14ac:dyDescent="0.25">
      <c r="A476" s="12"/>
      <c r="B476" s="18"/>
    </row>
    <row r="477" spans="1:2" x14ac:dyDescent="0.25">
      <c r="A477" s="12"/>
      <c r="B477" s="18"/>
    </row>
    <row r="478" spans="1:2" x14ac:dyDescent="0.25">
      <c r="A478" s="12"/>
      <c r="B478" s="18"/>
    </row>
    <row r="479" spans="1:2" x14ac:dyDescent="0.25">
      <c r="A479" s="12"/>
      <c r="B479" s="18"/>
    </row>
    <row r="480" spans="1:2" x14ac:dyDescent="0.25">
      <c r="A480" s="12"/>
      <c r="B480" s="18"/>
    </row>
    <row r="481" spans="1:2" x14ac:dyDescent="0.25">
      <c r="A481" s="12"/>
      <c r="B481" s="18"/>
    </row>
    <row r="482" spans="1:2" x14ac:dyDescent="0.25">
      <c r="A482" s="12"/>
      <c r="B482" s="18"/>
    </row>
    <row r="483" spans="1:2" x14ac:dyDescent="0.25">
      <c r="A483" s="12"/>
      <c r="B483" s="18"/>
    </row>
    <row r="484" spans="1:2" x14ac:dyDescent="0.25">
      <c r="A484" s="12"/>
      <c r="B484" s="18"/>
    </row>
    <row r="485" spans="1:2" x14ac:dyDescent="0.25">
      <c r="A485" s="12"/>
      <c r="B485" s="18"/>
    </row>
    <row r="486" spans="1:2" x14ac:dyDescent="0.25">
      <c r="A486" s="12"/>
      <c r="B486" s="18"/>
    </row>
    <row r="487" spans="1:2" x14ac:dyDescent="0.25">
      <c r="A487" s="12"/>
      <c r="B487" s="18"/>
    </row>
    <row r="488" spans="1:2" x14ac:dyDescent="0.25">
      <c r="A488" s="12"/>
      <c r="B488" s="18"/>
    </row>
    <row r="489" spans="1:2" x14ac:dyDescent="0.25">
      <c r="A489" s="12"/>
      <c r="B489" s="18"/>
    </row>
    <row r="490" spans="1:2" x14ac:dyDescent="0.25">
      <c r="A490" s="12"/>
      <c r="B490" s="18"/>
    </row>
    <row r="491" spans="1:2" x14ac:dyDescent="0.25">
      <c r="A491" s="12"/>
      <c r="B491" s="18"/>
    </row>
    <row r="492" spans="1:2" x14ac:dyDescent="0.25">
      <c r="A492" s="12"/>
      <c r="B492" s="18"/>
    </row>
    <row r="493" spans="1:2" x14ac:dyDescent="0.25">
      <c r="A493" s="12"/>
      <c r="B493" s="18"/>
    </row>
    <row r="494" spans="1:2" x14ac:dyDescent="0.25">
      <c r="A494" s="12"/>
      <c r="B494" s="18"/>
    </row>
    <row r="495" spans="1:2" x14ac:dyDescent="0.25">
      <c r="A495" s="12"/>
      <c r="B495" s="18"/>
    </row>
    <row r="496" spans="1:2" x14ac:dyDescent="0.25">
      <c r="A496" s="12"/>
      <c r="B496" s="18"/>
    </row>
    <row r="497" spans="1:2" x14ac:dyDescent="0.25">
      <c r="A497" s="12"/>
      <c r="B497" s="18"/>
    </row>
    <row r="498" spans="1:2" x14ac:dyDescent="0.25">
      <c r="A498" s="12"/>
      <c r="B498" s="18"/>
    </row>
    <row r="499" spans="1:2" x14ac:dyDescent="0.25">
      <c r="A499" s="12"/>
      <c r="B499" s="18"/>
    </row>
    <row r="500" spans="1:2" x14ac:dyDescent="0.25">
      <c r="A500" s="12"/>
      <c r="B500" s="18"/>
    </row>
    <row r="501" spans="1:2" x14ac:dyDescent="0.25">
      <c r="A501" s="12"/>
      <c r="B501" s="18"/>
    </row>
    <row r="502" spans="1:2" x14ac:dyDescent="0.25">
      <c r="A502" s="12"/>
      <c r="B502" s="18"/>
    </row>
    <row r="503" spans="1:2" x14ac:dyDescent="0.25">
      <c r="A503" s="12"/>
      <c r="B503" s="18"/>
    </row>
    <row r="504" spans="1:2" x14ac:dyDescent="0.25">
      <c r="A504" s="12"/>
      <c r="B504" s="18"/>
    </row>
    <row r="505" spans="1:2" x14ac:dyDescent="0.25">
      <c r="A505" s="12"/>
      <c r="B505" s="18"/>
    </row>
    <row r="506" spans="1:2" x14ac:dyDescent="0.25">
      <c r="A506" s="12"/>
      <c r="B506" s="18"/>
    </row>
    <row r="507" spans="1:2" x14ac:dyDescent="0.25">
      <c r="A507" s="12"/>
      <c r="B507" s="18"/>
    </row>
    <row r="508" spans="1:2" x14ac:dyDescent="0.25">
      <c r="A508" s="12"/>
      <c r="B508" s="18"/>
    </row>
    <row r="509" spans="1:2" x14ac:dyDescent="0.25">
      <c r="A509" s="12"/>
      <c r="B509" s="18"/>
    </row>
    <row r="510" spans="1:2" x14ac:dyDescent="0.25">
      <c r="A510" s="12"/>
      <c r="B510" s="18"/>
    </row>
    <row r="511" spans="1:2" x14ac:dyDescent="0.25">
      <c r="A511" s="12"/>
      <c r="B511" s="18"/>
    </row>
    <row r="512" spans="1:2" x14ac:dyDescent="0.25">
      <c r="A512" s="12"/>
      <c r="B512" s="18"/>
    </row>
    <row r="513" spans="1:2" x14ac:dyDescent="0.25">
      <c r="A513" s="12"/>
      <c r="B513" s="18"/>
    </row>
    <row r="514" spans="1:2" x14ac:dyDescent="0.25">
      <c r="A514" s="12"/>
      <c r="B514" s="18"/>
    </row>
    <row r="515" spans="1:2" x14ac:dyDescent="0.25">
      <c r="A515" s="12"/>
      <c r="B515" s="18"/>
    </row>
    <row r="516" spans="1:2" x14ac:dyDescent="0.25">
      <c r="A516" s="12"/>
      <c r="B516" s="18"/>
    </row>
    <row r="517" spans="1:2" x14ac:dyDescent="0.25">
      <c r="A517" s="12"/>
      <c r="B517" s="18"/>
    </row>
    <row r="518" spans="1:2" x14ac:dyDescent="0.25">
      <c r="A518" s="12"/>
      <c r="B518" s="18"/>
    </row>
    <row r="519" spans="1:2" x14ac:dyDescent="0.25">
      <c r="A519" s="12"/>
      <c r="B519" s="18"/>
    </row>
    <row r="520" spans="1:2" x14ac:dyDescent="0.25">
      <c r="A520" s="12"/>
      <c r="B520" s="18"/>
    </row>
    <row r="521" spans="1:2" x14ac:dyDescent="0.25">
      <c r="A521" s="12"/>
      <c r="B521" s="18"/>
    </row>
    <row r="522" spans="1:2" x14ac:dyDescent="0.25">
      <c r="A522" s="12"/>
      <c r="B522" s="18"/>
    </row>
    <row r="523" spans="1:2" x14ac:dyDescent="0.25">
      <c r="A523" s="12"/>
      <c r="B523" s="18"/>
    </row>
    <row r="524" spans="1:2" x14ac:dyDescent="0.25">
      <c r="A524" s="12"/>
      <c r="B524" s="18"/>
    </row>
    <row r="525" spans="1:2" x14ac:dyDescent="0.25">
      <c r="A525" s="12"/>
      <c r="B525" s="18"/>
    </row>
    <row r="526" spans="1:2" x14ac:dyDescent="0.25">
      <c r="A526" s="12"/>
      <c r="B526" s="18"/>
    </row>
    <row r="527" spans="1:2" x14ac:dyDescent="0.25">
      <c r="A527" s="12"/>
      <c r="B527" s="18"/>
    </row>
    <row r="528" spans="1:2" x14ac:dyDescent="0.25">
      <c r="A528" s="12"/>
      <c r="B528" s="18"/>
    </row>
    <row r="529" spans="1:2" x14ac:dyDescent="0.25">
      <c r="A529" s="12"/>
      <c r="B529" s="18"/>
    </row>
    <row r="530" spans="1:2" x14ac:dyDescent="0.25">
      <c r="A530" s="12"/>
      <c r="B530" s="18"/>
    </row>
    <row r="531" spans="1:2" x14ac:dyDescent="0.25">
      <c r="A531" s="12"/>
      <c r="B531" s="18"/>
    </row>
    <row r="532" spans="1:2" x14ac:dyDescent="0.25">
      <c r="A532" s="12"/>
      <c r="B532" s="18"/>
    </row>
    <row r="533" spans="1:2" x14ac:dyDescent="0.25">
      <c r="A533" s="12"/>
      <c r="B533" s="18"/>
    </row>
    <row r="534" spans="1:2" x14ac:dyDescent="0.25">
      <c r="A534" s="12"/>
      <c r="B534" s="18"/>
    </row>
    <row r="535" spans="1:2" x14ac:dyDescent="0.25">
      <c r="A535" s="12"/>
      <c r="B535" s="18"/>
    </row>
    <row r="536" spans="1:2" x14ac:dyDescent="0.25">
      <c r="A536" s="12"/>
      <c r="B536" s="18"/>
    </row>
    <row r="537" spans="1:2" x14ac:dyDescent="0.25">
      <c r="A537" s="12"/>
      <c r="B537" s="18"/>
    </row>
    <row r="538" spans="1:2" x14ac:dyDescent="0.25">
      <c r="A538" s="12"/>
      <c r="B538" s="18"/>
    </row>
    <row r="539" spans="1:2" x14ac:dyDescent="0.25">
      <c r="A539" s="12"/>
      <c r="B539" s="18"/>
    </row>
    <row r="540" spans="1:2" x14ac:dyDescent="0.25">
      <c r="A540" s="12"/>
      <c r="B540" s="18"/>
    </row>
    <row r="541" spans="1:2" x14ac:dyDescent="0.25">
      <c r="A541" s="12"/>
      <c r="B541" s="18"/>
    </row>
    <row r="542" spans="1:2" x14ac:dyDescent="0.25">
      <c r="A542" s="12"/>
      <c r="B542" s="18"/>
    </row>
    <row r="543" spans="1:2" x14ac:dyDescent="0.25">
      <c r="A543" s="12"/>
      <c r="B543" s="18"/>
    </row>
    <row r="544" spans="1:2" x14ac:dyDescent="0.25">
      <c r="A544" s="12"/>
      <c r="B544" s="18"/>
    </row>
    <row r="545" spans="1:2" x14ac:dyDescent="0.25">
      <c r="A545" s="12"/>
      <c r="B545" s="18"/>
    </row>
    <row r="546" spans="1:2" x14ac:dyDescent="0.25">
      <c r="A546" s="12"/>
      <c r="B546" s="18"/>
    </row>
    <row r="547" spans="1:2" x14ac:dyDescent="0.25">
      <c r="A547" s="12"/>
      <c r="B547" s="18"/>
    </row>
    <row r="548" spans="1:2" x14ac:dyDescent="0.25">
      <c r="A548" s="12"/>
      <c r="B548" s="18"/>
    </row>
    <row r="549" spans="1:2" x14ac:dyDescent="0.25">
      <c r="A549" s="12"/>
      <c r="B549" s="18"/>
    </row>
    <row r="550" spans="1:2" x14ac:dyDescent="0.25">
      <c r="A550" s="12"/>
      <c r="B550" s="18"/>
    </row>
    <row r="551" spans="1:2" x14ac:dyDescent="0.25">
      <c r="A551" s="12"/>
      <c r="B551" s="18"/>
    </row>
    <row r="552" spans="1:2" x14ac:dyDescent="0.25">
      <c r="A552" s="12"/>
      <c r="B552" s="18"/>
    </row>
    <row r="553" spans="1:2" x14ac:dyDescent="0.25">
      <c r="A553" s="12"/>
      <c r="B553" s="18"/>
    </row>
    <row r="554" spans="1:2" x14ac:dyDescent="0.25">
      <c r="A554" s="12"/>
      <c r="B554" s="18"/>
    </row>
    <row r="555" spans="1:2" x14ac:dyDescent="0.25">
      <c r="A555" s="12"/>
      <c r="B555" s="18"/>
    </row>
    <row r="556" spans="1:2" x14ac:dyDescent="0.25">
      <c r="A556" s="12"/>
      <c r="B556" s="18"/>
    </row>
    <row r="557" spans="1:2" x14ac:dyDescent="0.25">
      <c r="A557" s="12"/>
      <c r="B557" s="18"/>
    </row>
    <row r="558" spans="1:2" x14ac:dyDescent="0.25">
      <c r="A558" s="12"/>
      <c r="B558" s="18"/>
    </row>
    <row r="559" spans="1:2" x14ac:dyDescent="0.25">
      <c r="A559" s="12"/>
      <c r="B559" s="18"/>
    </row>
    <row r="560" spans="1:2" x14ac:dyDescent="0.25">
      <c r="A560" s="12"/>
      <c r="B560" s="18"/>
    </row>
    <row r="561" spans="1:2" x14ac:dyDescent="0.25">
      <c r="A561" s="12"/>
      <c r="B561" s="18"/>
    </row>
    <row r="562" spans="1:2" x14ac:dyDescent="0.25">
      <c r="A562" s="12"/>
      <c r="B562" s="18"/>
    </row>
    <row r="563" spans="1:2" x14ac:dyDescent="0.25">
      <c r="A563" s="12"/>
      <c r="B563" s="18"/>
    </row>
    <row r="564" spans="1:2" x14ac:dyDescent="0.25">
      <c r="A564" s="12"/>
      <c r="B564" s="18"/>
    </row>
    <row r="565" spans="1:2" x14ac:dyDescent="0.25">
      <c r="A565" s="12"/>
      <c r="B565" s="18"/>
    </row>
    <row r="566" spans="1:2" x14ac:dyDescent="0.25">
      <c r="A566" s="12"/>
      <c r="B566" s="18"/>
    </row>
    <row r="567" spans="1:2" x14ac:dyDescent="0.25">
      <c r="A567" s="12"/>
      <c r="B567" s="18"/>
    </row>
    <row r="568" spans="1:2" x14ac:dyDescent="0.25">
      <c r="A568" s="12"/>
      <c r="B568" s="18"/>
    </row>
    <row r="569" spans="1:2" x14ac:dyDescent="0.25">
      <c r="A569" s="12"/>
      <c r="B569" s="18"/>
    </row>
    <row r="570" spans="1:2" x14ac:dyDescent="0.25">
      <c r="A570" s="12"/>
      <c r="B570" s="18"/>
    </row>
    <row r="571" spans="1:2" x14ac:dyDescent="0.25">
      <c r="A571" s="12"/>
      <c r="B571" s="18"/>
    </row>
    <row r="572" spans="1:2" x14ac:dyDescent="0.25">
      <c r="A572" s="12"/>
      <c r="B572" s="18"/>
    </row>
    <row r="573" spans="1:2" x14ac:dyDescent="0.25">
      <c r="A573" s="12"/>
      <c r="B573" s="18"/>
    </row>
    <row r="574" spans="1:2" x14ac:dyDescent="0.25">
      <c r="A574" s="12"/>
      <c r="B574" s="18"/>
    </row>
    <row r="575" spans="1:2" x14ac:dyDescent="0.25">
      <c r="A575" s="12"/>
      <c r="B575" s="18"/>
    </row>
    <row r="576" spans="1:2" x14ac:dyDescent="0.25">
      <c r="A576" s="12"/>
      <c r="B576" s="18"/>
    </row>
    <row r="577" spans="1:2" x14ac:dyDescent="0.25">
      <c r="A577" s="12"/>
      <c r="B577" s="18"/>
    </row>
    <row r="578" spans="1:2" x14ac:dyDescent="0.25">
      <c r="A578" s="12"/>
      <c r="B578" s="18"/>
    </row>
    <row r="579" spans="1:2" x14ac:dyDescent="0.25">
      <c r="A579" s="12"/>
      <c r="B579" s="18"/>
    </row>
    <row r="580" spans="1:2" x14ac:dyDescent="0.25">
      <c r="A580" s="12"/>
      <c r="B580" s="18"/>
    </row>
    <row r="581" spans="1:2" x14ac:dyDescent="0.25">
      <c r="A581" s="12"/>
      <c r="B581" s="18"/>
    </row>
    <row r="582" spans="1:2" x14ac:dyDescent="0.25">
      <c r="A582" s="12"/>
      <c r="B582" s="18"/>
    </row>
    <row r="583" spans="1:2" x14ac:dyDescent="0.25">
      <c r="A583" s="12"/>
      <c r="B583" s="18"/>
    </row>
    <row r="584" spans="1:2" x14ac:dyDescent="0.25">
      <c r="A584" s="12"/>
      <c r="B584" s="18"/>
    </row>
    <row r="585" spans="1:2" x14ac:dyDescent="0.25">
      <c r="A585" s="12"/>
      <c r="B585" s="18"/>
    </row>
    <row r="586" spans="1:2" x14ac:dyDescent="0.25">
      <c r="A586" s="12"/>
      <c r="B586" s="18"/>
    </row>
    <row r="587" spans="1:2" x14ac:dyDescent="0.25">
      <c r="A587" s="12"/>
      <c r="B587" s="18"/>
    </row>
    <row r="588" spans="1:2" x14ac:dyDescent="0.25">
      <c r="A588" s="12"/>
      <c r="B588" s="18"/>
    </row>
    <row r="589" spans="1:2" x14ac:dyDescent="0.25">
      <c r="A589" s="12"/>
      <c r="B589" s="18"/>
    </row>
    <row r="590" spans="1:2" x14ac:dyDescent="0.25">
      <c r="A590" s="12"/>
      <c r="B590" s="18"/>
    </row>
    <row r="591" spans="1:2" x14ac:dyDescent="0.25">
      <c r="A591" s="12"/>
      <c r="B591" s="18"/>
    </row>
    <row r="592" spans="1:2" x14ac:dyDescent="0.25">
      <c r="A592" s="12"/>
      <c r="B592" s="18"/>
    </row>
    <row r="593" spans="1:2" x14ac:dyDescent="0.25">
      <c r="A593" s="12"/>
      <c r="B593" s="18"/>
    </row>
    <row r="594" spans="1:2" x14ac:dyDescent="0.25">
      <c r="A594" s="12"/>
      <c r="B594" s="18"/>
    </row>
    <row r="595" spans="1:2" x14ac:dyDescent="0.25">
      <c r="A595" s="12"/>
      <c r="B595" s="18"/>
    </row>
    <row r="596" spans="1:2" x14ac:dyDescent="0.25">
      <c r="A596" s="12"/>
      <c r="B596" s="18"/>
    </row>
    <row r="597" spans="1:2" x14ac:dyDescent="0.25">
      <c r="A597" s="12"/>
      <c r="B597" s="18"/>
    </row>
    <row r="598" spans="1:2" x14ac:dyDescent="0.25">
      <c r="A598" s="12"/>
      <c r="B598" s="18"/>
    </row>
    <row r="599" spans="1:2" x14ac:dyDescent="0.25">
      <c r="A599" s="12"/>
      <c r="B599" s="18"/>
    </row>
    <row r="600" spans="1:2" x14ac:dyDescent="0.25">
      <c r="A600" s="12"/>
      <c r="B600" s="18"/>
    </row>
    <row r="601" spans="1:2" x14ac:dyDescent="0.25">
      <c r="A601" s="12"/>
      <c r="B601" s="18"/>
    </row>
    <row r="602" spans="1:2" x14ac:dyDescent="0.25">
      <c r="A602" s="12"/>
      <c r="B602" s="18"/>
    </row>
    <row r="603" spans="1:2" x14ac:dyDescent="0.25">
      <c r="A603" s="12"/>
      <c r="B603" s="18"/>
    </row>
    <row r="604" spans="1:2" x14ac:dyDescent="0.25">
      <c r="A604" s="12"/>
      <c r="B604" s="18"/>
    </row>
    <row r="605" spans="1:2" x14ac:dyDescent="0.25">
      <c r="A605" s="12"/>
      <c r="B605" s="18"/>
    </row>
    <row r="606" spans="1:2" x14ac:dyDescent="0.25">
      <c r="A606" s="12"/>
      <c r="B606" s="18"/>
    </row>
    <row r="607" spans="1:2" x14ac:dyDescent="0.25">
      <c r="A607" s="12"/>
      <c r="B607" s="18"/>
    </row>
    <row r="608" spans="1:2" x14ac:dyDescent="0.25">
      <c r="A608" s="12"/>
      <c r="B608" s="18"/>
    </row>
    <row r="609" spans="1:2" x14ac:dyDescent="0.25">
      <c r="A609" s="12"/>
      <c r="B609" s="18"/>
    </row>
    <row r="610" spans="1:2" x14ac:dyDescent="0.25">
      <c r="A610" s="12"/>
      <c r="B610" s="18"/>
    </row>
    <row r="611" spans="1:2" x14ac:dyDescent="0.25">
      <c r="A611" s="12"/>
      <c r="B611" s="18"/>
    </row>
    <row r="612" spans="1:2" x14ac:dyDescent="0.25">
      <c r="A612" s="12"/>
      <c r="B612" s="18"/>
    </row>
    <row r="613" spans="1:2" x14ac:dyDescent="0.25">
      <c r="A613" s="12"/>
      <c r="B613" s="18"/>
    </row>
    <row r="614" spans="1:2" x14ac:dyDescent="0.25">
      <c r="A614" s="12"/>
      <c r="B614" s="18"/>
    </row>
    <row r="615" spans="1:2" x14ac:dyDescent="0.25">
      <c r="A615" s="12"/>
      <c r="B615" s="18"/>
    </row>
    <row r="616" spans="1:2" x14ac:dyDescent="0.25">
      <c r="A616" s="12"/>
      <c r="B616" s="18"/>
    </row>
    <row r="617" spans="1:2" x14ac:dyDescent="0.25">
      <c r="A617" s="12"/>
      <c r="B617" s="18"/>
    </row>
    <row r="618" spans="1:2" x14ac:dyDescent="0.25">
      <c r="A618" s="12"/>
      <c r="B618" s="18"/>
    </row>
    <row r="619" spans="1:2" x14ac:dyDescent="0.25">
      <c r="A619" s="12"/>
      <c r="B619" s="18"/>
    </row>
    <row r="620" spans="1:2" x14ac:dyDescent="0.25">
      <c r="A620" s="12"/>
      <c r="B620" s="18"/>
    </row>
    <row r="621" spans="1:2" x14ac:dyDescent="0.25">
      <c r="A621" s="12"/>
      <c r="B621" s="18"/>
    </row>
    <row r="622" spans="1:2" x14ac:dyDescent="0.25">
      <c r="A622" s="12"/>
      <c r="B622" s="18"/>
    </row>
    <row r="623" spans="1:2" x14ac:dyDescent="0.25">
      <c r="A623" s="12"/>
      <c r="B623" s="18"/>
    </row>
    <row r="624" spans="1:2" x14ac:dyDescent="0.25">
      <c r="A624" s="12"/>
      <c r="B624" s="18"/>
    </row>
    <row r="625" spans="1:2" x14ac:dyDescent="0.25">
      <c r="A625" s="12"/>
      <c r="B625" s="18"/>
    </row>
    <row r="626" spans="1:2" x14ac:dyDescent="0.25">
      <c r="A626" s="12"/>
      <c r="B626" s="18"/>
    </row>
    <row r="627" spans="1:2" x14ac:dyDescent="0.25">
      <c r="A627" s="12"/>
      <c r="B627" s="18"/>
    </row>
    <row r="628" spans="1:2" x14ac:dyDescent="0.25">
      <c r="A628" s="12"/>
      <c r="B628" s="18"/>
    </row>
    <row r="629" spans="1:2" x14ac:dyDescent="0.25">
      <c r="A629" s="12"/>
      <c r="B629" s="18"/>
    </row>
    <row r="630" spans="1:2" x14ac:dyDescent="0.25">
      <c r="A630" s="12"/>
      <c r="B630" s="18"/>
    </row>
    <row r="631" spans="1:2" x14ac:dyDescent="0.25">
      <c r="A631" s="12"/>
      <c r="B631" s="18"/>
    </row>
    <row r="632" spans="1:2" x14ac:dyDescent="0.25">
      <c r="A632" s="12"/>
      <c r="B632" s="18"/>
    </row>
    <row r="633" spans="1:2" x14ac:dyDescent="0.25">
      <c r="A633" s="12"/>
      <c r="B633" s="18"/>
    </row>
    <row r="634" spans="1:2" x14ac:dyDescent="0.25">
      <c r="A634" s="12"/>
      <c r="B634" s="18"/>
    </row>
    <row r="635" spans="1:2" x14ac:dyDescent="0.25">
      <c r="A635" s="12"/>
      <c r="B635" s="18"/>
    </row>
    <row r="636" spans="1:2" x14ac:dyDescent="0.25">
      <c r="A636" s="12"/>
      <c r="B636" s="18"/>
    </row>
    <row r="637" spans="1:2" x14ac:dyDescent="0.25">
      <c r="A637" s="12"/>
      <c r="B637" s="18"/>
    </row>
    <row r="638" spans="1:2" x14ac:dyDescent="0.25">
      <c r="A638" s="12"/>
      <c r="B638" s="18"/>
    </row>
    <row r="639" spans="1:2" x14ac:dyDescent="0.25">
      <c r="A639" s="12"/>
      <c r="B639" s="18"/>
    </row>
    <row r="640" spans="1:2" x14ac:dyDescent="0.25">
      <c r="A640" s="12"/>
      <c r="B640" s="18"/>
    </row>
    <row r="641" spans="1:2" x14ac:dyDescent="0.25">
      <c r="A641" s="12"/>
      <c r="B641" s="18"/>
    </row>
    <row r="642" spans="1:2" x14ac:dyDescent="0.25">
      <c r="A642" s="12"/>
      <c r="B642" s="18"/>
    </row>
    <row r="643" spans="1:2" x14ac:dyDescent="0.25">
      <c r="A643" s="12"/>
      <c r="B643" s="18"/>
    </row>
    <row r="644" spans="1:2" x14ac:dyDescent="0.25">
      <c r="A644" s="12"/>
      <c r="B644" s="18"/>
    </row>
    <row r="645" spans="1:2" x14ac:dyDescent="0.25">
      <c r="A645" s="12"/>
      <c r="B645" s="18"/>
    </row>
    <row r="646" spans="1:2" x14ac:dyDescent="0.25">
      <c r="A646" s="12"/>
      <c r="B646" s="18"/>
    </row>
    <row r="647" spans="1:2" x14ac:dyDescent="0.25">
      <c r="A647" s="12"/>
      <c r="B647" s="18"/>
    </row>
    <row r="648" spans="1:2" x14ac:dyDescent="0.25">
      <c r="A648" s="12"/>
      <c r="B648" s="18"/>
    </row>
    <row r="649" spans="1:2" x14ac:dyDescent="0.25">
      <c r="A649" s="12"/>
      <c r="B649" s="18"/>
    </row>
    <row r="650" spans="1:2" x14ac:dyDescent="0.25">
      <c r="A650" s="12"/>
      <c r="B650" s="18"/>
    </row>
    <row r="651" spans="1:2" x14ac:dyDescent="0.25">
      <c r="A651" s="12"/>
      <c r="B651" s="18"/>
    </row>
    <row r="652" spans="1:2" x14ac:dyDescent="0.25">
      <c r="A652" s="12"/>
      <c r="B652" s="18"/>
    </row>
    <row r="653" spans="1:2" x14ac:dyDescent="0.25">
      <c r="A653" s="12"/>
      <c r="B653" s="18"/>
    </row>
    <row r="654" spans="1:2" x14ac:dyDescent="0.25">
      <c r="A654" s="12"/>
      <c r="B654" s="18"/>
    </row>
    <row r="655" spans="1:2" x14ac:dyDescent="0.25">
      <c r="A655" s="12"/>
      <c r="B655" s="18"/>
    </row>
    <row r="656" spans="1:2" x14ac:dyDescent="0.25">
      <c r="A656" s="12"/>
      <c r="B656" s="18"/>
    </row>
    <row r="657" spans="1:2" x14ac:dyDescent="0.25">
      <c r="A657" s="12"/>
      <c r="B657" s="18"/>
    </row>
    <row r="658" spans="1:2" x14ac:dyDescent="0.25">
      <c r="A658" s="12"/>
      <c r="B658" s="18"/>
    </row>
    <row r="659" spans="1:2" x14ac:dyDescent="0.25">
      <c r="A659" s="12"/>
      <c r="B659" s="18"/>
    </row>
    <row r="660" spans="1:2" x14ac:dyDescent="0.25">
      <c r="A660" s="12"/>
      <c r="B660" s="18"/>
    </row>
    <row r="661" spans="1:2" x14ac:dyDescent="0.25">
      <c r="A661" s="12"/>
      <c r="B661" s="18"/>
    </row>
    <row r="662" spans="1:2" x14ac:dyDescent="0.25">
      <c r="A662" s="12"/>
      <c r="B662" s="18"/>
    </row>
    <row r="663" spans="1:2" x14ac:dyDescent="0.25">
      <c r="A663" s="12"/>
      <c r="B663" s="18"/>
    </row>
    <row r="664" spans="1:2" x14ac:dyDescent="0.25">
      <c r="A664" s="12"/>
      <c r="B664" s="18"/>
    </row>
    <row r="665" spans="1:2" x14ac:dyDescent="0.25">
      <c r="A665" s="12"/>
      <c r="B665" s="18"/>
    </row>
    <row r="666" spans="1:2" x14ac:dyDescent="0.25">
      <c r="A666" s="12"/>
      <c r="B666" s="18"/>
    </row>
    <row r="667" spans="1:2" x14ac:dyDescent="0.25">
      <c r="A667" s="12"/>
      <c r="B667" s="18"/>
    </row>
    <row r="668" spans="1:2" x14ac:dyDescent="0.25">
      <c r="A668" s="12"/>
      <c r="B668" s="18"/>
    </row>
    <row r="669" spans="1:2" x14ac:dyDescent="0.25">
      <c r="A669" s="12"/>
      <c r="B669" s="18"/>
    </row>
    <row r="670" spans="1:2" x14ac:dyDescent="0.25">
      <c r="A670" s="12"/>
      <c r="B670" s="18"/>
    </row>
    <row r="671" spans="1:2" x14ac:dyDescent="0.25">
      <c r="A671" s="12"/>
      <c r="B671" s="18"/>
    </row>
    <row r="672" spans="1:2" x14ac:dyDescent="0.25">
      <c r="A672" s="12"/>
      <c r="B672" s="18"/>
    </row>
    <row r="673" spans="1:2" x14ac:dyDescent="0.25">
      <c r="A673" s="12"/>
      <c r="B673" s="18"/>
    </row>
    <row r="674" spans="1:2" x14ac:dyDescent="0.25">
      <c r="A674" s="12"/>
      <c r="B674" s="18"/>
    </row>
    <row r="675" spans="1:2" x14ac:dyDescent="0.25">
      <c r="A675" s="12"/>
      <c r="B675" s="18"/>
    </row>
    <row r="676" spans="1:2" x14ac:dyDescent="0.25">
      <c r="A676" s="12"/>
      <c r="B676" s="18"/>
    </row>
    <row r="677" spans="1:2" x14ac:dyDescent="0.25">
      <c r="A677" s="12"/>
      <c r="B677" s="18"/>
    </row>
    <row r="678" spans="1:2" x14ac:dyDescent="0.25">
      <c r="A678" s="12"/>
      <c r="B678" s="18"/>
    </row>
    <row r="679" spans="1:2" x14ac:dyDescent="0.25">
      <c r="A679" s="12"/>
      <c r="B679" s="18"/>
    </row>
    <row r="680" spans="1:2" x14ac:dyDescent="0.25">
      <c r="A680" s="12"/>
      <c r="B680" s="18"/>
    </row>
    <row r="681" spans="1:2" x14ac:dyDescent="0.25">
      <c r="A681" s="12"/>
      <c r="B681" s="18"/>
    </row>
    <row r="682" spans="1:2" x14ac:dyDescent="0.25">
      <c r="A682" s="12"/>
      <c r="B682" s="18"/>
    </row>
    <row r="683" spans="1:2" x14ac:dyDescent="0.25">
      <c r="A683" s="12"/>
      <c r="B683" s="18"/>
    </row>
    <row r="684" spans="1:2" x14ac:dyDescent="0.25">
      <c r="A684" s="12"/>
      <c r="B684" s="18"/>
    </row>
    <row r="685" spans="1:2" x14ac:dyDescent="0.25">
      <c r="A685" s="12"/>
      <c r="B685" s="18"/>
    </row>
    <row r="686" spans="1:2" x14ac:dyDescent="0.25">
      <c r="A686" s="12"/>
      <c r="B686" s="18"/>
    </row>
    <row r="687" spans="1:2" x14ac:dyDescent="0.25">
      <c r="A687" s="12"/>
      <c r="B687" s="18"/>
    </row>
    <row r="688" spans="1:2" x14ac:dyDescent="0.25">
      <c r="A688" s="12"/>
      <c r="B688" s="18"/>
    </row>
    <row r="689" spans="1:2" x14ac:dyDescent="0.25">
      <c r="A689" s="12"/>
      <c r="B689" s="18"/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251"/>
  <sheetViews>
    <sheetView topLeftCell="A231" workbookViewId="0">
      <selection activeCell="B2" sqref="B2:C251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48</v>
      </c>
      <c r="B1" s="1" t="s">
        <v>78</v>
      </c>
      <c r="C1" s="1" t="s">
        <v>0</v>
      </c>
      <c r="D1" s="1" t="s">
        <v>169</v>
      </c>
      <c r="H1" s="70" t="s">
        <v>170</v>
      </c>
      <c r="I1" s="71"/>
      <c r="J1" s="71"/>
      <c r="K1" s="71"/>
      <c r="L1" s="71"/>
      <c r="M1" s="72"/>
    </row>
    <row r="2" spans="1:13" ht="15.75" thickBot="1" x14ac:dyDescent="0.3">
      <c r="B2" s="12">
        <v>45411</v>
      </c>
      <c r="C2" s="18">
        <v>43.029998999999997</v>
      </c>
      <c r="D2" s="147">
        <f>C2/C3-1</f>
        <v>-2.3186180774724674E-3</v>
      </c>
      <c r="H2" s="73"/>
      <c r="I2" s="74"/>
      <c r="J2" s="74"/>
      <c r="K2" s="74"/>
      <c r="L2" s="74"/>
      <c r="M2" s="75"/>
    </row>
    <row r="3" spans="1:13" ht="15.75" thickBot="1" x14ac:dyDescent="0.3">
      <c r="B3" s="12">
        <v>45404</v>
      </c>
      <c r="C3" s="18">
        <v>43.130001</v>
      </c>
      <c r="D3" s="147">
        <f t="shared" ref="D3:D66" si="0">C3/C4-1</f>
        <v>6.0226179941002878E-2</v>
      </c>
      <c r="H3" s="76" t="s">
        <v>171</v>
      </c>
      <c r="I3" s="77" t="s">
        <v>172</v>
      </c>
      <c r="J3" s="78" t="s">
        <v>173</v>
      </c>
      <c r="K3" s="79" t="s">
        <v>174</v>
      </c>
      <c r="L3" s="79" t="s">
        <v>175</v>
      </c>
      <c r="M3" s="80" t="s">
        <v>176</v>
      </c>
    </row>
    <row r="4" spans="1:13" x14ac:dyDescent="0.25">
      <c r="B4" s="12">
        <v>45397</v>
      </c>
      <c r="C4" s="18">
        <v>40.68</v>
      </c>
      <c r="D4" s="147">
        <f t="shared" si="0"/>
        <v>-8.0054294887962674E-2</v>
      </c>
      <c r="H4" s="81">
        <f>$I$19-3*$I$23</f>
        <v>-0.30157818184026702</v>
      </c>
      <c r="I4" s="82">
        <f>H4</f>
        <v>-0.30157818184026702</v>
      </c>
      <c r="J4" s="83">
        <f>COUNTIF(D:D,"&lt;="&amp;H4)</f>
        <v>0</v>
      </c>
      <c r="K4" s="83" t="str">
        <f>"Less than "&amp;TEXT(H4,"0,00%")</f>
        <v>Less than -30,16%</v>
      </c>
      <c r="L4" s="84">
        <f>J4/$I$31</f>
        <v>0</v>
      </c>
      <c r="M4" s="85">
        <f>L4</f>
        <v>0</v>
      </c>
    </row>
    <row r="5" spans="1:13" x14ac:dyDescent="0.25">
      <c r="B5" s="12">
        <v>45390</v>
      </c>
      <c r="C5" s="18">
        <v>44.220001000000003</v>
      </c>
      <c r="D5" s="147">
        <f t="shared" si="0"/>
        <v>-6.3135591882720443E-2</v>
      </c>
      <c r="H5" s="86">
        <f>$I$19-2.4*$I$23</f>
        <v>-0.23900731811759326</v>
      </c>
      <c r="I5" s="87">
        <f>H5</f>
        <v>-0.23900731811759326</v>
      </c>
      <c r="J5" s="88">
        <f>COUNTIFS(D:D,"&lt;="&amp;H5,D:D,"&gt;"&amp;H4)</f>
        <v>4</v>
      </c>
      <c r="K5" s="89" t="str">
        <f t="shared" ref="K5:K14" si="1">TEXT(H4,"0,00%")&amp;" to "&amp;TEXT(H5,"0,00%")</f>
        <v>-30,16% to -23,90%</v>
      </c>
      <c r="L5" s="90">
        <f>J5/$I$31</f>
        <v>1.6064257028112448E-2</v>
      </c>
      <c r="M5" s="91">
        <f>M4+L5</f>
        <v>1.6064257028112448E-2</v>
      </c>
    </row>
    <row r="6" spans="1:13" x14ac:dyDescent="0.25">
      <c r="B6" s="12">
        <v>45383</v>
      </c>
      <c r="C6" s="18">
        <v>47.200001</v>
      </c>
      <c r="D6" s="147">
        <f t="shared" si="0"/>
        <v>3.941865227923369E-2</v>
      </c>
      <c r="H6" s="86">
        <f>$I$19-1.8*$I$23</f>
        <v>-0.17643645439491956</v>
      </c>
      <c r="I6" s="87">
        <f t="shared" ref="I6:I14" si="2">H6</f>
        <v>-0.17643645439491956</v>
      </c>
      <c r="J6" s="88">
        <f t="shared" ref="J6:J14" si="3">COUNTIFS(D:D,"&lt;="&amp;H6,D:D,"&gt;"&amp;H5)</f>
        <v>5</v>
      </c>
      <c r="K6" s="89" t="str">
        <f t="shared" si="1"/>
        <v>-23,90% to -17,64%</v>
      </c>
      <c r="L6" s="90">
        <f t="shared" ref="L6:L15" si="4">J6/$I$31</f>
        <v>2.0080321285140562E-2</v>
      </c>
      <c r="M6" s="91">
        <f t="shared" ref="M6:M15" si="5">M5+L6</f>
        <v>3.614457831325301E-2</v>
      </c>
    </row>
    <row r="7" spans="1:13" x14ac:dyDescent="0.25">
      <c r="B7" s="12">
        <v>45376</v>
      </c>
      <c r="C7" s="18">
        <v>45.41</v>
      </c>
      <c r="D7" s="147">
        <f t="shared" si="0"/>
        <v>-3.7923749196530854E-2</v>
      </c>
      <c r="H7" s="86">
        <f>$I$19-1.2*$I$23</f>
        <v>-0.11386559067224583</v>
      </c>
      <c r="I7" s="87">
        <f t="shared" si="2"/>
        <v>-0.11386559067224583</v>
      </c>
      <c r="J7" s="88">
        <f t="shared" si="3"/>
        <v>14</v>
      </c>
      <c r="K7" s="89" t="str">
        <f t="shared" si="1"/>
        <v>-17,64% to -11,39%</v>
      </c>
      <c r="L7" s="90">
        <f t="shared" si="4"/>
        <v>5.6224899598393573E-2</v>
      </c>
      <c r="M7" s="91">
        <f t="shared" si="5"/>
        <v>9.2369477911646583E-2</v>
      </c>
    </row>
    <row r="8" spans="1:13" x14ac:dyDescent="0.25">
      <c r="B8" s="12">
        <v>45369</v>
      </c>
      <c r="C8" s="18">
        <v>47.200001</v>
      </c>
      <c r="D8" s="147">
        <f t="shared" si="0"/>
        <v>0.12972719314808989</v>
      </c>
      <c r="H8" s="86">
        <f>$I$19-0.6*$I$23</f>
        <v>-5.1294726949572121E-2</v>
      </c>
      <c r="I8" s="87">
        <f t="shared" si="2"/>
        <v>-5.1294726949572121E-2</v>
      </c>
      <c r="J8" s="88">
        <f t="shared" si="3"/>
        <v>33</v>
      </c>
      <c r="K8" s="89" t="str">
        <f t="shared" si="1"/>
        <v>-11,39% to -5,13%</v>
      </c>
      <c r="L8" s="90">
        <f t="shared" si="4"/>
        <v>0.13253012048192772</v>
      </c>
      <c r="M8" s="91">
        <f t="shared" si="5"/>
        <v>0.22489959839357432</v>
      </c>
    </row>
    <row r="9" spans="1:13" x14ac:dyDescent="0.25">
      <c r="B9" s="12">
        <v>45362</v>
      </c>
      <c r="C9" s="18">
        <v>41.779998999999997</v>
      </c>
      <c r="D9" s="147">
        <f t="shared" si="0"/>
        <v>9.5824144905409803E-4</v>
      </c>
      <c r="H9" s="86">
        <f>$I$19</f>
        <v>1.1276136773101596E-2</v>
      </c>
      <c r="I9" s="87">
        <f t="shared" si="2"/>
        <v>1.1276136773101596E-2</v>
      </c>
      <c r="J9" s="88">
        <f t="shared" si="3"/>
        <v>89</v>
      </c>
      <c r="K9" s="89" t="str">
        <f t="shared" si="1"/>
        <v>-5,13% to 1,13%</v>
      </c>
      <c r="L9" s="90">
        <f t="shared" si="4"/>
        <v>0.35742971887550201</v>
      </c>
      <c r="M9" s="91">
        <f t="shared" si="5"/>
        <v>0.58232931726907633</v>
      </c>
    </row>
    <row r="10" spans="1:13" x14ac:dyDescent="0.25">
      <c r="B10" s="12">
        <v>45355</v>
      </c>
      <c r="C10" s="18">
        <v>41.740001999999997</v>
      </c>
      <c r="D10" s="147">
        <f t="shared" si="0"/>
        <v>-4.1120997958212668E-2</v>
      </c>
      <c r="H10" s="86">
        <f>$I$19+0.6*$I$23</f>
        <v>7.3847000495775306E-2</v>
      </c>
      <c r="I10" s="87">
        <f t="shared" si="2"/>
        <v>7.3847000495775306E-2</v>
      </c>
      <c r="J10" s="88">
        <f t="shared" si="3"/>
        <v>53</v>
      </c>
      <c r="K10" s="89" t="str">
        <f t="shared" si="1"/>
        <v>1,13% to 7,38%</v>
      </c>
      <c r="L10" s="90">
        <f t="shared" si="4"/>
        <v>0.21285140562248997</v>
      </c>
      <c r="M10" s="91">
        <f t="shared" si="5"/>
        <v>0.79518072289156627</v>
      </c>
    </row>
    <row r="11" spans="1:13" x14ac:dyDescent="0.25">
      <c r="B11" s="12">
        <v>45348</v>
      </c>
      <c r="C11" s="18">
        <v>43.529998999999997</v>
      </c>
      <c r="D11" s="147">
        <f t="shared" si="0"/>
        <v>5.4505815273881097E-2</v>
      </c>
      <c r="H11" s="86">
        <f>$I$19+1.2*$I$23</f>
        <v>0.13641786421844904</v>
      </c>
      <c r="I11" s="87">
        <f t="shared" si="2"/>
        <v>0.13641786421844904</v>
      </c>
      <c r="J11" s="88">
        <f t="shared" si="3"/>
        <v>22</v>
      </c>
      <c r="K11" s="89" t="str">
        <f t="shared" si="1"/>
        <v>7,38% to 13,64%</v>
      </c>
      <c r="L11" s="90">
        <f t="shared" si="4"/>
        <v>8.8353413654618476E-2</v>
      </c>
      <c r="M11" s="91">
        <f t="shared" si="5"/>
        <v>0.88353413654618473</v>
      </c>
    </row>
    <row r="12" spans="1:13" x14ac:dyDescent="0.25">
      <c r="B12" s="12">
        <v>45341</v>
      </c>
      <c r="C12" s="18">
        <v>41.279998999999997</v>
      </c>
      <c r="D12" s="147">
        <f t="shared" si="0"/>
        <v>-7.381649091317033E-2</v>
      </c>
      <c r="H12" s="86">
        <f>$I$19+1.8*$I$23</f>
        <v>0.19898872794112277</v>
      </c>
      <c r="I12" s="87">
        <f t="shared" si="2"/>
        <v>0.19898872794112277</v>
      </c>
      <c r="J12" s="88">
        <f t="shared" si="3"/>
        <v>16</v>
      </c>
      <c r="K12" s="89" t="str">
        <f t="shared" si="1"/>
        <v>13,64% to 19,90%</v>
      </c>
      <c r="L12" s="90">
        <f t="shared" si="4"/>
        <v>6.4257028112449793E-2</v>
      </c>
      <c r="M12" s="91">
        <f t="shared" si="5"/>
        <v>0.94779116465863456</v>
      </c>
    </row>
    <row r="13" spans="1:13" x14ac:dyDescent="0.25">
      <c r="B13" s="12">
        <v>45334</v>
      </c>
      <c r="C13" s="18">
        <v>44.57</v>
      </c>
      <c r="D13" s="147">
        <f t="shared" si="0"/>
        <v>2.7431972627202095E-2</v>
      </c>
      <c r="H13" s="86">
        <f>$I$19+2.4*$I$23</f>
        <v>0.26155959166379644</v>
      </c>
      <c r="I13" s="87">
        <f t="shared" si="2"/>
        <v>0.26155959166379644</v>
      </c>
      <c r="J13" s="88">
        <f t="shared" si="3"/>
        <v>6</v>
      </c>
      <c r="K13" s="89" t="str">
        <f t="shared" si="1"/>
        <v>19,90% to 26,16%</v>
      </c>
      <c r="L13" s="90">
        <f t="shared" si="4"/>
        <v>2.4096385542168676E-2</v>
      </c>
      <c r="M13" s="91">
        <f t="shared" si="5"/>
        <v>0.9718875502008032</v>
      </c>
    </row>
    <row r="14" spans="1:13" x14ac:dyDescent="0.25">
      <c r="B14" s="12">
        <v>45327</v>
      </c>
      <c r="C14" s="18">
        <v>43.380001</v>
      </c>
      <c r="D14" s="147">
        <f t="shared" si="0"/>
        <v>4.3039216157730209E-2</v>
      </c>
      <c r="H14" s="86">
        <f>$I$19+3*$I$23</f>
        <v>0.32413045538647017</v>
      </c>
      <c r="I14" s="87">
        <f t="shared" si="2"/>
        <v>0.32413045538647017</v>
      </c>
      <c r="J14" s="88">
        <f t="shared" si="3"/>
        <v>5</v>
      </c>
      <c r="K14" s="89" t="str">
        <f t="shared" si="1"/>
        <v>26,16% to 32,41%</v>
      </c>
      <c r="L14" s="90">
        <f t="shared" si="4"/>
        <v>2.0080321285140562E-2</v>
      </c>
      <c r="M14" s="91">
        <f t="shared" si="5"/>
        <v>0.99196787148594379</v>
      </c>
    </row>
    <row r="15" spans="1:13" ht="15.75" thickBot="1" x14ac:dyDescent="0.3">
      <c r="B15" s="12">
        <v>45320</v>
      </c>
      <c r="C15" s="18">
        <v>41.59</v>
      </c>
      <c r="D15" s="147">
        <f t="shared" si="0"/>
        <v>8.0821205821205888E-2</v>
      </c>
      <c r="H15" s="92"/>
      <c r="I15" s="93" t="s">
        <v>177</v>
      </c>
      <c r="J15" s="93">
        <f>COUNTIF(D:D,"&gt;"&amp;H14)</f>
        <v>2</v>
      </c>
      <c r="K15" s="93" t="str">
        <f>"Greater than "&amp;TEXT(H14,"0,00%")</f>
        <v>Greater than 32,41%</v>
      </c>
      <c r="L15" s="94">
        <f t="shared" si="4"/>
        <v>8.0321285140562242E-3</v>
      </c>
      <c r="M15" s="94">
        <f t="shared" si="5"/>
        <v>1</v>
      </c>
    </row>
    <row r="16" spans="1:13" ht="15.75" thickBot="1" x14ac:dyDescent="0.3">
      <c r="B16" s="12">
        <v>45313</v>
      </c>
      <c r="C16" s="18">
        <v>38.479999999999997</v>
      </c>
      <c r="D16" s="147">
        <f t="shared" si="0"/>
        <v>2.2860207944183975E-2</v>
      </c>
      <c r="H16" s="95"/>
      <c r="M16" s="96"/>
    </row>
    <row r="17" spans="2:13" x14ac:dyDescent="0.25">
      <c r="B17" s="12">
        <v>45306</v>
      </c>
      <c r="C17" s="18">
        <v>37.619999</v>
      </c>
      <c r="D17" s="147">
        <f t="shared" si="0"/>
        <v>0.14172982877906426</v>
      </c>
      <c r="H17" s="97" t="s">
        <v>178</v>
      </c>
      <c r="I17" s="98"/>
      <c r="M17" s="96"/>
    </row>
    <row r="18" spans="2:13" x14ac:dyDescent="0.25">
      <c r="B18" s="12">
        <v>45299</v>
      </c>
      <c r="C18" s="18">
        <v>32.950001</v>
      </c>
      <c r="D18" s="147">
        <f t="shared" si="0"/>
        <v>-6.9318565400843246E-3</v>
      </c>
      <c r="H18" s="99"/>
      <c r="I18" s="100"/>
      <c r="M18" s="96"/>
    </row>
    <row r="19" spans="2:13" x14ac:dyDescent="0.25">
      <c r="B19" s="12">
        <v>45292</v>
      </c>
      <c r="C19" s="18">
        <v>33.18</v>
      </c>
      <c r="D19" s="147">
        <f t="shared" si="0"/>
        <v>-5.8723404255319189E-2</v>
      </c>
      <c r="H19" s="101" t="s">
        <v>179</v>
      </c>
      <c r="I19" s="102">
        <f>AVERAGE(D:D)</f>
        <v>1.1276136773101596E-2</v>
      </c>
      <c r="M19" s="96"/>
    </row>
    <row r="20" spans="2:13" x14ac:dyDescent="0.25">
      <c r="B20" s="12">
        <v>45285</v>
      </c>
      <c r="C20" s="18">
        <v>35.25</v>
      </c>
      <c r="D20" s="147">
        <f t="shared" si="0"/>
        <v>-1.3157922364000041E-2</v>
      </c>
      <c r="H20" s="101" t="s">
        <v>180</v>
      </c>
      <c r="I20" s="102">
        <f>_xlfn.STDEV.S(D:D)/SQRT(COUNT(D:D))</f>
        <v>6.6087789528867747E-3</v>
      </c>
      <c r="M20" s="96"/>
    </row>
    <row r="21" spans="2:13" x14ac:dyDescent="0.25">
      <c r="B21" s="12">
        <v>45278</v>
      </c>
      <c r="C21" s="18">
        <v>35.720001000000003</v>
      </c>
      <c r="D21" s="147">
        <f t="shared" si="0"/>
        <v>1.0466846419623588E-2</v>
      </c>
      <c r="H21" s="101" t="s">
        <v>181</v>
      </c>
      <c r="I21" s="102">
        <f>MEDIAN(D:D)</f>
        <v>2.049180327868827E-3</v>
      </c>
      <c r="M21" s="96"/>
    </row>
    <row r="22" spans="2:13" x14ac:dyDescent="0.25">
      <c r="B22" s="12">
        <v>45271</v>
      </c>
      <c r="C22" s="18">
        <v>35.349997999999999</v>
      </c>
      <c r="D22" s="147">
        <f t="shared" si="0"/>
        <v>-1.5320444828944568E-2</v>
      </c>
      <c r="H22" s="101" t="s">
        <v>182</v>
      </c>
      <c r="I22" s="102">
        <f>MODE(D:D)</f>
        <v>0</v>
      </c>
      <c r="M22" s="96"/>
    </row>
    <row r="23" spans="2:13" x14ac:dyDescent="0.25">
      <c r="B23" s="12">
        <v>45264</v>
      </c>
      <c r="C23" s="18">
        <v>35.900002000000001</v>
      </c>
      <c r="D23" s="147">
        <f t="shared" si="0"/>
        <v>-7.9487128205128155E-2</v>
      </c>
      <c r="H23" s="101" t="s">
        <v>183</v>
      </c>
      <c r="I23" s="102">
        <f>_xlfn.STDEV.S(D:D)</f>
        <v>0.10428477287112287</v>
      </c>
      <c r="M23" s="96"/>
    </row>
    <row r="24" spans="2:13" x14ac:dyDescent="0.25">
      <c r="B24" s="12">
        <v>45257</v>
      </c>
      <c r="C24" s="18">
        <v>39</v>
      </c>
      <c r="D24" s="147">
        <f t="shared" si="0"/>
        <v>7.7519119443949513E-3</v>
      </c>
      <c r="H24" s="101" t="s">
        <v>184</v>
      </c>
      <c r="I24" s="102">
        <f>_xlfn.VAR.S(D:D)</f>
        <v>1.0875313852781683E-2</v>
      </c>
      <c r="M24" s="96"/>
    </row>
    <row r="25" spans="2:13" x14ac:dyDescent="0.25">
      <c r="B25" s="12">
        <v>45250</v>
      </c>
      <c r="C25" s="18">
        <v>38.700001</v>
      </c>
      <c r="D25" s="147">
        <f t="shared" si="0"/>
        <v>8.6005214646995842E-3</v>
      </c>
      <c r="H25" s="101" t="s">
        <v>185</v>
      </c>
      <c r="I25" s="103">
        <f>KURT(D:D)</f>
        <v>1.3204542970067159</v>
      </c>
      <c r="M25" s="96"/>
    </row>
    <row r="26" spans="2:13" x14ac:dyDescent="0.25">
      <c r="B26" s="12">
        <v>45243</v>
      </c>
      <c r="C26" s="18">
        <v>38.369999</v>
      </c>
      <c r="D26" s="147">
        <f t="shared" si="0"/>
        <v>9.5346848282810592E-2</v>
      </c>
      <c r="H26" s="101" t="s">
        <v>186</v>
      </c>
      <c r="I26" s="103">
        <f>SKEW(D:D)</f>
        <v>0.3877098819757786</v>
      </c>
      <c r="M26" s="96"/>
    </row>
    <row r="27" spans="2:13" x14ac:dyDescent="0.25">
      <c r="B27" s="12">
        <v>45236</v>
      </c>
      <c r="C27" s="18">
        <v>35.029998999999997</v>
      </c>
      <c r="D27" s="147">
        <f t="shared" si="0"/>
        <v>3.792589629629628E-2</v>
      </c>
      <c r="H27" s="101" t="s">
        <v>174</v>
      </c>
      <c r="I27" s="102">
        <f>I29-I28</f>
        <v>0.62404205303458382</v>
      </c>
      <c r="M27" s="96"/>
    </row>
    <row r="28" spans="2:13" x14ac:dyDescent="0.25">
      <c r="B28" s="12">
        <v>45229</v>
      </c>
      <c r="C28" s="18">
        <v>33.75</v>
      </c>
      <c r="D28" s="147">
        <f t="shared" si="0"/>
        <v>0.26689193944789569</v>
      </c>
      <c r="H28" s="101" t="s">
        <v>187</v>
      </c>
      <c r="I28" s="102">
        <f>MIN(D:D)</f>
        <v>-0.26024955436720143</v>
      </c>
      <c r="M28" s="96"/>
    </row>
    <row r="29" spans="2:13" x14ac:dyDescent="0.25">
      <c r="B29" s="12">
        <v>45222</v>
      </c>
      <c r="C29" s="18">
        <v>26.639999</v>
      </c>
      <c r="D29" s="147">
        <f t="shared" si="0"/>
        <v>-1.5884780199482806E-2</v>
      </c>
      <c r="H29" s="101" t="s">
        <v>188</v>
      </c>
      <c r="I29" s="102">
        <f>MAX(D:D)</f>
        <v>0.36379249866738239</v>
      </c>
      <c r="M29" s="96"/>
    </row>
    <row r="30" spans="2:13" x14ac:dyDescent="0.25">
      <c r="B30" s="12">
        <v>45215</v>
      </c>
      <c r="C30" s="18">
        <v>27.07</v>
      </c>
      <c r="D30" s="147">
        <f t="shared" si="0"/>
        <v>-5.1838845948821155E-2</v>
      </c>
      <c r="H30" s="101" t="s">
        <v>189</v>
      </c>
      <c r="I30" s="103">
        <f>SUM(D:D)</f>
        <v>2.8077580565022973</v>
      </c>
      <c r="M30" s="96"/>
    </row>
    <row r="31" spans="2:13" ht="15.75" thickBot="1" x14ac:dyDescent="0.3">
      <c r="B31" s="12">
        <v>45208</v>
      </c>
      <c r="C31" s="18">
        <v>28.549999</v>
      </c>
      <c r="D31" s="147">
        <f t="shared" si="0"/>
        <v>-3.6774630120601559E-2</v>
      </c>
      <c r="H31" s="104" t="s">
        <v>190</v>
      </c>
      <c r="I31" s="75">
        <f>COUNT(D:D)</f>
        <v>249</v>
      </c>
      <c r="M31" s="96"/>
    </row>
    <row r="32" spans="2:13" ht="15.75" thickBot="1" x14ac:dyDescent="0.3">
      <c r="B32" s="12">
        <v>45201</v>
      </c>
      <c r="C32" s="18">
        <v>29.639999</v>
      </c>
      <c r="D32" s="147">
        <f t="shared" si="0"/>
        <v>6.7934100953326304E-3</v>
      </c>
      <c r="H32" s="105"/>
      <c r="M32" s="96"/>
    </row>
    <row r="33" spans="2:13" x14ac:dyDescent="0.25">
      <c r="B33" s="12">
        <v>45194</v>
      </c>
      <c r="C33" s="18">
        <v>29.440000999999999</v>
      </c>
      <c r="D33" s="147">
        <f t="shared" si="0"/>
        <v>6.0518768011527335E-2</v>
      </c>
      <c r="H33" s="106"/>
      <c r="I33" s="107" t="s">
        <v>191</v>
      </c>
      <c r="J33" s="107" t="s">
        <v>190</v>
      </c>
      <c r="K33" s="107" t="s">
        <v>192</v>
      </c>
      <c r="L33" s="108" t="s">
        <v>193</v>
      </c>
      <c r="M33" s="96"/>
    </row>
    <row r="34" spans="2:13" x14ac:dyDescent="0.25">
      <c r="B34" s="12">
        <v>45187</v>
      </c>
      <c r="C34" s="18">
        <v>27.76</v>
      </c>
      <c r="D34" s="147">
        <f t="shared" si="0"/>
        <v>-0.105670131904957</v>
      </c>
      <c r="H34" s="109" t="s">
        <v>194</v>
      </c>
      <c r="I34" s="90">
        <f>AVERAGEIF(D:D,"&gt;0")</f>
        <v>8.1102446914969026E-2</v>
      </c>
      <c r="J34" s="88">
        <f>COUNTIF(D:D,"&gt;0")</f>
        <v>130</v>
      </c>
      <c r="K34" s="90">
        <f>J34/$I$31</f>
        <v>0.52208835341365467</v>
      </c>
      <c r="L34" s="91">
        <f>K34*I34</f>
        <v>4.2342642967654519E-2</v>
      </c>
      <c r="M34" s="96"/>
    </row>
    <row r="35" spans="2:13" x14ac:dyDescent="0.25">
      <c r="B35" s="12">
        <v>45180</v>
      </c>
      <c r="C35" s="18">
        <v>31.040001</v>
      </c>
      <c r="D35" s="147">
        <f t="shared" si="0"/>
        <v>-2.5431679748822655E-2</v>
      </c>
      <c r="H35" s="109" t="s">
        <v>195</v>
      </c>
      <c r="I35" s="90">
        <f>AVERAGEIF(D:D,"&lt;0")</f>
        <v>-6.9689730112105205E-2</v>
      </c>
      <c r="J35" s="88">
        <f>COUNTIF(D:D,"&lt;0")</f>
        <v>111</v>
      </c>
      <c r="K35" s="90">
        <f>J35/$I$31</f>
        <v>0.44578313253012047</v>
      </c>
      <c r="L35" s="91">
        <f t="shared" ref="L35:L36" si="6">K35*I35</f>
        <v>-3.1066506194552923E-2</v>
      </c>
      <c r="M35" s="96"/>
    </row>
    <row r="36" spans="2:13" ht="15.75" thickBot="1" x14ac:dyDescent="0.3">
      <c r="B36" s="12">
        <v>45173</v>
      </c>
      <c r="C36" s="18">
        <v>31.85</v>
      </c>
      <c r="D36" s="147">
        <f t="shared" si="0"/>
        <v>7.4561439762531823E-2</v>
      </c>
      <c r="H36" s="110" t="s">
        <v>196</v>
      </c>
      <c r="I36" s="93">
        <v>0</v>
      </c>
      <c r="J36" s="93">
        <f>COUNTIF(D:D,"0")</f>
        <v>8</v>
      </c>
      <c r="K36" s="111">
        <f>J36/$I$31</f>
        <v>3.2128514056224897E-2</v>
      </c>
      <c r="L36" s="94">
        <f t="shared" si="6"/>
        <v>0</v>
      </c>
      <c r="M36" s="96"/>
    </row>
    <row r="37" spans="2:13" ht="15.75" thickBot="1" x14ac:dyDescent="0.3">
      <c r="B37" s="12">
        <v>45166</v>
      </c>
      <c r="C37" s="18">
        <v>29.639999</v>
      </c>
      <c r="D37" s="147">
        <f t="shared" si="0"/>
        <v>5.2930692717584327E-2</v>
      </c>
      <c r="H37" s="105"/>
      <c r="I37" s="112"/>
      <c r="J37" s="112"/>
      <c r="K37" s="112"/>
      <c r="L37" s="112"/>
      <c r="M37" s="96"/>
    </row>
    <row r="38" spans="2:13" x14ac:dyDescent="0.25">
      <c r="B38" s="12">
        <v>45159</v>
      </c>
      <c r="C38" s="18">
        <v>28.15</v>
      </c>
      <c r="D38" s="147">
        <f t="shared" si="0"/>
        <v>5.946556266465941E-2</v>
      </c>
      <c r="H38" s="81" t="s">
        <v>197</v>
      </c>
      <c r="I38" s="107" t="s">
        <v>198</v>
      </c>
      <c r="J38" s="107" t="s">
        <v>199</v>
      </c>
      <c r="K38" s="107" t="s">
        <v>200</v>
      </c>
      <c r="L38" s="107" t="s">
        <v>201</v>
      </c>
      <c r="M38" s="108" t="s">
        <v>202</v>
      </c>
    </row>
    <row r="39" spans="2:13" x14ac:dyDescent="0.25">
      <c r="B39" s="12">
        <v>45152</v>
      </c>
      <c r="C39" s="18">
        <v>26.57</v>
      </c>
      <c r="D39" s="147">
        <f t="shared" si="0"/>
        <v>-9.595097298234001E-2</v>
      </c>
      <c r="H39" s="113">
        <v>1</v>
      </c>
      <c r="I39" s="90">
        <f>$I$19+($H39*$I$23)</f>
        <v>0.11556090964422447</v>
      </c>
      <c r="J39" s="90">
        <f>$I$19-($H39*$I$23)</f>
        <v>-9.3008636098021263E-2</v>
      </c>
      <c r="K39" s="88">
        <f>COUNTIFS(D:D,"&lt;"&amp;I39,D:D,"&gt;"&amp;J39)</f>
        <v>181</v>
      </c>
      <c r="L39" s="90">
        <f>K39/$I$31</f>
        <v>0.7269076305220884</v>
      </c>
      <c r="M39" s="91">
        <v>0.68269999999999997</v>
      </c>
    </row>
    <row r="40" spans="2:13" x14ac:dyDescent="0.25">
      <c r="B40" s="12">
        <v>45145</v>
      </c>
      <c r="C40" s="18">
        <v>29.389999</v>
      </c>
      <c r="D40" s="147">
        <f t="shared" si="0"/>
        <v>-7.4039098928796454E-2</v>
      </c>
      <c r="H40" s="113">
        <v>2</v>
      </c>
      <c r="I40" s="90">
        <f>$I$19+($H40*$I$23)</f>
        <v>0.21984568251534733</v>
      </c>
      <c r="J40" s="90">
        <f>$I$19-($H40*$I$23)</f>
        <v>-0.19729340896914413</v>
      </c>
      <c r="K40" s="88">
        <f>COUNTIFS(D:D,"&lt;"&amp;I40,D:D,"&gt;"&amp;J40)</f>
        <v>232</v>
      </c>
      <c r="L40" s="90">
        <f>K40/$I$31</f>
        <v>0.93172690763052213</v>
      </c>
      <c r="M40" s="91">
        <v>0.95450000000000002</v>
      </c>
    </row>
    <row r="41" spans="2:13" x14ac:dyDescent="0.25">
      <c r="B41" s="12">
        <v>45138</v>
      </c>
      <c r="C41" s="18">
        <v>31.74</v>
      </c>
      <c r="D41" s="147">
        <f t="shared" si="0"/>
        <v>-1.9765317487173695E-2</v>
      </c>
      <c r="H41" s="113">
        <v>3</v>
      </c>
      <c r="I41" s="90">
        <f>$I$19+($H41*$I$23)</f>
        <v>0.32413045538647017</v>
      </c>
      <c r="J41" s="90">
        <f>$I$19-($H41*$I$23)</f>
        <v>-0.30157818184026702</v>
      </c>
      <c r="K41" s="88">
        <f>COUNTIFS(D:D,"&lt;"&amp;I41,D:D,"&gt;"&amp;J41)</f>
        <v>247</v>
      </c>
      <c r="L41" s="90">
        <f>K41/$I$31</f>
        <v>0.99196787148594379</v>
      </c>
      <c r="M41" s="114">
        <v>0.99729999999999996</v>
      </c>
    </row>
    <row r="42" spans="2:13" ht="15.75" thickBot="1" x14ac:dyDescent="0.3">
      <c r="B42" s="12">
        <v>45131</v>
      </c>
      <c r="C42" s="18">
        <v>32.380001</v>
      </c>
      <c r="D42" s="147">
        <f t="shared" si="0"/>
        <v>4.1827574002573975E-2</v>
      </c>
      <c r="H42" s="86"/>
      <c r="M42" s="114"/>
    </row>
    <row r="43" spans="2:13" ht="15.75" thickBot="1" x14ac:dyDescent="0.3">
      <c r="B43" s="12">
        <v>45124</v>
      </c>
      <c r="C43" s="18">
        <v>31.08</v>
      </c>
      <c r="D43" s="147">
        <f t="shared" si="0"/>
        <v>1.7348642139071613E-2</v>
      </c>
      <c r="H43" s="115" t="s">
        <v>203</v>
      </c>
      <c r="I43" s="116"/>
      <c r="J43" s="116"/>
      <c r="K43" s="116"/>
      <c r="L43" s="116"/>
      <c r="M43" s="117"/>
    </row>
    <row r="44" spans="2:13" x14ac:dyDescent="0.25">
      <c r="B44" s="12">
        <v>45117</v>
      </c>
      <c r="C44" s="18">
        <v>30.549999</v>
      </c>
      <c r="D44" s="147">
        <f t="shared" si="0"/>
        <v>0.14634142589118193</v>
      </c>
      <c r="H44" s="118">
        <v>0.01</v>
      </c>
      <c r="I44" s="119">
        <f t="shared" ref="I44:I58" si="7">_xlfn.PERCENTILE.INC(D:D,H44)</f>
        <v>-0.24951092527133556</v>
      </c>
      <c r="J44" s="120">
        <v>0.2</v>
      </c>
      <c r="K44" s="119">
        <f t="shared" ref="K44:K56" si="8">_xlfn.PERCENTILE.INC(D:D,J44)</f>
        <v>-6.0027450363449357E-2</v>
      </c>
      <c r="L44" s="120">
        <v>0.85</v>
      </c>
      <c r="M44" s="121">
        <f t="shared" ref="M44:M58" si="9">_xlfn.PERCENTILE.INC(D:D,L44)</f>
        <v>0.11116737172809579</v>
      </c>
    </row>
    <row r="45" spans="2:13" x14ac:dyDescent="0.25">
      <c r="B45" s="12">
        <v>45110</v>
      </c>
      <c r="C45" s="18">
        <v>26.65</v>
      </c>
      <c r="D45" s="147">
        <f t="shared" si="0"/>
        <v>3.0109145652992275E-3</v>
      </c>
      <c r="H45" s="122">
        <v>0.02</v>
      </c>
      <c r="I45" s="123">
        <f t="shared" si="7"/>
        <v>-0.22189069893073554</v>
      </c>
      <c r="J45" s="124">
        <v>0.25</v>
      </c>
      <c r="K45" s="123">
        <f t="shared" si="8"/>
        <v>-4.0973396798111739E-2</v>
      </c>
      <c r="L45" s="124">
        <v>0.86</v>
      </c>
      <c r="M45" s="125">
        <f t="shared" si="9"/>
        <v>0.11957701965593988</v>
      </c>
    </row>
    <row r="46" spans="2:13" x14ac:dyDescent="0.25">
      <c r="B46" s="12">
        <v>45103</v>
      </c>
      <c r="C46" s="18">
        <v>26.57</v>
      </c>
      <c r="D46" s="147">
        <f t="shared" si="0"/>
        <v>6.152612618752995E-2</v>
      </c>
      <c r="H46" s="122">
        <v>0.03</v>
      </c>
      <c r="I46" s="123">
        <f t="shared" si="7"/>
        <v>-0.20110107526881721</v>
      </c>
      <c r="J46" s="124">
        <v>0.3</v>
      </c>
      <c r="K46" s="123">
        <f t="shared" si="8"/>
        <v>-2.7004461926944251E-2</v>
      </c>
      <c r="L46" s="124">
        <v>0.87</v>
      </c>
      <c r="M46" s="125">
        <f t="shared" si="9"/>
        <v>0.12181738779776051</v>
      </c>
    </row>
    <row r="47" spans="2:13" x14ac:dyDescent="0.25">
      <c r="B47" s="12">
        <v>45096</v>
      </c>
      <c r="C47" s="18">
        <v>25.030000999999999</v>
      </c>
      <c r="D47" s="147">
        <f t="shared" si="0"/>
        <v>2.1215871073031245E-2</v>
      </c>
      <c r="H47" s="122">
        <v>0.04</v>
      </c>
      <c r="I47" s="123">
        <f t="shared" si="7"/>
        <v>-0.1684809351162499</v>
      </c>
      <c r="J47" s="124">
        <v>0.35</v>
      </c>
      <c r="K47" s="123">
        <f t="shared" si="8"/>
        <v>-1.5433311903052218E-2</v>
      </c>
      <c r="L47" s="124">
        <v>0.88</v>
      </c>
      <c r="M47" s="125">
        <f t="shared" si="9"/>
        <v>0.12728434740715575</v>
      </c>
    </row>
    <row r="48" spans="2:13" x14ac:dyDescent="0.25">
      <c r="B48" s="12">
        <v>45089</v>
      </c>
      <c r="C48" s="18">
        <v>24.51</v>
      </c>
      <c r="D48" s="147">
        <f t="shared" si="0"/>
        <v>-1.7241418715259749E-2</v>
      </c>
      <c r="H48" s="122">
        <v>0.05</v>
      </c>
      <c r="I48" s="123">
        <f t="shared" si="7"/>
        <v>-0.14994061520944396</v>
      </c>
      <c r="J48" s="124">
        <v>0.4</v>
      </c>
      <c r="K48" s="123">
        <f t="shared" si="8"/>
        <v>-6.7038635158362028E-3</v>
      </c>
      <c r="L48" s="124">
        <v>0.89</v>
      </c>
      <c r="M48" s="125">
        <f t="shared" si="9"/>
        <v>0.13863959704685339</v>
      </c>
    </row>
    <row r="49" spans="2:13" x14ac:dyDescent="0.25">
      <c r="B49" s="12">
        <v>45082</v>
      </c>
      <c r="C49" s="18">
        <v>24.940000999999999</v>
      </c>
      <c r="D49" s="147">
        <f t="shared" si="0"/>
        <v>8.0260834670942138E-4</v>
      </c>
      <c r="H49" s="122">
        <v>0.06</v>
      </c>
      <c r="I49" s="123">
        <f t="shared" si="7"/>
        <v>-0.14581884545577528</v>
      </c>
      <c r="J49" s="124">
        <v>0.45</v>
      </c>
      <c r="K49" s="123">
        <f t="shared" si="8"/>
        <v>0</v>
      </c>
      <c r="L49" s="124">
        <v>0.9</v>
      </c>
      <c r="M49" s="125">
        <f t="shared" si="9"/>
        <v>0.14230134977571171</v>
      </c>
    </row>
    <row r="50" spans="2:13" x14ac:dyDescent="0.25">
      <c r="B50" s="12">
        <v>45075</v>
      </c>
      <c r="C50" s="18">
        <v>24.92</v>
      </c>
      <c r="D50" s="147">
        <f t="shared" si="0"/>
        <v>6.5868309061946517E-2</v>
      </c>
      <c r="H50" s="122">
        <v>7.0000000000000007E-2</v>
      </c>
      <c r="I50" s="123">
        <f t="shared" si="7"/>
        <v>-0.13440637847265482</v>
      </c>
      <c r="J50" s="124">
        <v>0.5</v>
      </c>
      <c r="K50" s="123">
        <f t="shared" si="8"/>
        <v>2.049180327868827E-3</v>
      </c>
      <c r="L50" s="124">
        <v>0.91</v>
      </c>
      <c r="M50" s="125">
        <f t="shared" si="9"/>
        <v>0.14655782204718246</v>
      </c>
    </row>
    <row r="51" spans="2:13" x14ac:dyDescent="0.25">
      <c r="B51" s="12">
        <v>45068</v>
      </c>
      <c r="C51" s="18">
        <v>23.379999000000002</v>
      </c>
      <c r="D51" s="147">
        <f t="shared" si="0"/>
        <v>-3.0277974687765385E-2</v>
      </c>
      <c r="H51" s="122">
        <v>0.08</v>
      </c>
      <c r="I51" s="123">
        <f t="shared" si="7"/>
        <v>-0.12333479949921905</v>
      </c>
      <c r="J51" s="124">
        <v>0.55000000000000004</v>
      </c>
      <c r="K51" s="123">
        <f t="shared" si="8"/>
        <v>7.6653412629516205E-3</v>
      </c>
      <c r="L51" s="124">
        <v>0.92</v>
      </c>
      <c r="M51" s="125">
        <f t="shared" si="9"/>
        <v>0.15482390443468202</v>
      </c>
    </row>
    <row r="52" spans="2:13" x14ac:dyDescent="0.25">
      <c r="B52" s="12">
        <v>45061</v>
      </c>
      <c r="C52" s="18">
        <v>24.110001</v>
      </c>
      <c r="D52" s="147">
        <f t="shared" si="0"/>
        <v>2.4649382717833346E-2</v>
      </c>
      <c r="H52" s="122">
        <v>0.09</v>
      </c>
      <c r="I52" s="123">
        <f t="shared" si="7"/>
        <v>-0.11337863210834667</v>
      </c>
      <c r="J52" s="124">
        <v>0.6</v>
      </c>
      <c r="K52" s="123">
        <f t="shared" si="8"/>
        <v>1.6420842907492714E-2</v>
      </c>
      <c r="L52" s="124">
        <v>0.93</v>
      </c>
      <c r="M52" s="125">
        <f t="shared" si="9"/>
        <v>0.1672048755443149</v>
      </c>
    </row>
    <row r="53" spans="2:13" x14ac:dyDescent="0.25">
      <c r="B53" s="12">
        <v>45054</v>
      </c>
      <c r="C53" s="18">
        <v>23.530000999999999</v>
      </c>
      <c r="D53" s="147">
        <f t="shared" si="0"/>
        <v>-4.2717615947925114E-2</v>
      </c>
      <c r="H53" s="122">
        <v>0.1</v>
      </c>
      <c r="I53" s="123">
        <f t="shared" si="7"/>
        <v>-0.1078926519927057</v>
      </c>
      <c r="J53" s="124">
        <v>0.65</v>
      </c>
      <c r="K53" s="123">
        <f t="shared" si="8"/>
        <v>2.6972296164784613E-2</v>
      </c>
      <c r="L53" s="124">
        <v>0.94</v>
      </c>
      <c r="M53" s="125">
        <f t="shared" si="9"/>
        <v>0.1857717100633354</v>
      </c>
    </row>
    <row r="54" spans="2:13" x14ac:dyDescent="0.25">
      <c r="B54" s="12">
        <v>45047</v>
      </c>
      <c r="C54" s="18">
        <v>24.58</v>
      </c>
      <c r="D54" s="147">
        <f t="shared" si="0"/>
        <v>0.12186216339570954</v>
      </c>
      <c r="H54" s="122">
        <v>0.11</v>
      </c>
      <c r="I54" s="123">
        <f t="shared" si="7"/>
        <v>-0.10373904758615908</v>
      </c>
      <c r="J54" s="124">
        <v>0.7</v>
      </c>
      <c r="K54" s="123">
        <f t="shared" si="8"/>
        <v>4.5237597011338719E-2</v>
      </c>
      <c r="L54" s="124">
        <v>0.95</v>
      </c>
      <c r="M54" s="125">
        <f t="shared" si="9"/>
        <v>0.1976506104641185</v>
      </c>
    </row>
    <row r="55" spans="2:13" x14ac:dyDescent="0.25">
      <c r="B55" s="12">
        <v>45040</v>
      </c>
      <c r="C55" s="18">
        <v>21.91</v>
      </c>
      <c r="D55" s="147">
        <f t="shared" si="0"/>
        <v>-2.730951421527239E-3</v>
      </c>
      <c r="H55" s="122">
        <v>0.12</v>
      </c>
      <c r="I55" s="123">
        <f t="shared" si="7"/>
        <v>-9.5681574739949454E-2</v>
      </c>
      <c r="J55" s="124">
        <v>0.75</v>
      </c>
      <c r="K55" s="123">
        <f t="shared" si="8"/>
        <v>5.8493589743589869E-2</v>
      </c>
      <c r="L55" s="124">
        <v>0.96</v>
      </c>
      <c r="M55" s="125">
        <f t="shared" si="9"/>
        <v>0.21361245370412427</v>
      </c>
    </row>
    <row r="56" spans="2:13" x14ac:dyDescent="0.25">
      <c r="B56" s="12">
        <v>45033</v>
      </c>
      <c r="C56" s="18">
        <v>21.969999000000001</v>
      </c>
      <c r="D56" s="147">
        <f t="shared" si="0"/>
        <v>0.14665965553235916</v>
      </c>
      <c r="H56" s="122">
        <v>0.13</v>
      </c>
      <c r="I56" s="123">
        <f t="shared" si="7"/>
        <v>-8.6666092925981111E-2</v>
      </c>
      <c r="J56" s="124">
        <v>0.8</v>
      </c>
      <c r="K56" s="123">
        <f t="shared" si="8"/>
        <v>7.4782614376750267E-2</v>
      </c>
      <c r="L56" s="124">
        <v>0.97</v>
      </c>
      <c r="M56" s="125">
        <f t="shared" si="9"/>
        <v>0.24321370889547561</v>
      </c>
    </row>
    <row r="57" spans="2:13" x14ac:dyDescent="0.25">
      <c r="B57" s="12">
        <v>45026</v>
      </c>
      <c r="C57" s="18">
        <v>19.16</v>
      </c>
      <c r="D57" s="147">
        <f t="shared" si="0"/>
        <v>5.506607929515428E-2</v>
      </c>
      <c r="H57" s="122">
        <v>0.14000000000000001</v>
      </c>
      <c r="I57" s="123">
        <f t="shared" si="7"/>
        <v>-7.8352781439604488E-2</v>
      </c>
      <c r="J57" s="124"/>
      <c r="K57" s="123"/>
      <c r="L57" s="124">
        <v>0.98</v>
      </c>
      <c r="M57" s="125">
        <f t="shared" si="9"/>
        <v>0.28400211212258625</v>
      </c>
    </row>
    <row r="58" spans="2:13" ht="15.75" thickBot="1" x14ac:dyDescent="0.3">
      <c r="B58" s="12">
        <v>45019</v>
      </c>
      <c r="C58" s="18">
        <v>18.16</v>
      </c>
      <c r="D58" s="147">
        <f t="shared" si="0"/>
        <v>-6.1983519525644626E-2</v>
      </c>
      <c r="H58" s="126">
        <v>0.15</v>
      </c>
      <c r="I58" s="127">
        <f t="shared" si="7"/>
        <v>-7.3633940957746002E-2</v>
      </c>
      <c r="J58" s="128"/>
      <c r="K58" s="129"/>
      <c r="L58" s="130">
        <v>0.99</v>
      </c>
      <c r="M58" s="131">
        <f t="shared" si="9"/>
        <v>0.31201844960695185</v>
      </c>
    </row>
    <row r="59" spans="2:13" ht="15.75" thickBot="1" x14ac:dyDescent="0.3">
      <c r="B59" s="12">
        <v>45012</v>
      </c>
      <c r="C59" s="18">
        <v>19.360001</v>
      </c>
      <c r="D59" s="147">
        <f t="shared" si="0"/>
        <v>9.1934630569656006E-2</v>
      </c>
    </row>
    <row r="60" spans="2:13" x14ac:dyDescent="0.25">
      <c r="B60" s="12">
        <v>45005</v>
      </c>
      <c r="C60" s="18">
        <v>17.73</v>
      </c>
      <c r="D60" s="147">
        <f t="shared" si="0"/>
        <v>-7.8344147826291399E-3</v>
      </c>
      <c r="H60" s="132" t="s">
        <v>204</v>
      </c>
      <c r="I60" s="133"/>
    </row>
    <row r="61" spans="2:13" ht="15.75" thickBot="1" x14ac:dyDescent="0.3">
      <c r="B61" s="12">
        <v>44998</v>
      </c>
      <c r="C61" s="18">
        <v>17.870000999999998</v>
      </c>
      <c r="D61" s="147">
        <f t="shared" si="0"/>
        <v>-3.6657576100138978E-2</v>
      </c>
      <c r="H61" s="134" t="s">
        <v>205</v>
      </c>
      <c r="I61" s="135"/>
    </row>
    <row r="62" spans="2:13" ht="15.75" thickBot="1" x14ac:dyDescent="0.3">
      <c r="B62" s="12">
        <v>44991</v>
      </c>
      <c r="C62" s="18">
        <v>18.549999</v>
      </c>
      <c r="D62" s="147">
        <f t="shared" si="0"/>
        <v>-2.5735397808014815E-2</v>
      </c>
      <c r="H62" s="136"/>
    </row>
    <row r="63" spans="2:13" x14ac:dyDescent="0.25">
      <c r="B63" s="12">
        <v>44984</v>
      </c>
      <c r="C63" s="18">
        <v>19.040001</v>
      </c>
      <c r="D63" s="147">
        <f t="shared" si="0"/>
        <v>4.6728969393679654E-2</v>
      </c>
      <c r="H63" s="132" t="s">
        <v>206</v>
      </c>
      <c r="I63" s="137"/>
    </row>
    <row r="64" spans="2:13" x14ac:dyDescent="0.25">
      <c r="B64" s="12">
        <v>44977</v>
      </c>
      <c r="C64" s="18">
        <v>18.190000999999999</v>
      </c>
      <c r="D64" s="147">
        <f t="shared" si="0"/>
        <v>-0.11441089997999521</v>
      </c>
      <c r="H64" s="138" t="s">
        <v>207</v>
      </c>
      <c r="I64" s="139">
        <f>I63*(1-I60)</f>
        <v>0</v>
      </c>
    </row>
    <row r="65" spans="2:9" ht="15.75" thickBot="1" x14ac:dyDescent="0.3">
      <c r="B65" s="12">
        <v>44970</v>
      </c>
      <c r="C65" s="18">
        <v>20.540001</v>
      </c>
      <c r="D65" s="147">
        <f t="shared" si="0"/>
        <v>0.28455290806754219</v>
      </c>
      <c r="H65" s="134" t="s">
        <v>208</v>
      </c>
      <c r="I65" s="140">
        <f>I63*(1+I61)</f>
        <v>0</v>
      </c>
    </row>
    <row r="66" spans="2:9" x14ac:dyDescent="0.25">
      <c r="B66" s="12">
        <v>44963</v>
      </c>
      <c r="C66" s="18">
        <v>15.99</v>
      </c>
      <c r="D66" s="147">
        <f t="shared" si="0"/>
        <v>-5.2163660215550522E-2</v>
      </c>
    </row>
    <row r="67" spans="2:9" x14ac:dyDescent="0.25">
      <c r="B67" s="12">
        <v>44956</v>
      </c>
      <c r="C67" s="18">
        <v>16.870000999999998</v>
      </c>
      <c r="D67" s="147">
        <f t="shared" ref="D67:D130" si="10">C67/C68-1</f>
        <v>0.12167559840425524</v>
      </c>
    </row>
    <row r="68" spans="2:9" x14ac:dyDescent="0.25">
      <c r="B68" s="12">
        <v>44949</v>
      </c>
      <c r="C68" s="18">
        <v>15.04</v>
      </c>
      <c r="D68" s="147">
        <f t="shared" si="10"/>
        <v>8.35734870317002E-2</v>
      </c>
    </row>
    <row r="69" spans="2:9" x14ac:dyDescent="0.25">
      <c r="B69" s="12">
        <v>44942</v>
      </c>
      <c r="C69" s="18">
        <v>13.88</v>
      </c>
      <c r="D69" s="147">
        <f t="shared" si="10"/>
        <v>-1.6300496102055195E-2</v>
      </c>
    </row>
    <row r="70" spans="2:9" x14ac:dyDescent="0.25">
      <c r="B70" s="12">
        <v>44935</v>
      </c>
      <c r="C70" s="18">
        <v>14.11</v>
      </c>
      <c r="D70" s="147">
        <f t="shared" si="10"/>
        <v>0.21324161650902829</v>
      </c>
    </row>
    <row r="71" spans="2:9" x14ac:dyDescent="0.25">
      <c r="B71" s="12">
        <v>44928</v>
      </c>
      <c r="C71" s="18">
        <v>11.63</v>
      </c>
      <c r="D71" s="147">
        <f t="shared" si="10"/>
        <v>2.1071115013169495E-2</v>
      </c>
    </row>
    <row r="72" spans="2:9" x14ac:dyDescent="0.25">
      <c r="B72" s="12">
        <v>44921</v>
      </c>
      <c r="C72" s="18">
        <v>11.39</v>
      </c>
      <c r="D72" s="147">
        <f t="shared" si="10"/>
        <v>-1.2142237640936582E-2</v>
      </c>
    </row>
    <row r="73" spans="2:9" x14ac:dyDescent="0.25">
      <c r="B73" s="12">
        <v>44914</v>
      </c>
      <c r="C73" s="18">
        <v>11.53</v>
      </c>
      <c r="D73" s="147">
        <f t="shared" si="10"/>
        <v>-4.8679867986798686E-2</v>
      </c>
    </row>
    <row r="74" spans="2:9" x14ac:dyDescent="0.25">
      <c r="B74" s="12">
        <v>44907</v>
      </c>
      <c r="C74" s="18">
        <v>12.12</v>
      </c>
      <c r="D74" s="147">
        <f t="shared" si="10"/>
        <v>-0.13180515759312328</v>
      </c>
    </row>
    <row r="75" spans="2:9" x14ac:dyDescent="0.25">
      <c r="B75" s="12">
        <v>44900</v>
      </c>
      <c r="C75" s="18">
        <v>13.96</v>
      </c>
      <c r="D75" s="147">
        <f t="shared" si="10"/>
        <v>-9.8773402194964444E-2</v>
      </c>
    </row>
    <row r="76" spans="2:9" x14ac:dyDescent="0.25">
      <c r="B76" s="12">
        <v>44893</v>
      </c>
      <c r="C76" s="18">
        <v>15.49</v>
      </c>
      <c r="D76" s="147">
        <f t="shared" si="10"/>
        <v>2.3117569352707923E-2</v>
      </c>
    </row>
    <row r="77" spans="2:9" x14ac:dyDescent="0.25">
      <c r="B77" s="12">
        <v>44886</v>
      </c>
      <c r="C77" s="18">
        <v>15.14</v>
      </c>
      <c r="D77" s="147">
        <f t="shared" si="10"/>
        <v>5.9800664451827856E-3</v>
      </c>
    </row>
    <row r="78" spans="2:9" x14ac:dyDescent="0.25">
      <c r="B78" s="12">
        <v>44879</v>
      </c>
      <c r="C78" s="18">
        <v>15.05</v>
      </c>
      <c r="D78" s="147">
        <f t="shared" si="10"/>
        <v>1.1424731182795744E-2</v>
      </c>
    </row>
    <row r="79" spans="2:9" x14ac:dyDescent="0.25">
      <c r="B79" s="12">
        <v>44872</v>
      </c>
      <c r="C79" s="18">
        <v>14.88</v>
      </c>
      <c r="D79" s="147">
        <f t="shared" si="10"/>
        <v>0.31564986737400536</v>
      </c>
    </row>
    <row r="80" spans="2:9" x14ac:dyDescent="0.25">
      <c r="B80" s="12">
        <v>44865</v>
      </c>
      <c r="C80" s="18">
        <v>11.31</v>
      </c>
      <c r="D80" s="147">
        <f t="shared" si="10"/>
        <v>-0.25198412698412687</v>
      </c>
    </row>
    <row r="81" spans="2:4" x14ac:dyDescent="0.25">
      <c r="B81" s="12">
        <v>44858</v>
      </c>
      <c r="C81" s="18">
        <v>15.12</v>
      </c>
      <c r="D81" s="147">
        <f t="shared" si="10"/>
        <v>0.14458743376230121</v>
      </c>
    </row>
    <row r="82" spans="2:4" x14ac:dyDescent="0.25">
      <c r="B82" s="12">
        <v>44851</v>
      </c>
      <c r="C82" s="18">
        <v>13.21</v>
      </c>
      <c r="D82" s="147">
        <f t="shared" si="10"/>
        <v>5.8493589743589869E-2</v>
      </c>
    </row>
    <row r="83" spans="2:4" x14ac:dyDescent="0.25">
      <c r="B83" s="12">
        <v>44844</v>
      </c>
      <c r="C83" s="18">
        <v>12.48</v>
      </c>
      <c r="D83" s="147">
        <f t="shared" si="10"/>
        <v>-0.24683162341581166</v>
      </c>
    </row>
    <row r="84" spans="2:4" x14ac:dyDescent="0.25">
      <c r="B84" s="12">
        <v>44837</v>
      </c>
      <c r="C84" s="18">
        <v>16.57</v>
      </c>
      <c r="D84" s="147">
        <f t="shared" si="10"/>
        <v>9.4451783355349983E-2</v>
      </c>
    </row>
    <row r="85" spans="2:4" x14ac:dyDescent="0.25">
      <c r="B85" s="12">
        <v>44830</v>
      </c>
      <c r="C85" s="18">
        <v>15.14</v>
      </c>
      <c r="D85" s="147">
        <f t="shared" si="10"/>
        <v>1.0680907877169465E-2</v>
      </c>
    </row>
    <row r="86" spans="2:4" x14ac:dyDescent="0.25">
      <c r="B86" s="12">
        <v>44823</v>
      </c>
      <c r="C86" s="18">
        <v>14.98</v>
      </c>
      <c r="D86" s="147">
        <f t="shared" si="10"/>
        <v>-0.19462365591397857</v>
      </c>
    </row>
    <row r="87" spans="2:4" x14ac:dyDescent="0.25">
      <c r="B87" s="12">
        <v>44816</v>
      </c>
      <c r="C87" s="18">
        <v>18.600000000000001</v>
      </c>
      <c r="D87" s="147">
        <f t="shared" si="10"/>
        <v>5.5019912366415902E-2</v>
      </c>
    </row>
    <row r="88" spans="2:4" x14ac:dyDescent="0.25">
      <c r="B88" s="12">
        <v>44809</v>
      </c>
      <c r="C88" s="18">
        <v>17.629999000000002</v>
      </c>
      <c r="D88" s="147">
        <f t="shared" si="10"/>
        <v>0.1381535829567464</v>
      </c>
    </row>
    <row r="89" spans="2:4" x14ac:dyDescent="0.25">
      <c r="B89" s="12">
        <v>44802</v>
      </c>
      <c r="C89" s="18">
        <v>15.49</v>
      </c>
      <c r="D89" s="147">
        <f t="shared" si="10"/>
        <v>-6.2915967155718788E-2</v>
      </c>
    </row>
    <row r="90" spans="2:4" x14ac:dyDescent="0.25">
      <c r="B90" s="12">
        <v>44795</v>
      </c>
      <c r="C90" s="18">
        <v>16.530000999999999</v>
      </c>
      <c r="D90" s="147">
        <f t="shared" si="10"/>
        <v>-8.8754029148513269E-2</v>
      </c>
    </row>
    <row r="91" spans="2:4" x14ac:dyDescent="0.25">
      <c r="B91" s="12">
        <v>44788</v>
      </c>
      <c r="C91" s="18">
        <v>18.139999</v>
      </c>
      <c r="D91" s="147">
        <f t="shared" si="10"/>
        <v>-0.12239966134494451</v>
      </c>
    </row>
    <row r="92" spans="2:4" x14ac:dyDescent="0.25">
      <c r="B92" s="12">
        <v>44781</v>
      </c>
      <c r="C92" s="18">
        <v>20.67</v>
      </c>
      <c r="D92" s="147">
        <f t="shared" si="10"/>
        <v>0.15089093267766907</v>
      </c>
    </row>
    <row r="93" spans="2:4" x14ac:dyDescent="0.25">
      <c r="B93" s="12">
        <v>44774</v>
      </c>
      <c r="C93" s="18">
        <v>17.959999</v>
      </c>
      <c r="D93" s="147">
        <f t="shared" si="10"/>
        <v>0.30808441369264372</v>
      </c>
    </row>
    <row r="94" spans="2:4" x14ac:dyDescent="0.25">
      <c r="B94" s="12">
        <v>44767</v>
      </c>
      <c r="C94" s="18">
        <v>13.73</v>
      </c>
      <c r="D94" s="147">
        <f t="shared" si="10"/>
        <v>1.4781966001478297E-2</v>
      </c>
    </row>
    <row r="95" spans="2:4" x14ac:dyDescent="0.25">
      <c r="B95" s="12">
        <v>44760</v>
      </c>
      <c r="C95" s="18">
        <v>13.53</v>
      </c>
      <c r="D95" s="147">
        <f t="shared" si="10"/>
        <v>5.2099533437014012E-2</v>
      </c>
    </row>
    <row r="96" spans="2:4" x14ac:dyDescent="0.25">
      <c r="B96" s="12">
        <v>44753</v>
      </c>
      <c r="C96" s="18">
        <v>12.86</v>
      </c>
      <c r="D96" s="147">
        <f t="shared" si="10"/>
        <v>9.4191522762949731E-3</v>
      </c>
    </row>
    <row r="97" spans="2:4" x14ac:dyDescent="0.25">
      <c r="B97" s="12">
        <v>44746</v>
      </c>
      <c r="C97" s="18">
        <v>12.74</v>
      </c>
      <c r="D97" s="147">
        <f t="shared" si="10"/>
        <v>8.2412914188615183E-2</v>
      </c>
    </row>
    <row r="98" spans="2:4" x14ac:dyDescent="0.25">
      <c r="B98" s="12">
        <v>44739</v>
      </c>
      <c r="C98" s="18">
        <v>11.77</v>
      </c>
      <c r="D98" s="147">
        <f t="shared" si="10"/>
        <v>-0.16819787985865731</v>
      </c>
    </row>
    <row r="99" spans="2:4" x14ac:dyDescent="0.25">
      <c r="B99" s="12">
        <v>44732</v>
      </c>
      <c r="C99" s="18">
        <v>14.15</v>
      </c>
      <c r="D99" s="147">
        <f t="shared" si="10"/>
        <v>0.23905429071803863</v>
      </c>
    </row>
    <row r="100" spans="2:4" x14ac:dyDescent="0.25">
      <c r="B100" s="12">
        <v>44725</v>
      </c>
      <c r="C100" s="18">
        <v>11.42</v>
      </c>
      <c r="D100" s="147">
        <f t="shared" si="10"/>
        <v>-0.12824427480916034</v>
      </c>
    </row>
    <row r="101" spans="2:4" x14ac:dyDescent="0.25">
      <c r="B101" s="12">
        <v>44718</v>
      </c>
      <c r="C101" s="18">
        <v>13.1</v>
      </c>
      <c r="D101" s="147">
        <f t="shared" si="10"/>
        <v>2.9874213836477814E-2</v>
      </c>
    </row>
    <row r="102" spans="2:4" x14ac:dyDescent="0.25">
      <c r="B102" s="12">
        <v>44711</v>
      </c>
      <c r="C102" s="18">
        <v>12.72</v>
      </c>
      <c r="D102" s="147">
        <f t="shared" si="10"/>
        <v>-0.13586956521739135</v>
      </c>
    </row>
    <row r="103" spans="2:4" x14ac:dyDescent="0.25">
      <c r="B103" s="12">
        <v>44704</v>
      </c>
      <c r="C103" s="18">
        <v>14.72</v>
      </c>
      <c r="D103" s="147">
        <f t="shared" si="10"/>
        <v>4.9180327868852514E-2</v>
      </c>
    </row>
    <row r="104" spans="2:4" x14ac:dyDescent="0.25">
      <c r="B104" s="12">
        <v>44697</v>
      </c>
      <c r="C104" s="18">
        <v>14.03</v>
      </c>
      <c r="D104" s="147">
        <f t="shared" si="10"/>
        <v>0.11260904044409203</v>
      </c>
    </row>
    <row r="105" spans="2:4" x14ac:dyDescent="0.25">
      <c r="B105" s="12">
        <v>44690</v>
      </c>
      <c r="C105" s="18">
        <v>12.61</v>
      </c>
      <c r="D105" s="147">
        <f t="shared" si="10"/>
        <v>-4.1064638783270047E-2</v>
      </c>
    </row>
    <row r="106" spans="2:4" x14ac:dyDescent="0.25">
      <c r="B106" s="12">
        <v>44683</v>
      </c>
      <c r="C106" s="18">
        <v>13.15</v>
      </c>
      <c r="D106" s="147">
        <f t="shared" si="10"/>
        <v>-3.8742690058479523E-2</v>
      </c>
    </row>
    <row r="107" spans="2:4" x14ac:dyDescent="0.25">
      <c r="B107" s="12">
        <v>44676</v>
      </c>
      <c r="C107" s="18">
        <v>13.68</v>
      </c>
      <c r="D107" s="147">
        <f t="shared" si="10"/>
        <v>-2.4946543121881604E-2</v>
      </c>
    </row>
    <row r="108" spans="2:4" x14ac:dyDescent="0.25">
      <c r="B108" s="12">
        <v>44669</v>
      </c>
      <c r="C108" s="18">
        <v>14.03</v>
      </c>
      <c r="D108" s="147">
        <f t="shared" si="10"/>
        <v>-0.14918132201334133</v>
      </c>
    </row>
    <row r="109" spans="2:4" x14ac:dyDescent="0.25">
      <c r="B109" s="12">
        <v>44662</v>
      </c>
      <c r="C109" s="18">
        <v>16.489999999999998</v>
      </c>
      <c r="D109" s="147">
        <f t="shared" si="10"/>
        <v>6.7155681755535213E-3</v>
      </c>
    </row>
    <row r="110" spans="2:4" x14ac:dyDescent="0.25">
      <c r="B110" s="12">
        <v>44655</v>
      </c>
      <c r="C110" s="18">
        <v>16.379999000000002</v>
      </c>
      <c r="D110" s="147">
        <f t="shared" si="10"/>
        <v>-0.14015748767230896</v>
      </c>
    </row>
    <row r="111" spans="2:4" x14ac:dyDescent="0.25">
      <c r="B111" s="12">
        <v>44648</v>
      </c>
      <c r="C111" s="18">
        <v>19.049999</v>
      </c>
      <c r="D111" s="147">
        <f t="shared" si="10"/>
        <v>4.6703184247077756E-2</v>
      </c>
    </row>
    <row r="112" spans="2:4" x14ac:dyDescent="0.25">
      <c r="B112" s="12">
        <v>44641</v>
      </c>
      <c r="C112" s="18">
        <v>18.200001</v>
      </c>
      <c r="D112" s="147">
        <f t="shared" si="10"/>
        <v>-7.2375123732154711E-2</v>
      </c>
    </row>
    <row r="113" spans="2:4" x14ac:dyDescent="0.25">
      <c r="B113" s="12">
        <v>44634</v>
      </c>
      <c r="C113" s="18">
        <v>19.620000999999998</v>
      </c>
      <c r="D113" s="147">
        <f t="shared" si="10"/>
        <v>0.2178770814477291</v>
      </c>
    </row>
    <row r="114" spans="2:4" x14ac:dyDescent="0.25">
      <c r="B114" s="12">
        <v>44627</v>
      </c>
      <c r="C114" s="18">
        <v>16.110001</v>
      </c>
      <c r="D114" s="147">
        <f t="shared" si="10"/>
        <v>-0.22136296658468013</v>
      </c>
    </row>
    <row r="115" spans="2:4" x14ac:dyDescent="0.25">
      <c r="B115" s="12">
        <v>44620</v>
      </c>
      <c r="C115" s="18">
        <v>20.690000999999999</v>
      </c>
      <c r="D115" s="147">
        <f t="shared" si="10"/>
        <v>-6.8018014954143502E-2</v>
      </c>
    </row>
    <row r="116" spans="2:4" x14ac:dyDescent="0.25">
      <c r="B116" s="12">
        <v>44613</v>
      </c>
      <c r="C116" s="18">
        <v>22.200001</v>
      </c>
      <c r="D116" s="147">
        <f t="shared" si="10"/>
        <v>0.28397916229154641</v>
      </c>
    </row>
    <row r="117" spans="2:4" x14ac:dyDescent="0.25">
      <c r="B117" s="12">
        <v>44606</v>
      </c>
      <c r="C117" s="18">
        <v>17.290001</v>
      </c>
      <c r="D117" s="147">
        <f t="shared" si="10"/>
        <v>-0.25889408486926702</v>
      </c>
    </row>
    <row r="118" spans="2:4" x14ac:dyDescent="0.25">
      <c r="B118" s="12">
        <v>44599</v>
      </c>
      <c r="C118" s="18">
        <v>23.33</v>
      </c>
      <c r="D118" s="147">
        <f t="shared" si="10"/>
        <v>6.578351145653305E-2</v>
      </c>
    </row>
    <row r="119" spans="2:4" x14ac:dyDescent="0.25">
      <c r="B119" s="12">
        <v>44592</v>
      </c>
      <c r="C119" s="18">
        <v>21.889999</v>
      </c>
      <c r="D119" s="147">
        <f t="shared" si="10"/>
        <v>6.0562018438082399E-2</v>
      </c>
    </row>
    <row r="120" spans="2:4" x14ac:dyDescent="0.25">
      <c r="B120" s="12">
        <v>44585</v>
      </c>
      <c r="C120" s="18">
        <v>20.639999</v>
      </c>
      <c r="D120" s="147">
        <f t="shared" si="10"/>
        <v>6.0637207638088775E-2</v>
      </c>
    </row>
    <row r="121" spans="2:4" x14ac:dyDescent="0.25">
      <c r="B121" s="12">
        <v>44578</v>
      </c>
      <c r="C121" s="18">
        <v>19.459999</v>
      </c>
      <c r="D121" s="147">
        <f t="shared" si="10"/>
        <v>-0.16084527120115255</v>
      </c>
    </row>
    <row r="122" spans="2:4" x14ac:dyDescent="0.25">
      <c r="B122" s="12">
        <v>44571</v>
      </c>
      <c r="C122" s="18">
        <v>23.190000999999999</v>
      </c>
      <c r="D122" s="147">
        <f t="shared" si="10"/>
        <v>-0.14867837738619671</v>
      </c>
    </row>
    <row r="123" spans="2:4" x14ac:dyDescent="0.25">
      <c r="B123" s="12">
        <v>44564</v>
      </c>
      <c r="C123" s="18">
        <v>27.24</v>
      </c>
      <c r="D123" s="147">
        <f t="shared" si="10"/>
        <v>-8.3727341963136803E-3</v>
      </c>
    </row>
    <row r="124" spans="2:4" x14ac:dyDescent="0.25">
      <c r="B124" s="12">
        <v>44557</v>
      </c>
      <c r="C124" s="18">
        <v>27.469999000000001</v>
      </c>
      <c r="D124" s="147">
        <f t="shared" si="10"/>
        <v>-6.691582653139172E-2</v>
      </c>
    </row>
    <row r="125" spans="2:4" x14ac:dyDescent="0.25">
      <c r="B125" s="12">
        <v>44550</v>
      </c>
      <c r="C125" s="18">
        <v>29.440000999999999</v>
      </c>
      <c r="D125" s="147">
        <f t="shared" si="10"/>
        <v>2.6857377049180231E-2</v>
      </c>
    </row>
    <row r="126" spans="2:4" x14ac:dyDescent="0.25">
      <c r="B126" s="12">
        <v>44543</v>
      </c>
      <c r="C126" s="18">
        <v>28.67</v>
      </c>
      <c r="D126" s="147">
        <f t="shared" si="10"/>
        <v>-5.7218020388030255E-2</v>
      </c>
    </row>
    <row r="127" spans="2:4" x14ac:dyDescent="0.25">
      <c r="B127" s="12">
        <v>44536</v>
      </c>
      <c r="C127" s="18">
        <v>30.41</v>
      </c>
      <c r="D127" s="147">
        <f t="shared" si="10"/>
        <v>7.1906906171769425E-2</v>
      </c>
    </row>
    <row r="128" spans="2:4" x14ac:dyDescent="0.25">
      <c r="B128" s="12">
        <v>44529</v>
      </c>
      <c r="C128" s="18">
        <v>28.370000999999998</v>
      </c>
      <c r="D128" s="147">
        <f t="shared" si="10"/>
        <v>-0.21281908399503091</v>
      </c>
    </row>
    <row r="129" spans="2:4" x14ac:dyDescent="0.25">
      <c r="B129" s="12">
        <v>44522</v>
      </c>
      <c r="C129" s="18">
        <v>36.040000999999997</v>
      </c>
      <c r="D129" s="147">
        <f t="shared" si="10"/>
        <v>-2.766961891725761E-3</v>
      </c>
    </row>
    <row r="130" spans="2:4" x14ac:dyDescent="0.25">
      <c r="B130" s="12">
        <v>44515</v>
      </c>
      <c r="C130" s="18">
        <v>36.139999000000003</v>
      </c>
      <c r="D130" s="147">
        <f t="shared" si="10"/>
        <v>-0.10787457950503976</v>
      </c>
    </row>
    <row r="131" spans="2:4" x14ac:dyDescent="0.25">
      <c r="B131" s="12">
        <v>44508</v>
      </c>
      <c r="C131" s="18">
        <v>40.509998000000003</v>
      </c>
      <c r="D131" s="147">
        <f t="shared" ref="D131:D194" si="11">C131/C132-1</f>
        <v>-7.1297594481833815E-2</v>
      </c>
    </row>
    <row r="132" spans="2:4" x14ac:dyDescent="0.25">
      <c r="B132" s="12">
        <v>44501</v>
      </c>
      <c r="C132" s="18">
        <v>43.619999</v>
      </c>
      <c r="D132" s="147">
        <f t="shared" si="11"/>
        <v>-6.3747606782571409E-2</v>
      </c>
    </row>
    <row r="133" spans="2:4" x14ac:dyDescent="0.25">
      <c r="B133" s="12">
        <v>44494</v>
      </c>
      <c r="C133" s="18">
        <v>46.59</v>
      </c>
      <c r="D133" s="147">
        <f t="shared" si="11"/>
        <v>1.0409867481894208E-2</v>
      </c>
    </row>
    <row r="134" spans="2:4" x14ac:dyDescent="0.25">
      <c r="B134" s="12">
        <v>44487</v>
      </c>
      <c r="C134" s="18">
        <v>46.110000999999997</v>
      </c>
      <c r="D134" s="147">
        <f t="shared" si="11"/>
        <v>-4.0973396798111739E-2</v>
      </c>
    </row>
    <row r="135" spans="2:4" x14ac:dyDescent="0.25">
      <c r="B135" s="12">
        <v>44480</v>
      </c>
      <c r="C135" s="18">
        <v>48.080002</v>
      </c>
      <c r="D135" s="147">
        <f t="shared" si="11"/>
        <v>3.5483615111668865E-3</v>
      </c>
    </row>
    <row r="136" spans="2:4" x14ac:dyDescent="0.25">
      <c r="B136" s="12">
        <v>44473</v>
      </c>
      <c r="C136" s="18">
        <v>47.91</v>
      </c>
      <c r="D136" s="147">
        <f t="shared" si="11"/>
        <v>-5.2412993425375975E-2</v>
      </c>
    </row>
    <row r="137" spans="2:4" x14ac:dyDescent="0.25">
      <c r="B137" s="12">
        <v>44466</v>
      </c>
      <c r="C137" s="18">
        <v>50.560001</v>
      </c>
      <c r="D137" s="147">
        <f t="shared" si="11"/>
        <v>-1.5000992986518913E-2</v>
      </c>
    </row>
    <row r="138" spans="2:4" x14ac:dyDescent="0.25">
      <c r="B138" s="12">
        <v>44459</v>
      </c>
      <c r="C138" s="18">
        <v>51.330002</v>
      </c>
      <c r="D138" s="147">
        <f t="shared" si="11"/>
        <v>-0.1504468106735124</v>
      </c>
    </row>
    <row r="139" spans="2:4" x14ac:dyDescent="0.25">
      <c r="B139" s="12">
        <v>44452</v>
      </c>
      <c r="C139" s="18">
        <v>60.419998</v>
      </c>
      <c r="D139" s="147">
        <f t="shared" si="11"/>
        <v>-3.266091951106187E-2</v>
      </c>
    </row>
    <row r="140" spans="2:4" x14ac:dyDescent="0.25">
      <c r="B140" s="12">
        <v>44445</v>
      </c>
      <c r="C140" s="18">
        <v>62.459999000000003</v>
      </c>
      <c r="D140" s="147">
        <f t="shared" si="11"/>
        <v>2.3598803670927593E-2</v>
      </c>
    </row>
    <row r="141" spans="2:4" x14ac:dyDescent="0.25">
      <c r="B141" s="12">
        <v>44438</v>
      </c>
      <c r="C141" s="18">
        <v>61.02</v>
      </c>
      <c r="D141" s="147">
        <f t="shared" si="11"/>
        <v>1.6830562133996363E-2</v>
      </c>
    </row>
    <row r="142" spans="2:4" x14ac:dyDescent="0.25">
      <c r="B142" s="12">
        <v>44431</v>
      </c>
      <c r="C142" s="18">
        <v>60.009998000000003</v>
      </c>
      <c r="D142" s="147">
        <f t="shared" si="11"/>
        <v>0.15381657965070494</v>
      </c>
    </row>
    <row r="143" spans="2:4" x14ac:dyDescent="0.25">
      <c r="B143" s="12">
        <v>44424</v>
      </c>
      <c r="C143" s="18">
        <v>52.009998000000003</v>
      </c>
      <c r="D143" s="147">
        <f t="shared" si="11"/>
        <v>-2.7850504672897181E-2</v>
      </c>
    </row>
    <row r="144" spans="2:4" x14ac:dyDescent="0.25">
      <c r="B144" s="12">
        <v>44417</v>
      </c>
      <c r="C144" s="18">
        <v>53.5</v>
      </c>
      <c r="D144" s="147">
        <f t="shared" si="11"/>
        <v>3.7022678813723564E-2</v>
      </c>
    </row>
    <row r="145" spans="2:4" x14ac:dyDescent="0.25">
      <c r="B145" s="12">
        <v>44410</v>
      </c>
      <c r="C145" s="18">
        <v>51.59</v>
      </c>
      <c r="D145" s="147">
        <f t="shared" si="11"/>
        <v>6.371134020618574E-2</v>
      </c>
    </row>
    <row r="146" spans="2:4" x14ac:dyDescent="0.25">
      <c r="B146" s="12">
        <v>44403</v>
      </c>
      <c r="C146" s="18">
        <v>48.5</v>
      </c>
      <c r="D146" s="147">
        <f t="shared" si="11"/>
        <v>-1.6825501040928392E-2</v>
      </c>
    </row>
    <row r="147" spans="2:4" x14ac:dyDescent="0.25">
      <c r="B147" s="12">
        <v>44396</v>
      </c>
      <c r="C147" s="18">
        <v>49.330002</v>
      </c>
      <c r="D147" s="147">
        <f t="shared" si="11"/>
        <v>0.12651292243633439</v>
      </c>
    </row>
    <row r="148" spans="2:4" x14ac:dyDescent="0.25">
      <c r="B148" s="12">
        <v>44389</v>
      </c>
      <c r="C148" s="18">
        <v>43.790000999999997</v>
      </c>
      <c r="D148" s="147">
        <f t="shared" si="11"/>
        <v>-0.10796494194336947</v>
      </c>
    </row>
    <row r="149" spans="2:4" x14ac:dyDescent="0.25">
      <c r="B149" s="12">
        <v>44382</v>
      </c>
      <c r="C149" s="18">
        <v>49.09</v>
      </c>
      <c r="D149" s="147">
        <f t="shared" si="11"/>
        <v>-4.2706689600364278E-2</v>
      </c>
    </row>
    <row r="150" spans="2:4" x14ac:dyDescent="0.25">
      <c r="B150" s="12">
        <v>44375</v>
      </c>
      <c r="C150" s="18">
        <v>51.279998999999997</v>
      </c>
      <c r="D150" s="147">
        <f t="shared" si="11"/>
        <v>-7.5478810740422508E-3</v>
      </c>
    </row>
    <row r="151" spans="2:4" x14ac:dyDescent="0.25">
      <c r="B151" s="12">
        <v>44368</v>
      </c>
      <c r="C151" s="18">
        <v>51.669998</v>
      </c>
      <c r="D151" s="147">
        <f t="shared" si="11"/>
        <v>7.5114376298077934E-2</v>
      </c>
    </row>
    <row r="152" spans="2:4" x14ac:dyDescent="0.25">
      <c r="B152" s="12">
        <v>44361</v>
      </c>
      <c r="C152" s="18">
        <v>48.060001</v>
      </c>
      <c r="D152" s="147">
        <f t="shared" si="11"/>
        <v>-9.5596501610773488E-2</v>
      </c>
    </row>
    <row r="153" spans="2:4" x14ac:dyDescent="0.25">
      <c r="B153" s="12">
        <v>44354</v>
      </c>
      <c r="C153" s="18">
        <v>53.139999000000003</v>
      </c>
      <c r="D153" s="147">
        <f t="shared" si="11"/>
        <v>5.5831450195451993E-2</v>
      </c>
    </row>
    <row r="154" spans="2:4" x14ac:dyDescent="0.25">
      <c r="B154" s="12">
        <v>44347</v>
      </c>
      <c r="C154" s="18">
        <v>50.330002</v>
      </c>
      <c r="D154" s="147">
        <f t="shared" si="11"/>
        <v>7.6076274753227313E-3</v>
      </c>
    </row>
    <row r="155" spans="2:4" x14ac:dyDescent="0.25">
      <c r="B155" s="12">
        <v>44340</v>
      </c>
      <c r="C155" s="18">
        <v>49.950001</v>
      </c>
      <c r="D155" s="147">
        <f t="shared" si="11"/>
        <v>0.11920232760021676</v>
      </c>
    </row>
    <row r="156" spans="2:4" x14ac:dyDescent="0.25">
      <c r="B156" s="12">
        <v>44333</v>
      </c>
      <c r="C156" s="18">
        <v>44.630001</v>
      </c>
      <c r="D156" s="147">
        <f t="shared" si="11"/>
        <v>-5.7918914188437309E-3</v>
      </c>
    </row>
    <row r="157" spans="2:4" x14ac:dyDescent="0.25">
      <c r="B157" s="12">
        <v>44326</v>
      </c>
      <c r="C157" s="18">
        <v>44.889999000000003</v>
      </c>
      <c r="D157" s="147">
        <f t="shared" si="11"/>
        <v>-7.2903741136048694E-2</v>
      </c>
    </row>
    <row r="158" spans="2:4" x14ac:dyDescent="0.25">
      <c r="B158" s="12">
        <v>44319</v>
      </c>
      <c r="C158" s="18">
        <v>48.419998</v>
      </c>
      <c r="D158" s="147">
        <f t="shared" si="11"/>
        <v>-0.1454289092834451</v>
      </c>
    </row>
    <row r="159" spans="2:4" x14ac:dyDescent="0.25">
      <c r="B159" s="12">
        <v>44312</v>
      </c>
      <c r="C159" s="18">
        <v>56.66</v>
      </c>
      <c r="D159" s="147">
        <f t="shared" si="11"/>
        <v>-2.5120423694432681E-2</v>
      </c>
    </row>
    <row r="160" spans="2:4" x14ac:dyDescent="0.25">
      <c r="B160" s="12">
        <v>44305</v>
      </c>
      <c r="C160" s="18">
        <v>58.119999</v>
      </c>
      <c r="D160" s="147">
        <f t="shared" si="11"/>
        <v>2.414608485684866E-3</v>
      </c>
    </row>
    <row r="161" spans="2:4" x14ac:dyDescent="0.25">
      <c r="B161" s="12">
        <v>44298</v>
      </c>
      <c r="C161" s="18">
        <v>57.98</v>
      </c>
      <c r="D161" s="147">
        <f t="shared" si="11"/>
        <v>-6.9491268343905177E-2</v>
      </c>
    </row>
    <row r="162" spans="2:4" x14ac:dyDescent="0.25">
      <c r="B162" s="12">
        <v>44291</v>
      </c>
      <c r="C162" s="18">
        <v>62.310001</v>
      </c>
      <c r="D162" s="147">
        <f t="shared" si="11"/>
        <v>-9.0648853520215456E-3</v>
      </c>
    </row>
    <row r="163" spans="2:4" x14ac:dyDescent="0.25">
      <c r="B163" s="12">
        <v>44284</v>
      </c>
      <c r="C163" s="18">
        <v>62.880001</v>
      </c>
      <c r="D163" s="147">
        <f t="shared" si="11"/>
        <v>-1.132070790316686E-2</v>
      </c>
    </row>
    <row r="164" spans="2:4" x14ac:dyDescent="0.25">
      <c r="B164" s="12">
        <v>44277</v>
      </c>
      <c r="C164" s="18">
        <v>63.599997999999999</v>
      </c>
      <c r="D164" s="147">
        <f t="shared" si="11"/>
        <v>-0.11642129273042678</v>
      </c>
    </row>
    <row r="165" spans="2:4" x14ac:dyDescent="0.25">
      <c r="B165" s="12">
        <v>44270</v>
      </c>
      <c r="C165" s="18">
        <v>71.980002999999996</v>
      </c>
      <c r="D165" s="147">
        <f t="shared" si="11"/>
        <v>3.2056167247387357E-3</v>
      </c>
    </row>
    <row r="166" spans="2:4" x14ac:dyDescent="0.25">
      <c r="B166" s="12">
        <v>44263</v>
      </c>
      <c r="C166" s="18">
        <v>71.75</v>
      </c>
      <c r="D166" s="147">
        <f t="shared" si="11"/>
        <v>0.20547715053763427</v>
      </c>
    </row>
    <row r="167" spans="2:4" x14ac:dyDescent="0.25">
      <c r="B167" s="12">
        <v>44256</v>
      </c>
      <c r="C167" s="18">
        <v>59.52</v>
      </c>
      <c r="D167" s="147">
        <f t="shared" si="11"/>
        <v>-3.2666975990036873E-2</v>
      </c>
    </row>
    <row r="168" spans="2:4" x14ac:dyDescent="0.25">
      <c r="B168" s="12">
        <v>44249</v>
      </c>
      <c r="C168" s="18">
        <v>61.529998999999997</v>
      </c>
      <c r="D168" s="147">
        <f t="shared" si="11"/>
        <v>1.0178936135281536E-2</v>
      </c>
    </row>
    <row r="169" spans="2:4" x14ac:dyDescent="0.25">
      <c r="B169" s="12">
        <v>44242</v>
      </c>
      <c r="C169" s="18">
        <v>60.91</v>
      </c>
      <c r="D169" s="147">
        <f t="shared" si="11"/>
        <v>-2.6199443261831767E-3</v>
      </c>
    </row>
    <row r="170" spans="2:4" x14ac:dyDescent="0.25">
      <c r="B170" s="12">
        <v>44235</v>
      </c>
      <c r="C170" s="18">
        <v>61.07</v>
      </c>
      <c r="D170" s="147">
        <f t="shared" si="11"/>
        <v>-4.3839033095961044E-2</v>
      </c>
    </row>
    <row r="171" spans="2:4" x14ac:dyDescent="0.25">
      <c r="B171" s="12">
        <v>44228</v>
      </c>
      <c r="C171" s="18">
        <v>63.869999</v>
      </c>
      <c r="D171" s="147">
        <f t="shared" si="11"/>
        <v>0.18037327332520303</v>
      </c>
    </row>
    <row r="172" spans="2:4" x14ac:dyDescent="0.25">
      <c r="B172" s="12">
        <v>44221</v>
      </c>
      <c r="C172" s="18">
        <v>54.110000999999997</v>
      </c>
      <c r="D172" s="147">
        <f t="shared" si="11"/>
        <v>3.0078089283801512E-2</v>
      </c>
    </row>
    <row r="173" spans="2:4" x14ac:dyDescent="0.25">
      <c r="B173" s="12">
        <v>44214</v>
      </c>
      <c r="C173" s="18">
        <v>52.529998999999997</v>
      </c>
      <c r="D173" s="147">
        <f t="shared" si="11"/>
        <v>-2.1787746335423797E-2</v>
      </c>
    </row>
    <row r="174" spans="2:4" x14ac:dyDescent="0.25">
      <c r="B174" s="12">
        <v>44207</v>
      </c>
      <c r="C174" s="18">
        <v>53.700001</v>
      </c>
      <c r="D174" s="147">
        <f t="shared" si="11"/>
        <v>3.2692326923076998E-2</v>
      </c>
    </row>
    <row r="175" spans="2:4" x14ac:dyDescent="0.25">
      <c r="B175" s="12">
        <v>44200</v>
      </c>
      <c r="C175" s="18">
        <v>52</v>
      </c>
      <c r="D175" s="147">
        <f t="shared" si="11"/>
        <v>0.11683846398542808</v>
      </c>
    </row>
    <row r="176" spans="2:4" x14ac:dyDescent="0.25">
      <c r="B176" s="12">
        <v>44193</v>
      </c>
      <c r="C176" s="18">
        <v>46.560001</v>
      </c>
      <c r="D176" s="147">
        <f t="shared" si="11"/>
        <v>-0.10650546715591114</v>
      </c>
    </row>
    <row r="177" spans="2:4" x14ac:dyDescent="0.25">
      <c r="B177" s="12">
        <v>44186</v>
      </c>
      <c r="C177" s="18">
        <v>52.110000999999997</v>
      </c>
      <c r="D177" s="147">
        <f t="shared" si="11"/>
        <v>-3.3209664815967987E-2</v>
      </c>
    </row>
    <row r="178" spans="2:4" x14ac:dyDescent="0.25">
      <c r="B178" s="12">
        <v>44179</v>
      </c>
      <c r="C178" s="18">
        <v>53.900002000000001</v>
      </c>
      <c r="D178" s="147">
        <f t="shared" si="11"/>
        <v>7.6063126372529322E-2</v>
      </c>
    </row>
    <row r="179" spans="2:4" x14ac:dyDescent="0.25">
      <c r="B179" s="12">
        <v>44172</v>
      </c>
      <c r="C179" s="18">
        <v>50.09</v>
      </c>
      <c r="D179" s="147">
        <f t="shared" si="11"/>
        <v>1.7055837563451748E-2</v>
      </c>
    </row>
    <row r="180" spans="2:4" x14ac:dyDescent="0.25">
      <c r="B180" s="12">
        <v>44165</v>
      </c>
      <c r="C180" s="18">
        <v>49.25</v>
      </c>
      <c r="D180" s="147">
        <f t="shared" si="11"/>
        <v>-6.6350710900473953E-2</v>
      </c>
    </row>
    <row r="181" spans="2:4" x14ac:dyDescent="0.25">
      <c r="B181" s="12">
        <v>44158</v>
      </c>
      <c r="C181" s="18">
        <v>52.75</v>
      </c>
      <c r="D181" s="147">
        <f t="shared" si="11"/>
        <v>9.371760315156541E-2</v>
      </c>
    </row>
    <row r="182" spans="2:4" x14ac:dyDescent="0.25">
      <c r="B182" s="12">
        <v>44151</v>
      </c>
      <c r="C182" s="18">
        <v>48.23</v>
      </c>
      <c r="D182" s="147">
        <f t="shared" si="11"/>
        <v>0.12581699346405206</v>
      </c>
    </row>
    <row r="183" spans="2:4" x14ac:dyDescent="0.25">
      <c r="B183" s="12">
        <v>44144</v>
      </c>
      <c r="C183" s="18">
        <v>42.84</v>
      </c>
      <c r="D183" s="147">
        <f t="shared" si="11"/>
        <v>1.2287334593572785E-2</v>
      </c>
    </row>
    <row r="184" spans="2:4" x14ac:dyDescent="0.25">
      <c r="B184" s="12">
        <v>44137</v>
      </c>
      <c r="C184" s="18">
        <v>42.32</v>
      </c>
      <c r="D184" s="147">
        <f t="shared" si="11"/>
        <v>0.19548015844744859</v>
      </c>
    </row>
    <row r="185" spans="2:4" x14ac:dyDescent="0.25">
      <c r="B185" s="12">
        <v>44130</v>
      </c>
      <c r="C185" s="18">
        <v>35.400002000000001</v>
      </c>
      <c r="D185" s="147">
        <f t="shared" si="11"/>
        <v>-0.17173607057856466</v>
      </c>
    </row>
    <row r="186" spans="2:4" x14ac:dyDescent="0.25">
      <c r="B186" s="12">
        <v>44123</v>
      </c>
      <c r="C186" s="18">
        <v>42.740001999999997</v>
      </c>
      <c r="D186" s="147">
        <f t="shared" si="11"/>
        <v>-3.6084754172305056E-2</v>
      </c>
    </row>
    <row r="187" spans="2:4" x14ac:dyDescent="0.25">
      <c r="B187" s="12">
        <v>44116</v>
      </c>
      <c r="C187" s="18">
        <v>44.34</v>
      </c>
      <c r="D187" s="147">
        <f t="shared" si="11"/>
        <v>-9.176566980745593E-2</v>
      </c>
    </row>
    <row r="188" spans="2:4" x14ac:dyDescent="0.25">
      <c r="B188" s="12">
        <v>44109</v>
      </c>
      <c r="C188" s="18">
        <v>48.82</v>
      </c>
      <c r="D188" s="147">
        <f t="shared" si="11"/>
        <v>-0.2345562752360657</v>
      </c>
    </row>
    <row r="189" spans="2:4" x14ac:dyDescent="0.25">
      <c r="B189" s="12">
        <v>44102</v>
      </c>
      <c r="C189" s="18">
        <v>63.779998999999997</v>
      </c>
      <c r="D189" s="147">
        <f t="shared" si="11"/>
        <v>0.1990975784752318</v>
      </c>
    </row>
    <row r="190" spans="2:4" x14ac:dyDescent="0.25">
      <c r="B190" s="12">
        <v>44095</v>
      </c>
      <c r="C190" s="18">
        <v>53.189999</v>
      </c>
      <c r="D190" s="147">
        <f t="shared" si="11"/>
        <v>-3.9718361431997917E-2</v>
      </c>
    </row>
    <row r="191" spans="2:4" x14ac:dyDescent="0.25">
      <c r="B191" s="12">
        <v>44088</v>
      </c>
      <c r="C191" s="18">
        <v>55.389999000000003</v>
      </c>
      <c r="D191" s="147">
        <f t="shared" si="11"/>
        <v>0.3359865011091776</v>
      </c>
    </row>
    <row r="192" spans="2:4" x14ac:dyDescent="0.25">
      <c r="B192" s="12">
        <v>44081</v>
      </c>
      <c r="C192" s="18">
        <v>41.459999000000003</v>
      </c>
      <c r="D192" s="147">
        <f t="shared" si="11"/>
        <v>0.12054051351351358</v>
      </c>
    </row>
    <row r="193" spans="2:4" x14ac:dyDescent="0.25">
      <c r="B193" s="12">
        <v>44074</v>
      </c>
      <c r="C193" s="18">
        <v>37</v>
      </c>
      <c r="D193" s="147">
        <f t="shared" si="11"/>
        <v>1.8722466960352513E-2</v>
      </c>
    </row>
    <row r="194" spans="2:4" x14ac:dyDescent="0.25">
      <c r="B194" s="12">
        <v>44067</v>
      </c>
      <c r="C194" s="18">
        <v>36.32</v>
      </c>
      <c r="D194" s="147">
        <f t="shared" si="11"/>
        <v>3.328585870350742E-2</v>
      </c>
    </row>
    <row r="195" spans="2:4" x14ac:dyDescent="0.25">
      <c r="B195" s="12">
        <v>44060</v>
      </c>
      <c r="C195" s="18">
        <v>35.150002000000001</v>
      </c>
      <c r="D195" s="147">
        <f t="shared" ref="D195:D251" si="12">C195/C196-1</f>
        <v>3.6567443232085051E-2</v>
      </c>
    </row>
    <row r="196" spans="2:4" x14ac:dyDescent="0.25">
      <c r="B196" s="12">
        <v>44053</v>
      </c>
      <c r="C196" s="18">
        <v>33.909999999999997</v>
      </c>
      <c r="D196" s="147">
        <f t="shared" si="12"/>
        <v>-5.2801408037549402E-3</v>
      </c>
    </row>
    <row r="197" spans="2:4" x14ac:dyDescent="0.25">
      <c r="B197" s="12">
        <v>44046</v>
      </c>
      <c r="C197" s="18">
        <v>34.090000000000003</v>
      </c>
      <c r="D197" s="147">
        <f t="shared" si="12"/>
        <v>2.1423220973782797E-2</v>
      </c>
    </row>
    <row r="198" spans="2:4" x14ac:dyDescent="0.25">
      <c r="B198" s="12">
        <v>44039</v>
      </c>
      <c r="C198" s="18">
        <v>33.375</v>
      </c>
      <c r="D198" s="147">
        <f t="shared" si="12"/>
        <v>-0.11118506288109353</v>
      </c>
    </row>
    <row r="199" spans="2:4" x14ac:dyDescent="0.25">
      <c r="B199" s="12">
        <v>44032</v>
      </c>
      <c r="C199" s="18">
        <v>37.549999</v>
      </c>
      <c r="D199" s="147">
        <f t="shared" si="12"/>
        <v>6.1934330827649209E-2</v>
      </c>
    </row>
    <row r="200" spans="2:4" x14ac:dyDescent="0.25">
      <c r="B200" s="12">
        <v>44025</v>
      </c>
      <c r="C200" s="18">
        <v>35.360000999999997</v>
      </c>
      <c r="D200" s="147">
        <f t="shared" si="12"/>
        <v>9.0348473635522675E-2</v>
      </c>
    </row>
    <row r="201" spans="2:4" x14ac:dyDescent="0.25">
      <c r="B201" s="12">
        <v>44018</v>
      </c>
      <c r="C201" s="18">
        <v>32.43</v>
      </c>
      <c r="D201" s="147">
        <f t="shared" si="12"/>
        <v>-1.9056291014631244E-2</v>
      </c>
    </row>
    <row r="202" spans="2:4" x14ac:dyDescent="0.25">
      <c r="B202" s="12">
        <v>44011</v>
      </c>
      <c r="C202" s="18">
        <v>33.060001</v>
      </c>
      <c r="D202" s="147">
        <f t="shared" si="12"/>
        <v>-8.3982903419317356E-3</v>
      </c>
    </row>
    <row r="203" spans="2:4" x14ac:dyDescent="0.25">
      <c r="B203" s="12">
        <v>44004</v>
      </c>
      <c r="C203" s="18">
        <v>33.340000000000003</v>
      </c>
      <c r="D203" s="147">
        <f t="shared" si="12"/>
        <v>-0.20619047619047615</v>
      </c>
    </row>
    <row r="204" spans="2:4" x14ac:dyDescent="0.25">
      <c r="B204" s="12">
        <v>43997</v>
      </c>
      <c r="C204" s="18">
        <v>42</v>
      </c>
      <c r="D204" s="147">
        <f t="shared" si="12"/>
        <v>0.13882860252633944</v>
      </c>
    </row>
    <row r="205" spans="2:4" x14ac:dyDescent="0.25">
      <c r="B205" s="12">
        <v>43990</v>
      </c>
      <c r="C205" s="18">
        <v>36.880001</v>
      </c>
      <c r="D205" s="147">
        <f t="shared" si="12"/>
        <v>-6.2531748856126113E-2</v>
      </c>
    </row>
    <row r="206" spans="2:4" x14ac:dyDescent="0.25">
      <c r="B206" s="12">
        <v>43983</v>
      </c>
      <c r="C206" s="18">
        <v>39.340000000000003</v>
      </c>
      <c r="D206" s="147">
        <f t="shared" si="12"/>
        <v>-9.0680350360695661E-3</v>
      </c>
    </row>
    <row r="207" spans="2:4" x14ac:dyDescent="0.25">
      <c r="B207" s="12">
        <v>43976</v>
      </c>
      <c r="C207" s="18">
        <v>39.700001</v>
      </c>
      <c r="D207" s="147">
        <f t="shared" si="12"/>
        <v>0.36379249866738239</v>
      </c>
    </row>
    <row r="208" spans="2:4" x14ac:dyDescent="0.25">
      <c r="B208" s="12">
        <v>43969</v>
      </c>
      <c r="C208" s="18">
        <v>29.110001</v>
      </c>
      <c r="D208" s="147">
        <f t="shared" si="12"/>
        <v>-4.1053369825522212E-3</v>
      </c>
    </row>
    <row r="209" spans="2:4" x14ac:dyDescent="0.25">
      <c r="B209" s="12">
        <v>43962</v>
      </c>
      <c r="C209" s="18">
        <v>29.23</v>
      </c>
      <c r="D209" s="147">
        <f t="shared" si="12"/>
        <v>0.24648182317774747</v>
      </c>
    </row>
    <row r="210" spans="2:4" x14ac:dyDescent="0.25">
      <c r="B210" s="12">
        <v>43955</v>
      </c>
      <c r="C210" s="18">
        <v>23.450001</v>
      </c>
      <c r="D210" s="147">
        <f t="shared" si="12"/>
        <v>0.16550695002450566</v>
      </c>
    </row>
    <row r="211" spans="2:4" x14ac:dyDescent="0.25">
      <c r="B211" s="12">
        <v>43948</v>
      </c>
      <c r="C211" s="18">
        <v>20.120000999999998</v>
      </c>
      <c r="D211" s="147">
        <f t="shared" si="12"/>
        <v>3.9793333333333125E-2</v>
      </c>
    </row>
    <row r="212" spans="2:4" x14ac:dyDescent="0.25">
      <c r="B212" s="12">
        <v>43941</v>
      </c>
      <c r="C212" s="18">
        <v>19.350000000000001</v>
      </c>
      <c r="D212" s="147">
        <f t="shared" si="12"/>
        <v>0.14159285300337165</v>
      </c>
    </row>
    <row r="213" spans="2:4" x14ac:dyDescent="0.25">
      <c r="B213" s="12">
        <v>43934</v>
      </c>
      <c r="C213" s="18">
        <v>16.950001</v>
      </c>
      <c r="D213" s="147">
        <f t="shared" si="12"/>
        <v>0.16815995864920752</v>
      </c>
    </row>
    <row r="214" spans="2:4" x14ac:dyDescent="0.25">
      <c r="B214" s="12">
        <v>43927</v>
      </c>
      <c r="C214" s="18">
        <v>14.51</v>
      </c>
      <c r="D214" s="147">
        <f t="shared" si="12"/>
        <v>0.18448979591836734</v>
      </c>
    </row>
    <row r="215" spans="2:4" x14ac:dyDescent="0.25">
      <c r="B215" s="12">
        <v>43920</v>
      </c>
      <c r="C215" s="18">
        <v>12.25</v>
      </c>
      <c r="D215" s="147">
        <f t="shared" si="12"/>
        <v>-3.4672970843183548E-2</v>
      </c>
    </row>
    <row r="216" spans="2:4" x14ac:dyDescent="0.25">
      <c r="B216" s="12">
        <v>43913</v>
      </c>
      <c r="C216" s="18">
        <v>12.69</v>
      </c>
      <c r="D216" s="147">
        <f t="shared" si="12"/>
        <v>0.10540069686411146</v>
      </c>
    </row>
    <row r="217" spans="2:4" x14ac:dyDescent="0.25">
      <c r="B217" s="12">
        <v>43906</v>
      </c>
      <c r="C217" s="18">
        <v>11.48</v>
      </c>
      <c r="D217" s="147">
        <f t="shared" si="12"/>
        <v>-7.7911646586345307E-2</v>
      </c>
    </row>
    <row r="218" spans="2:4" x14ac:dyDescent="0.25">
      <c r="B218" s="12">
        <v>43899</v>
      </c>
      <c r="C218" s="18">
        <v>12.45</v>
      </c>
      <c r="D218" s="147">
        <f t="shared" si="12"/>
        <v>-0.26024955436720143</v>
      </c>
    </row>
    <row r="219" spans="2:4" x14ac:dyDescent="0.25">
      <c r="B219" s="12">
        <v>43892</v>
      </c>
      <c r="C219" s="18">
        <v>16.829999999999998</v>
      </c>
      <c r="D219" s="147">
        <f t="shared" si="12"/>
        <v>5.0561797752809001E-2</v>
      </c>
    </row>
    <row r="220" spans="2:4" x14ac:dyDescent="0.25">
      <c r="B220" s="12">
        <v>43885</v>
      </c>
      <c r="C220" s="18">
        <v>16.02</v>
      </c>
      <c r="D220" s="147">
        <f t="shared" si="12"/>
        <v>-5.4867312397208767E-2</v>
      </c>
    </row>
    <row r="221" spans="2:4" x14ac:dyDescent="0.25">
      <c r="B221" s="12">
        <v>43878</v>
      </c>
      <c r="C221" s="18">
        <v>16.950001</v>
      </c>
      <c r="D221" s="147">
        <f t="shared" si="12"/>
        <v>-2.1927236006924256E-2</v>
      </c>
    </row>
    <row r="222" spans="2:4" x14ac:dyDescent="0.25">
      <c r="B222" s="12">
        <v>43871</v>
      </c>
      <c r="C222" s="18">
        <v>17.329999999999998</v>
      </c>
      <c r="D222" s="147">
        <f t="shared" si="12"/>
        <v>0.19517241379310324</v>
      </c>
    </row>
    <row r="223" spans="2:4" x14ac:dyDescent="0.25">
      <c r="B223" s="12">
        <v>43864</v>
      </c>
      <c r="C223" s="18">
        <v>14.5</v>
      </c>
      <c r="D223" s="147">
        <f t="shared" si="12"/>
        <v>-2.0646937370956131E-3</v>
      </c>
    </row>
    <row r="224" spans="2:4" x14ac:dyDescent="0.25">
      <c r="B224" s="12">
        <v>43857</v>
      </c>
      <c r="C224" s="18">
        <v>14.53</v>
      </c>
      <c r="D224" s="147">
        <f t="shared" si="12"/>
        <v>1.1838440111420656E-2</v>
      </c>
    </row>
    <row r="225" spans="2:4" x14ac:dyDescent="0.25">
      <c r="B225" s="12">
        <v>43850</v>
      </c>
      <c r="C225" s="18">
        <v>14.36</v>
      </c>
      <c r="D225" s="147">
        <f t="shared" si="12"/>
        <v>5.8216654384672051E-2</v>
      </c>
    </row>
    <row r="226" spans="2:4" x14ac:dyDescent="0.25">
      <c r="B226" s="12">
        <v>43843</v>
      </c>
      <c r="C226" s="18">
        <v>13.57</v>
      </c>
      <c r="D226" s="147">
        <f t="shared" si="12"/>
        <v>9.5238095238095122E-2</v>
      </c>
    </row>
    <row r="227" spans="2:4" x14ac:dyDescent="0.25">
      <c r="B227" s="12">
        <v>43836</v>
      </c>
      <c r="C227" s="18">
        <v>12.39</v>
      </c>
      <c r="D227" s="147">
        <f t="shared" si="12"/>
        <v>0.1601123595505618</v>
      </c>
    </row>
    <row r="228" spans="2:4" x14ac:dyDescent="0.25">
      <c r="B228" s="12">
        <v>43829</v>
      </c>
      <c r="C228" s="18">
        <v>10.68</v>
      </c>
      <c r="D228" s="147">
        <f t="shared" si="12"/>
        <v>0</v>
      </c>
    </row>
    <row r="229" spans="2:4" x14ac:dyDescent="0.25">
      <c r="B229" s="12">
        <v>43822</v>
      </c>
      <c r="C229" s="18">
        <v>10.68</v>
      </c>
      <c r="D229" s="147">
        <f t="shared" si="12"/>
        <v>5.0147492625368661E-2</v>
      </c>
    </row>
    <row r="230" spans="2:4" x14ac:dyDescent="0.25">
      <c r="B230" s="12">
        <v>43815</v>
      </c>
      <c r="C230" s="18">
        <v>10.17</v>
      </c>
      <c r="D230" s="147">
        <f t="shared" si="12"/>
        <v>7.9286422200197659E-3</v>
      </c>
    </row>
    <row r="231" spans="2:4" x14ac:dyDescent="0.25">
      <c r="B231" s="12">
        <v>43808</v>
      </c>
      <c r="C231" s="18">
        <v>10.09</v>
      </c>
      <c r="D231" s="147">
        <f t="shared" si="12"/>
        <v>2.4838549428713996E-3</v>
      </c>
    </row>
    <row r="232" spans="2:4" x14ac:dyDescent="0.25">
      <c r="B232" s="12">
        <v>43801</v>
      </c>
      <c r="C232" s="18">
        <v>10.065</v>
      </c>
      <c r="D232" s="147">
        <f t="shared" si="12"/>
        <v>1.4925373134326847E-3</v>
      </c>
    </row>
    <row r="233" spans="2:4" x14ac:dyDescent="0.25">
      <c r="B233" s="12">
        <v>43794</v>
      </c>
      <c r="C233" s="18">
        <v>10.050000000000001</v>
      </c>
      <c r="D233" s="147">
        <f t="shared" si="12"/>
        <v>6.970028875834533E-4</v>
      </c>
    </row>
    <row r="234" spans="2:4" x14ac:dyDescent="0.25">
      <c r="B234" s="12">
        <v>43787</v>
      </c>
      <c r="C234" s="18">
        <v>10.042999999999999</v>
      </c>
      <c r="D234" s="147">
        <f t="shared" si="12"/>
        <v>-4.6580773042617096E-3</v>
      </c>
    </row>
    <row r="235" spans="2:4" x14ac:dyDescent="0.25">
      <c r="B235" s="12">
        <v>43780</v>
      </c>
      <c r="C235" s="18">
        <v>10.09</v>
      </c>
      <c r="D235" s="147">
        <f t="shared" si="12"/>
        <v>-9.9009900990099098E-4</v>
      </c>
    </row>
    <row r="236" spans="2:4" x14ac:dyDescent="0.25">
      <c r="B236" s="12">
        <v>43773</v>
      </c>
      <c r="C236" s="18">
        <v>10.1</v>
      </c>
      <c r="D236" s="147">
        <f t="shared" si="12"/>
        <v>1.9841269841269771E-3</v>
      </c>
    </row>
    <row r="237" spans="2:4" x14ac:dyDescent="0.25">
      <c r="B237" s="12">
        <v>43766</v>
      </c>
      <c r="C237" s="18">
        <v>10.08</v>
      </c>
      <c r="D237" s="147">
        <f t="shared" si="12"/>
        <v>2.3350253807106647E-2</v>
      </c>
    </row>
    <row r="238" spans="2:4" x14ac:dyDescent="0.25">
      <c r="B238" s="12">
        <v>43759</v>
      </c>
      <c r="C238" s="18">
        <v>9.85</v>
      </c>
      <c r="D238" s="147">
        <f t="shared" si="12"/>
        <v>-1.005025125628134E-2</v>
      </c>
    </row>
    <row r="239" spans="2:4" x14ac:dyDescent="0.25">
      <c r="B239" s="12">
        <v>43752</v>
      </c>
      <c r="C239" s="18">
        <v>9.9499999999999993</v>
      </c>
      <c r="D239" s="147">
        <f t="shared" si="12"/>
        <v>3.0241935483870108E-3</v>
      </c>
    </row>
    <row r="240" spans="2:4" x14ac:dyDescent="0.25">
      <c r="B240" s="12">
        <v>43745</v>
      </c>
      <c r="C240" s="18">
        <v>9.92</v>
      </c>
      <c r="D240" s="147">
        <f t="shared" si="12"/>
        <v>0</v>
      </c>
    </row>
    <row r="241" spans="2:4" x14ac:dyDescent="0.25">
      <c r="B241" s="12">
        <v>43738</v>
      </c>
      <c r="C241" s="18">
        <v>9.92</v>
      </c>
      <c r="D241" s="147">
        <f t="shared" si="12"/>
        <v>7.1065989847716171E-3</v>
      </c>
    </row>
    <row r="242" spans="2:4" x14ac:dyDescent="0.25">
      <c r="B242" s="12">
        <v>43731</v>
      </c>
      <c r="C242" s="18">
        <v>9.85</v>
      </c>
      <c r="D242" s="147">
        <f t="shared" si="12"/>
        <v>0</v>
      </c>
    </row>
    <row r="243" spans="2:4" x14ac:dyDescent="0.25">
      <c r="B243" s="12">
        <v>43724</v>
      </c>
      <c r="C243" s="18">
        <v>9.85</v>
      </c>
      <c r="D243" s="147">
        <f t="shared" si="12"/>
        <v>0</v>
      </c>
    </row>
    <row r="244" spans="2:4" x14ac:dyDescent="0.25">
      <c r="B244" s="12">
        <v>43717</v>
      </c>
      <c r="C244" s="18">
        <v>9.85</v>
      </c>
      <c r="D244" s="147">
        <f t="shared" si="12"/>
        <v>0</v>
      </c>
    </row>
    <row r="245" spans="2:4" x14ac:dyDescent="0.25">
      <c r="B245" s="12">
        <v>43710</v>
      </c>
      <c r="C245" s="18">
        <v>9.85</v>
      </c>
      <c r="D245" s="147">
        <f t="shared" si="12"/>
        <v>0</v>
      </c>
    </row>
    <row r="246" spans="2:4" x14ac:dyDescent="0.25">
      <c r="B246" s="12">
        <v>43703</v>
      </c>
      <c r="C246" s="18">
        <v>9.85</v>
      </c>
      <c r="D246" s="147">
        <f t="shared" si="12"/>
        <v>0</v>
      </c>
    </row>
    <row r="247" spans="2:4" x14ac:dyDescent="0.25">
      <c r="B247" s="12">
        <v>43696</v>
      </c>
      <c r="C247" s="18">
        <v>9.85</v>
      </c>
      <c r="D247" s="147">
        <f t="shared" si="12"/>
        <v>7.1574642126790433E-3</v>
      </c>
    </row>
    <row r="248" spans="2:4" x14ac:dyDescent="0.25">
      <c r="B248" s="12">
        <v>43689</v>
      </c>
      <c r="C248" s="18">
        <v>9.7799999999999994</v>
      </c>
      <c r="D248" s="147">
        <f t="shared" si="12"/>
        <v>2.049180327868827E-3</v>
      </c>
    </row>
    <row r="249" spans="2:4" x14ac:dyDescent="0.25">
      <c r="B249" s="12">
        <v>43682</v>
      </c>
      <c r="C249" s="18">
        <v>9.76</v>
      </c>
      <c r="D249" s="147">
        <f t="shared" si="12"/>
        <v>-4.0816326530612734E-3</v>
      </c>
    </row>
    <row r="250" spans="2:4" x14ac:dyDescent="0.25">
      <c r="B250" s="12">
        <v>43675</v>
      </c>
      <c r="C250" s="18">
        <v>9.8000000000000007</v>
      </c>
      <c r="D250" s="147">
        <f t="shared" si="12"/>
        <v>0</v>
      </c>
    </row>
    <row r="251" spans="2:4" x14ac:dyDescent="0.25">
      <c r="B251" s="12">
        <v>43668</v>
      </c>
      <c r="C251" s="18">
        <v>9.8000000000000007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B823AE0B-7E73-40C3-A6A6-4DC9619E93A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2024-05-06T11:54:05Z</dcterms:modified>
</cp:coreProperties>
</file>