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CA89E5E9-B320-4CE2-A099-02430A4D4B33}" xr6:coauthVersionLast="47" xr6:coauthVersionMax="47" xr10:uidLastSave="{00000000-0000-0000-0000-000000000000}"/>
  <bookViews>
    <workbookView xWindow="90" yWindow="120" windowWidth="14760" windowHeight="15420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4" hidden="1">Catalysts!$A$1:$B$1</definedName>
    <definedName name="_xlchart.v1.0" hidden="1">Model!$A$35</definedName>
    <definedName name="_xlchart.v1.1" hidden="1">Model!$A$36</definedName>
    <definedName name="_xlchart.v1.2" hidden="1">Model!$K$2:$W$2</definedName>
    <definedName name="_xlchart.v1.3" hidden="1">Model!$K$35:$W$35</definedName>
    <definedName name="_xlchart.v1.4" hidden="1">Model!$K$36:$W$36</definedName>
    <definedName name="_xlchart.v1.5" hidden="1">Model!$A$7</definedName>
    <definedName name="_xlchart.v1.6" hidden="1">Model!$A$8</definedName>
    <definedName name="_xlchart.v1.7" hidden="1">Model!$K$2:$W$2</definedName>
    <definedName name="_xlchart.v1.8" hidden="1">Model!$K$7:$W$7</definedName>
    <definedName name="_xlchart.v1.9" hidden="1">Model!$K$8:$W$8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2" i="2" l="1"/>
  <c r="S65" i="2"/>
  <c r="S50" i="2"/>
  <c r="S48" i="2"/>
  <c r="O30" i="2"/>
  <c r="O20" i="2"/>
  <c r="O19" i="2"/>
  <c r="O15" i="2"/>
  <c r="O13" i="2"/>
  <c r="O7" i="2"/>
  <c r="T72" i="2"/>
  <c r="T65" i="2"/>
  <c r="T50" i="2"/>
  <c r="T48" i="2"/>
  <c r="R42" i="2"/>
  <c r="Q42" i="2"/>
  <c r="P42" i="2"/>
  <c r="R41" i="2"/>
  <c r="Q41" i="2"/>
  <c r="P41" i="2"/>
  <c r="P20" i="2"/>
  <c r="P19" i="2"/>
  <c r="P30" i="2"/>
  <c r="T30" i="2"/>
  <c r="P15" i="2"/>
  <c r="T20" i="2"/>
  <c r="T19" i="2"/>
  <c r="T15" i="2"/>
  <c r="P13" i="2"/>
  <c r="P7" i="2"/>
  <c r="T13" i="2"/>
  <c r="T7" i="2"/>
  <c r="V42" i="2"/>
  <c r="U42" i="2"/>
  <c r="V41" i="2"/>
  <c r="U41" i="2"/>
  <c r="U72" i="2"/>
  <c r="U65" i="2"/>
  <c r="U48" i="2"/>
  <c r="U45" i="2"/>
  <c r="Q30" i="2"/>
  <c r="U30" i="2"/>
  <c r="Q20" i="2"/>
  <c r="Q19" i="2"/>
  <c r="Q15" i="2"/>
  <c r="Q13" i="2"/>
  <c r="Q7" i="2"/>
  <c r="U20" i="2"/>
  <c r="U19" i="2"/>
  <c r="U15" i="2"/>
  <c r="U13" i="2"/>
  <c r="U7" i="2"/>
  <c r="R30" i="2"/>
  <c r="R31" i="2" s="1"/>
  <c r="R33" i="2" s="1"/>
  <c r="V30" i="2"/>
  <c r="V31" i="2"/>
  <c r="V33" i="2" s="1"/>
  <c r="R35" i="2"/>
  <c r="R20" i="2"/>
  <c r="R19" i="2"/>
  <c r="R15" i="2"/>
  <c r="R13" i="2"/>
  <c r="S13" i="2"/>
  <c r="V35" i="2"/>
  <c r="V20" i="2"/>
  <c r="V21" i="2"/>
  <c r="V19" i="2"/>
  <c r="V15" i="2"/>
  <c r="V18" i="2" s="1"/>
  <c r="W13" i="2"/>
  <c r="W18" i="2" s="1"/>
  <c r="V13" i="2"/>
  <c r="E18" i="2"/>
  <c r="E13" i="2"/>
  <c r="E12" i="2"/>
  <c r="E11" i="2"/>
  <c r="E10" i="2"/>
  <c r="E7" i="2"/>
  <c r="C18" i="2"/>
  <c r="F7" i="2"/>
  <c r="F18" i="2"/>
  <c r="H18" i="2"/>
  <c r="G18" i="2"/>
  <c r="F13" i="2"/>
  <c r="S18" i="2"/>
  <c r="N18" i="2"/>
  <c r="M18" i="2"/>
  <c r="L18" i="2"/>
  <c r="K18" i="2"/>
  <c r="W12" i="2"/>
  <c r="E6" i="2"/>
  <c r="F6" i="2"/>
  <c r="W6" i="2"/>
  <c r="S6" i="2"/>
  <c r="S7" i="2" s="1"/>
  <c r="W72" i="2"/>
  <c r="W65" i="2"/>
  <c r="W68" i="2" s="1"/>
  <c r="W50" i="2"/>
  <c r="W51" i="2" s="1"/>
  <c r="W61" i="2" s="1"/>
  <c r="W45" i="2"/>
  <c r="T45" i="2"/>
  <c r="S45" i="2"/>
  <c r="Q45" i="2"/>
  <c r="P45" i="2"/>
  <c r="O45" i="2"/>
  <c r="N45" i="2"/>
  <c r="M45" i="2"/>
  <c r="L45" i="2"/>
  <c r="K45" i="2"/>
  <c r="B45" i="2"/>
  <c r="C45" i="2"/>
  <c r="D45" i="2"/>
  <c r="F45" i="2"/>
  <c r="E45" i="2"/>
  <c r="R71" i="2"/>
  <c r="R70" i="2"/>
  <c r="R69" i="2"/>
  <c r="R67" i="2"/>
  <c r="R66" i="2"/>
  <c r="R64" i="2"/>
  <c r="R63" i="2"/>
  <c r="R62" i="2"/>
  <c r="R60" i="2"/>
  <c r="R59" i="2"/>
  <c r="R58" i="2"/>
  <c r="R57" i="2"/>
  <c r="R56" i="2"/>
  <c r="R55" i="2"/>
  <c r="R54" i="2"/>
  <c r="R53" i="2"/>
  <c r="R52" i="2"/>
  <c r="R49" i="2"/>
  <c r="R47" i="2"/>
  <c r="R46" i="2"/>
  <c r="V71" i="2"/>
  <c r="V70" i="2"/>
  <c r="V69" i="2"/>
  <c r="V67" i="2"/>
  <c r="V66" i="2"/>
  <c r="V64" i="2"/>
  <c r="V63" i="2"/>
  <c r="V62" i="2"/>
  <c r="V60" i="2"/>
  <c r="V59" i="2"/>
  <c r="V58" i="2"/>
  <c r="V57" i="2"/>
  <c r="V56" i="2"/>
  <c r="V55" i="2"/>
  <c r="V54" i="2"/>
  <c r="V53" i="2"/>
  <c r="V52" i="2"/>
  <c r="V50" i="2"/>
  <c r="V49" i="2"/>
  <c r="V47" i="2"/>
  <c r="V46" i="2"/>
  <c r="S30" i="2"/>
  <c r="S20" i="2"/>
  <c r="S19" i="2"/>
  <c r="S15" i="2"/>
  <c r="W30" i="2"/>
  <c r="W20" i="2"/>
  <c r="W19" i="2"/>
  <c r="W15" i="2"/>
  <c r="W7" i="2"/>
  <c r="X7" i="2"/>
  <c r="V7" i="2"/>
  <c r="R7" i="2"/>
  <c r="N7" i="2"/>
  <c r="M7" i="2"/>
  <c r="L7" i="2"/>
  <c r="K7" i="2"/>
  <c r="D906" i="5"/>
  <c r="D2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M57" i="5"/>
  <c r="O18" i="2" l="1"/>
  <c r="O21" i="2" s="1"/>
  <c r="O24" i="2" s="1"/>
  <c r="O35" i="2" s="1"/>
  <c r="O41" i="2"/>
  <c r="P18" i="2"/>
  <c r="P21" i="2" s="1"/>
  <c r="P24" i="2" s="1"/>
  <c r="P35" i="2" s="1"/>
  <c r="T41" i="2"/>
  <c r="T18" i="2"/>
  <c r="T21" i="2" s="1"/>
  <c r="T24" i="2" s="1"/>
  <c r="T31" i="2" s="1"/>
  <c r="T33" i="2" s="1"/>
  <c r="Q18" i="2"/>
  <c r="Q21" i="2" s="1"/>
  <c r="Q24" i="2" s="1"/>
  <c r="Q35" i="2" s="1"/>
  <c r="U18" i="2"/>
  <c r="U21" i="2" s="1"/>
  <c r="U24" i="2" s="1"/>
  <c r="U35" i="2" s="1"/>
  <c r="R18" i="2"/>
  <c r="R45" i="2"/>
  <c r="V45" i="2"/>
  <c r="W37" i="2"/>
  <c r="W39" i="2"/>
  <c r="W41" i="2"/>
  <c r="S41" i="2"/>
  <c r="W73" i="2"/>
  <c r="W74" i="2" s="1"/>
  <c r="S42" i="2"/>
  <c r="W42" i="2"/>
  <c r="I22" i="5"/>
  <c r="K44" i="5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O31" i="2" l="1"/>
  <c r="O33" i="2" s="1"/>
  <c r="O42" i="2"/>
  <c r="P31" i="2"/>
  <c r="P33" i="2" s="1"/>
  <c r="T42" i="2"/>
  <c r="T35" i="2"/>
  <c r="Q31" i="2"/>
  <c r="Q33" i="2" s="1"/>
  <c r="U31" i="2"/>
  <c r="U33" i="2" s="1"/>
  <c r="W21" i="2"/>
  <c r="W24" i="2" s="1"/>
  <c r="K35" i="5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W35" i="2" l="1"/>
  <c r="W31" i="2"/>
  <c r="W33" i="2" s="1"/>
  <c r="K4" i="5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15" i="1" l="1"/>
  <c r="C14" i="1"/>
  <c r="C13" i="1"/>
  <c r="C10" i="1"/>
  <c r="C9" i="1"/>
  <c r="C11" i="1" l="1"/>
  <c r="C25" i="1"/>
  <c r="C21" i="1"/>
  <c r="C17" i="1"/>
  <c r="C19" i="1" s="1"/>
  <c r="C18" i="1"/>
  <c r="H24" i="2"/>
  <c r="H38" i="2" s="1"/>
  <c r="G24" i="2"/>
  <c r="G38" i="2" s="1"/>
  <c r="E72" i="2"/>
  <c r="R72" i="2" s="1"/>
  <c r="E65" i="2"/>
  <c r="R65" i="2" s="1"/>
  <c r="R68" i="2" s="1"/>
  <c r="E50" i="2"/>
  <c r="R50" i="2" s="1"/>
  <c r="E48" i="2"/>
  <c r="R48" i="2" s="1"/>
  <c r="R51" i="2" s="1"/>
  <c r="R61" i="2" s="1"/>
  <c r="F72" i="2"/>
  <c r="V72" i="2" s="1"/>
  <c r="F65" i="2"/>
  <c r="V65" i="2" s="1"/>
  <c r="V68" i="2" s="1"/>
  <c r="F48" i="2"/>
  <c r="E20" i="2"/>
  <c r="E19" i="2"/>
  <c r="E76" i="2" s="1"/>
  <c r="F20" i="2"/>
  <c r="F19" i="2"/>
  <c r="F76" i="2" s="1"/>
  <c r="F15" i="2"/>
  <c r="E15" i="2"/>
  <c r="B18" i="2"/>
  <c r="B21" i="2" s="1"/>
  <c r="C21" i="2"/>
  <c r="C24" i="2" s="1"/>
  <c r="E3" i="2"/>
  <c r="C20" i="1"/>
  <c r="E30" i="2"/>
  <c r="D30" i="2"/>
  <c r="C30" i="2"/>
  <c r="L21" i="2"/>
  <c r="L24" i="2" s="1"/>
  <c r="M21" i="2"/>
  <c r="M24" i="2" s="1"/>
  <c r="N21" i="2"/>
  <c r="N24" i="2" s="1"/>
  <c r="R21" i="2"/>
  <c r="R24" i="2" s="1"/>
  <c r="S21" i="2"/>
  <c r="S24" i="2" s="1"/>
  <c r="V24" i="2"/>
  <c r="K21" i="2"/>
  <c r="K24" i="2" s="1"/>
  <c r="C8" i="1"/>
  <c r="C12" i="1" s="1"/>
  <c r="K37" i="2"/>
  <c r="L37" i="2"/>
  <c r="M37" i="2"/>
  <c r="N37" i="2"/>
  <c r="O37" i="2"/>
  <c r="P37" i="2"/>
  <c r="Q37" i="2"/>
  <c r="R37" i="2"/>
  <c r="S37" i="2"/>
  <c r="T37" i="2"/>
  <c r="U37" i="2"/>
  <c r="V37" i="2"/>
  <c r="O39" i="2"/>
  <c r="P39" i="2"/>
  <c r="Q39" i="2"/>
  <c r="R39" i="2"/>
  <c r="S39" i="2"/>
  <c r="T39" i="2"/>
  <c r="U39" i="2"/>
  <c r="V39" i="2"/>
  <c r="X39" i="2"/>
  <c r="K51" i="2"/>
  <c r="K61" i="2" s="1"/>
  <c r="L51" i="2"/>
  <c r="L61" i="2" s="1"/>
  <c r="M51" i="2"/>
  <c r="M61" i="2" s="1"/>
  <c r="N51" i="2"/>
  <c r="N61" i="2" s="1"/>
  <c r="O51" i="2"/>
  <c r="O61" i="2" s="1"/>
  <c r="P51" i="2"/>
  <c r="P61" i="2" s="1"/>
  <c r="Q51" i="2"/>
  <c r="Q61" i="2" s="1"/>
  <c r="S51" i="2"/>
  <c r="S61" i="2" s="1"/>
  <c r="T51" i="2"/>
  <c r="T61" i="2" s="1"/>
  <c r="U51" i="2"/>
  <c r="U61" i="2" s="1"/>
  <c r="K68" i="2"/>
  <c r="K73" i="2" s="1"/>
  <c r="L68" i="2"/>
  <c r="L73" i="2" s="1"/>
  <c r="M68" i="2"/>
  <c r="M73" i="2" s="1"/>
  <c r="N68" i="2"/>
  <c r="N73" i="2" s="1"/>
  <c r="O68" i="2"/>
  <c r="O73" i="2" s="1"/>
  <c r="P68" i="2"/>
  <c r="P73" i="2" s="1"/>
  <c r="Q68" i="2"/>
  <c r="Q73" i="2" s="1"/>
  <c r="S68" i="2"/>
  <c r="S73" i="2" s="1"/>
  <c r="T68" i="2"/>
  <c r="T73" i="2" s="1"/>
  <c r="U68" i="2"/>
  <c r="U73" i="2" s="1"/>
  <c r="H41" i="2"/>
  <c r="G41" i="2"/>
  <c r="H21" i="2"/>
  <c r="G21" i="2"/>
  <c r="B51" i="2"/>
  <c r="B61" i="2" s="1"/>
  <c r="C51" i="2"/>
  <c r="C61" i="2" s="1"/>
  <c r="D51" i="2"/>
  <c r="D61" i="2" s="1"/>
  <c r="H39" i="2"/>
  <c r="N74" i="2" l="1"/>
  <c r="F37" i="2"/>
  <c r="T74" i="2"/>
  <c r="S74" i="2"/>
  <c r="Q74" i="2"/>
  <c r="R73" i="2"/>
  <c r="R74" i="2" s="1"/>
  <c r="O74" i="2"/>
  <c r="S31" i="2"/>
  <c r="S33" i="2" s="1"/>
  <c r="S35" i="2"/>
  <c r="W40" i="2"/>
  <c r="P74" i="2"/>
  <c r="V48" i="2"/>
  <c r="V51" i="2" s="1"/>
  <c r="V61" i="2" s="1"/>
  <c r="U74" i="2"/>
  <c r="M74" i="2"/>
  <c r="L74" i="2"/>
  <c r="S40" i="2"/>
  <c r="V73" i="2"/>
  <c r="W38" i="2"/>
  <c r="N38" i="2"/>
  <c r="M38" i="2"/>
  <c r="L38" i="2"/>
  <c r="K38" i="2"/>
  <c r="F51" i="2"/>
  <c r="F41" i="2"/>
  <c r="C31" i="2"/>
  <c r="C33" i="2" s="1"/>
  <c r="E41" i="2"/>
  <c r="S38" i="2"/>
  <c r="R38" i="2"/>
  <c r="R40" i="2"/>
  <c r="V40" i="2"/>
  <c r="V38" i="2"/>
  <c r="U40" i="2"/>
  <c r="U38" i="2"/>
  <c r="T38" i="2"/>
  <c r="T40" i="2"/>
  <c r="Q40" i="2"/>
  <c r="Q38" i="2"/>
  <c r="P40" i="2"/>
  <c r="P38" i="2"/>
  <c r="C41" i="2"/>
  <c r="G39" i="2"/>
  <c r="C37" i="2"/>
  <c r="F68" i="2"/>
  <c r="F73" i="2" s="1"/>
  <c r="C68" i="2"/>
  <c r="C73" i="2" s="1"/>
  <c r="D68" i="2"/>
  <c r="E51" i="2"/>
  <c r="E61" i="2" s="1"/>
  <c r="O38" i="2" l="1"/>
  <c r="E37" i="2"/>
  <c r="O40" i="2"/>
  <c r="C28" i="1"/>
  <c r="F61" i="2"/>
  <c r="C29" i="1" s="1"/>
  <c r="C27" i="1"/>
  <c r="V74" i="2"/>
  <c r="F21" i="2"/>
  <c r="C26" i="1"/>
  <c r="E42" i="2"/>
  <c r="F39" i="2"/>
  <c r="C42" i="2"/>
  <c r="F42" i="2"/>
  <c r="E68" i="2"/>
  <c r="E73" i="2" s="1"/>
  <c r="D73" i="2"/>
  <c r="B68" i="2"/>
  <c r="B73" i="2" s="1"/>
  <c r="C30" i="1" l="1"/>
  <c r="C31" i="1"/>
  <c r="C22" i="1"/>
  <c r="F24" i="2"/>
  <c r="F38" i="2" s="1"/>
  <c r="C23" i="1"/>
  <c r="C24" i="1" s="1"/>
  <c r="E21" i="2"/>
  <c r="C38" i="2"/>
  <c r="C33" i="1" l="1"/>
  <c r="C32" i="1"/>
  <c r="F34" i="2"/>
  <c r="E24" i="2"/>
  <c r="E38" i="2" s="1"/>
  <c r="F40" i="2" l="1"/>
  <c r="E31" i="2"/>
  <c r="E33" i="2" s="1"/>
  <c r="E39" i="2" l="1"/>
  <c r="D39" i="2"/>
  <c r="D41" i="2"/>
  <c r="D37" i="2"/>
  <c r="D3" i="2"/>
  <c r="D18" i="2"/>
  <c r="D42" i="2" s="1"/>
  <c r="D21" i="2" l="1"/>
  <c r="D24" i="2" s="1"/>
  <c r="D38" i="2"/>
  <c r="E40" i="2"/>
  <c r="D40" i="2"/>
  <c r="D31" i="2"/>
  <c r="D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<sst xmlns="http://schemas.openxmlformats.org/spreadsheetml/2006/main" count="245" uniqueCount="220">
  <si>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</si>
  <si>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</si>
  <si>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</si>
  <si>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</si>
  <si>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</si>
  <si>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</si>
  <si>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</si>
  <si>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</si>
  <si>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</si>
  <si>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</si>
  <si>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</si>
  <si>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</si>
  <si>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</si>
  <si>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</si>
  <si>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</si>
  <si>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</si>
  <si>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</si>
  <si>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</si>
  <si>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</si>
  <si>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</si>
  <si>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</si>
  <si>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</si>
  <si>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</si>
  <si>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</si>
  <si>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</si>
  <si>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</si>
  <si>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</si>
  <si>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</si>
  <si>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</si>
  <si>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</si>
  <si>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</si>
  <si>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</si>
  <si>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</si>
  <si>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</si>
  <si>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</si>
  <si>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</si>
  <si>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</si>
  <si>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</si>
  <si>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</si>
  <si>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</si>
  <si>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</si>
  <si>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</si>
  <si>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</si>
  <si>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</si>
  <si>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</si>
  <si>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</si>
  <si>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</si>
  <si>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</si>
  <si>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</si>
  <si>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</si>
  <si>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</si>
  <si>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</si>
  <si>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</si>
  <si>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</si>
  <si>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</si>
  <si>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</si>
  <si>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</si>
  <si>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</si>
  <si>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</si>
  <si>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</si>
  <si>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</si>
  <si>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</si>
  <si>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</si>
  <si>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</si>
  <si>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</si>
  <si>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</si>
  <si>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</si>
  <si>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</si>
  <si>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</si>
  <si>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</si>
  <si>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</si>
  <si>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</si>
  <si>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</si>
  <si>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</si>
  <si>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</si>
  <si>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</si>
  <si>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</si>
  <si>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</si>
  <si>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</si>
  <si>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</si>
  <si>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</si>
  <si>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</si>
  <si>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</si>
  <si>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</si>
  <si>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</si>
  <si>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</si>
  <si>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</si>
  <si>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</si>
  <si>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</si>
  <si>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</si>
  <si>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</si>
  <si>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</si>
  <si>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</si>
  <si>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</si>
  <si>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</si>
  <si>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</si>
  <si>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</si>
  <si>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</si>
  <si>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</si>
  <si>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</si>
  <si>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</si>
  <si>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</si>
  <si>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</si>
  <si>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</si>
  <si>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</si>
  <si>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</si>
  <si>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</si>
  <si>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</si>
  <si>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</si>
  <si>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</si>
  <si>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</si>
  <si>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</si>
  <si>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</si>
  <si>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</si>
  <si>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</si>
  <si>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</si>
  <si>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</si>
  <si>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</si>
  <si>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</si>
  <si>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</si>
  <si>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</si>
  <si>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</si>
  <si>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</si>
  <si>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</si>
  <si>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</si>
  <si>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</si>
  <si>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</si>
  <si>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</si>
  <si>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</si>
  <si>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</si>
  <si>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</si>
  <si>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</si>
  <si>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</si>
  <si>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</si>
  <si>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</si>
  <si>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</si>
  <si>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</si>
  <si>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</si>
  <si>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</si>
  <si>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</si>
  <si>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</si>
  <si>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</si>
  <si>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</si>
  <si>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</si>
  <si>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</si>
  <si>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</si>
  <si>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</si>
  <si>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</si>
  <si>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</si>
  <si>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</si>
  <si>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</si>
  <si>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</si>
  <si>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</si>
  <si>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</si>
  <si>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</si>
  <si>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</si>
  <si>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</si>
  <si>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</si>
  <si>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</si>
  <si>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</si>
  <si>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</si>
  <si>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</si>
  <si>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</si>
  <si>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</si>
  <si>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</si>
  <si>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</si>
  <si>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</si>
  <si>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</si>
  <si>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</si>
  <si>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</si>
  <si>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</si>
  <si>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</si>
  <si>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</si>
  <si>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</si>
  <si>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</si>
  <si>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</si>
  <si>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</si>
  <si>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</si>
  <si>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</si>
  <si>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</si>
  <si>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</si>
  <si>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</si>
  <si>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</si>
  <si>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</si>
  <si>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</si>
  <si>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</si>
  <si>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</si>
  <si>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</si>
  <si>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</si>
  <si>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</si>
  <si>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</si>
  <si>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</si>
  <si>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</si>
  <si>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</si>
  <si>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</si>
  <si>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</si>
  <si>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</si>
  <si>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</si>
  <si>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</si>
  <si>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</si>
  <si>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</si>
  <si>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</si>
  <si>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</si>
  <si>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</si>
  <si>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</si>
  <si>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</si>
  <si>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</si>
  <si>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</si>
  <si>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</si>
  <si>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</si>
  <si>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</si>
  <si>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</si>
  <si>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</si>
  <si>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</si>
  <si>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</si>
  <si>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Melco Announces Partnership with Sri Lanka’s John Keells Holdings and Introduces ‘City of Dreams Sri Lanka’</t>
  </si>
  <si>
    <t>Rooms</t>
  </si>
  <si>
    <t>Food and Beverage</t>
  </si>
  <si>
    <t>Entertainment</t>
  </si>
  <si>
    <t>COGS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</si>
</sst>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6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0" fontId="0" fillId="0" borderId="0" xfId="1" applyNumberFormat="1" applyFont="1"/>
    <xf numFmtId="3" fontId="0" fillId="9" borderId="2" xfId="0" applyNumberFormat="1" applyFill="1" applyBorder="1"/>
    <xf numFmtId="3" fontId="2" fillId="9" borderId="2" xfId="0" applyNumberFormat="1" applyFont="1" applyFill="1" applyBorder="1"/>
    <xf numFmtId="9" fontId="0" fillId="3" borderId="2" xfId="1" applyFont="1" applyFill="1" applyBorder="1"/>
    <xf numFmtId="9" fontId="0" fillId="3" borderId="0" xfId="0" applyNumberForma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Model!$K$7:$W$7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474.94499999999999</c:v>
                </c:pt>
                <c:pt idx="5">
                  <c:v>296.10700000000003</c:v>
                </c:pt>
                <c:pt idx="6">
                  <c:v>241.83699999999999</c:v>
                </c:pt>
                <c:pt idx="7">
                  <c:v>337.08800000000002</c:v>
                </c:pt>
                <c:pt idx="8">
                  <c:v>716.48</c:v>
                </c:pt>
                <c:pt idx="9">
                  <c:v>947.93900000000008</c:v>
                </c:pt>
                <c:pt idx="10">
                  <c:v>1017.215</c:v>
                </c:pt>
                <c:pt idx="11">
                  <c:v>1093.6130000000001</c:v>
                </c:pt>
                <c:pt idx="12">
                  <c:v>1112.4069999999999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Model!$K$39:$W$39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0.50855362199833665</c:v>
                </c:pt>
                <c:pt idx="9">
                  <c:v>2.2013393806968429</c:v>
                </c:pt>
                <c:pt idx="10">
                  <c:v>3.206200870834488</c:v>
                </c:pt>
                <c:pt idx="11">
                  <c:v>2.2442952582115057</c:v>
                </c:pt>
                <c:pt idx="12">
                  <c:v>0.55260021214828026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Model!$B$7:$G$7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Model!$B$39:$G$39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Model!$K$24:$W$24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-183.28400000000002</c:v>
                </c:pt>
                <c:pt idx="5">
                  <c:v>-251.45899999999997</c:v>
                </c:pt>
                <c:pt idx="6">
                  <c:v>-243.86200000000005</c:v>
                </c:pt>
                <c:pt idx="7">
                  <c:v>-250.70500000000007</c:v>
                </c:pt>
                <c:pt idx="8">
                  <c:v>-81.288000000000096</c:v>
                </c:pt>
                <c:pt idx="9">
                  <c:v>-23.441000000000027</c:v>
                </c:pt>
                <c:pt idx="10">
                  <c:v>-16.302999999999994</c:v>
                </c:pt>
                <c:pt idx="11">
                  <c:v>-156.55200000000008</c:v>
                </c:pt>
                <c:pt idx="12">
                  <c:v>15.169999999999913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Model!$K$37:$W$37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0.3528029561317626</c:v>
                </c:pt>
                <c:pt idx="5">
                  <c:v>0.30969885885845327</c:v>
                </c:pt>
                <c:pt idx="6">
                  <c:v>0.28131344666035385</c:v>
                </c:pt>
                <c:pt idx="7">
                  <c:v>0.32584962977026777</c:v>
                </c:pt>
                <c:pt idx="8">
                  <c:v>0.44329360205448853</c:v>
                </c:pt>
                <c:pt idx="9">
                  <c:v>0.46665239007995241</c:v>
                </c:pt>
                <c:pt idx="10">
                  <c:v>0.47571457361521408</c:v>
                </c:pt>
                <c:pt idx="11">
                  <c:v>0.45402349825761035</c:v>
                </c:pt>
                <c:pt idx="12">
                  <c:v>-0.18672122703291127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Model!$B$24:$G$24</c:f>
              <c:numCache>
                <c:formatCode>#,##0</c:formatCode>
                <c:ptCount val="6"/>
                <c:pt idx="1">
                  <c:v>1536</c:v>
                </c:pt>
                <c:pt idx="2">
                  <c:v>1868</c:v>
                </c:pt>
                <c:pt idx="3">
                  <c:v>-930.55600000000038</c:v>
                </c:pt>
                <c:pt idx="4">
                  <c:v>-277.53399999999999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Model!$A$40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Model!$B$40:$G$40</c:f>
              <c:numCache>
                <c:formatCode>0%</c:formatCode>
                <c:ptCount val="6"/>
                <c:pt idx="2">
                  <c:v>-0.21614583333333326</c:v>
                </c:pt>
                <c:pt idx="3">
                  <c:v>-1.4981563169164884</c:v>
                </c:pt>
                <c:pt idx="4">
                  <c:v>-0.701754649908227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-18,42%</c:v>
                </c:pt>
                <c:pt idx="2">
                  <c:v>-18,42% to -13,77%</c:v>
                </c:pt>
                <c:pt idx="3">
                  <c:v>-13,77% to -9,12%</c:v>
                </c:pt>
                <c:pt idx="4">
                  <c:v>-9,12%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18,76%</c:v>
                </c:pt>
                <c:pt idx="10">
                  <c:v>18,76% to 23,41%</c:v>
                </c:pt>
                <c:pt idx="11">
                  <c:v>Greater than 23,41%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236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tabSelected="1" workbookViewId="0">
      <selection activeCell="E21" sqref="E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3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45412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0.60763888888888884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6.58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2876.0522000000001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Model!F46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Model!F66+Model!F69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9037.9572000000007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3">
        <f>C6/Model!F35</f>
        <v>-31.333333333333336</v>
      </c>
      <c r="E13" s="5"/>
      <c r="J13" s="13"/>
      <c r="L13" s="5"/>
      <c r="N13" s="13"/>
    </row>
    <row r="14" spans="2:14" x14ac:dyDescent="0.25">
      <c r="B14" s="5" t="s">
        <v>50</v>
      </c>
      <c r="C14" s="53">
        <f>C6/Model!G36</f>
        <v>36.555555555555557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3">
        <f>C6/Model!H36</f>
        <v>12.415094339622641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Model!H36/Model!G36-1</f>
        <v>1.9444444444444446</v>
      </c>
      <c r="E17" s="33" t="s">
        <v>59</v>
      </c>
      <c r="L17" s="143" t="s">
        <v>139</v>
      </c>
      <c r="M17" s="144"/>
      <c r="N17" s="145"/>
    </row>
    <row r="18" spans="2:14" x14ac:dyDescent="0.25">
      <c r="B18" s="5" t="s">
        <v>73</v>
      </c>
      <c r="C18" s="53">
        <f>C14/C16</f>
        <v>36.555555555555557</v>
      </c>
      <c r="L18" s="146"/>
      <c r="M18" s="147"/>
      <c r="N18" s="148"/>
    </row>
    <row r="19" spans="2:14" x14ac:dyDescent="0.25">
      <c r="B19" s="5" t="s">
        <v>74</v>
      </c>
      <c r="C19" s="53">
        <f>C15/C17</f>
        <v>6.384905660377358</v>
      </c>
      <c r="L19" s="146"/>
      <c r="M19" s="147"/>
      <c r="N19" s="148"/>
    </row>
    <row r="20" spans="2:14" x14ac:dyDescent="0.25">
      <c r="B20" s="5" t="s">
        <v>89</v>
      </c>
      <c r="C20" s="6">
        <f>Model!G8/Model!F7-1</f>
        <v>0.30852365421388317</v>
      </c>
      <c r="L20" s="146"/>
      <c r="M20" s="147"/>
      <c r="N20" s="148"/>
    </row>
    <row r="21" spans="2:14" x14ac:dyDescent="0.25">
      <c r="B21" s="5" t="s">
        <v>90</v>
      </c>
      <c r="C21" s="6">
        <f>Model!H8/Model!G8-1</f>
        <v>2.2267206477732726E-2</v>
      </c>
      <c r="L21" s="146"/>
      <c r="M21" s="147"/>
      <c r="N21" s="148"/>
    </row>
    <row r="22" spans="2:14" x14ac:dyDescent="0.25">
      <c r="B22" s="5" t="s">
        <v>75</v>
      </c>
      <c r="C22" s="50">
        <f>Model!F21+Model!F16</f>
        <v>118.86799999999999</v>
      </c>
      <c r="L22" s="146"/>
      <c r="M22" s="147"/>
      <c r="N22" s="148"/>
    </row>
    <row r="23" spans="2:14" x14ac:dyDescent="0.25">
      <c r="B23" s="5" t="s">
        <v>19</v>
      </c>
      <c r="C23" s="15">
        <f>Model!F21</f>
        <v>-401.858</v>
      </c>
      <c r="L23" s="146"/>
      <c r="M23" s="147"/>
      <c r="N23" s="148"/>
    </row>
    <row r="24" spans="2:14" x14ac:dyDescent="0.25">
      <c r="B24" s="5" t="s">
        <v>76</v>
      </c>
      <c r="C24" s="36">
        <f>C12/C23</f>
        <v>-22.490424975986546</v>
      </c>
      <c r="L24" s="146"/>
      <c r="M24" s="147"/>
      <c r="N24" s="148"/>
    </row>
    <row r="25" spans="2:14" x14ac:dyDescent="0.25">
      <c r="B25" s="5" t="s">
        <v>91</v>
      </c>
      <c r="C25" s="36">
        <f>(Model!F69+Model!F70)/Model!F74</f>
        <v>-9.8584456579749435</v>
      </c>
      <c r="E25" t="s">
        <v>77</v>
      </c>
      <c r="L25" s="146"/>
      <c r="M25" s="147"/>
      <c r="N25" s="148"/>
    </row>
    <row r="26" spans="2:14" x14ac:dyDescent="0.25">
      <c r="B26" s="73" t="s">
        <v>92</v>
      </c>
      <c r="C26" s="74">
        <f>(Model!F18+Model!F16)/-Model!F19</f>
        <v>1.2486729512285593</v>
      </c>
      <c r="E26" t="s">
        <v>215</v>
      </c>
      <c r="L26" s="149"/>
      <c r="M26" s="150"/>
      <c r="N26" s="151"/>
    </row>
    <row r="27" spans="2:14" x14ac:dyDescent="0.25">
      <c r="B27" s="5" t="s">
        <v>93</v>
      </c>
      <c r="C27" s="36">
        <f>Model!F51/Model!F68</f>
        <v>1.3992968594262518</v>
      </c>
    </row>
    <row r="28" spans="2:14" x14ac:dyDescent="0.25">
      <c r="B28" s="5" t="s">
        <v>94</v>
      </c>
      <c r="C28" s="36">
        <f>(Model!F46+Model!F48)/Model!F68</f>
        <v>1.2714068248128885</v>
      </c>
    </row>
    <row r="29" spans="2:14" x14ac:dyDescent="0.25">
      <c r="B29" s="5" t="s">
        <v>95</v>
      </c>
      <c r="C29" s="76">
        <f>(Model!F51-Model!F68)/Model!F61</f>
        <v>5.2558510988491978E-2</v>
      </c>
    </row>
    <row r="30" spans="2:14" x14ac:dyDescent="0.25">
      <c r="B30" s="5" t="s">
        <v>96</v>
      </c>
      <c r="C30" s="36">
        <f>(Model!F61-Model!F73)/Main!C7</f>
        <v>-1.8113294744789443</v>
      </c>
    </row>
    <row r="31" spans="2:14" x14ac:dyDescent="0.25">
      <c r="B31" s="5" t="s">
        <v>97</v>
      </c>
      <c r="C31" s="36">
        <f>Model!F7/Model!F61</f>
        <v>0.45026995346600507</v>
      </c>
    </row>
    <row r="32" spans="2:14" x14ac:dyDescent="0.25">
      <c r="B32" s="5" t="s">
        <v>98</v>
      </c>
      <c r="C32" s="36">
        <f>Model!F24/Model!F61</f>
        <v>-3.3101204044459667E-2</v>
      </c>
    </row>
    <row r="33" spans="2:9" x14ac:dyDescent="0.25">
      <c r="B33" s="5" t="s">
        <v>99</v>
      </c>
      <c r="C33" s="36">
        <f>Model!F24/Model!F74</f>
        <v>0.35099163540799833</v>
      </c>
    </row>
    <row r="34" spans="2:9" x14ac:dyDescent="0.25">
      <c r="B34" s="22" t="s">
        <v>100</v>
      </c>
      <c r="C34" s="75"/>
    </row>
    <row r="37" spans="2:9" x14ac:dyDescent="0.25">
      <c r="E37" s="66"/>
    </row>
    <row r="38" spans="2:9" x14ac:dyDescent="0.25">
      <c r="E38" s="64"/>
      <c r="F38" s="64"/>
      <c r="G38" s="65"/>
      <c r="H38" s="65"/>
      <c r="I38" s="65"/>
    </row>
    <row r="39" spans="2:9" x14ac:dyDescent="0.25">
      <c r="E39" s="64"/>
      <c r="F39" s="64"/>
      <c r="G39" s="65"/>
      <c r="H39" s="65"/>
      <c r="I39" s="65"/>
    </row>
    <row r="40" spans="2:9" x14ac:dyDescent="0.25">
      <c r="E40" s="64"/>
      <c r="F40" s="64"/>
      <c r="G40" s="65"/>
      <c r="H40" s="65"/>
      <c r="I40" s="65"/>
    </row>
    <row r="41" spans="2:9" x14ac:dyDescent="0.25">
      <c r="E41" s="64"/>
      <c r="F41" s="64"/>
      <c r="G41" s="65"/>
      <c r="H41" s="65"/>
      <c r="I41" s="65"/>
    </row>
    <row r="42" spans="2:9" x14ac:dyDescent="0.25">
      <c r="E42" s="64"/>
      <c r="F42" s="64"/>
      <c r="G42" s="65"/>
      <c r="H42" s="65"/>
      <c r="I42" s="65"/>
    </row>
    <row r="43" spans="2:9" x14ac:dyDescent="0.25">
      <c r="E43" s="64"/>
      <c r="F43" s="64"/>
      <c r="G43" s="65"/>
      <c r="H43" s="65"/>
      <c r="I43" s="65"/>
    </row>
    <row r="44" spans="2:9" x14ac:dyDescent="0.25">
      <c r="E44" s="64"/>
      <c r="F44" s="64"/>
      <c r="G44" s="65"/>
      <c r="H44" s="65"/>
      <c r="I44" s="65"/>
    </row>
    <row r="45" spans="2:9" x14ac:dyDescent="0.25">
      <c r="E45" s="64"/>
      <c r="F45" s="64"/>
      <c r="G45" s="65"/>
      <c r="H45" s="65"/>
      <c r="I45" s="65"/>
    </row>
    <row r="46" spans="2:9" x14ac:dyDescent="0.25">
      <c r="E46" s="64"/>
      <c r="F46" s="64"/>
      <c r="G46" s="65"/>
      <c r="H46" s="65"/>
      <c r="I46" s="65"/>
    </row>
    <row r="47" spans="2:9" x14ac:dyDescent="0.25">
      <c r="E47" s="64"/>
      <c r="F47" s="64"/>
      <c r="G47" s="65"/>
      <c r="H47" s="65"/>
      <c r="I47" s="65"/>
    </row>
    <row r="48" spans="2:9" x14ac:dyDescent="0.25">
      <c r="E48" s="61"/>
      <c r="F48" s="62"/>
      <c r="G48" s="62"/>
      <c r="H48" s="62"/>
      <c r="I48" s="62"/>
    </row>
    <row r="49" spans="5:9" x14ac:dyDescent="0.25">
      <c r="E49" s="64"/>
      <c r="F49" s="64"/>
      <c r="G49" s="65"/>
      <c r="H49" s="65"/>
      <c r="I49" s="65"/>
    </row>
    <row r="50" spans="5:9" x14ac:dyDescent="0.25">
      <c r="E50" s="61"/>
      <c r="F50" s="62"/>
      <c r="G50" s="62"/>
    </row>
    <row r="51" spans="5:9" x14ac:dyDescent="0.25">
      <c r="E51" s="61"/>
      <c r="F51" s="62"/>
      <c r="G51" s="62"/>
    </row>
    <row r="52" spans="5:9" x14ac:dyDescent="0.25">
      <c r="E52" s="61"/>
      <c r="F52" s="62"/>
      <c r="G52" s="62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5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W45" sqref="W45"/>
    </sheetView>
  </sheetViews>
  <sheetFormatPr defaultColWidth="11.42578125" defaultRowHeight="15" x14ac:dyDescent="0.25"/>
  <cols>
    <col min="1" max="1" width="27.28515625" customWidth="1"/>
    <col min="6" max="6" width="11.42578125" style="13"/>
    <col min="23" max="23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t="s">
        <v>45</v>
      </c>
      <c r="W2" s="13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D7-D6</f>
        <v>1675.9</v>
      </c>
      <c r="E3" s="10">
        <f>1076.398</f>
        <v>1076.3979999999999</v>
      </c>
      <c r="F3" s="15">
        <v>3077.3119999999999</v>
      </c>
      <c r="G3" s="10"/>
      <c r="H3" s="10"/>
      <c r="I3" s="10"/>
      <c r="J3" s="10"/>
      <c r="K3" s="10"/>
      <c r="L3" s="10"/>
      <c r="M3" s="10"/>
      <c r="N3" s="10"/>
      <c r="O3" s="10">
        <v>395.07499999999999</v>
      </c>
      <c r="P3" s="10">
        <v>231.893</v>
      </c>
      <c r="Q3" s="10">
        <v>181.96199999999999</v>
      </c>
      <c r="R3" s="10">
        <v>267.46800000000002</v>
      </c>
      <c r="S3" s="10">
        <v>599</v>
      </c>
      <c r="T3" s="10">
        <v>768.45</v>
      </c>
      <c r="U3" s="10">
        <v>812.08600000000001</v>
      </c>
      <c r="V3" s="10">
        <v>897.77599999999995</v>
      </c>
      <c r="W3" s="15">
        <v>913.32</v>
      </c>
      <c r="X3" s="10"/>
    </row>
    <row r="4" spans="1:24" x14ac:dyDescent="0.25">
      <c r="A4" t="s">
        <v>216</v>
      </c>
      <c r="B4" s="10"/>
      <c r="C4" s="10"/>
      <c r="D4" s="10"/>
      <c r="E4" s="10">
        <v>116.52200000000001</v>
      </c>
      <c r="F4" s="15">
        <v>338.22399999999999</v>
      </c>
      <c r="G4" s="10"/>
      <c r="H4" s="10"/>
      <c r="I4" s="10"/>
      <c r="J4" s="10"/>
      <c r="K4" s="10"/>
      <c r="L4" s="10"/>
      <c r="M4" s="10"/>
      <c r="N4" s="10"/>
      <c r="O4" s="10">
        <v>36.509</v>
      </c>
      <c r="P4" s="10">
        <v>26.792000000000002</v>
      </c>
      <c r="Q4" s="10">
        <v>25.975999999999999</v>
      </c>
      <c r="R4" s="10">
        <v>27.274999999999999</v>
      </c>
      <c r="S4" s="10">
        <v>58.588000000000001</v>
      </c>
      <c r="T4" s="10">
        <v>80.075000000000003</v>
      </c>
      <c r="U4" s="10">
        <v>96.113</v>
      </c>
      <c r="V4" s="10">
        <v>103.44799999999999</v>
      </c>
      <c r="W4" s="15">
        <v>100.83799999999999</v>
      </c>
      <c r="X4" s="10"/>
    </row>
    <row r="5" spans="1:24" x14ac:dyDescent="0.25">
      <c r="A5" t="s">
        <v>217</v>
      </c>
      <c r="B5" s="10"/>
      <c r="C5" s="10"/>
      <c r="D5" s="10"/>
      <c r="E5" s="10">
        <v>85.518000000000001</v>
      </c>
      <c r="F5" s="15">
        <v>208.88499999999999</v>
      </c>
      <c r="G5" s="10"/>
      <c r="H5" s="10"/>
      <c r="I5" s="10"/>
      <c r="J5" s="10"/>
      <c r="K5" s="10"/>
      <c r="L5" s="10"/>
      <c r="M5" s="10"/>
      <c r="N5" s="10"/>
      <c r="O5" s="10">
        <v>24.327999999999999</v>
      </c>
      <c r="P5" s="10">
        <v>19.937000000000001</v>
      </c>
      <c r="Q5" s="10">
        <v>17.972999999999999</v>
      </c>
      <c r="R5" s="10">
        <v>23.28</v>
      </c>
      <c r="S5" s="10">
        <v>36.755000000000003</v>
      </c>
      <c r="T5" s="10">
        <v>46.542999999999999</v>
      </c>
      <c r="U5" s="10">
        <v>60.37</v>
      </c>
      <c r="V5" s="10">
        <v>65.216999999999999</v>
      </c>
      <c r="W5" s="15">
        <v>66.105000000000004</v>
      </c>
      <c r="X5" s="10"/>
    </row>
    <row r="6" spans="1:24" x14ac:dyDescent="0.25">
      <c r="A6" t="s">
        <v>218</v>
      </c>
      <c r="B6" s="10"/>
      <c r="C6" s="10"/>
      <c r="D6" s="10">
        <v>336.1</v>
      </c>
      <c r="E6" s="10">
        <f>71.509</f>
        <v>71.509</v>
      </c>
      <c r="F6" s="15">
        <f>150.826</f>
        <v>150.82599999999999</v>
      </c>
      <c r="G6" s="10"/>
      <c r="H6" s="10"/>
      <c r="I6" s="10"/>
      <c r="J6" s="10"/>
      <c r="K6" s="10"/>
      <c r="L6" s="10"/>
      <c r="M6" s="10"/>
      <c r="N6" s="10"/>
      <c r="O6" s="10">
        <v>19.033000000000001</v>
      </c>
      <c r="P6" s="10">
        <v>17.484999999999999</v>
      </c>
      <c r="Q6" s="10">
        <v>15.926</v>
      </c>
      <c r="R6" s="10">
        <v>19.065000000000001</v>
      </c>
      <c r="S6" s="10">
        <f>22.137</f>
        <v>22.137</v>
      </c>
      <c r="T6" s="10">
        <v>52.871000000000002</v>
      </c>
      <c r="U6" s="10">
        <v>48.646000000000001</v>
      </c>
      <c r="V6" s="10">
        <v>27.172000000000001</v>
      </c>
      <c r="W6" s="15">
        <f>32.144</f>
        <v>32.143999999999998</v>
      </c>
      <c r="X6" s="10"/>
    </row>
    <row r="7" spans="1:24" s="1" customFormat="1" x14ac:dyDescent="0.25">
      <c r="A7" s="1" t="s">
        <v>17</v>
      </c>
      <c r="B7" s="11"/>
      <c r="C7" s="11">
        <v>1727</v>
      </c>
      <c r="D7" s="11">
        <v>2012</v>
      </c>
      <c r="E7" s="11">
        <f>SUM(E3:E6)</f>
        <v>1349.9469999999999</v>
      </c>
      <c r="F7" s="14">
        <f>SUM(F3:F6)</f>
        <v>3775.2470000000003</v>
      </c>
      <c r="G7" s="44"/>
      <c r="H7" s="44"/>
      <c r="K7" s="11">
        <f>SUM(K3:K6)</f>
        <v>0</v>
      </c>
      <c r="L7" s="11">
        <f t="shared" ref="L7:X7" si="0">SUM(L3:L6)</f>
        <v>0</v>
      </c>
      <c r="M7" s="11">
        <f t="shared" si="0"/>
        <v>0</v>
      </c>
      <c r="N7" s="11">
        <f t="shared" si="0"/>
        <v>0</v>
      </c>
      <c r="O7" s="11">
        <f t="shared" ref="O7" si="1">SUM(O3:O6)</f>
        <v>474.94499999999999</v>
      </c>
      <c r="P7" s="11">
        <f t="shared" si="0"/>
        <v>296.10700000000003</v>
      </c>
      <c r="Q7" s="11">
        <f t="shared" si="0"/>
        <v>241.83699999999999</v>
      </c>
      <c r="R7" s="11">
        <f t="shared" si="0"/>
        <v>337.08800000000002</v>
      </c>
      <c r="S7" s="11">
        <f t="shared" si="0"/>
        <v>716.48</v>
      </c>
      <c r="T7" s="11">
        <f t="shared" ref="T7:U7" si="2">SUM(T3:T6)</f>
        <v>947.93900000000008</v>
      </c>
      <c r="U7" s="11">
        <f t="shared" si="2"/>
        <v>1017.215</v>
      </c>
      <c r="V7" s="11">
        <f t="shared" si="0"/>
        <v>1093.6130000000001</v>
      </c>
      <c r="W7" s="14">
        <f t="shared" si="0"/>
        <v>1112.4069999999999</v>
      </c>
      <c r="X7" s="11">
        <f t="shared" si="0"/>
        <v>0</v>
      </c>
    </row>
    <row r="8" spans="1:24" x14ac:dyDescent="0.25">
      <c r="A8" s="9" t="s">
        <v>69</v>
      </c>
      <c r="B8" s="10"/>
      <c r="C8" s="10"/>
      <c r="D8" s="10"/>
      <c r="E8" s="10"/>
      <c r="F8" s="15"/>
      <c r="G8" s="43">
        <v>4940</v>
      </c>
      <c r="H8" s="43">
        <v>5050</v>
      </c>
      <c r="K8" s="41"/>
      <c r="L8" s="41"/>
      <c r="M8" s="41"/>
      <c r="N8" s="41"/>
      <c r="O8" s="10"/>
      <c r="P8" s="10"/>
      <c r="Q8" s="10"/>
      <c r="R8" s="41"/>
      <c r="S8" s="41"/>
      <c r="T8" s="10"/>
      <c r="U8" s="10"/>
      <c r="V8" s="10"/>
      <c r="W8" s="15"/>
      <c r="X8" s="41"/>
    </row>
    <row r="9" spans="1:24" s="10" customFormat="1" x14ac:dyDescent="0.25">
      <c r="A9" s="10" t="s">
        <v>151</v>
      </c>
      <c r="C9" s="10">
        <v>2668</v>
      </c>
      <c r="D9" s="10">
        <v>2589</v>
      </c>
      <c r="E9" s="10">
        <v>912.83900000000006</v>
      </c>
      <c r="F9" s="15">
        <v>2034.848</v>
      </c>
      <c r="G9" s="41"/>
      <c r="H9" s="41"/>
      <c r="O9" s="10">
        <v>307.38299999999998</v>
      </c>
      <c r="P9" s="10">
        <v>204.40299999999999</v>
      </c>
      <c r="Q9" s="10">
        <v>173.80500000000001</v>
      </c>
      <c r="R9" s="10">
        <v>227.24799999999999</v>
      </c>
      <c r="S9" s="10">
        <v>398.86900000000003</v>
      </c>
      <c r="T9" s="10">
        <v>505.58100000000002</v>
      </c>
      <c r="U9" s="10">
        <v>533.31100000000004</v>
      </c>
      <c r="V9" s="10">
        <v>597.08699999999999</v>
      </c>
      <c r="W9" s="15">
        <v>609.75099999999998</v>
      </c>
    </row>
    <row r="10" spans="1:24" s="10" customFormat="1" x14ac:dyDescent="0.25">
      <c r="A10" s="10" t="s">
        <v>150</v>
      </c>
      <c r="E10" s="10">
        <f>46.199</f>
        <v>46.198999999999998</v>
      </c>
      <c r="F10" s="15">
        <v>87.637</v>
      </c>
      <c r="G10" s="41"/>
      <c r="H10" s="41"/>
      <c r="O10" s="10">
        <v>12.964</v>
      </c>
      <c r="P10" s="10">
        <v>11.23</v>
      </c>
      <c r="Q10" s="10">
        <v>10.863</v>
      </c>
      <c r="R10" s="10">
        <v>11.141999999999999</v>
      </c>
      <c r="S10" s="10">
        <v>14.351000000000001</v>
      </c>
      <c r="T10" s="10">
        <v>19.870999999999999</v>
      </c>
      <c r="U10" s="10">
        <v>25.344999999999999</v>
      </c>
      <c r="V10" s="10">
        <v>28.07</v>
      </c>
      <c r="W10" s="15">
        <v>29.251999999999999</v>
      </c>
    </row>
    <row r="11" spans="1:24" s="10" customFormat="1" x14ac:dyDescent="0.25">
      <c r="A11" s="10" t="s">
        <v>217</v>
      </c>
      <c r="E11" s="10">
        <f>82</f>
        <v>82</v>
      </c>
      <c r="F11" s="15">
        <v>163.49199999999999</v>
      </c>
      <c r="G11" s="41"/>
      <c r="H11" s="41"/>
      <c r="O11" s="10">
        <v>23.821000000000002</v>
      </c>
      <c r="P11" s="10">
        <v>19.991</v>
      </c>
      <c r="Q11" s="10">
        <v>17.279</v>
      </c>
      <c r="R11" s="10">
        <v>20.908999999999999</v>
      </c>
      <c r="S11" s="10">
        <v>27.513999999999999</v>
      </c>
      <c r="T11" s="10">
        <v>35.904000000000003</v>
      </c>
      <c r="U11" s="10">
        <v>48.250999999999998</v>
      </c>
      <c r="V11" s="10">
        <v>51.823</v>
      </c>
      <c r="W11" s="15">
        <v>54.737000000000002</v>
      </c>
    </row>
    <row r="12" spans="1:24" s="10" customFormat="1" x14ac:dyDescent="0.25">
      <c r="A12" s="10" t="s">
        <v>218</v>
      </c>
      <c r="E12" s="10">
        <f>22.419</f>
        <v>22.419</v>
      </c>
      <c r="F12" s="15">
        <v>76.703999999999994</v>
      </c>
      <c r="G12" s="41"/>
      <c r="H12" s="41"/>
      <c r="O12" s="10">
        <v>5.9880000000000004</v>
      </c>
      <c r="P12" s="10">
        <v>5.7030000000000003</v>
      </c>
      <c r="Q12" s="10">
        <v>5.1449999999999996</v>
      </c>
      <c r="R12" s="10">
        <v>5.5830000000000002</v>
      </c>
      <c r="S12" s="10">
        <v>6.0259999999999998</v>
      </c>
      <c r="T12" s="10">
        <v>36.54</v>
      </c>
      <c r="U12" s="10">
        <v>25.77</v>
      </c>
      <c r="V12" s="10">
        <v>8.3680000000000003</v>
      </c>
      <c r="W12" s="15">
        <f>16.626</f>
        <v>16.626000000000001</v>
      </c>
    </row>
    <row r="13" spans="1:24" s="11" customFormat="1" x14ac:dyDescent="0.25">
      <c r="A13" s="11" t="s">
        <v>219</v>
      </c>
      <c r="E13" s="11">
        <f>SUM(E9:E12)</f>
        <v>1063.4570000000001</v>
      </c>
      <c r="F13" s="14">
        <f>SUM(F9:F12)</f>
        <v>2362.6810000000005</v>
      </c>
      <c r="G13" s="44"/>
      <c r="H13" s="44"/>
      <c r="O13" s="11">
        <f t="shared" ref="O13:W13" si="3">SUM(O9:O12)</f>
        <v>350.15600000000001</v>
      </c>
      <c r="P13" s="11">
        <f t="shared" si="3"/>
        <v>241.32699999999997</v>
      </c>
      <c r="Q13" s="11">
        <f t="shared" si="3"/>
        <v>207.09200000000001</v>
      </c>
      <c r="R13" s="11">
        <f t="shared" si="3"/>
        <v>264.88200000000001</v>
      </c>
      <c r="S13" s="11">
        <f t="shared" si="3"/>
        <v>446.76000000000005</v>
      </c>
      <c r="T13" s="11">
        <f t="shared" si="3"/>
        <v>597.89599999999996</v>
      </c>
      <c r="U13" s="11">
        <f t="shared" si="3"/>
        <v>632.67700000000002</v>
      </c>
      <c r="V13" s="11">
        <f t="shared" si="3"/>
        <v>685.34800000000007</v>
      </c>
      <c r="W13" s="14">
        <f t="shared" si="3"/>
        <v>710.36599999999987</v>
      </c>
    </row>
    <row r="14" spans="1:24" s="10" customFormat="1" x14ac:dyDescent="0.25">
      <c r="A14" s="10" t="s">
        <v>157</v>
      </c>
      <c r="E14" s="10">
        <v>423.22500000000002</v>
      </c>
      <c r="F14" s="15">
        <v>488.12700000000001</v>
      </c>
      <c r="G14" s="41"/>
      <c r="H14" s="41"/>
      <c r="O14" s="10">
        <v>101.223</v>
      </c>
      <c r="P14" s="10">
        <v>102.441</v>
      </c>
      <c r="Q14" s="10">
        <v>98.819000000000003</v>
      </c>
      <c r="R14" s="10">
        <v>120.742</v>
      </c>
      <c r="S14" s="10">
        <v>110.004</v>
      </c>
      <c r="T14" s="10">
        <v>118.325</v>
      </c>
      <c r="U14" s="10">
        <v>130.447</v>
      </c>
      <c r="V14" s="10">
        <v>129.351</v>
      </c>
      <c r="W14" s="15">
        <v>126.955</v>
      </c>
    </row>
    <row r="15" spans="1:24" s="10" customFormat="1" x14ac:dyDescent="0.25">
      <c r="A15" s="10" t="s">
        <v>27</v>
      </c>
      <c r="E15" s="10">
        <f>28.894+15.585+32.785+22.662</f>
        <v>99.925999999999988</v>
      </c>
      <c r="F15" s="15">
        <f>42.451+43.944+1.202+22.67</f>
        <v>110.26700000000001</v>
      </c>
      <c r="G15" s="41"/>
      <c r="H15" s="41"/>
      <c r="O15" s="10">
        <f>7.215+2.355+14.254+5.682</f>
        <v>29.506</v>
      </c>
      <c r="P15" s="10">
        <f>11.246+3.247+12.834+5.655</f>
        <v>32.981999999999999</v>
      </c>
      <c r="Q15" s="10">
        <f>8.417+3.313+2.844+5.653</f>
        <v>20.227</v>
      </c>
      <c r="R15" s="10">
        <f>2.016+6.67+2.853+5.672</f>
        <v>17.210999999999999</v>
      </c>
      <c r="S15" s="10">
        <f>13.348+13.112+5.658</f>
        <v>32.118000000000002</v>
      </c>
      <c r="T15" s="10">
        <f>9.311+17.148+5.66</f>
        <v>32.119</v>
      </c>
      <c r="U15" s="10">
        <f>9.979+10.184+5.672</f>
        <v>25.834999999999997</v>
      </c>
      <c r="V15" s="10">
        <f>9.813+3.55+1.202+5.68</f>
        <v>20.244999999999997</v>
      </c>
      <c r="W15" s="15">
        <f>8.489+2.289+0.138+4.976</f>
        <v>15.891999999999999</v>
      </c>
    </row>
    <row r="16" spans="1:24" s="10" customFormat="1" x14ac:dyDescent="0.25">
      <c r="A16" s="10" t="s">
        <v>24</v>
      </c>
      <c r="E16" s="10">
        <v>466.49200000000002</v>
      </c>
      <c r="F16" s="15">
        <v>520.726</v>
      </c>
      <c r="G16" s="41"/>
      <c r="H16" s="41"/>
      <c r="O16" s="10">
        <v>121.35599999999999</v>
      </c>
      <c r="P16" s="10">
        <v>118.23699999999999</v>
      </c>
      <c r="Q16" s="10">
        <v>113.54900000000001</v>
      </c>
      <c r="R16" s="10">
        <v>113.35</v>
      </c>
      <c r="S16" s="10">
        <v>115.801</v>
      </c>
      <c r="T16" s="10">
        <v>130.869</v>
      </c>
      <c r="U16" s="10">
        <v>134.99600000000001</v>
      </c>
      <c r="V16" s="10">
        <v>139.06</v>
      </c>
      <c r="W16" s="15">
        <v>131.822</v>
      </c>
    </row>
    <row r="17" spans="1:24" s="10" customFormat="1" x14ac:dyDescent="0.25">
      <c r="A17" s="10" t="s">
        <v>165</v>
      </c>
      <c r="E17" s="10">
        <v>39.981999999999999</v>
      </c>
      <c r="F17" s="15">
        <v>228.43700000000001</v>
      </c>
      <c r="G17" s="41"/>
      <c r="H17" s="41"/>
      <c r="O17" s="10">
        <v>8.6010000000000009</v>
      </c>
      <c r="P17" s="10">
        <v>10.298</v>
      </c>
      <c r="Q17" s="10">
        <v>0.69599999999999995</v>
      </c>
      <c r="R17" s="10">
        <v>20.387</v>
      </c>
      <c r="S17" s="10">
        <v>11.442</v>
      </c>
      <c r="T17" s="10">
        <v>4.4450000000000003</v>
      </c>
      <c r="U17" s="10">
        <v>-1.4419999999999999</v>
      </c>
      <c r="V17" s="10">
        <v>213.99199999999999</v>
      </c>
      <c r="W17" s="15">
        <v>2.0219999999999998</v>
      </c>
    </row>
    <row r="18" spans="1:24" s="1" customFormat="1" x14ac:dyDescent="0.25">
      <c r="A18" s="1" t="s">
        <v>23</v>
      </c>
      <c r="B18" s="11">
        <f>B7-B9-B13-B14-B15-B16-B17</f>
        <v>0</v>
      </c>
      <c r="C18" s="11">
        <f t="shared" ref="C18:D18" si="4">C7-SUM(C13:C17)</f>
        <v>1727</v>
      </c>
      <c r="D18" s="11">
        <f t="shared" si="4"/>
        <v>2012</v>
      </c>
      <c r="E18" s="11">
        <f>E7-SUM(E13:E17)</f>
        <v>-743.13500000000045</v>
      </c>
      <c r="F18" s="14">
        <f>F7-SUM(F13:F17)</f>
        <v>65.009000000000015</v>
      </c>
      <c r="G18" s="11">
        <f>G7-SUM(G13:G17)</f>
        <v>0</v>
      </c>
      <c r="H18" s="11">
        <f>H7-SUM(H13:H17)</f>
        <v>0</v>
      </c>
      <c r="K18" s="11">
        <f t="shared" ref="K18:S18" si="5">K7-SUM(K13:K17)</f>
        <v>0</v>
      </c>
      <c r="L18" s="11">
        <f t="shared" si="5"/>
        <v>0</v>
      </c>
      <c r="M18" s="11">
        <f t="shared" si="5"/>
        <v>0</v>
      </c>
      <c r="N18" s="11">
        <f t="shared" si="5"/>
        <v>0</v>
      </c>
      <c r="O18" s="11">
        <f>O7-SUM(O13:O17)</f>
        <v>-135.89699999999999</v>
      </c>
      <c r="P18" s="11">
        <f>P7-SUM(P13:P17)</f>
        <v>-209.17799999999994</v>
      </c>
      <c r="Q18" s="11">
        <f>Q7-SUM(Q13:Q17)</f>
        <v>-198.54600000000005</v>
      </c>
      <c r="R18" s="11">
        <f t="shared" si="5"/>
        <v>-199.48400000000009</v>
      </c>
      <c r="S18" s="11">
        <f t="shared" si="5"/>
        <v>0.3549999999999045</v>
      </c>
      <c r="T18" s="11">
        <f>T7-SUM(T13:T17)</f>
        <v>64.284999999999968</v>
      </c>
      <c r="U18" s="11">
        <f>U7-SUM(U13:U17)</f>
        <v>94.701999999999998</v>
      </c>
      <c r="V18" s="11">
        <f>V7-SUM(V13:V17)</f>
        <v>-94.383000000000038</v>
      </c>
      <c r="W18" s="14">
        <f>W7-SUM(W13:W17)</f>
        <v>125.34999999999991</v>
      </c>
    </row>
    <row r="19" spans="1:24" s="10" customFormat="1" x14ac:dyDescent="0.25">
      <c r="A19" s="10" t="s">
        <v>71</v>
      </c>
      <c r="E19" s="10">
        <f>26.458-376.722</f>
        <v>-350.26400000000001</v>
      </c>
      <c r="F19" s="15">
        <f>23.305-492.391</f>
        <v>-469.08600000000001</v>
      </c>
      <c r="G19" s="41">
        <v>-400</v>
      </c>
      <c r="H19" s="41">
        <v>-400</v>
      </c>
      <c r="O19" s="10">
        <f>0.99-87.087</f>
        <v>-86.097000000000008</v>
      </c>
      <c r="P19" s="10">
        <f>7.221-91.221</f>
        <v>-84</v>
      </c>
      <c r="Q19" s="10">
        <f>8.814-93.747</f>
        <v>-84.932999999999993</v>
      </c>
      <c r="R19" s="10">
        <f>9.433-104.667</f>
        <v>-95.234000000000009</v>
      </c>
      <c r="S19" s="10">
        <f>6.794-108.958</f>
        <v>-102.164</v>
      </c>
      <c r="T19" s="10">
        <f>4.979-123.511</f>
        <v>-118.532</v>
      </c>
      <c r="U19" s="10">
        <f>6.064-131.128</f>
        <v>-125.06399999999999</v>
      </c>
      <c r="V19" s="10">
        <f>5.468-128.794</f>
        <v>-123.32600000000001</v>
      </c>
      <c r="W19" s="15">
        <f>4.538-124.192</f>
        <v>-119.654</v>
      </c>
    </row>
    <row r="20" spans="1:24" s="10" customFormat="1" x14ac:dyDescent="0.25">
      <c r="A20" s="10" t="s">
        <v>27</v>
      </c>
      <c r="E20" s="10">
        <f>-6.396+3.904+3.93</f>
        <v>1.4380000000000002</v>
      </c>
      <c r="F20" s="15">
        <f>-4.372+2.232+2.748+1.611</f>
        <v>2.2190000000000003</v>
      </c>
      <c r="G20" s="41"/>
      <c r="H20" s="41"/>
      <c r="O20" s="10">
        <f>-1.343+2.778+0.688</f>
        <v>2.1230000000000002</v>
      </c>
      <c r="P20" s="10">
        <f>-2.341+0.584+0.88</f>
        <v>-0.87700000000000011</v>
      </c>
      <c r="Q20" s="10">
        <f>-1.775-0.505+1.145</f>
        <v>-1.1349999999999998</v>
      </c>
      <c r="R20" s="10">
        <f>-0.957+1.047+1.217</f>
        <v>1.3069999999999999</v>
      </c>
      <c r="S20" s="10">
        <f>-0.934-0.819+0.66</f>
        <v>-1.093</v>
      </c>
      <c r="T20" s="10">
        <f>-0.99+2.36+0.658</f>
        <v>2.028</v>
      </c>
      <c r="U20" s="10">
        <f>-1.097-3.833+0.438+0.08</f>
        <v>-4.4119999999999999</v>
      </c>
      <c r="V20" s="10">
        <f>-1.351+4.524+0.992+1.531</f>
        <v>5.6959999999999997</v>
      </c>
      <c r="W20" s="15">
        <f>-1.624-1.828+2</f>
        <v>-1.452</v>
      </c>
    </row>
    <row r="21" spans="1:24" s="1" customFormat="1" x14ac:dyDescent="0.25">
      <c r="A21" s="1" t="s">
        <v>19</v>
      </c>
      <c r="B21" s="11">
        <f t="shared" ref="B21:E21" si="6">B18+B19+B20</f>
        <v>0</v>
      </c>
      <c r="C21" s="11">
        <f t="shared" si="6"/>
        <v>1727</v>
      </c>
      <c r="D21" s="11">
        <f t="shared" si="6"/>
        <v>2012</v>
      </c>
      <c r="E21" s="11">
        <f t="shared" si="6"/>
        <v>-1091.9610000000002</v>
      </c>
      <c r="F21" s="14">
        <f>F18+F19+F20</f>
        <v>-401.858</v>
      </c>
      <c r="G21" s="11">
        <f>G18+G19+G20</f>
        <v>-400</v>
      </c>
      <c r="H21" s="11">
        <f>H18+H19+H20</f>
        <v>-400</v>
      </c>
      <c r="K21" s="11">
        <f t="shared" ref="K21:W21" si="7">K18+K19+K20</f>
        <v>0</v>
      </c>
      <c r="L21" s="11">
        <f t="shared" si="7"/>
        <v>0</v>
      </c>
      <c r="M21" s="11">
        <f t="shared" si="7"/>
        <v>0</v>
      </c>
      <c r="N21" s="11">
        <f t="shared" si="7"/>
        <v>0</v>
      </c>
      <c r="O21" s="11">
        <f>O18+O19+O20</f>
        <v>-219.87100000000001</v>
      </c>
      <c r="P21" s="11">
        <f>P18+P19+P20</f>
        <v>-294.05499999999995</v>
      </c>
      <c r="Q21" s="11">
        <f>Q18+Q19+Q20</f>
        <v>-284.61400000000003</v>
      </c>
      <c r="R21" s="11">
        <f t="shared" si="7"/>
        <v>-293.41100000000006</v>
      </c>
      <c r="S21" s="11">
        <f t="shared" si="7"/>
        <v>-102.9020000000001</v>
      </c>
      <c r="T21" s="11">
        <f>T18+T19+T20</f>
        <v>-52.21900000000003</v>
      </c>
      <c r="U21" s="11">
        <f>U18+U19+U20</f>
        <v>-34.773999999999994</v>
      </c>
      <c r="V21" s="11">
        <f>V18+V19+V20</f>
        <v>-212.01300000000006</v>
      </c>
      <c r="W21" s="14">
        <f t="shared" si="7"/>
        <v>4.2439999999999127</v>
      </c>
    </row>
    <row r="22" spans="1:24" s="10" customFormat="1" x14ac:dyDescent="0.25">
      <c r="A22" s="10" t="s">
        <v>20</v>
      </c>
      <c r="E22" s="10">
        <v>-5.2359999999999998</v>
      </c>
      <c r="F22" s="15">
        <v>35.914000000000001</v>
      </c>
      <c r="O22" s="10">
        <v>-1.9730000000000001</v>
      </c>
      <c r="P22" s="10">
        <v>-0.61699999999999999</v>
      </c>
      <c r="Q22" s="10">
        <v>-2.028</v>
      </c>
      <c r="R22" s="10">
        <v>0.61799999999999999</v>
      </c>
      <c r="S22" s="10">
        <v>2.2410000000000001</v>
      </c>
      <c r="T22" s="10">
        <v>1.075</v>
      </c>
      <c r="U22" s="10">
        <v>-2.0209999999999999</v>
      </c>
      <c r="V22" s="10">
        <v>34.619</v>
      </c>
      <c r="W22" s="15">
        <v>-3.694</v>
      </c>
    </row>
    <row r="23" spans="1:24" s="10" customFormat="1" x14ac:dyDescent="0.25">
      <c r="A23" s="10" t="s">
        <v>158</v>
      </c>
      <c r="C23" s="10">
        <v>-191</v>
      </c>
      <c r="D23" s="10">
        <v>-144</v>
      </c>
      <c r="E23" s="10">
        <v>166.64099999999999</v>
      </c>
      <c r="F23" s="15">
        <v>88.41</v>
      </c>
      <c r="G23" s="41"/>
      <c r="H23" s="41"/>
      <c r="O23" s="10">
        <v>38.56</v>
      </c>
      <c r="P23" s="10">
        <v>43.213000000000001</v>
      </c>
      <c r="Q23" s="10">
        <v>42.78</v>
      </c>
      <c r="R23" s="10">
        <v>42.088000000000001</v>
      </c>
      <c r="S23" s="10">
        <v>19.373000000000001</v>
      </c>
      <c r="T23" s="10">
        <v>27.702999999999999</v>
      </c>
      <c r="U23" s="10">
        <v>20.492000000000001</v>
      </c>
      <c r="V23" s="10">
        <v>20.841999999999999</v>
      </c>
      <c r="W23" s="15">
        <v>14.62</v>
      </c>
    </row>
    <row r="24" spans="1:24" s="1" customFormat="1" x14ac:dyDescent="0.25">
      <c r="A24" s="1" t="s">
        <v>21</v>
      </c>
      <c r="B24" s="11"/>
      <c r="C24" s="11">
        <f t="shared" ref="C24:E24" si="8">C21+C22+C23</f>
        <v>1536</v>
      </c>
      <c r="D24" s="11">
        <f t="shared" si="8"/>
        <v>1868</v>
      </c>
      <c r="E24" s="11">
        <f t="shared" si="8"/>
        <v>-930.55600000000038</v>
      </c>
      <c r="F24" s="14">
        <f>F21+F22+F23</f>
        <v>-277.53399999999999</v>
      </c>
      <c r="G24" s="60">
        <f>G36*G34</f>
        <v>237.95999999999998</v>
      </c>
      <c r="H24" s="60">
        <f>H36*H34</f>
        <v>700.66000000000008</v>
      </c>
      <c r="K24" s="11">
        <f t="shared" ref="K24:W24" si="9">K21+K22+K23</f>
        <v>0</v>
      </c>
      <c r="L24" s="11">
        <f t="shared" si="9"/>
        <v>0</v>
      </c>
      <c r="M24" s="11">
        <f t="shared" si="9"/>
        <v>0</v>
      </c>
      <c r="N24" s="11">
        <f t="shared" si="9"/>
        <v>0</v>
      </c>
      <c r="O24" s="11">
        <f t="shared" ref="O24" si="10">O21+O22+O23</f>
        <v>-183.28400000000002</v>
      </c>
      <c r="P24" s="11">
        <f t="shared" si="9"/>
        <v>-251.45899999999997</v>
      </c>
      <c r="Q24" s="11">
        <f t="shared" si="9"/>
        <v>-243.86200000000005</v>
      </c>
      <c r="R24" s="11">
        <f t="shared" si="9"/>
        <v>-250.70500000000007</v>
      </c>
      <c r="S24" s="11">
        <f t="shared" si="9"/>
        <v>-81.288000000000096</v>
      </c>
      <c r="T24" s="11">
        <f t="shared" ref="T24:U24" si="11">T21+T22+T23</f>
        <v>-23.441000000000027</v>
      </c>
      <c r="U24" s="11">
        <f t="shared" si="11"/>
        <v>-16.302999999999994</v>
      </c>
      <c r="V24" s="11">
        <f t="shared" si="9"/>
        <v>-156.55200000000008</v>
      </c>
      <c r="W24" s="14">
        <f t="shared" si="9"/>
        <v>15.169999999999913</v>
      </c>
      <c r="X24" s="11"/>
    </row>
    <row r="25" spans="1:24" s="1" customFormat="1" x14ac:dyDescent="0.25">
      <c r="A25" t="s">
        <v>20</v>
      </c>
      <c r="B25" s="10"/>
      <c r="C25" s="69">
        <v>-2.9129999999999998</v>
      </c>
      <c r="D25" s="69">
        <v>2.8849999999999998</v>
      </c>
      <c r="E25" s="69">
        <v>5.2359999999999998</v>
      </c>
      <c r="F25" s="15"/>
      <c r="G25" s="60"/>
      <c r="H25" s="60"/>
      <c r="K25" s="11"/>
      <c r="L25" s="11"/>
      <c r="M25" s="11"/>
      <c r="N25" s="11"/>
      <c r="O25" s="69">
        <v>1.9730000000000001</v>
      </c>
      <c r="P25" s="69">
        <v>0.61699999999999999</v>
      </c>
      <c r="Q25" s="69">
        <v>2.028</v>
      </c>
      <c r="R25" s="69">
        <v>0.61799999999999999</v>
      </c>
      <c r="S25" s="69">
        <v>-2.2410000000000001</v>
      </c>
      <c r="T25" s="69">
        <v>-1.075</v>
      </c>
      <c r="U25" s="69">
        <v>2.0209999999999999</v>
      </c>
      <c r="V25" s="69">
        <v>-34.619</v>
      </c>
      <c r="W25" s="139">
        <v>3.694</v>
      </c>
      <c r="X25" s="11"/>
    </row>
    <row r="26" spans="1:24" s="1" customFormat="1" x14ac:dyDescent="0.25">
      <c r="A26" t="s">
        <v>159</v>
      </c>
      <c r="B26" s="10"/>
      <c r="C26" s="69">
        <v>516.97</v>
      </c>
      <c r="D26" s="69">
        <v>376.12799999999999</v>
      </c>
      <c r="E26" s="69">
        <v>348.82600000000002</v>
      </c>
      <c r="F26" s="15"/>
      <c r="G26" s="60"/>
      <c r="H26" s="60"/>
      <c r="K26" s="11"/>
      <c r="L26" s="11"/>
      <c r="M26" s="11"/>
      <c r="N26" s="11"/>
      <c r="O26" s="69">
        <v>83.974000000000004</v>
      </c>
      <c r="P26" s="69">
        <v>84.876999999999995</v>
      </c>
      <c r="Q26" s="69">
        <v>86.048000000000002</v>
      </c>
      <c r="R26" s="69">
        <v>93.927000000000007</v>
      </c>
      <c r="S26" s="69">
        <v>103.25700000000001</v>
      </c>
      <c r="T26" s="69">
        <v>116.504</v>
      </c>
      <c r="U26" s="69">
        <v>129.476</v>
      </c>
      <c r="V26" s="69">
        <v>117.63</v>
      </c>
      <c r="W26" s="139">
        <v>121.10599999999999</v>
      </c>
      <c r="X26" s="11"/>
    </row>
    <row r="27" spans="1:24" s="1" customFormat="1" x14ac:dyDescent="0.25">
      <c r="A27" t="s">
        <v>160</v>
      </c>
      <c r="B27" s="10"/>
      <c r="C27" s="69">
        <v>47.232999999999997</v>
      </c>
      <c r="D27" s="69">
        <v>30.57</v>
      </c>
      <c r="E27" s="69">
        <v>39.979999999999997</v>
      </c>
      <c r="F27" s="15"/>
      <c r="G27" s="60"/>
      <c r="H27" s="60"/>
      <c r="K27" s="11"/>
      <c r="L27" s="11"/>
      <c r="M27" s="11"/>
      <c r="N27" s="11"/>
      <c r="O27" s="69">
        <v>8.6010000000000009</v>
      </c>
      <c r="P27" s="69">
        <v>10.298</v>
      </c>
      <c r="Q27" s="69">
        <v>0.69599999999999995</v>
      </c>
      <c r="R27" s="69">
        <v>20.387</v>
      </c>
      <c r="S27" s="69">
        <v>11.442</v>
      </c>
      <c r="T27" s="69">
        <v>4.4450000000000003</v>
      </c>
      <c r="U27" s="69">
        <v>-1.4419999999999999</v>
      </c>
      <c r="V27" s="69">
        <v>213.99199999999999</v>
      </c>
      <c r="W27" s="139">
        <v>2.0019999999999998</v>
      </c>
      <c r="X27" s="11"/>
    </row>
    <row r="28" spans="1:24" s="1" customFormat="1" x14ac:dyDescent="0.25">
      <c r="A28" t="s">
        <v>24</v>
      </c>
      <c r="B28" s="10"/>
      <c r="C28" s="69">
        <v>618.53</v>
      </c>
      <c r="D28" s="69">
        <v>579.84699999999998</v>
      </c>
      <c r="E28" s="69">
        <v>521.93899999999996</v>
      </c>
      <c r="F28" s="15"/>
      <c r="G28" s="60"/>
      <c r="H28" s="60"/>
      <c r="K28" s="11"/>
      <c r="L28" s="11"/>
      <c r="M28" s="11"/>
      <c r="N28" s="11"/>
      <c r="O28" s="69">
        <v>141.292</v>
      </c>
      <c r="P28" s="69">
        <v>136.726</v>
      </c>
      <c r="Q28" s="69">
        <v>122.04600000000001</v>
      </c>
      <c r="R28" s="69">
        <v>121.875</v>
      </c>
      <c r="S28" s="69">
        <v>121.459</v>
      </c>
      <c r="T28" s="69">
        <v>136.529</v>
      </c>
      <c r="U28" s="69">
        <v>140.66800000000001</v>
      </c>
      <c r="V28" s="69">
        <v>144.74</v>
      </c>
      <c r="W28" s="139">
        <v>136.798</v>
      </c>
      <c r="X28" s="11"/>
    </row>
    <row r="29" spans="1:24" s="1" customFormat="1" x14ac:dyDescent="0.25">
      <c r="A29" t="s">
        <v>161</v>
      </c>
      <c r="B29" s="10"/>
      <c r="C29" s="69">
        <v>54.3</v>
      </c>
      <c r="D29" s="69">
        <v>67.95</v>
      </c>
      <c r="E29" s="69">
        <v>71.808999999999997</v>
      </c>
      <c r="F29" s="15"/>
      <c r="G29" s="60"/>
      <c r="H29" s="60"/>
      <c r="K29" s="11"/>
      <c r="L29" s="11"/>
      <c r="M29" s="11"/>
      <c r="N29" s="11"/>
      <c r="O29" s="69">
        <v>16.971</v>
      </c>
      <c r="P29" s="69">
        <v>16.908000000000001</v>
      </c>
      <c r="Q29" s="69">
        <v>9.9809999999999999</v>
      </c>
      <c r="R29" s="69">
        <v>27.949000000000002</v>
      </c>
      <c r="S29" s="69">
        <v>10.811999999999999</v>
      </c>
      <c r="T29" s="69">
        <v>8.8610000000000007</v>
      </c>
      <c r="U29" s="69">
        <v>7.5549999999999997</v>
      </c>
      <c r="V29" s="69">
        <v>8.2449999999999992</v>
      </c>
      <c r="W29" s="139">
        <v>6.9029999999999996</v>
      </c>
      <c r="X29" s="11"/>
    </row>
    <row r="30" spans="1:24" s="1" customFormat="1" x14ac:dyDescent="0.25">
      <c r="A30" t="s">
        <v>27</v>
      </c>
      <c r="B30" s="10"/>
      <c r="C30" s="69">
        <f>25.61+1.322+3.19+12.89</f>
        <v>43.012</v>
      </c>
      <c r="D30" s="69">
        <f>30.67+4.15+2.848+26.37</f>
        <v>64.037999999999997</v>
      </c>
      <c r="E30" s="69">
        <f>15.58+2.318+28.89</f>
        <v>46.787999999999997</v>
      </c>
      <c r="F30" s="15"/>
      <c r="G30" s="60"/>
      <c r="H30" s="60"/>
      <c r="K30" s="11"/>
      <c r="L30" s="11"/>
      <c r="M30" s="11"/>
      <c r="N30" s="11"/>
      <c r="O30" s="69">
        <f>2.355+0.658+7.215-38.56</f>
        <v>-28.332000000000001</v>
      </c>
      <c r="P30" s="69">
        <f>3.247+0.638+11.246-43.213</f>
        <v>-28.082000000000001</v>
      </c>
      <c r="Q30" s="69">
        <f>3.313+0.555+8.417-42.78</f>
        <v>-30.495000000000001</v>
      </c>
      <c r="R30" s="69">
        <f>6.67+0.467+2.016-42.088</f>
        <v>-32.935000000000002</v>
      </c>
      <c r="S30" s="69">
        <f>13.112+0.486+13.348-19.373</f>
        <v>7.5730000000000004</v>
      </c>
      <c r="T30" s="69">
        <f>0.476+9.311+17.148-27.703</f>
        <v>-0.76800000000000068</v>
      </c>
      <c r="U30" s="69">
        <f>10.184+0.474+9.979-20.492</f>
        <v>0.14499999999999957</v>
      </c>
      <c r="V30" s="69">
        <f>1.202+3.55+0.475+9.813-20.842</f>
        <v>-5.8019999999999996</v>
      </c>
      <c r="W30" s="139">
        <f>2.289+0.138+1.748+8.489-14.62</f>
        <v>-1.9559999999999977</v>
      </c>
      <c r="X30" s="11"/>
    </row>
    <row r="31" spans="1:24" s="1" customFormat="1" x14ac:dyDescent="0.25">
      <c r="A31" s="1" t="s">
        <v>162</v>
      </c>
      <c r="B31" s="11"/>
      <c r="C31" s="70">
        <f>C24+SUM(C25:C30)</f>
        <v>2813.1319999999996</v>
      </c>
      <c r="D31" s="70">
        <f>D24+SUM(D25:D30)</f>
        <v>2989.4179999999997</v>
      </c>
      <c r="E31" s="70">
        <f>E24+SUM(E25:E30)</f>
        <v>104.02199999999959</v>
      </c>
      <c r="F31" s="14"/>
      <c r="G31" s="60"/>
      <c r="H31" s="60"/>
      <c r="K31" s="11"/>
      <c r="L31" s="11"/>
      <c r="M31" s="11"/>
      <c r="N31" s="11"/>
      <c r="O31" s="70">
        <f t="shared" ref="O31:W31" si="12">O24+SUM(O25:O30)</f>
        <v>41.194999999999993</v>
      </c>
      <c r="P31" s="70">
        <f t="shared" si="12"/>
        <v>-30.114999999999981</v>
      </c>
      <c r="Q31" s="70">
        <f t="shared" si="12"/>
        <v>-53.55800000000005</v>
      </c>
      <c r="R31" s="70">
        <f t="shared" si="12"/>
        <v>-18.884000000000043</v>
      </c>
      <c r="S31" s="70">
        <f t="shared" si="12"/>
        <v>171.01399999999992</v>
      </c>
      <c r="T31" s="70">
        <f t="shared" si="12"/>
        <v>241.05499999999995</v>
      </c>
      <c r="U31" s="70">
        <f t="shared" si="12"/>
        <v>262.11999999999995</v>
      </c>
      <c r="V31" s="70">
        <f t="shared" si="12"/>
        <v>287.6339999999999</v>
      </c>
      <c r="W31" s="140">
        <f t="shared" si="12"/>
        <v>283.71699999999993</v>
      </c>
      <c r="X31" s="11"/>
    </row>
    <row r="32" spans="1:24" s="1" customFormat="1" x14ac:dyDescent="0.25">
      <c r="A32" t="s">
        <v>163</v>
      </c>
      <c r="B32" s="10"/>
      <c r="C32" s="69">
        <v>73.013999999999996</v>
      </c>
      <c r="D32" s="69">
        <v>70.180000000000007</v>
      </c>
      <c r="E32" s="69">
        <v>63.146999999999998</v>
      </c>
      <c r="F32" s="15"/>
      <c r="G32" s="60"/>
      <c r="H32" s="60"/>
      <c r="K32" s="11"/>
      <c r="L32" s="11"/>
      <c r="M32" s="11"/>
      <c r="N32" s="11"/>
      <c r="O32" s="69">
        <v>14.821</v>
      </c>
      <c r="P32" s="69">
        <v>16.306000000000001</v>
      </c>
      <c r="Q32" s="69">
        <v>18.677</v>
      </c>
      <c r="R32" s="69">
        <v>13.343</v>
      </c>
      <c r="S32" s="69">
        <v>19.736000000000001</v>
      </c>
      <c r="T32" s="69">
        <v>26.201000000000001</v>
      </c>
      <c r="U32" s="69">
        <v>18.518000000000001</v>
      </c>
      <c r="V32" s="69">
        <v>15.786</v>
      </c>
      <c r="W32" s="139">
        <v>15.06</v>
      </c>
      <c r="X32" s="11"/>
    </row>
    <row r="33" spans="1:24" s="1" customFormat="1" x14ac:dyDescent="0.25">
      <c r="A33" s="1" t="s">
        <v>164</v>
      </c>
      <c r="B33" s="11"/>
      <c r="C33" s="70">
        <f>C31+C32</f>
        <v>2886.1459999999997</v>
      </c>
      <c r="D33" s="70">
        <f>D31+D32</f>
        <v>3059.5979999999995</v>
      </c>
      <c r="E33" s="70">
        <f>E31+E32</f>
        <v>167.16899999999958</v>
      </c>
      <c r="F33" s="14"/>
      <c r="G33" s="60"/>
      <c r="H33" s="60"/>
      <c r="K33" s="11"/>
      <c r="L33" s="11"/>
      <c r="M33" s="11"/>
      <c r="N33" s="11"/>
      <c r="O33" s="70">
        <f t="shared" ref="O33:W33" si="13">O31+O32</f>
        <v>56.015999999999991</v>
      </c>
      <c r="P33" s="70">
        <f t="shared" si="13"/>
        <v>-13.80899999999998</v>
      </c>
      <c r="Q33" s="70">
        <f t="shared" si="13"/>
        <v>-34.88100000000005</v>
      </c>
      <c r="R33" s="70">
        <f t="shared" si="13"/>
        <v>-5.541000000000043</v>
      </c>
      <c r="S33" s="70">
        <f t="shared" si="13"/>
        <v>190.74999999999991</v>
      </c>
      <c r="T33" s="70">
        <f t="shared" si="13"/>
        <v>267.25599999999997</v>
      </c>
      <c r="U33" s="70">
        <f t="shared" si="13"/>
        <v>280.63799999999992</v>
      </c>
      <c r="V33" s="70">
        <f t="shared" si="13"/>
        <v>303.4199999999999</v>
      </c>
      <c r="W33" s="140">
        <f t="shared" si="13"/>
        <v>298.77699999999993</v>
      </c>
      <c r="X33" s="11"/>
    </row>
    <row r="34" spans="1:24" x14ac:dyDescent="0.25">
      <c r="A34" t="s">
        <v>1</v>
      </c>
      <c r="B34" s="10"/>
      <c r="C34" s="10"/>
      <c r="D34" s="10"/>
      <c r="E34" s="10"/>
      <c r="F34" s="15">
        <f>F24/F35</f>
        <v>1321.5904761904762</v>
      </c>
      <c r="G34" s="10">
        <v>1322</v>
      </c>
      <c r="H34" s="41">
        <v>1322</v>
      </c>
      <c r="K34" s="10"/>
      <c r="L34" s="10"/>
      <c r="M34" s="10"/>
      <c r="N34" s="10"/>
      <c r="O34" s="10">
        <v>1422.1751079999999</v>
      </c>
      <c r="P34" s="10">
        <v>1421.4439460000001</v>
      </c>
      <c r="Q34" s="10">
        <v>1386.7205269999999</v>
      </c>
      <c r="R34" s="10">
        <v>1335.2833459999999</v>
      </c>
      <c r="S34" s="10">
        <v>1325.716287</v>
      </c>
      <c r="T34" s="10">
        <v>1310.3582369999999</v>
      </c>
      <c r="U34" s="10">
        <v>1311.270775</v>
      </c>
      <c r="V34" s="10">
        <v>1311.270775</v>
      </c>
      <c r="W34" s="15">
        <v>1318.270775</v>
      </c>
      <c r="X34" s="10"/>
    </row>
    <row r="35" spans="1:24" s="1" customFormat="1" x14ac:dyDescent="0.25">
      <c r="A35" s="1" t="s">
        <v>22</v>
      </c>
      <c r="B35" s="2"/>
      <c r="C35" s="2"/>
      <c r="D35" s="2"/>
      <c r="E35" s="2">
        <v>-0.66900000000000004</v>
      </c>
      <c r="F35" s="35">
        <v>-0.21</v>
      </c>
      <c r="G35" s="67"/>
      <c r="H35" s="68"/>
      <c r="K35" s="2"/>
      <c r="L35" s="2"/>
      <c r="M35" s="2"/>
      <c r="N35" s="2"/>
      <c r="O35" s="2">
        <f t="shared" ref="O35:P35" si="14">O24/O34</f>
        <v>-0.12887583179384407</v>
      </c>
      <c r="P35" s="2">
        <f t="shared" si="14"/>
        <v>-0.17690391570319436</v>
      </c>
      <c r="Q35" s="2">
        <f t="shared" ref="Q35" si="15">Q24/Q34</f>
        <v>-0.17585518873623773</v>
      </c>
      <c r="R35" s="2">
        <f>R24/R34</f>
        <v>-0.18775415776061066</v>
      </c>
      <c r="S35" s="2">
        <f>S24/S34</f>
        <v>-6.1316286747859876E-2</v>
      </c>
      <c r="T35" s="2">
        <f t="shared" ref="T35:U35" si="16">T24/T34</f>
        <v>-1.7889001143433135E-2</v>
      </c>
      <c r="U35" s="2">
        <f t="shared" si="16"/>
        <v>-1.2432977467983296E-2</v>
      </c>
      <c r="V35" s="2">
        <f t="shared" ref="V35" si="17">V24/V34</f>
        <v>-0.11938952883320388</v>
      </c>
      <c r="W35" s="35">
        <f>W24/W34</f>
        <v>1.1507499284431845E-2</v>
      </c>
      <c r="X35" s="51"/>
    </row>
    <row r="36" spans="1:24" s="1" customFormat="1" x14ac:dyDescent="0.25">
      <c r="A36" s="9" t="s">
        <v>68</v>
      </c>
      <c r="B36" s="2"/>
      <c r="C36" s="2"/>
      <c r="D36" s="2"/>
      <c r="E36" s="2"/>
      <c r="F36" s="35"/>
      <c r="G36" s="45">
        <v>0.18</v>
      </c>
      <c r="H36" s="46">
        <v>0.53</v>
      </c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1"/>
      <c r="W36" s="35">
        <v>0.03</v>
      </c>
      <c r="X36" s="51"/>
    </row>
    <row r="37" spans="1:24" s="1" customFormat="1" x14ac:dyDescent="0.25">
      <c r="A37" t="s">
        <v>33</v>
      </c>
      <c r="B37" s="3"/>
      <c r="C37" s="3">
        <f>1-C9/C7</f>
        <v>-0.54487550665894613</v>
      </c>
      <c r="D37" s="3">
        <f>1-D9/D7</f>
        <v>-0.28677932405566597</v>
      </c>
      <c r="E37" s="40">
        <f>1-(E9+E13)/E7</f>
        <v>-0.46398043775051945</v>
      </c>
      <c r="F37" s="6">
        <f>1-(F9+F13)/F7</f>
        <v>-0.16483212886468102</v>
      </c>
      <c r="G37" s="47"/>
      <c r="H37" s="47"/>
      <c r="K37" s="3" t="e">
        <f t="shared" ref="K37:V37" si="18">1-K9/K7</f>
        <v>#DIV/0!</v>
      </c>
      <c r="L37" s="3" t="e">
        <f t="shared" si="18"/>
        <v>#DIV/0!</v>
      </c>
      <c r="M37" s="3" t="e">
        <f t="shared" si="18"/>
        <v>#DIV/0!</v>
      </c>
      <c r="N37" s="3" t="e">
        <f t="shared" si="18"/>
        <v>#DIV/0!</v>
      </c>
      <c r="O37" s="3">
        <f t="shared" si="18"/>
        <v>0.3528029561317626</v>
      </c>
      <c r="P37" s="3">
        <f t="shared" si="18"/>
        <v>0.30969885885845327</v>
      </c>
      <c r="Q37" s="3">
        <f t="shared" si="18"/>
        <v>0.28131344666035385</v>
      </c>
      <c r="R37" s="3">
        <f t="shared" si="18"/>
        <v>0.32584962977026777</v>
      </c>
      <c r="S37" s="3">
        <f t="shared" si="18"/>
        <v>0.44329360205448853</v>
      </c>
      <c r="T37" s="3">
        <f t="shared" si="18"/>
        <v>0.46665239007995241</v>
      </c>
      <c r="U37" s="3">
        <f t="shared" si="18"/>
        <v>0.47571457361521408</v>
      </c>
      <c r="V37" s="40">
        <f t="shared" si="18"/>
        <v>0.45402349825761035</v>
      </c>
      <c r="W37" s="6">
        <f>1-(W9+W13)/W7</f>
        <v>-0.18672122703291127</v>
      </c>
    </row>
    <row r="38" spans="1:24" x14ac:dyDescent="0.25">
      <c r="A38" t="s">
        <v>34</v>
      </c>
      <c r="B38" s="4"/>
      <c r="C38" s="4">
        <f>C24/C7</f>
        <v>0.88940359004053271</v>
      </c>
      <c r="D38" s="4">
        <f>D24/D7</f>
        <v>0.92842942345924451</v>
      </c>
      <c r="E38" s="4">
        <f>E24/E7</f>
        <v>-0.68932780323968312</v>
      </c>
      <c r="F38" s="7">
        <f>F24/F7</f>
        <v>-7.3514130333723851E-2</v>
      </c>
      <c r="G38" s="48">
        <f>G24/G8</f>
        <v>4.8170040485829957E-2</v>
      </c>
      <c r="H38" s="48">
        <f>H24/H8</f>
        <v>0.13874455445544556</v>
      </c>
      <c r="K38" s="4" t="e">
        <f t="shared" ref="K38:V38" si="19">K24/K7</f>
        <v>#DIV/0!</v>
      </c>
      <c r="L38" s="4" t="e">
        <f t="shared" si="19"/>
        <v>#DIV/0!</v>
      </c>
      <c r="M38" s="4" t="e">
        <f t="shared" si="19"/>
        <v>#DIV/0!</v>
      </c>
      <c r="N38" s="4" t="e">
        <f t="shared" si="19"/>
        <v>#DIV/0!</v>
      </c>
      <c r="O38" s="4">
        <f t="shared" si="19"/>
        <v>-0.38590573645369469</v>
      </c>
      <c r="P38" s="4">
        <f t="shared" si="19"/>
        <v>-0.84921666829895937</v>
      </c>
      <c r="Q38" s="4">
        <f t="shared" si="19"/>
        <v>-1.0083734085355014</v>
      </c>
      <c r="R38" s="4">
        <f t="shared" si="19"/>
        <v>-0.74373754034554795</v>
      </c>
      <c r="S38" s="4">
        <f t="shared" si="19"/>
        <v>-0.11345466726217074</v>
      </c>
      <c r="T38" s="4">
        <f t="shared" si="19"/>
        <v>-2.4728384421360473E-2</v>
      </c>
      <c r="U38" s="4">
        <f t="shared" si="19"/>
        <v>-1.6027093583952254E-2</v>
      </c>
      <c r="V38" s="4">
        <f t="shared" si="19"/>
        <v>-0.1431511878516441</v>
      </c>
      <c r="W38" s="7">
        <f>W24/W7</f>
        <v>1.3637095056036068E-2</v>
      </c>
    </row>
    <row r="39" spans="1:24" x14ac:dyDescent="0.25">
      <c r="A39" t="s">
        <v>35</v>
      </c>
      <c r="B39" s="3"/>
      <c r="C39" s="3"/>
      <c r="D39" s="3">
        <f>D7/C7-1</f>
        <v>0.16502605674580195</v>
      </c>
      <c r="E39" s="40">
        <f>E7/D7-1</f>
        <v>-0.32905218687872773</v>
      </c>
      <c r="F39" s="6">
        <f>F7/E7-1</f>
        <v>1.7965890512738651</v>
      </c>
      <c r="G39" s="49">
        <f>G8/F7-1</f>
        <v>0.30852365421388317</v>
      </c>
      <c r="H39" s="49">
        <f>H8/G8-1</f>
        <v>2.2267206477732726E-2</v>
      </c>
      <c r="K39" s="4"/>
      <c r="L39" s="4"/>
      <c r="M39" s="4"/>
      <c r="N39" s="4"/>
      <c r="O39" s="4" t="e">
        <f t="shared" ref="O39:V39" si="20">O7/K7-1</f>
        <v>#DIV/0!</v>
      </c>
      <c r="P39" s="4" t="e">
        <f t="shared" si="20"/>
        <v>#DIV/0!</v>
      </c>
      <c r="Q39" s="4" t="e">
        <f t="shared" si="20"/>
        <v>#DIV/0!</v>
      </c>
      <c r="R39" s="4" t="e">
        <f t="shared" si="20"/>
        <v>#DIV/0!</v>
      </c>
      <c r="S39" s="4">
        <f t="shared" si="20"/>
        <v>0.50855362199833665</v>
      </c>
      <c r="T39" s="4">
        <f t="shared" si="20"/>
        <v>2.2013393806968429</v>
      </c>
      <c r="U39" s="4">
        <f t="shared" si="20"/>
        <v>3.206200870834488</v>
      </c>
      <c r="V39" s="142">
        <f t="shared" si="20"/>
        <v>2.2442952582115057</v>
      </c>
      <c r="W39" s="141">
        <f>W7/S7-1</f>
        <v>0.55260021214828026</v>
      </c>
      <c r="X39" s="37">
        <f>X8/T7-1</f>
        <v>-1</v>
      </c>
    </row>
    <row r="40" spans="1:24" x14ac:dyDescent="0.25">
      <c r="A40" t="s">
        <v>39</v>
      </c>
      <c r="B40" s="3"/>
      <c r="C40" s="3"/>
      <c r="D40" s="3">
        <f>-(D24/C24-1)</f>
        <v>-0.21614583333333326</v>
      </c>
      <c r="E40" s="40">
        <f>E24/D24-1</f>
        <v>-1.4981563169164884</v>
      </c>
      <c r="F40" s="6">
        <f>F24/E24-1</f>
        <v>-0.701754649908227</v>
      </c>
      <c r="G40" s="59"/>
      <c r="H40" s="59"/>
      <c r="K40" s="4"/>
      <c r="L40" s="4"/>
      <c r="M40" s="4"/>
      <c r="N40" s="4"/>
      <c r="O40" s="4" t="e">
        <f t="shared" ref="O40:V40" si="21">O24/K24-1</f>
        <v>#DIV/0!</v>
      </c>
      <c r="P40" s="4" t="e">
        <f t="shared" si="21"/>
        <v>#DIV/0!</v>
      </c>
      <c r="Q40" s="4" t="e">
        <f t="shared" si="21"/>
        <v>#DIV/0!</v>
      </c>
      <c r="R40" s="4" t="e">
        <f t="shared" si="21"/>
        <v>#DIV/0!</v>
      </c>
      <c r="S40" s="4">
        <f t="shared" si="21"/>
        <v>-0.55649156500294583</v>
      </c>
      <c r="T40" s="4">
        <f t="shared" si="21"/>
        <v>-0.9067800317347956</v>
      </c>
      <c r="U40" s="4">
        <f t="shared" si="21"/>
        <v>-0.93314661570888457</v>
      </c>
      <c r="V40" s="4">
        <f t="shared" si="21"/>
        <v>-0.37555294070720557</v>
      </c>
      <c r="W40" s="6">
        <f>W24/S24-1</f>
        <v>-1.1866204113768317</v>
      </c>
    </row>
    <row r="41" spans="1:24" x14ac:dyDescent="0.25">
      <c r="A41" t="s">
        <v>85</v>
      </c>
      <c r="B41" s="71"/>
      <c r="C41" s="54">
        <f>C19/C7</f>
        <v>0</v>
      </c>
      <c r="D41" s="54">
        <f>D19/D7</f>
        <v>0</v>
      </c>
      <c r="E41" s="54">
        <f>-E19/E7</f>
        <v>0.25946500121856636</v>
      </c>
      <c r="F41" s="55">
        <f>-F19/F7</f>
        <v>0.12425306211752501</v>
      </c>
      <c r="G41" s="54">
        <f>G19/G8</f>
        <v>-8.0971659919028341E-2</v>
      </c>
      <c r="H41" s="54">
        <f>H19/H8</f>
        <v>-7.9207920792079209E-2</v>
      </c>
      <c r="K41" s="4"/>
      <c r="L41" s="4"/>
      <c r="M41" s="4"/>
      <c r="N41" s="4"/>
      <c r="O41" s="54">
        <f>-O19/O7</f>
        <v>0.18127783217004076</v>
      </c>
      <c r="P41" s="54">
        <f t="shared" ref="P41:R41" si="22">-P19/P7</f>
        <v>0.28368123685019264</v>
      </c>
      <c r="Q41" s="54">
        <f t="shared" si="22"/>
        <v>0.351199361553443</v>
      </c>
      <c r="R41" s="54">
        <f t="shared" si="22"/>
        <v>0.28251969812037214</v>
      </c>
      <c r="S41" s="54">
        <f>-S19/S7</f>
        <v>0.14259155873157658</v>
      </c>
      <c r="T41" s="54">
        <f t="shared" ref="T41:V41" si="23">-T19/T7</f>
        <v>0.12504180121294722</v>
      </c>
      <c r="U41" s="54">
        <f t="shared" si="23"/>
        <v>0.1229474594849663</v>
      </c>
      <c r="V41" s="54">
        <f t="shared" si="23"/>
        <v>0.11276932516347191</v>
      </c>
      <c r="W41" s="55">
        <f>-W19/W7</f>
        <v>0.1075631490992056</v>
      </c>
    </row>
    <row r="42" spans="1:24" x14ac:dyDescent="0.25">
      <c r="A42" t="s">
        <v>86</v>
      </c>
      <c r="B42" s="72"/>
      <c r="C42" s="56">
        <f t="shared" ref="C42:F42" si="24">-C19/C18</f>
        <v>0</v>
      </c>
      <c r="D42" s="56">
        <f t="shared" si="24"/>
        <v>0</v>
      </c>
      <c r="E42" s="56">
        <f t="shared" si="24"/>
        <v>-0.47133293412367849</v>
      </c>
      <c r="F42" s="55">
        <f t="shared" si="24"/>
        <v>7.2157085941946484</v>
      </c>
      <c r="G42" s="54"/>
      <c r="H42" s="54"/>
      <c r="K42" s="4"/>
      <c r="L42" s="4"/>
      <c r="M42" s="4"/>
      <c r="N42" s="4"/>
      <c r="O42" s="54">
        <f t="shared" ref="O42" si="25">-O19/O18</f>
        <v>-0.63354599439281234</v>
      </c>
      <c r="P42" s="54">
        <f t="shared" ref="P42:R42" si="26">-P19/P18</f>
        <v>-0.40157186702234471</v>
      </c>
      <c r="Q42" s="54">
        <f t="shared" si="26"/>
        <v>-0.42777492369526443</v>
      </c>
      <c r="R42" s="54">
        <f t="shared" si="26"/>
        <v>-0.47740169637665159</v>
      </c>
      <c r="S42" s="54">
        <f t="shared" ref="S42:T42" si="27">-S19/S18</f>
        <v>287.78591549303519</v>
      </c>
      <c r="T42" s="54">
        <f t="shared" si="27"/>
        <v>1.8438515983510937</v>
      </c>
      <c r="U42" s="54">
        <f>-U19/U18</f>
        <v>1.3206056894257776</v>
      </c>
      <c r="V42" s="54">
        <f>-V19/V18</f>
        <v>-1.306654800122903</v>
      </c>
      <c r="W42" s="55">
        <f t="shared" ref="W42" si="28">-W19/W18</f>
        <v>0.95455923414439636</v>
      </c>
    </row>
    <row r="45" spans="1:24" s="1" customFormat="1" x14ac:dyDescent="0.25">
      <c r="A45" s="1" t="s">
        <v>43</v>
      </c>
      <c r="B45" s="11">
        <f>B46+B47-B66-B69</f>
        <v>0</v>
      </c>
      <c r="C45" s="11">
        <f>C46+C47-C66-C69</f>
        <v>0</v>
      </c>
      <c r="D45" s="11">
        <f>D46+D47-D66-D69</f>
        <v>0</v>
      </c>
      <c r="E45" s="11">
        <f>E46+E47-E66-E69</f>
        <v>-6548.7870000000003</v>
      </c>
      <c r="F45" s="14">
        <f>F46+F47-F66-F69</f>
        <v>-6161.8779999999997</v>
      </c>
      <c r="K45" s="11">
        <f t="shared" ref="K45:W45" si="29">K46+K47-K66-K69</f>
        <v>0</v>
      </c>
      <c r="L45" s="11">
        <f t="shared" si="29"/>
        <v>0</v>
      </c>
      <c r="M45" s="11">
        <f t="shared" si="29"/>
        <v>0</v>
      </c>
      <c r="N45" s="11">
        <f t="shared" si="29"/>
        <v>0</v>
      </c>
      <c r="O45" s="11">
        <f t="shared" si="29"/>
        <v>0</v>
      </c>
      <c r="P45" s="11">
        <f t="shared" si="29"/>
        <v>0</v>
      </c>
      <c r="Q45" s="11">
        <f t="shared" si="29"/>
        <v>0</v>
      </c>
      <c r="R45" s="11">
        <f t="shared" si="29"/>
        <v>-6548.7870000000003</v>
      </c>
      <c r="S45" s="11">
        <f t="shared" si="29"/>
        <v>-6524.125</v>
      </c>
      <c r="T45" s="11">
        <f t="shared" si="29"/>
        <v>-6434.82</v>
      </c>
      <c r="U45" s="11">
        <f>U46+U47-U66-U69</f>
        <v>-6350.7909999999993</v>
      </c>
      <c r="V45" s="11">
        <f t="shared" si="29"/>
        <v>-6161.8779999999997</v>
      </c>
      <c r="W45" s="14">
        <f t="shared" si="29"/>
        <v>-6159.7889999999998</v>
      </c>
    </row>
    <row r="46" spans="1:24" x14ac:dyDescent="0.25">
      <c r="A46" t="s">
        <v>25</v>
      </c>
      <c r="B46" s="10"/>
      <c r="C46" s="10"/>
      <c r="D46" s="10"/>
      <c r="E46" s="10">
        <v>1812.729</v>
      </c>
      <c r="F46" s="15">
        <v>1310.7149999999999</v>
      </c>
      <c r="K46" s="10"/>
      <c r="L46" s="10"/>
      <c r="M46" s="10"/>
      <c r="N46" s="10"/>
      <c r="O46" s="10"/>
      <c r="P46" s="10"/>
      <c r="Q46" s="10"/>
      <c r="R46" s="10">
        <f>E46</f>
        <v>1812.729</v>
      </c>
      <c r="S46" s="10">
        <v>1338.558</v>
      </c>
      <c r="T46" s="10">
        <v>1432.4390000000001</v>
      </c>
      <c r="U46" s="10">
        <v>1417.998</v>
      </c>
      <c r="V46" s="10">
        <f>F46</f>
        <v>1310.7149999999999</v>
      </c>
      <c r="W46" s="15">
        <v>1164.076</v>
      </c>
    </row>
    <row r="47" spans="1:24" x14ac:dyDescent="0.25">
      <c r="A47" t="s">
        <v>78</v>
      </c>
      <c r="B47" s="10"/>
      <c r="C47" s="10"/>
      <c r="D47" s="10"/>
      <c r="E47" s="10">
        <v>50.991999999999997</v>
      </c>
      <c r="F47" s="15">
        <v>2.7E-2</v>
      </c>
      <c r="K47" s="10"/>
      <c r="L47" s="10"/>
      <c r="M47" s="10"/>
      <c r="N47" s="10"/>
      <c r="O47" s="10"/>
      <c r="P47" s="10"/>
      <c r="Q47" s="10"/>
      <c r="R47" s="10">
        <f t="shared" ref="R47:R50" si="30">E47</f>
        <v>50.991999999999997</v>
      </c>
      <c r="S47" s="10">
        <v>2.1999999999999999E-2</v>
      </c>
      <c r="T47" s="10">
        <v>2.1999999999999999E-2</v>
      </c>
      <c r="U47" s="10">
        <v>2.5999999999999999E-2</v>
      </c>
      <c r="V47" s="10">
        <f t="shared" ref="V47:V50" si="31">F47</f>
        <v>2.7E-2</v>
      </c>
      <c r="W47" s="15">
        <v>2.5999999999999999E-2</v>
      </c>
    </row>
    <row r="48" spans="1:24" x14ac:dyDescent="0.25">
      <c r="A48" t="s">
        <v>26</v>
      </c>
      <c r="B48" s="10"/>
      <c r="C48" s="10"/>
      <c r="D48" s="10"/>
      <c r="E48" s="10">
        <f>55.992+0.63</f>
        <v>56.622</v>
      </c>
      <c r="F48" s="15">
        <f>91.638+0.797</f>
        <v>92.435000000000002</v>
      </c>
      <c r="K48" s="10"/>
      <c r="L48" s="10"/>
      <c r="M48" s="10"/>
      <c r="N48" s="10"/>
      <c r="O48" s="10"/>
      <c r="P48" s="10"/>
      <c r="Q48" s="10"/>
      <c r="R48" s="10">
        <f t="shared" si="30"/>
        <v>56.622</v>
      </c>
      <c r="S48" s="10">
        <f>69.043+0.654</f>
        <v>69.697000000000003</v>
      </c>
      <c r="T48" s="10">
        <f>88.674+0.747</f>
        <v>89.421000000000006</v>
      </c>
      <c r="U48" s="10">
        <f>95.716+1.001</f>
        <v>96.716999999999999</v>
      </c>
      <c r="V48" s="10">
        <f t="shared" si="31"/>
        <v>92.435000000000002</v>
      </c>
      <c r="W48" s="15">
        <v>82.998999999999995</v>
      </c>
    </row>
    <row r="49" spans="1:23" x14ac:dyDescent="0.25">
      <c r="A49" t="s">
        <v>87</v>
      </c>
      <c r="B49" s="10"/>
      <c r="C49" s="10"/>
      <c r="D49" s="10"/>
      <c r="E49" s="10">
        <v>26.416</v>
      </c>
      <c r="F49" s="15">
        <v>29.427</v>
      </c>
      <c r="K49" s="10"/>
      <c r="L49" s="10"/>
      <c r="M49" s="10"/>
      <c r="N49" s="10"/>
      <c r="O49" s="10"/>
      <c r="P49" s="10"/>
      <c r="Q49" s="10"/>
      <c r="R49" s="10">
        <f t="shared" si="30"/>
        <v>26.416</v>
      </c>
      <c r="S49" s="10">
        <v>26.216000000000001</v>
      </c>
      <c r="T49" s="10">
        <v>26.663</v>
      </c>
      <c r="U49" s="10">
        <v>28.106000000000002</v>
      </c>
      <c r="V49" s="10">
        <f t="shared" si="31"/>
        <v>29.427</v>
      </c>
      <c r="W49" s="15">
        <v>29.649000000000001</v>
      </c>
    </row>
    <row r="50" spans="1:23" x14ac:dyDescent="0.25">
      <c r="A50" t="s">
        <v>80</v>
      </c>
      <c r="B50" s="10"/>
      <c r="C50" s="10"/>
      <c r="D50" s="10"/>
      <c r="E50" s="10">
        <f>119.41+8.503</f>
        <v>127.913</v>
      </c>
      <c r="F50" s="15">
        <v>111.688</v>
      </c>
      <c r="K50" s="10"/>
      <c r="L50" s="10"/>
      <c r="M50" s="10"/>
      <c r="N50" s="10"/>
      <c r="O50" s="10"/>
      <c r="P50" s="10"/>
      <c r="Q50" s="10"/>
      <c r="R50" s="10">
        <f t="shared" si="30"/>
        <v>127.913</v>
      </c>
      <c r="S50" s="10">
        <f>132.901+8.372</f>
        <v>141.27300000000002</v>
      </c>
      <c r="T50" s="10">
        <f>127.839+7.706</f>
        <v>135.54499999999999</v>
      </c>
      <c r="U50" s="10">
        <v>130.977</v>
      </c>
      <c r="V50" s="10">
        <f t="shared" si="31"/>
        <v>111.688</v>
      </c>
      <c r="W50" s="15">
        <f>1.08+113.811</f>
        <v>114.89100000000001</v>
      </c>
    </row>
    <row r="51" spans="1:23" s="1" customFormat="1" x14ac:dyDescent="0.25">
      <c r="A51" s="1" t="s">
        <v>64</v>
      </c>
      <c r="B51" s="11">
        <f>SUM(B46:B50)</f>
        <v>0</v>
      </c>
      <c r="C51" s="11">
        <f>SUM(C46:C50)</f>
        <v>0</v>
      </c>
      <c r="D51" s="11">
        <f>SUM(D46:D50)</f>
        <v>0</v>
      </c>
      <c r="E51" s="11">
        <f>SUM(E46:E50)</f>
        <v>2074.672</v>
      </c>
      <c r="F51" s="14">
        <f>SUM(F46:F50)</f>
        <v>1544.2919999999999</v>
      </c>
      <c r="K51" s="11">
        <f t="shared" ref="K51:W51" si="32">SUM(K46:K50)</f>
        <v>0</v>
      </c>
      <c r="L51" s="11">
        <f t="shared" si="32"/>
        <v>0</v>
      </c>
      <c r="M51" s="11">
        <f t="shared" si="32"/>
        <v>0</v>
      </c>
      <c r="N51" s="11">
        <f t="shared" si="32"/>
        <v>0</v>
      </c>
      <c r="O51" s="11">
        <f t="shared" si="32"/>
        <v>0</v>
      </c>
      <c r="P51" s="11">
        <f t="shared" si="32"/>
        <v>0</v>
      </c>
      <c r="Q51" s="11">
        <f t="shared" si="32"/>
        <v>0</v>
      </c>
      <c r="R51" s="11">
        <f t="shared" si="32"/>
        <v>2074.672</v>
      </c>
      <c r="S51" s="11">
        <f t="shared" si="32"/>
        <v>1575.7660000000001</v>
      </c>
      <c r="T51" s="11">
        <f t="shared" si="32"/>
        <v>1684.0900000000001</v>
      </c>
      <c r="U51" s="11">
        <f t="shared" si="32"/>
        <v>1673.8240000000003</v>
      </c>
      <c r="V51" s="11">
        <f t="shared" si="32"/>
        <v>1544.2919999999999</v>
      </c>
      <c r="W51" s="14">
        <f t="shared" si="32"/>
        <v>1391.6410000000001</v>
      </c>
    </row>
    <row r="52" spans="1:23" x14ac:dyDescent="0.25">
      <c r="A52" t="s">
        <v>81</v>
      </c>
      <c r="B52" s="10"/>
      <c r="C52" s="10"/>
      <c r="D52" s="10"/>
      <c r="E52" s="10">
        <v>5870.9049999999997</v>
      </c>
      <c r="F52" s="15">
        <v>5533.9939999999997</v>
      </c>
      <c r="K52" s="10"/>
      <c r="L52" s="10"/>
      <c r="M52" s="10"/>
      <c r="N52" s="10"/>
      <c r="O52" s="10"/>
      <c r="P52" s="10"/>
      <c r="Q52" s="10"/>
      <c r="R52" s="10">
        <f t="shared" ref="R52:R60" si="33">E52</f>
        <v>5870.9049999999997</v>
      </c>
      <c r="S52" s="10">
        <v>5820.049</v>
      </c>
      <c r="T52" s="10">
        <v>5769.5039999999999</v>
      </c>
      <c r="U52" s="10">
        <v>5690.991</v>
      </c>
      <c r="V52" s="10">
        <f t="shared" ref="V52:V60" si="34">F52</f>
        <v>5533.9939999999997</v>
      </c>
      <c r="W52" s="15">
        <v>5422.84</v>
      </c>
    </row>
    <row r="53" spans="1:23" x14ac:dyDescent="0.25">
      <c r="A53" t="s">
        <v>82</v>
      </c>
      <c r="B53" s="10"/>
      <c r="C53" s="10"/>
      <c r="D53" s="10"/>
      <c r="E53" s="10">
        <v>43.61</v>
      </c>
      <c r="F53" s="15">
        <v>304.65199999999999</v>
      </c>
      <c r="K53" s="10"/>
      <c r="L53" s="10"/>
      <c r="M53" s="10"/>
      <c r="N53" s="10"/>
      <c r="O53" s="10"/>
      <c r="P53" s="10"/>
      <c r="Q53" s="10"/>
      <c r="R53" s="10">
        <f t="shared" si="33"/>
        <v>43.61</v>
      </c>
      <c r="S53" s="10">
        <v>274.38299999999998</v>
      </c>
      <c r="T53" s="10">
        <v>349.92099999999999</v>
      </c>
      <c r="U53" s="10">
        <v>339.49299999999999</v>
      </c>
      <c r="V53" s="10">
        <f t="shared" si="34"/>
        <v>304.65199999999999</v>
      </c>
      <c r="W53" s="15">
        <v>295.23899999999998</v>
      </c>
    </row>
    <row r="54" spans="1:23" x14ac:dyDescent="0.25">
      <c r="A54" t="s">
        <v>28</v>
      </c>
      <c r="B54" s="10"/>
      <c r="C54" s="10"/>
      <c r="D54" s="10"/>
      <c r="E54" s="10">
        <v>81.605999999999995</v>
      </c>
      <c r="F54" s="15">
        <v>81.581999999999994</v>
      </c>
      <c r="K54" s="10"/>
      <c r="L54" s="10"/>
      <c r="M54" s="10"/>
      <c r="N54" s="10"/>
      <c r="O54" s="10"/>
      <c r="P54" s="10"/>
      <c r="Q54" s="10"/>
      <c r="R54" s="10">
        <f t="shared" si="33"/>
        <v>81.605999999999995</v>
      </c>
      <c r="S54" s="10">
        <v>81.188000000000002</v>
      </c>
      <c r="T54" s="10">
        <v>81.301000000000002</v>
      </c>
      <c r="U54" s="10">
        <v>81.385000000000005</v>
      </c>
      <c r="V54" s="10">
        <f t="shared" si="34"/>
        <v>81.581999999999994</v>
      </c>
      <c r="W54" s="15">
        <v>81.459999999999994</v>
      </c>
    </row>
    <row r="55" spans="1:23" x14ac:dyDescent="0.25">
      <c r="A55" t="s">
        <v>166</v>
      </c>
      <c r="B55" s="10"/>
      <c r="C55" s="10"/>
      <c r="D55" s="10"/>
      <c r="E55" s="10">
        <v>159.697</v>
      </c>
      <c r="F55" s="15">
        <v>100.32</v>
      </c>
      <c r="K55" s="10"/>
      <c r="L55" s="10"/>
      <c r="M55" s="10"/>
      <c r="N55" s="10"/>
      <c r="O55" s="10"/>
      <c r="P55" s="10"/>
      <c r="Q55" s="10"/>
      <c r="R55" s="10">
        <f t="shared" si="33"/>
        <v>159.697</v>
      </c>
      <c r="S55" s="10">
        <v>159.983</v>
      </c>
      <c r="T55" s="10">
        <v>143.35400000000001</v>
      </c>
      <c r="U55" s="10">
        <v>84.042000000000002</v>
      </c>
      <c r="V55" s="10">
        <f t="shared" si="34"/>
        <v>100.32</v>
      </c>
      <c r="W55" s="15">
        <v>124.869</v>
      </c>
    </row>
    <row r="56" spans="1:23" s="1" customFormat="1" x14ac:dyDescent="0.25">
      <c r="A56" t="s">
        <v>79</v>
      </c>
      <c r="B56" s="10"/>
      <c r="C56" s="10"/>
      <c r="D56" s="10"/>
      <c r="E56" s="10">
        <v>216.333</v>
      </c>
      <c r="F56" s="15"/>
      <c r="K56" s="10"/>
      <c r="L56" s="10"/>
      <c r="M56" s="10"/>
      <c r="N56" s="10"/>
      <c r="O56" s="10"/>
      <c r="P56" s="10"/>
      <c r="Q56" s="10"/>
      <c r="R56" s="10">
        <f t="shared" si="33"/>
        <v>216.333</v>
      </c>
      <c r="S56" s="10"/>
      <c r="T56" s="10"/>
      <c r="U56" s="10"/>
      <c r="V56" s="10">
        <f t="shared" si="34"/>
        <v>0</v>
      </c>
      <c r="W56" s="15"/>
    </row>
    <row r="57" spans="1:23" s="1" customFormat="1" x14ac:dyDescent="0.25">
      <c r="A57" t="s">
        <v>78</v>
      </c>
      <c r="B57" s="10"/>
      <c r="C57" s="10"/>
      <c r="D57" s="10"/>
      <c r="E57" s="10">
        <v>124.736</v>
      </c>
      <c r="F57" s="15">
        <v>125.09399999999999</v>
      </c>
      <c r="K57" s="10"/>
      <c r="L57" s="10"/>
      <c r="M57" s="10"/>
      <c r="N57" s="10"/>
      <c r="O57" s="10"/>
      <c r="P57" s="10"/>
      <c r="Q57" s="10"/>
      <c r="R57" s="10">
        <f t="shared" si="33"/>
        <v>124.736</v>
      </c>
      <c r="S57" s="10">
        <v>124.483</v>
      </c>
      <c r="T57" s="10">
        <v>124.655</v>
      </c>
      <c r="U57" s="10">
        <v>124.773</v>
      </c>
      <c r="V57" s="10">
        <f t="shared" si="34"/>
        <v>125.09399999999999</v>
      </c>
      <c r="W57" s="15">
        <v>124.89700000000001</v>
      </c>
    </row>
    <row r="58" spans="1:23" s="1" customFormat="1" x14ac:dyDescent="0.25">
      <c r="A58" t="s">
        <v>83</v>
      </c>
      <c r="B58" s="10"/>
      <c r="C58" s="10"/>
      <c r="D58" s="10"/>
      <c r="E58" s="10">
        <v>0.63800000000000001</v>
      </c>
      <c r="F58" s="15">
        <v>49.335999999999999</v>
      </c>
      <c r="K58" s="10"/>
      <c r="L58" s="10"/>
      <c r="M58" s="10"/>
      <c r="N58" s="10"/>
      <c r="O58" s="10"/>
      <c r="P58" s="10"/>
      <c r="Q58" s="10"/>
      <c r="R58" s="10">
        <f t="shared" si="33"/>
        <v>0.63800000000000001</v>
      </c>
      <c r="S58" s="10">
        <v>0.36199999999999999</v>
      </c>
      <c r="T58" s="10">
        <v>0.79400000000000004</v>
      </c>
      <c r="U58" s="10"/>
      <c r="V58" s="10">
        <f t="shared" si="34"/>
        <v>49.335999999999999</v>
      </c>
      <c r="W58" s="15"/>
    </row>
    <row r="59" spans="1:23" s="1" customFormat="1" x14ac:dyDescent="0.25">
      <c r="A59" t="s">
        <v>66</v>
      </c>
      <c r="B59" s="10"/>
      <c r="C59" s="10"/>
      <c r="D59" s="10"/>
      <c r="E59" s="10">
        <v>58.715000000000003</v>
      </c>
      <c r="F59" s="15">
        <v>62.356000000000002</v>
      </c>
      <c r="K59" s="10"/>
      <c r="L59" s="10"/>
      <c r="M59" s="10"/>
      <c r="N59" s="10"/>
      <c r="O59" s="10"/>
      <c r="P59" s="10"/>
      <c r="Q59" s="10"/>
      <c r="R59" s="10">
        <f t="shared" si="33"/>
        <v>58.715000000000003</v>
      </c>
      <c r="S59" s="10">
        <v>66.921000000000006</v>
      </c>
      <c r="T59" s="10">
        <v>69.656000000000006</v>
      </c>
      <c r="U59" s="10">
        <v>67.290000000000006</v>
      </c>
      <c r="V59" s="10">
        <f t="shared" si="34"/>
        <v>62.356000000000002</v>
      </c>
      <c r="W59" s="15">
        <v>58.304000000000002</v>
      </c>
    </row>
    <row r="60" spans="1:23" x14ac:dyDescent="0.25">
      <c r="A60" t="s">
        <v>167</v>
      </c>
      <c r="B60" s="10"/>
      <c r="C60" s="10"/>
      <c r="D60" s="10"/>
      <c r="E60" s="10">
        <v>670.87199999999996</v>
      </c>
      <c r="F60" s="15">
        <v>582.78200000000004</v>
      </c>
      <c r="K60" s="10"/>
      <c r="L60" s="10"/>
      <c r="M60" s="10"/>
      <c r="N60" s="10"/>
      <c r="O60" s="10"/>
      <c r="P60" s="10"/>
      <c r="Q60" s="10"/>
      <c r="R60" s="10">
        <f t="shared" si="33"/>
        <v>670.87199999999996</v>
      </c>
      <c r="S60" s="10">
        <v>661.78099999999995</v>
      </c>
      <c r="T60" s="10">
        <v>657.04399999999998</v>
      </c>
      <c r="U60" s="10">
        <v>652.05200000000002</v>
      </c>
      <c r="V60" s="10">
        <f t="shared" si="34"/>
        <v>582.78200000000004</v>
      </c>
      <c r="W60" s="15">
        <v>576.93299999999999</v>
      </c>
    </row>
    <row r="61" spans="1:23" x14ac:dyDescent="0.25">
      <c r="A61" s="1" t="s">
        <v>30</v>
      </c>
      <c r="B61" s="11">
        <f>SUM(B51:B60)</f>
        <v>0</v>
      </c>
      <c r="C61" s="11">
        <f>SUM(C51:C60)</f>
        <v>0</v>
      </c>
      <c r="D61" s="11">
        <f>SUM(D51:D60)</f>
        <v>0</v>
      </c>
      <c r="E61" s="11">
        <f>SUM(E51:E60)</f>
        <v>9301.7839999999997</v>
      </c>
      <c r="F61" s="14">
        <f>SUM(F51:F60)</f>
        <v>8384.4079999999994</v>
      </c>
      <c r="K61" s="11">
        <f t="shared" ref="K61:W61" si="35">SUM(K51:K60)</f>
        <v>0</v>
      </c>
      <c r="L61" s="11">
        <f t="shared" si="35"/>
        <v>0</v>
      </c>
      <c r="M61" s="11">
        <f t="shared" si="35"/>
        <v>0</v>
      </c>
      <c r="N61" s="11">
        <f t="shared" si="35"/>
        <v>0</v>
      </c>
      <c r="O61" s="11">
        <f t="shared" si="35"/>
        <v>0</v>
      </c>
      <c r="P61" s="11">
        <f t="shared" si="35"/>
        <v>0</v>
      </c>
      <c r="Q61" s="11">
        <f t="shared" si="35"/>
        <v>0</v>
      </c>
      <c r="R61" s="11">
        <f t="shared" si="35"/>
        <v>9301.7839999999997</v>
      </c>
      <c r="S61" s="11">
        <f t="shared" si="35"/>
        <v>8764.9160000000011</v>
      </c>
      <c r="T61" s="11">
        <f t="shared" si="35"/>
        <v>8880.3190000000013</v>
      </c>
      <c r="U61" s="11">
        <f t="shared" si="35"/>
        <v>8713.8500000000022</v>
      </c>
      <c r="V61" s="11">
        <f t="shared" si="35"/>
        <v>8384.4079999999994</v>
      </c>
      <c r="W61" s="14">
        <f t="shared" si="35"/>
        <v>8076.1829999999991</v>
      </c>
    </row>
    <row r="62" spans="1:23" x14ac:dyDescent="0.25">
      <c r="A62" t="s">
        <v>32</v>
      </c>
      <c r="B62" s="10"/>
      <c r="C62" s="10"/>
      <c r="D62" s="10"/>
      <c r="E62" s="10">
        <v>6.73</v>
      </c>
      <c r="F62" s="15">
        <v>11.752000000000001</v>
      </c>
      <c r="K62" s="10"/>
      <c r="L62" s="10"/>
      <c r="M62" s="10"/>
      <c r="N62" s="10"/>
      <c r="O62" s="10"/>
      <c r="P62" s="10"/>
      <c r="Q62" s="10"/>
      <c r="R62" s="10">
        <f t="shared" ref="R62:R67" si="36">E62</f>
        <v>6.73</v>
      </c>
      <c r="S62" s="10">
        <v>8.516</v>
      </c>
      <c r="T62" s="10">
        <v>11.090999999999999</v>
      </c>
      <c r="U62" s="10">
        <v>12.458</v>
      </c>
      <c r="V62" s="10">
        <f t="shared" ref="V62:V67" si="37">F62</f>
        <v>11.752000000000001</v>
      </c>
      <c r="W62" s="15">
        <v>13.593999999999999</v>
      </c>
    </row>
    <row r="63" spans="1:23" x14ac:dyDescent="0.25">
      <c r="A63" t="s">
        <v>168</v>
      </c>
      <c r="B63" s="10"/>
      <c r="C63" s="10"/>
      <c r="D63" s="10"/>
      <c r="E63" s="10">
        <v>809.30499999999995</v>
      </c>
      <c r="F63" s="15">
        <v>1008.316</v>
      </c>
      <c r="K63" s="10"/>
      <c r="L63" s="10"/>
      <c r="M63" s="10"/>
      <c r="N63" s="10"/>
      <c r="O63" s="10"/>
      <c r="P63" s="10"/>
      <c r="Q63" s="10"/>
      <c r="R63" s="10">
        <f t="shared" si="36"/>
        <v>809.30499999999995</v>
      </c>
      <c r="S63" s="10">
        <v>869.78200000000004</v>
      </c>
      <c r="T63" s="10">
        <v>980.19200000000001</v>
      </c>
      <c r="U63" s="10">
        <v>933.68799999999999</v>
      </c>
      <c r="V63" s="10">
        <f t="shared" si="37"/>
        <v>1008.316</v>
      </c>
      <c r="W63" s="15">
        <v>927.37300000000005</v>
      </c>
    </row>
    <row r="64" spans="1:23" x14ac:dyDescent="0.25">
      <c r="A64" t="s">
        <v>20</v>
      </c>
      <c r="B64" s="10"/>
      <c r="C64" s="10"/>
      <c r="D64" s="10"/>
      <c r="E64" s="10">
        <v>11.61</v>
      </c>
      <c r="F64" s="15">
        <v>28.183</v>
      </c>
      <c r="K64" s="10"/>
      <c r="L64" s="10"/>
      <c r="M64" s="10"/>
      <c r="N64" s="10"/>
      <c r="O64" s="10"/>
      <c r="P64" s="10"/>
      <c r="Q64" s="10"/>
      <c r="R64" s="10">
        <f t="shared" si="36"/>
        <v>11.61</v>
      </c>
      <c r="S64" s="10">
        <v>9.9990000000000006</v>
      </c>
      <c r="T64" s="10">
        <v>9.4280000000000008</v>
      </c>
      <c r="U64" s="10">
        <v>11.345000000000001</v>
      </c>
      <c r="V64" s="10">
        <f t="shared" si="37"/>
        <v>28.183</v>
      </c>
      <c r="W64" s="15">
        <v>27.768000000000001</v>
      </c>
    </row>
    <row r="65" spans="1:24" x14ac:dyDescent="0.25">
      <c r="A65" t="s">
        <v>169</v>
      </c>
      <c r="B65" s="10"/>
      <c r="C65" s="10"/>
      <c r="D65" s="10"/>
      <c r="E65" s="10">
        <f>12.761+34.959</f>
        <v>47.72</v>
      </c>
      <c r="F65" s="15">
        <f>19.685+35.307</f>
        <v>54.992000000000004</v>
      </c>
      <c r="K65" s="10"/>
      <c r="L65" s="10"/>
      <c r="M65" s="10"/>
      <c r="N65" s="10"/>
      <c r="O65" s="10"/>
      <c r="P65" s="10"/>
      <c r="Q65" s="10"/>
      <c r="R65" s="10">
        <f t="shared" si="36"/>
        <v>47.72</v>
      </c>
      <c r="S65" s="10">
        <f>17.398+36.045</f>
        <v>53.442999999999998</v>
      </c>
      <c r="T65" s="10">
        <f>18.965+35.437</f>
        <v>54.402000000000001</v>
      </c>
      <c r="U65" s="10">
        <f>19.431+34.442</f>
        <v>53.873000000000005</v>
      </c>
      <c r="V65" s="10">
        <f t="shared" si="37"/>
        <v>54.992000000000004</v>
      </c>
      <c r="W65" s="15">
        <f>17.841+34.859</f>
        <v>52.7</v>
      </c>
    </row>
    <row r="66" spans="1:24" x14ac:dyDescent="0.25">
      <c r="A66" t="s">
        <v>170</v>
      </c>
      <c r="B66" s="10"/>
      <c r="C66" s="10"/>
      <c r="D66" s="10"/>
      <c r="E66" s="10">
        <v>322.5</v>
      </c>
      <c r="F66" s="15"/>
      <c r="K66" s="10"/>
      <c r="L66" s="10"/>
      <c r="M66" s="10"/>
      <c r="N66" s="10"/>
      <c r="O66" s="10"/>
      <c r="P66" s="10"/>
      <c r="Q66" s="10"/>
      <c r="R66" s="10">
        <f t="shared" si="36"/>
        <v>322.5</v>
      </c>
      <c r="S66" s="10">
        <v>0</v>
      </c>
      <c r="T66" s="10">
        <v>100</v>
      </c>
      <c r="U66" s="10">
        <v>0</v>
      </c>
      <c r="V66" s="10">
        <f t="shared" si="37"/>
        <v>0</v>
      </c>
      <c r="W66" s="15"/>
    </row>
    <row r="67" spans="1:24" x14ac:dyDescent="0.25">
      <c r="A67" t="s">
        <v>171</v>
      </c>
      <c r="B67" s="10"/>
      <c r="C67" s="10"/>
      <c r="D67" s="10"/>
      <c r="E67" s="10">
        <v>0.76100000000000001</v>
      </c>
      <c r="F67" s="15">
        <v>0.377</v>
      </c>
      <c r="K67" s="10"/>
      <c r="L67" s="10"/>
      <c r="M67" s="10"/>
      <c r="N67" s="10"/>
      <c r="O67" s="10"/>
      <c r="P67" s="10"/>
      <c r="Q67" s="10"/>
      <c r="R67" s="10">
        <f t="shared" si="36"/>
        <v>0.76100000000000001</v>
      </c>
      <c r="S67" s="10">
        <v>0.32200000000000001</v>
      </c>
      <c r="T67" s="10">
        <v>0.36899999999999999</v>
      </c>
      <c r="U67" s="10">
        <v>0.253</v>
      </c>
      <c r="V67" s="10">
        <f t="shared" si="37"/>
        <v>0.377</v>
      </c>
      <c r="W67" s="15">
        <v>0.39800000000000002</v>
      </c>
    </row>
    <row r="68" spans="1:24" s="1" customFormat="1" x14ac:dyDescent="0.25">
      <c r="A68" s="1" t="s">
        <v>65</v>
      </c>
      <c r="B68" s="11">
        <f>SUM(B62:B67)</f>
        <v>0</v>
      </c>
      <c r="C68" s="11">
        <f>SUM(C62:C67)</f>
        <v>0</v>
      </c>
      <c r="D68" s="11">
        <f>SUM(D62:D67)</f>
        <v>0</v>
      </c>
      <c r="E68" s="11">
        <f>SUM(E62:E67)</f>
        <v>1198.626</v>
      </c>
      <c r="F68" s="14">
        <f>SUM(F62:F67)</f>
        <v>1103.6199999999999</v>
      </c>
      <c r="K68" s="11">
        <f t="shared" ref="K68:W68" si="38">SUM(K62:K67)</f>
        <v>0</v>
      </c>
      <c r="L68" s="11">
        <f t="shared" si="38"/>
        <v>0</v>
      </c>
      <c r="M68" s="11">
        <f t="shared" si="38"/>
        <v>0</v>
      </c>
      <c r="N68" s="11">
        <f t="shared" si="38"/>
        <v>0</v>
      </c>
      <c r="O68" s="11">
        <f t="shared" si="38"/>
        <v>0</v>
      </c>
      <c r="P68" s="11">
        <f t="shared" si="38"/>
        <v>0</v>
      </c>
      <c r="Q68" s="11">
        <f t="shared" si="38"/>
        <v>0</v>
      </c>
      <c r="R68" s="11">
        <f t="shared" si="38"/>
        <v>1198.626</v>
      </c>
      <c r="S68" s="11">
        <f t="shared" si="38"/>
        <v>942.06200000000001</v>
      </c>
      <c r="T68" s="11">
        <f t="shared" si="38"/>
        <v>1155.482</v>
      </c>
      <c r="U68" s="11">
        <f t="shared" si="38"/>
        <v>1011.6170000000001</v>
      </c>
      <c r="V68" s="11">
        <f t="shared" si="38"/>
        <v>1103.6199999999999</v>
      </c>
      <c r="W68" s="14">
        <f t="shared" si="38"/>
        <v>1021.8330000000002</v>
      </c>
      <c r="X68" s="11"/>
    </row>
    <row r="69" spans="1:24" x14ac:dyDescent="0.25">
      <c r="A69" t="s">
        <v>172</v>
      </c>
      <c r="B69" s="10"/>
      <c r="C69" s="10"/>
      <c r="D69" s="10"/>
      <c r="E69" s="10">
        <v>8090.0079999999998</v>
      </c>
      <c r="F69" s="15">
        <v>7472.62</v>
      </c>
      <c r="K69" s="10"/>
      <c r="L69" s="10"/>
      <c r="M69" s="10"/>
      <c r="N69" s="10"/>
      <c r="O69" s="10"/>
      <c r="P69" s="10"/>
      <c r="Q69" s="10"/>
      <c r="R69" s="10">
        <f t="shared" ref="R69:R72" si="39">E69</f>
        <v>8090.0079999999998</v>
      </c>
      <c r="S69" s="10">
        <v>7862.7049999999999</v>
      </c>
      <c r="T69" s="10">
        <v>7767.2809999999999</v>
      </c>
      <c r="U69" s="10">
        <v>7768.8149999999996</v>
      </c>
      <c r="V69" s="10">
        <f t="shared" ref="V69:V72" si="40">F69</f>
        <v>7472.62</v>
      </c>
      <c r="W69" s="15">
        <v>7323.8909999999996</v>
      </c>
    </row>
    <row r="70" spans="1:24" x14ac:dyDescent="0.25">
      <c r="A70" t="s">
        <v>29</v>
      </c>
      <c r="B70" s="10"/>
      <c r="C70" s="10"/>
      <c r="D70" s="10"/>
      <c r="E70" s="10">
        <v>33.712000000000003</v>
      </c>
      <c r="F70" s="15">
        <v>322.59100000000001</v>
      </c>
      <c r="K70" s="10"/>
      <c r="L70" s="10"/>
      <c r="M70" s="10"/>
      <c r="N70" s="10"/>
      <c r="O70" s="10"/>
      <c r="P70" s="10"/>
      <c r="Q70" s="10"/>
      <c r="R70" s="10">
        <f t="shared" si="39"/>
        <v>33.712000000000003</v>
      </c>
      <c r="S70" s="10">
        <v>257.50900000000001</v>
      </c>
      <c r="T70" s="10">
        <v>288.64299999999997</v>
      </c>
      <c r="U70" s="10">
        <v>312.62200000000001</v>
      </c>
      <c r="V70" s="10">
        <f t="shared" si="40"/>
        <v>322.59100000000001</v>
      </c>
      <c r="W70" s="15">
        <v>313.2</v>
      </c>
    </row>
    <row r="71" spans="1:24" x14ac:dyDescent="0.25">
      <c r="A71" t="s">
        <v>173</v>
      </c>
      <c r="B71" s="10"/>
      <c r="C71" s="10"/>
      <c r="D71" s="10"/>
      <c r="E71" s="10">
        <v>39.677</v>
      </c>
      <c r="F71" s="15">
        <v>34.959000000000003</v>
      </c>
      <c r="K71" s="10"/>
      <c r="L71" s="10"/>
      <c r="M71" s="10"/>
      <c r="N71" s="10"/>
      <c r="O71" s="10"/>
      <c r="P71" s="10"/>
      <c r="Q71" s="10"/>
      <c r="R71" s="10">
        <f t="shared" si="39"/>
        <v>39.677</v>
      </c>
      <c r="S71" s="10">
        <v>37.914000000000001</v>
      </c>
      <c r="T71" s="10">
        <v>37.781999999999996</v>
      </c>
      <c r="U71" s="10">
        <v>36.979999999999997</v>
      </c>
      <c r="V71" s="10">
        <f t="shared" si="40"/>
        <v>34.959000000000003</v>
      </c>
      <c r="W71" s="15">
        <v>36.353000000000002</v>
      </c>
    </row>
    <row r="72" spans="1:24" x14ac:dyDescent="0.25">
      <c r="A72" t="s">
        <v>174</v>
      </c>
      <c r="B72" s="10"/>
      <c r="C72" s="10"/>
      <c r="D72" s="10"/>
      <c r="E72" s="10">
        <f>55.832+198.291</f>
        <v>254.12299999999999</v>
      </c>
      <c r="F72" s="15">
        <f>54.858+187.474</f>
        <v>242.33199999999999</v>
      </c>
      <c r="K72" s="10"/>
      <c r="L72" s="10"/>
      <c r="M72" s="10"/>
      <c r="N72" s="10"/>
      <c r="O72" s="10"/>
      <c r="P72" s="10"/>
      <c r="Q72" s="10"/>
      <c r="R72" s="10">
        <f t="shared" si="39"/>
        <v>254.12299999999999</v>
      </c>
      <c r="S72" s="10">
        <f>59.374+201.318</f>
        <v>260.69200000000001</v>
      </c>
      <c r="T72" s="10">
        <f>58.949+194.758</f>
        <v>253.70699999999999</v>
      </c>
      <c r="U72" s="10">
        <f>56.225+186.131</f>
        <v>242.35599999999999</v>
      </c>
      <c r="V72" s="10">
        <f t="shared" si="40"/>
        <v>242.33199999999999</v>
      </c>
      <c r="W72" s="15">
        <f>52.018+181.723</f>
        <v>233.74100000000001</v>
      </c>
    </row>
    <row r="73" spans="1:24" x14ac:dyDescent="0.25">
      <c r="A73" s="1" t="s">
        <v>31</v>
      </c>
      <c r="B73" s="11">
        <f>SUM(B68:B72)</f>
        <v>0</v>
      </c>
      <c r="C73" s="11">
        <f>SUM(C68:C72)</f>
        <v>0</v>
      </c>
      <c r="D73" s="11">
        <f>SUM(D68:D72)</f>
        <v>0</v>
      </c>
      <c r="E73" s="11">
        <f>SUM(E68:E72)</f>
        <v>9616.1459999999988</v>
      </c>
      <c r="F73" s="14">
        <f>SUM(F68:F72)</f>
        <v>9176.1220000000012</v>
      </c>
      <c r="K73" s="11">
        <f t="shared" ref="K73:W73" si="41">SUM(K68:K72)</f>
        <v>0</v>
      </c>
      <c r="L73" s="11">
        <f t="shared" si="41"/>
        <v>0</v>
      </c>
      <c r="M73" s="11">
        <f t="shared" si="41"/>
        <v>0</v>
      </c>
      <c r="N73" s="11">
        <f t="shared" si="41"/>
        <v>0</v>
      </c>
      <c r="O73" s="11">
        <f t="shared" si="41"/>
        <v>0</v>
      </c>
      <c r="P73" s="11">
        <f t="shared" si="41"/>
        <v>0</v>
      </c>
      <c r="Q73" s="11">
        <f t="shared" si="41"/>
        <v>0</v>
      </c>
      <c r="R73" s="11">
        <f t="shared" si="41"/>
        <v>9616.1459999999988</v>
      </c>
      <c r="S73" s="11">
        <f t="shared" si="41"/>
        <v>9360.8820000000014</v>
      </c>
      <c r="T73" s="11">
        <f t="shared" si="41"/>
        <v>9502.8949999999986</v>
      </c>
      <c r="U73" s="11">
        <f t="shared" si="41"/>
        <v>9372.3899999999976</v>
      </c>
      <c r="V73" s="11">
        <f t="shared" si="41"/>
        <v>9176.1220000000012</v>
      </c>
      <c r="W73" s="14">
        <f t="shared" si="41"/>
        <v>8929.018</v>
      </c>
    </row>
    <row r="74" spans="1:24" x14ac:dyDescent="0.25">
      <c r="A74" t="s">
        <v>84</v>
      </c>
      <c r="B74" s="10"/>
      <c r="C74" s="10"/>
      <c r="D74" s="10"/>
      <c r="E74" s="10">
        <v>-314.36200000000002</v>
      </c>
      <c r="F74" s="15">
        <v>-790.71400000000006</v>
      </c>
      <c r="L74" s="10">
        <f t="shared" ref="L74:U74" si="42">L61-L73</f>
        <v>0</v>
      </c>
      <c r="M74" s="10">
        <f t="shared" si="42"/>
        <v>0</v>
      </c>
      <c r="N74" s="10">
        <f t="shared" si="42"/>
        <v>0</v>
      </c>
      <c r="O74" s="10">
        <f t="shared" si="42"/>
        <v>0</v>
      </c>
      <c r="P74" s="10">
        <f t="shared" si="42"/>
        <v>0</v>
      </c>
      <c r="Q74" s="10">
        <f t="shared" si="42"/>
        <v>0</v>
      </c>
      <c r="R74" s="10">
        <f t="shared" si="42"/>
        <v>-314.36199999999917</v>
      </c>
      <c r="S74" s="10">
        <f t="shared" si="42"/>
        <v>-595.96600000000035</v>
      </c>
      <c r="T74" s="10">
        <f t="shared" si="42"/>
        <v>-622.57599999999729</v>
      </c>
      <c r="U74" s="10">
        <f t="shared" si="42"/>
        <v>-658.53999999999542</v>
      </c>
      <c r="V74" s="10">
        <f>V61-V73</f>
        <v>-791.71400000000176</v>
      </c>
      <c r="W74" s="15">
        <f>W61-W73</f>
        <v>-852.83500000000095</v>
      </c>
    </row>
    <row r="76" spans="1:24" s="1" customFormat="1" x14ac:dyDescent="0.25">
      <c r="A76" s="1" t="s">
        <v>88</v>
      </c>
      <c r="B76" s="57"/>
      <c r="C76" s="57"/>
      <c r="D76" s="57"/>
      <c r="E76" s="57">
        <f>-E19/E69</f>
        <v>4.3295878075769519E-2</v>
      </c>
      <c r="F76" s="58">
        <f>-F19/F69</f>
        <v>6.2773966828234273E-2</v>
      </c>
      <c r="W76" s="16"/>
    </row>
    <row r="94" spans="6:23" s="9" customFormat="1" x14ac:dyDescent="0.25">
      <c r="F94" s="42"/>
      <c r="W94" s="42"/>
    </row>
    <row r="95" spans="6:23" s="1" customFormat="1" x14ac:dyDescent="0.25">
      <c r="F95" s="16"/>
      <c r="W9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7"/>
  <sheetViews>
    <sheetView topLeftCell="A42" workbookViewId="0">
      <selection activeCell="I64" sqref="I6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175</v>
      </c>
      <c r="H1" s="152" t="s">
        <v>176</v>
      </c>
      <c r="I1" s="153"/>
      <c r="J1" s="153"/>
      <c r="K1" s="153"/>
      <c r="L1" s="153"/>
      <c r="M1" s="154"/>
    </row>
    <row r="2" spans="1:13" ht="15.75" thickBot="1" x14ac:dyDescent="0.3">
      <c r="B2" s="12">
        <v>45404</v>
      </c>
      <c r="C2">
        <v>6.27</v>
      </c>
      <c r="D2" s="138">
        <f>C2/C3-1</f>
        <v>1.9512195121951015E-2</v>
      </c>
      <c r="H2" s="77"/>
      <c r="I2" s="78"/>
      <c r="J2" s="78"/>
      <c r="K2" s="78"/>
      <c r="L2" s="78"/>
      <c r="M2" s="79"/>
    </row>
    <row r="3" spans="1:13" ht="15.75" thickBot="1" x14ac:dyDescent="0.3">
      <c r="B3" s="12">
        <v>45397</v>
      </c>
      <c r="C3">
        <v>6.15</v>
      </c>
      <c r="D3" s="138">
        <f t="shared" ref="D3:D66" si="0">C3/C4-1</f>
        <v>-0.1151079136690647</v>
      </c>
      <c r="H3" s="80" t="s">
        <v>177</v>
      </c>
      <c r="I3" s="81" t="s">
        <v>178</v>
      </c>
      <c r="J3" s="82" t="s">
        <v>179</v>
      </c>
      <c r="K3" s="83" t="s">
        <v>180</v>
      </c>
      <c r="L3" s="83" t="s">
        <v>181</v>
      </c>
      <c r="M3" s="84" t="s">
        <v>182</v>
      </c>
    </row>
    <row r="4" spans="1:13" x14ac:dyDescent="0.25">
      <c r="B4" s="12">
        <v>45390</v>
      </c>
      <c r="C4">
        <v>6.95</v>
      </c>
      <c r="D4" s="138">
        <f t="shared" si="0"/>
        <v>-1.9746121297602226E-2</v>
      </c>
      <c r="H4" s="85">
        <f>$I$19-3*$I$23</f>
        <v>-0.23067527540589283</v>
      </c>
      <c r="I4" s="86">
        <f>H4</f>
        <v>-0.23067527540589283</v>
      </c>
      <c r="J4" s="87">
        <f>COUNTIF(D:D,"&lt;="&amp;H4)</f>
        <v>2</v>
      </c>
      <c r="K4" s="87" t="str">
        <f>"Less than "&amp;TEXT(H4,"0,00%")</f>
        <v>Less than -23,07%</v>
      </c>
      <c r="L4" s="88">
        <f>J4/$I$31</f>
        <v>2.2099447513812156E-3</v>
      </c>
      <c r="M4" s="89">
        <f>L4</f>
        <v>2.2099447513812156E-3</v>
      </c>
    </row>
    <row r="5" spans="1:13" x14ac:dyDescent="0.25">
      <c r="B5" s="12">
        <v>45383</v>
      </c>
      <c r="C5">
        <v>7.09</v>
      </c>
      <c r="D5" s="138">
        <f t="shared" si="0"/>
        <v>-1.6643550624133141E-2</v>
      </c>
      <c r="H5" s="90">
        <f>$I$19-2.4*$I$23</f>
        <v>-0.18419665475054475</v>
      </c>
      <c r="I5" s="91">
        <f>H5</f>
        <v>-0.18419665475054475</v>
      </c>
      <c r="J5" s="92">
        <f>COUNTIFS(D:D,"&lt;="&amp;H5,D:D,"&gt;"&amp;H4)</f>
        <v>5</v>
      </c>
      <c r="K5" s="93" t="str">
        <f t="shared" ref="K5:K14" si="1">TEXT(H4,"0,00%")&amp;" to "&amp;TEXT(H5,"0,00%")</f>
        <v>-23,07% to -18,42%</v>
      </c>
      <c r="L5" s="94">
        <f>J5/$I$31</f>
        <v>5.5248618784530384E-3</v>
      </c>
      <c r="M5" s="95">
        <f>M4+L5</f>
        <v>7.7348066298342545E-3</v>
      </c>
    </row>
    <row r="6" spans="1:13" x14ac:dyDescent="0.25">
      <c r="B6" s="12">
        <v>45376</v>
      </c>
      <c r="C6">
        <v>7.21</v>
      </c>
      <c r="D6" s="138">
        <f t="shared" si="0"/>
        <v>4.4927536231883947E-2</v>
      </c>
      <c r="H6" s="90">
        <f>$I$19-1.8*$I$23</f>
        <v>-0.13771803409519678</v>
      </c>
      <c r="I6" s="91">
        <f t="shared" ref="I6:I14" si="2">H6</f>
        <v>-0.13771803409519678</v>
      </c>
      <c r="J6" s="92">
        <f t="shared" ref="J6:J14" si="3">COUNTIFS(D:D,"&lt;="&amp;H6,D:D,"&gt;"&amp;H5)</f>
        <v>24</v>
      </c>
      <c r="K6" s="93" t="str">
        <f t="shared" si="1"/>
        <v>-18,42% to -13,77%</v>
      </c>
      <c r="L6" s="94">
        <f t="shared" ref="L6:L15" si="4">J6/$I$31</f>
        <v>2.6519337016574586E-2</v>
      </c>
      <c r="M6" s="95">
        <f t="shared" ref="M6:M15" si="5">M5+L6</f>
        <v>3.4254143646408844E-2</v>
      </c>
    </row>
    <row r="7" spans="1:13" x14ac:dyDescent="0.25">
      <c r="B7" s="12">
        <v>45369</v>
      </c>
      <c r="C7">
        <v>6.9</v>
      </c>
      <c r="D7" s="138">
        <f t="shared" si="0"/>
        <v>-4.166666666666663E-2</v>
      </c>
      <c r="H7" s="90">
        <f>$I$19-1.2*$I$23</f>
        <v>-9.1239413439848732E-2</v>
      </c>
      <c r="I7" s="91">
        <f t="shared" si="2"/>
        <v>-9.1239413439848732E-2</v>
      </c>
      <c r="J7" s="92">
        <f t="shared" si="3"/>
        <v>57</v>
      </c>
      <c r="K7" s="93" t="str">
        <f t="shared" si="1"/>
        <v>-13,77% to -9,12%</v>
      </c>
      <c r="L7" s="94">
        <f t="shared" si="4"/>
        <v>6.2983425414364635E-2</v>
      </c>
      <c r="M7" s="95">
        <f t="shared" si="5"/>
        <v>9.7237569060773479E-2</v>
      </c>
    </row>
    <row r="8" spans="1:13" x14ac:dyDescent="0.25">
      <c r="B8" s="12">
        <v>45362</v>
      </c>
      <c r="C8" s="18">
        <v>7.2</v>
      </c>
      <c r="D8" s="138">
        <f t="shared" si="0"/>
        <v>-1.3698630136986245E-2</v>
      </c>
      <c r="H8" s="90">
        <f>$I$19-0.6*$I$23</f>
        <v>-4.4760792784500715E-2</v>
      </c>
      <c r="I8" s="91">
        <f t="shared" si="2"/>
        <v>-4.4760792784500715E-2</v>
      </c>
      <c r="J8" s="92">
        <f t="shared" si="3"/>
        <v>139</v>
      </c>
      <c r="K8" s="93" t="str">
        <f t="shared" si="1"/>
        <v>-9,12% to -4,48%</v>
      </c>
      <c r="L8" s="94">
        <f t="shared" si="4"/>
        <v>0.15359116022099448</v>
      </c>
      <c r="M8" s="95">
        <f t="shared" si="5"/>
        <v>0.25082872928176797</v>
      </c>
    </row>
    <row r="9" spans="1:13" x14ac:dyDescent="0.25">
      <c r="B9" s="12">
        <v>45355</v>
      </c>
      <c r="C9" s="18">
        <v>7.3</v>
      </c>
      <c r="D9" s="138">
        <f t="shared" si="0"/>
        <v>2.528089887640439E-2</v>
      </c>
      <c r="H9" s="90">
        <f>$I$19</f>
        <v>1.7178278708473022E-3</v>
      </c>
      <c r="I9" s="91">
        <f t="shared" si="2"/>
        <v>1.7178278708473022E-3</v>
      </c>
      <c r="J9" s="92">
        <f t="shared" si="3"/>
        <v>229</v>
      </c>
      <c r="K9" s="93" t="str">
        <f t="shared" si="1"/>
        <v>-4,48% to 0,17%</v>
      </c>
      <c r="L9" s="94">
        <f t="shared" si="4"/>
        <v>0.25303867403314917</v>
      </c>
      <c r="M9" s="95">
        <f t="shared" si="5"/>
        <v>0.50386740331491708</v>
      </c>
    </row>
    <row r="10" spans="1:13" x14ac:dyDescent="0.25">
      <c r="B10" s="12">
        <v>45348</v>
      </c>
      <c r="C10" s="18">
        <v>7.12</v>
      </c>
      <c r="D10" s="138">
        <f t="shared" si="0"/>
        <v>-0.1711292200232829</v>
      </c>
      <c r="H10" s="90">
        <f>$I$19+0.6*$I$23</f>
        <v>4.8196448526195319E-2</v>
      </c>
      <c r="I10" s="91">
        <f t="shared" si="2"/>
        <v>4.8196448526195319E-2</v>
      </c>
      <c r="J10" s="92">
        <f t="shared" si="3"/>
        <v>236</v>
      </c>
      <c r="K10" s="93" t="str">
        <f t="shared" si="1"/>
        <v>0,17% to 4,82%</v>
      </c>
      <c r="L10" s="94">
        <f t="shared" si="4"/>
        <v>0.26077348066298345</v>
      </c>
      <c r="M10" s="95">
        <f t="shared" si="5"/>
        <v>0.76464088397790053</v>
      </c>
    </row>
    <row r="11" spans="1:13" x14ac:dyDescent="0.25">
      <c r="B11" s="12">
        <v>45341</v>
      </c>
      <c r="C11" s="18">
        <v>8.59</v>
      </c>
      <c r="D11" s="138">
        <f t="shared" si="0"/>
        <v>-2.7180067950169917E-2</v>
      </c>
      <c r="H11" s="90">
        <f>$I$19+1.2*$I$23</f>
        <v>9.4675069181543337E-2</v>
      </c>
      <c r="I11" s="91">
        <f t="shared" si="2"/>
        <v>9.4675069181543337E-2</v>
      </c>
      <c r="J11" s="92">
        <f t="shared" si="3"/>
        <v>126</v>
      </c>
      <c r="K11" s="93" t="str">
        <f t="shared" si="1"/>
        <v>4,82% to 9,47%</v>
      </c>
      <c r="L11" s="94">
        <f t="shared" si="4"/>
        <v>0.13922651933701657</v>
      </c>
      <c r="M11" s="95">
        <f t="shared" si="5"/>
        <v>0.90386740331491711</v>
      </c>
    </row>
    <row r="12" spans="1:13" x14ac:dyDescent="0.25">
      <c r="B12" s="12">
        <v>45334</v>
      </c>
      <c r="C12" s="18">
        <v>8.83</v>
      </c>
      <c r="D12" s="138">
        <f t="shared" si="0"/>
        <v>-4.5095828635850488E-3</v>
      </c>
      <c r="H12" s="90">
        <f>$I$19+1.8*$I$23</f>
        <v>0.14115368983689136</v>
      </c>
      <c r="I12" s="91">
        <f t="shared" si="2"/>
        <v>0.14115368983689136</v>
      </c>
      <c r="J12" s="92">
        <f t="shared" si="3"/>
        <v>53</v>
      </c>
      <c r="K12" s="93" t="str">
        <f t="shared" si="1"/>
        <v>9,47% to 14,12%</v>
      </c>
      <c r="L12" s="94">
        <f t="shared" si="4"/>
        <v>5.856353591160221E-2</v>
      </c>
      <c r="M12" s="95">
        <f t="shared" si="5"/>
        <v>0.96243093922651934</v>
      </c>
    </row>
    <row r="13" spans="1:13" x14ac:dyDescent="0.25">
      <c r="B13" s="12">
        <v>45327</v>
      </c>
      <c r="C13" s="18">
        <v>8.8699999999999992</v>
      </c>
      <c r="D13" s="138">
        <f t="shared" si="0"/>
        <v>0.1087499999999999</v>
      </c>
      <c r="H13" s="90">
        <f>$I$19+2.4*$I$23</f>
        <v>0.18763231049223938</v>
      </c>
      <c r="I13" s="91">
        <f t="shared" si="2"/>
        <v>0.18763231049223938</v>
      </c>
      <c r="J13" s="92">
        <f t="shared" si="3"/>
        <v>16</v>
      </c>
      <c r="K13" s="93" t="str">
        <f t="shared" si="1"/>
        <v>14,12% to 18,76%</v>
      </c>
      <c r="L13" s="94">
        <f t="shared" si="4"/>
        <v>1.7679558011049725E-2</v>
      </c>
      <c r="M13" s="95">
        <f t="shared" si="5"/>
        <v>0.98011049723756904</v>
      </c>
    </row>
    <row r="14" spans="1:13" x14ac:dyDescent="0.25">
      <c r="B14" s="12">
        <v>45320</v>
      </c>
      <c r="C14" s="18">
        <v>8</v>
      </c>
      <c r="D14" s="138">
        <f t="shared" si="0"/>
        <v>-5.2132701421800931E-2</v>
      </c>
      <c r="H14" s="90">
        <f>$I$19+3*$I$23</f>
        <v>0.23411093114758741</v>
      </c>
      <c r="I14" s="91">
        <f t="shared" si="2"/>
        <v>0.23411093114758741</v>
      </c>
      <c r="J14" s="92">
        <f t="shared" si="3"/>
        <v>10</v>
      </c>
      <c r="K14" s="93" t="str">
        <f t="shared" si="1"/>
        <v>18,76% to 23,41%</v>
      </c>
      <c r="L14" s="94">
        <f t="shared" si="4"/>
        <v>1.1049723756906077E-2</v>
      </c>
      <c r="M14" s="95">
        <f t="shared" si="5"/>
        <v>0.99116022099447509</v>
      </c>
    </row>
    <row r="15" spans="1:13" ht="15.75" thickBot="1" x14ac:dyDescent="0.3">
      <c r="B15" s="12">
        <v>45313</v>
      </c>
      <c r="C15" s="18">
        <v>8.44</v>
      </c>
      <c r="D15" s="138">
        <f t="shared" si="0"/>
        <v>0.10906701708278566</v>
      </c>
      <c r="H15" s="96"/>
      <c r="I15" s="97" t="s">
        <v>183</v>
      </c>
      <c r="J15" s="97">
        <f>COUNTIF(D:D,"&gt;"&amp;H14)</f>
        <v>8</v>
      </c>
      <c r="K15" s="97" t="str">
        <f>"Greater than "&amp;TEXT(H14,"0,00%")</f>
        <v>Greater than 23,41%</v>
      </c>
      <c r="L15" s="98">
        <f t="shared" si="4"/>
        <v>8.8397790055248626E-3</v>
      </c>
      <c r="M15" s="98">
        <f t="shared" si="5"/>
        <v>1</v>
      </c>
    </row>
    <row r="16" spans="1:13" ht="15.75" thickBot="1" x14ac:dyDescent="0.3">
      <c r="B16" s="12">
        <v>45306</v>
      </c>
      <c r="C16" s="18">
        <v>7.61</v>
      </c>
      <c r="D16" s="138">
        <f t="shared" si="0"/>
        <v>-7.3081607795371539E-2</v>
      </c>
      <c r="H16" s="99"/>
      <c r="M16" s="100"/>
    </row>
    <row r="17" spans="2:13" x14ac:dyDescent="0.25">
      <c r="B17" s="12">
        <v>45299</v>
      </c>
      <c r="C17" s="18">
        <v>8.2100000000000009</v>
      </c>
      <c r="D17" s="138">
        <f t="shared" si="0"/>
        <v>-9.080841638981163E-2</v>
      </c>
      <c r="H17" s="155" t="s">
        <v>184</v>
      </c>
      <c r="I17" s="156"/>
      <c r="M17" s="100"/>
    </row>
    <row r="18" spans="2:13" x14ac:dyDescent="0.25">
      <c r="B18" s="12">
        <v>45292</v>
      </c>
      <c r="C18" s="18">
        <v>9.0299999999999994</v>
      </c>
      <c r="D18" s="138">
        <f t="shared" si="0"/>
        <v>1.8038331454340417E-2</v>
      </c>
      <c r="H18" s="157"/>
      <c r="I18" s="158"/>
      <c r="M18" s="100"/>
    </row>
    <row r="19" spans="2:13" x14ac:dyDescent="0.25">
      <c r="B19" s="12">
        <v>45285</v>
      </c>
      <c r="C19" s="18">
        <v>8.8699999999999992</v>
      </c>
      <c r="D19" s="138">
        <f t="shared" si="0"/>
        <v>1.0250569476081939E-2</v>
      </c>
      <c r="H19" s="101" t="s">
        <v>185</v>
      </c>
      <c r="I19" s="102">
        <f>AVERAGE(D:D)</f>
        <v>1.7178278708473022E-3</v>
      </c>
      <c r="M19" s="100"/>
    </row>
    <row r="20" spans="2:13" x14ac:dyDescent="0.25">
      <c r="B20" s="12">
        <v>45278</v>
      </c>
      <c r="C20" s="18">
        <v>8.7799999999999994</v>
      </c>
      <c r="D20" s="138">
        <f t="shared" si="0"/>
        <v>1.6203703703703498E-2</v>
      </c>
      <c r="H20" s="101" t="s">
        <v>186</v>
      </c>
      <c r="I20" s="102">
        <f>_xlfn.STDEV.S(D:D)/SQRT(COUNT(D:D))</f>
        <v>2.5750027135721747E-3</v>
      </c>
      <c r="M20" s="100"/>
    </row>
    <row r="21" spans="2:13" x14ac:dyDescent="0.25">
      <c r="B21" s="12">
        <v>45271</v>
      </c>
      <c r="C21" s="18">
        <v>8.64</v>
      </c>
      <c r="D21" s="138">
        <f t="shared" si="0"/>
        <v>0.10344827586206895</v>
      </c>
      <c r="H21" s="101" t="s">
        <v>187</v>
      </c>
      <c r="I21" s="102">
        <f>MEDIAN(D:D)</f>
        <v>1.4791912485607739E-3</v>
      </c>
      <c r="M21" s="100"/>
    </row>
    <row r="22" spans="2:13" x14ac:dyDescent="0.25">
      <c r="B22" s="12">
        <v>45264</v>
      </c>
      <c r="C22" s="18">
        <v>7.83</v>
      </c>
      <c r="D22" s="138">
        <f t="shared" si="0"/>
        <v>0.125</v>
      </c>
      <c r="H22" s="101" t="s">
        <v>188</v>
      </c>
      <c r="I22" s="102">
        <f>MODE(D:D)</f>
        <v>0</v>
      </c>
      <c r="M22" s="100"/>
    </row>
    <row r="23" spans="2:13" x14ac:dyDescent="0.25">
      <c r="B23" s="12">
        <v>45257</v>
      </c>
      <c r="C23" s="18">
        <v>6.96</v>
      </c>
      <c r="D23" s="138">
        <f t="shared" si="0"/>
        <v>-6.4516129032258118E-2</v>
      </c>
      <c r="H23" s="101" t="s">
        <v>189</v>
      </c>
      <c r="I23" s="102">
        <f>_xlfn.STDEV.S(D:D)</f>
        <v>7.7464367758913369E-2</v>
      </c>
      <c r="M23" s="100"/>
    </row>
    <row r="24" spans="2:13" x14ac:dyDescent="0.25">
      <c r="B24" s="12">
        <v>45250</v>
      </c>
      <c r="C24" s="18">
        <v>7.44</v>
      </c>
      <c r="D24" s="138">
        <f t="shared" si="0"/>
        <v>2.4793388429752206E-2</v>
      </c>
      <c r="H24" s="101" t="s">
        <v>190</v>
      </c>
      <c r="I24" s="102">
        <f>_xlfn.VAR.S(D:D)</f>
        <v>6.0007282722881776E-3</v>
      </c>
      <c r="M24" s="100"/>
    </row>
    <row r="25" spans="2:13" x14ac:dyDescent="0.25">
      <c r="B25" s="12">
        <v>45243</v>
      </c>
      <c r="C25" s="18">
        <v>7.26</v>
      </c>
      <c r="D25" s="138">
        <f t="shared" si="0"/>
        <v>1.538461538461533E-2</v>
      </c>
      <c r="H25" s="101" t="s">
        <v>191</v>
      </c>
      <c r="I25" s="103">
        <f>KURT(D:D)</f>
        <v>1.7069496056846036</v>
      </c>
      <c r="M25" s="100"/>
    </row>
    <row r="26" spans="2:13" x14ac:dyDescent="0.25">
      <c r="B26" s="12">
        <v>45236</v>
      </c>
      <c r="C26" s="18">
        <v>7.15</v>
      </c>
      <c r="D26" s="138">
        <f t="shared" si="0"/>
        <v>-0.16569428238039674</v>
      </c>
      <c r="H26" s="101" t="s">
        <v>192</v>
      </c>
      <c r="I26" s="103">
        <f>SKEW(D:D)</f>
        <v>0.36261430197532341</v>
      </c>
      <c r="M26" s="100"/>
    </row>
    <row r="27" spans="2:13" x14ac:dyDescent="0.25">
      <c r="B27" s="12">
        <v>45229</v>
      </c>
      <c r="C27" s="18">
        <v>8.57</v>
      </c>
      <c r="D27" s="138">
        <f t="shared" si="0"/>
        <v>2.1454112038140627E-2</v>
      </c>
      <c r="H27" s="101" t="s">
        <v>180</v>
      </c>
      <c r="I27" s="102">
        <f>I29-I28</f>
        <v>0.65050901520514615</v>
      </c>
      <c r="M27" s="100"/>
    </row>
    <row r="28" spans="2:13" x14ac:dyDescent="0.25">
      <c r="B28" s="12">
        <v>45222</v>
      </c>
      <c r="C28" s="18">
        <v>8.39</v>
      </c>
      <c r="D28" s="138">
        <f t="shared" si="0"/>
        <v>4.74406991260925E-2</v>
      </c>
      <c r="H28" s="101" t="s">
        <v>193</v>
      </c>
      <c r="I28" s="102">
        <f>MIN(D:D)</f>
        <v>-0.28480340063761955</v>
      </c>
      <c r="M28" s="100"/>
    </row>
    <row r="29" spans="2:13" x14ac:dyDescent="0.25">
      <c r="B29" s="12">
        <v>45215</v>
      </c>
      <c r="C29" s="18">
        <v>8.01</v>
      </c>
      <c r="D29" s="138">
        <f t="shared" si="0"/>
        <v>-8.8737201365187701E-2</v>
      </c>
      <c r="H29" s="101" t="s">
        <v>194</v>
      </c>
      <c r="I29" s="102">
        <f>MAX(D:D)</f>
        <v>0.36570561456752659</v>
      </c>
      <c r="M29" s="100"/>
    </row>
    <row r="30" spans="2:13" x14ac:dyDescent="0.25">
      <c r="B30" s="12">
        <v>45208</v>
      </c>
      <c r="C30" s="18">
        <v>8.7899999999999991</v>
      </c>
      <c r="D30" s="138">
        <f t="shared" si="0"/>
        <v>-3.9344262295082144E-2</v>
      </c>
      <c r="H30" s="101" t="s">
        <v>195</v>
      </c>
      <c r="I30" s="103">
        <f>SUM(D:D)</f>
        <v>1.5546342231168084</v>
      </c>
      <c r="M30" s="100"/>
    </row>
    <row r="31" spans="2:13" ht="15.75" thickBot="1" x14ac:dyDescent="0.3">
      <c r="B31" s="12">
        <v>45201</v>
      </c>
      <c r="C31" s="18">
        <v>9.15</v>
      </c>
      <c r="D31" s="138">
        <f t="shared" si="0"/>
        <v>-7.4823053589484378E-2</v>
      </c>
      <c r="H31" s="104" t="s">
        <v>196</v>
      </c>
      <c r="I31" s="79">
        <f>COUNT(D:D)</f>
        <v>905</v>
      </c>
      <c r="M31" s="100"/>
    </row>
    <row r="32" spans="2:13" ht="15.75" thickBot="1" x14ac:dyDescent="0.3">
      <c r="B32" s="12">
        <v>45194</v>
      </c>
      <c r="C32" s="18">
        <v>9.89</v>
      </c>
      <c r="D32" s="138">
        <f t="shared" si="0"/>
        <v>1.1247443762781417E-2</v>
      </c>
      <c r="H32" s="105"/>
      <c r="M32" s="100"/>
    </row>
    <row r="33" spans="2:13" x14ac:dyDescent="0.25">
      <c r="B33" s="12">
        <v>45187</v>
      </c>
      <c r="C33" s="18">
        <v>9.7799999999999994</v>
      </c>
      <c r="D33" s="138">
        <f t="shared" si="0"/>
        <v>-6.0518731988472685E-2</v>
      </c>
      <c r="H33" s="106"/>
      <c r="I33" s="107" t="s">
        <v>197</v>
      </c>
      <c r="J33" s="107" t="s">
        <v>196</v>
      </c>
      <c r="K33" s="107" t="s">
        <v>198</v>
      </c>
      <c r="L33" s="108" t="s">
        <v>199</v>
      </c>
      <c r="M33" s="100"/>
    </row>
    <row r="34" spans="2:13" x14ac:dyDescent="0.25">
      <c r="B34" s="12">
        <v>45180</v>
      </c>
      <c r="C34" s="18">
        <v>10.41</v>
      </c>
      <c r="D34" s="138">
        <f t="shared" si="0"/>
        <v>2.5615763546797954E-2</v>
      </c>
      <c r="H34" s="109" t="s">
        <v>200</v>
      </c>
      <c r="I34" s="94">
        <f>AVERAGEIF(D:D,"&gt;0")</f>
        <v>5.8938368466699725E-2</v>
      </c>
      <c r="J34" s="92">
        <f>COUNTIF(D:D,"&gt;0")</f>
        <v>458</v>
      </c>
      <c r="K34" s="94">
        <f>J34/$I$31</f>
        <v>0.50607734806629834</v>
      </c>
      <c r="L34" s="95">
        <f>K34*I34</f>
        <v>2.9827373212981741E-2</v>
      </c>
      <c r="M34" s="100"/>
    </row>
    <row r="35" spans="2:13" x14ac:dyDescent="0.25">
      <c r="B35" s="12">
        <v>45173</v>
      </c>
      <c r="C35" s="18">
        <v>10.15</v>
      </c>
      <c r="D35" s="138">
        <f t="shared" si="0"/>
        <v>-9.8579040852575406E-2</v>
      </c>
      <c r="H35" s="109" t="s">
        <v>201</v>
      </c>
      <c r="I35" s="94">
        <f>AVERAGEIF(D:D,"&lt;0")</f>
        <v>-5.7424691951764466E-2</v>
      </c>
      <c r="J35" s="92">
        <f>COUNTIF(D:D,"&lt;0")</f>
        <v>443</v>
      </c>
      <c r="K35" s="94">
        <f>J35/$I$31</f>
        <v>0.48950276243093921</v>
      </c>
      <c r="L35" s="95">
        <f t="shared" ref="L35:L36" si="6">K35*I35</f>
        <v>-2.8109545342134428E-2</v>
      </c>
      <c r="M35" s="100"/>
    </row>
    <row r="36" spans="2:13" ht="15.75" thickBot="1" x14ac:dyDescent="0.3">
      <c r="B36" s="12">
        <v>45166</v>
      </c>
      <c r="C36" s="18">
        <v>11.26</v>
      </c>
      <c r="D36" s="138">
        <f t="shared" si="0"/>
        <v>2.5500910746812266E-2</v>
      </c>
      <c r="H36" s="110" t="s">
        <v>202</v>
      </c>
      <c r="I36" s="97">
        <v>0</v>
      </c>
      <c r="J36" s="97">
        <f>COUNTIF(D:D,"0")</f>
        <v>4</v>
      </c>
      <c r="K36" s="111">
        <f>J36/$I$31</f>
        <v>4.4198895027624313E-3</v>
      </c>
      <c r="L36" s="98">
        <f t="shared" si="6"/>
        <v>0</v>
      </c>
      <c r="M36" s="100"/>
    </row>
    <row r="37" spans="2:13" ht="15.75" thickBot="1" x14ac:dyDescent="0.3">
      <c r="B37" s="12">
        <v>45159</v>
      </c>
      <c r="C37" s="18">
        <v>10.98</v>
      </c>
      <c r="D37" s="138">
        <f t="shared" si="0"/>
        <v>3.6827195467422191E-2</v>
      </c>
      <c r="H37" s="105"/>
      <c r="I37" s="112"/>
      <c r="J37" s="112"/>
      <c r="K37" s="112"/>
      <c r="L37" s="112"/>
      <c r="M37" s="100"/>
    </row>
    <row r="38" spans="2:13" x14ac:dyDescent="0.25">
      <c r="B38" s="12">
        <v>45152</v>
      </c>
      <c r="C38" s="18">
        <v>10.59</v>
      </c>
      <c r="D38" s="138">
        <f t="shared" si="0"/>
        <v>-0.11750000000000005</v>
      </c>
      <c r="H38" s="85" t="s">
        <v>203</v>
      </c>
      <c r="I38" s="107" t="s">
        <v>204</v>
      </c>
      <c r="J38" s="107" t="s">
        <v>205</v>
      </c>
      <c r="K38" s="107" t="s">
        <v>206</v>
      </c>
      <c r="L38" s="107" t="s">
        <v>207</v>
      </c>
      <c r="M38" s="108" t="s">
        <v>208</v>
      </c>
    </row>
    <row r="39" spans="2:13" x14ac:dyDescent="0.25">
      <c r="B39" s="12">
        <v>45145</v>
      </c>
      <c r="C39" s="18">
        <v>12</v>
      </c>
      <c r="D39" s="138">
        <f t="shared" si="0"/>
        <v>-6.6874027993779173E-2</v>
      </c>
      <c r="H39" s="113">
        <v>1</v>
      </c>
      <c r="I39" s="94">
        <f>$I$19+($H39*$I$23)</f>
        <v>7.9182195629760671E-2</v>
      </c>
      <c r="J39" s="94">
        <f>$I$19-($H39*$I$23)</f>
        <v>-7.5746539888066067E-2</v>
      </c>
      <c r="K39" s="92">
        <f>COUNTIFS(D:D,"&lt;"&amp;I39,D:D,"&gt;"&amp;J39)</f>
        <v>662</v>
      </c>
      <c r="L39" s="94">
        <f>K39/$I$31</f>
        <v>0.73149171270718227</v>
      </c>
      <c r="M39" s="95">
        <v>0.68269999999999997</v>
      </c>
    </row>
    <row r="40" spans="2:13" x14ac:dyDescent="0.25">
      <c r="B40" s="12">
        <v>45138</v>
      </c>
      <c r="C40" s="18">
        <v>12.86</v>
      </c>
      <c r="D40" s="138">
        <f t="shared" si="0"/>
        <v>-4.386617100371748E-2</v>
      </c>
      <c r="H40" s="113">
        <v>2</v>
      </c>
      <c r="I40" s="94">
        <f>$I$19+($H40*$I$23)</f>
        <v>0.15664656338867405</v>
      </c>
      <c r="J40" s="94">
        <f>$I$19-($H40*$I$23)</f>
        <v>-0.15321090764697942</v>
      </c>
      <c r="K40" s="92">
        <f>COUNTIFS(D:D,"&lt;"&amp;I40,D:D,"&gt;"&amp;J40)</f>
        <v>856</v>
      </c>
      <c r="L40" s="94">
        <f>K40/$I$31</f>
        <v>0.94585635359116027</v>
      </c>
      <c r="M40" s="95">
        <v>0.95450000000000002</v>
      </c>
    </row>
    <row r="41" spans="2:13" x14ac:dyDescent="0.25">
      <c r="B41" s="12">
        <v>45131</v>
      </c>
      <c r="C41" s="18">
        <v>13.45</v>
      </c>
      <c r="D41" s="138">
        <f t="shared" si="0"/>
        <v>3.6209553158705665E-2</v>
      </c>
      <c r="H41" s="113">
        <v>3</v>
      </c>
      <c r="I41" s="94">
        <f>$I$19+($H41*$I$23)</f>
        <v>0.23411093114758741</v>
      </c>
      <c r="J41" s="94">
        <f>$I$19-($H41*$I$23)</f>
        <v>-0.23067527540589283</v>
      </c>
      <c r="K41" s="92">
        <f>COUNTIFS(D:D,"&lt;"&amp;I41,D:D,"&gt;"&amp;J41)</f>
        <v>895</v>
      </c>
      <c r="L41" s="94">
        <f>K41/$I$31</f>
        <v>0.98895027624309395</v>
      </c>
      <c r="M41" s="114">
        <v>0.99729999999999996</v>
      </c>
    </row>
    <row r="42" spans="2:13" ht="15.75" thickBot="1" x14ac:dyDescent="0.3">
      <c r="B42" s="12">
        <v>45124</v>
      </c>
      <c r="C42" s="18">
        <v>12.98</v>
      </c>
      <c r="D42" s="138">
        <f t="shared" si="0"/>
        <v>-5.7371096586782855E-2</v>
      </c>
      <c r="H42" s="90"/>
      <c r="M42" s="114"/>
    </row>
    <row r="43" spans="2:13" ht="15.75" thickBot="1" x14ac:dyDescent="0.3">
      <c r="B43" s="12">
        <v>45117</v>
      </c>
      <c r="C43" s="18">
        <v>13.77</v>
      </c>
      <c r="D43" s="138">
        <f t="shared" si="0"/>
        <v>0.14749999999999996</v>
      </c>
      <c r="H43" s="159" t="s">
        <v>209</v>
      </c>
      <c r="I43" s="160"/>
      <c r="J43" s="160"/>
      <c r="K43" s="160"/>
      <c r="L43" s="160"/>
      <c r="M43" s="161"/>
    </row>
    <row r="44" spans="2:13" x14ac:dyDescent="0.25">
      <c r="B44" s="12">
        <v>45110</v>
      </c>
      <c r="C44" s="18">
        <v>12</v>
      </c>
      <c r="D44" s="138">
        <f t="shared" si="0"/>
        <v>-1.7199017199017286E-2</v>
      </c>
      <c r="H44" s="115">
        <v>0.01</v>
      </c>
      <c r="I44" s="116">
        <f t="shared" ref="I44:I58" si="7">_xlfn.PERCENTILE.INC(D:D,H44)</f>
        <v>-0.17100491843102367</v>
      </c>
      <c r="J44" s="117">
        <v>0.2</v>
      </c>
      <c r="K44" s="116">
        <f t="shared" ref="K44:K56" si="8">_xlfn.PERCENTILE.INC(D:D,J44)</f>
        <v>-5.6314912378842452E-2</v>
      </c>
      <c r="L44" s="117">
        <v>0.85</v>
      </c>
      <c r="M44" s="118">
        <f t="shared" ref="M44:M58" si="9">_xlfn.PERCENTILE.INC(D:D,L44)</f>
        <v>7.4729178578235272E-2</v>
      </c>
    </row>
    <row r="45" spans="2:13" x14ac:dyDescent="0.25">
      <c r="B45" s="12">
        <v>45103</v>
      </c>
      <c r="C45" s="18">
        <v>12.21</v>
      </c>
      <c r="D45" s="138">
        <f t="shared" si="0"/>
        <v>-5.0544323483670217E-2</v>
      </c>
      <c r="H45" s="119">
        <v>0.02</v>
      </c>
      <c r="I45" s="120">
        <f t="shared" si="7"/>
        <v>-0.1559843255748076</v>
      </c>
      <c r="J45" s="121">
        <v>0.25</v>
      </c>
      <c r="K45" s="120">
        <f t="shared" si="8"/>
        <v>-4.5174537987679675E-2</v>
      </c>
      <c r="L45" s="121">
        <v>0.86</v>
      </c>
      <c r="M45" s="122">
        <f t="shared" si="9"/>
        <v>7.6971359596181246E-2</v>
      </c>
    </row>
    <row r="46" spans="2:13" x14ac:dyDescent="0.25">
      <c r="B46" s="12">
        <v>45096</v>
      </c>
      <c r="C46" s="18">
        <v>12.86</v>
      </c>
      <c r="D46" s="138">
        <f t="shared" si="0"/>
        <v>2.7156549520766848E-2</v>
      </c>
      <c r="H46" s="119">
        <v>0.03</v>
      </c>
      <c r="I46" s="120">
        <f t="shared" si="7"/>
        <v>-0.14506224444124136</v>
      </c>
      <c r="J46" s="121">
        <v>0.3</v>
      </c>
      <c r="K46" s="120">
        <f t="shared" si="8"/>
        <v>-3.3015779557230361E-2</v>
      </c>
      <c r="L46" s="121">
        <v>0.87</v>
      </c>
      <c r="M46" s="122">
        <f t="shared" si="9"/>
        <v>7.9404677659320397E-2</v>
      </c>
    </row>
    <row r="47" spans="2:13" x14ac:dyDescent="0.25">
      <c r="B47" s="12">
        <v>45089</v>
      </c>
      <c r="C47" s="18">
        <v>12.52</v>
      </c>
      <c r="D47" s="138">
        <f t="shared" si="0"/>
        <v>3.4710743801652955E-2</v>
      </c>
      <c r="H47" s="119">
        <v>0.04</v>
      </c>
      <c r="I47" s="120">
        <f t="shared" si="7"/>
        <v>-0.13363207547169809</v>
      </c>
      <c r="J47" s="121">
        <v>0.35</v>
      </c>
      <c r="K47" s="120">
        <f t="shared" si="8"/>
        <v>-2.4822640678092103E-2</v>
      </c>
      <c r="L47" s="121">
        <v>0.88</v>
      </c>
      <c r="M47" s="122">
        <f t="shared" si="9"/>
        <v>8.3292042983053122E-2</v>
      </c>
    </row>
    <row r="48" spans="2:13" x14ac:dyDescent="0.25">
      <c r="B48" s="12">
        <v>45082</v>
      </c>
      <c r="C48" s="18">
        <v>12.1</v>
      </c>
      <c r="D48" s="138">
        <f t="shared" si="0"/>
        <v>3.8626609442059978E-2</v>
      </c>
      <c r="H48" s="119">
        <v>0.05</v>
      </c>
      <c r="I48" s="120">
        <f t="shared" si="7"/>
        <v>-0.12277921709365291</v>
      </c>
      <c r="J48" s="121">
        <v>0.4</v>
      </c>
      <c r="K48" s="120">
        <f t="shared" si="8"/>
        <v>-1.4973358026429601E-2</v>
      </c>
      <c r="L48" s="121">
        <v>0.89</v>
      </c>
      <c r="M48" s="122">
        <f t="shared" si="9"/>
        <v>8.7283449561265755E-2</v>
      </c>
    </row>
    <row r="49" spans="2:13" x14ac:dyDescent="0.25">
      <c r="B49" s="12">
        <v>45075</v>
      </c>
      <c r="C49" s="18">
        <v>11.65</v>
      </c>
      <c r="D49" s="138">
        <f t="shared" si="0"/>
        <v>5.1444043321299704E-2</v>
      </c>
      <c r="H49" s="119">
        <v>0.06</v>
      </c>
      <c r="I49" s="120">
        <f t="shared" si="7"/>
        <v>-0.11571019046831489</v>
      </c>
      <c r="J49" s="121">
        <v>0.45</v>
      </c>
      <c r="K49" s="120">
        <f t="shared" si="8"/>
        <v>-7.7068319598654102E-3</v>
      </c>
      <c r="L49" s="121">
        <v>0.9</v>
      </c>
      <c r="M49" s="122">
        <f t="shared" si="9"/>
        <v>9.1452358440160239E-2</v>
      </c>
    </row>
    <row r="50" spans="2:13" x14ac:dyDescent="0.25">
      <c r="B50" s="12">
        <v>45068</v>
      </c>
      <c r="C50" s="18">
        <v>11.08</v>
      </c>
      <c r="D50" s="138">
        <f t="shared" si="0"/>
        <v>-3.4001743679163088E-2</v>
      </c>
      <c r="H50" s="119">
        <v>7.0000000000000007E-2</v>
      </c>
      <c r="I50" s="120">
        <f t="shared" si="7"/>
        <v>-0.10860821929094737</v>
      </c>
      <c r="J50" s="121">
        <v>0.5</v>
      </c>
      <c r="K50" s="120">
        <f t="shared" si="8"/>
        <v>1.4791912485607739E-3</v>
      </c>
      <c r="L50" s="121">
        <v>0.91</v>
      </c>
      <c r="M50" s="122">
        <f t="shared" si="9"/>
        <v>9.6928260528781743E-2</v>
      </c>
    </row>
    <row r="51" spans="2:13" x14ac:dyDescent="0.25">
      <c r="B51" s="12">
        <v>45061</v>
      </c>
      <c r="C51" s="18">
        <v>11.47</v>
      </c>
      <c r="D51" s="138">
        <f t="shared" si="0"/>
        <v>2.502234137622894E-2</v>
      </c>
      <c r="H51" s="119">
        <v>0.08</v>
      </c>
      <c r="I51" s="120">
        <f t="shared" si="7"/>
        <v>-0.10463322933399195</v>
      </c>
      <c r="J51" s="121">
        <v>0.55000000000000004</v>
      </c>
      <c r="K51" s="120">
        <f t="shared" si="8"/>
        <v>8.1118113939253177E-3</v>
      </c>
      <c r="L51" s="121">
        <v>0.92</v>
      </c>
      <c r="M51" s="122">
        <f t="shared" si="9"/>
        <v>0.10292798657287121</v>
      </c>
    </row>
    <row r="52" spans="2:13" x14ac:dyDescent="0.25">
      <c r="B52" s="12">
        <v>45054</v>
      </c>
      <c r="C52" s="18">
        <v>11.19</v>
      </c>
      <c r="D52" s="138">
        <f t="shared" si="0"/>
        <v>-0.13989239046887014</v>
      </c>
      <c r="H52" s="119">
        <v>0.09</v>
      </c>
      <c r="I52" s="120">
        <f t="shared" si="7"/>
        <v>-9.32308891740459E-2</v>
      </c>
      <c r="J52" s="121">
        <v>0.6</v>
      </c>
      <c r="K52" s="120">
        <f t="shared" si="8"/>
        <v>1.6689589372722625E-2</v>
      </c>
      <c r="L52" s="121">
        <v>0.93</v>
      </c>
      <c r="M52" s="122">
        <f t="shared" si="9"/>
        <v>0.10846523463317906</v>
      </c>
    </row>
    <row r="53" spans="2:13" x14ac:dyDescent="0.25">
      <c r="B53" s="12">
        <v>45047</v>
      </c>
      <c r="C53" s="18">
        <v>13.01</v>
      </c>
      <c r="D53" s="138">
        <f t="shared" si="0"/>
        <v>-4.6187683284457548E-2</v>
      </c>
      <c r="H53" s="119">
        <v>0.1</v>
      </c>
      <c r="I53" s="120">
        <f t="shared" si="7"/>
        <v>-9.0485049833886957E-2</v>
      </c>
      <c r="J53" s="121">
        <v>0.65</v>
      </c>
      <c r="K53" s="120">
        <f t="shared" si="8"/>
        <v>2.4377028239891855E-2</v>
      </c>
      <c r="L53" s="121">
        <v>0.94</v>
      </c>
      <c r="M53" s="122">
        <f t="shared" si="9"/>
        <v>0.11437255063364368</v>
      </c>
    </row>
    <row r="54" spans="2:13" x14ac:dyDescent="0.25">
      <c r="B54" s="12">
        <v>45040</v>
      </c>
      <c r="C54" s="18">
        <v>13.64</v>
      </c>
      <c r="D54" s="138">
        <f t="shared" si="0"/>
        <v>-5.2119527449617786E-2</v>
      </c>
      <c r="H54" s="119">
        <v>0.11</v>
      </c>
      <c r="I54" s="120">
        <f t="shared" si="7"/>
        <v>-8.7297656575025917E-2</v>
      </c>
      <c r="J54" s="121">
        <v>0.7</v>
      </c>
      <c r="K54" s="120">
        <f t="shared" si="8"/>
        <v>3.2337591117975108E-2</v>
      </c>
      <c r="L54" s="121">
        <v>0.95</v>
      </c>
      <c r="M54" s="122">
        <f t="shared" si="9"/>
        <v>0.12517391304347816</v>
      </c>
    </row>
    <row r="55" spans="2:13" x14ac:dyDescent="0.25">
      <c r="B55" s="12">
        <v>45033</v>
      </c>
      <c r="C55" s="18">
        <v>14.39</v>
      </c>
      <c r="D55" s="138">
        <f t="shared" si="0"/>
        <v>0.12071651090342694</v>
      </c>
      <c r="H55" s="119">
        <v>0.12</v>
      </c>
      <c r="I55" s="120">
        <f t="shared" si="7"/>
        <v>-8.2836415376984621E-2</v>
      </c>
      <c r="J55" s="121">
        <v>0.75</v>
      </c>
      <c r="K55" s="120">
        <f t="shared" si="8"/>
        <v>4.4927536231883947E-2</v>
      </c>
      <c r="L55" s="121">
        <v>0.96</v>
      </c>
      <c r="M55" s="122">
        <f t="shared" si="9"/>
        <v>0.13534577334318199</v>
      </c>
    </row>
    <row r="56" spans="2:13" x14ac:dyDescent="0.25">
      <c r="B56" s="12">
        <v>45026</v>
      </c>
      <c r="C56" s="18">
        <v>12.84</v>
      </c>
      <c r="D56" s="138">
        <f t="shared" si="0"/>
        <v>1.6627078384797933E-2</v>
      </c>
      <c r="H56" s="119">
        <v>0.13</v>
      </c>
      <c r="I56" s="120">
        <f t="shared" si="7"/>
        <v>-7.8395330978792754E-2</v>
      </c>
      <c r="J56" s="121">
        <v>0.8</v>
      </c>
      <c r="K56" s="120">
        <f t="shared" si="8"/>
        <v>5.8731228340392919E-2</v>
      </c>
      <c r="L56" s="121">
        <v>0.97</v>
      </c>
      <c r="M56" s="122">
        <f t="shared" si="9"/>
        <v>0.1529325014180373</v>
      </c>
    </row>
    <row r="57" spans="2:13" x14ac:dyDescent="0.25">
      <c r="B57" s="12">
        <v>45019</v>
      </c>
      <c r="C57" s="18">
        <v>12.63</v>
      </c>
      <c r="D57" s="138">
        <f t="shared" si="0"/>
        <v>-7.8554595443832698E-3</v>
      </c>
      <c r="H57" s="119">
        <v>0.14000000000000001</v>
      </c>
      <c r="I57" s="120">
        <f t="shared" si="7"/>
        <v>-7.3776378887249902E-2</v>
      </c>
      <c r="J57" s="121"/>
      <c r="K57" s="120"/>
      <c r="L57" s="121">
        <v>0.98</v>
      </c>
      <c r="M57" s="122">
        <f t="shared" si="9"/>
        <v>0.1863065726122492</v>
      </c>
    </row>
    <row r="58" spans="2:13" ht="15.75" thickBot="1" x14ac:dyDescent="0.3">
      <c r="B58" s="12">
        <v>45012</v>
      </c>
      <c r="C58" s="18">
        <v>12.73</v>
      </c>
      <c r="D58" s="138">
        <f t="shared" si="0"/>
        <v>5.9068219633943597E-2</v>
      </c>
      <c r="H58" s="123">
        <v>0.15</v>
      </c>
      <c r="I58" s="124">
        <f t="shared" si="7"/>
        <v>-7.012901635302822E-2</v>
      </c>
      <c r="J58" s="125"/>
      <c r="K58" s="126"/>
      <c r="L58" s="127">
        <v>0.99</v>
      </c>
      <c r="M58" s="128">
        <f t="shared" si="9"/>
        <v>0.22595130359836271</v>
      </c>
    </row>
    <row r="59" spans="2:13" ht="15.75" thickBot="1" x14ac:dyDescent="0.3">
      <c r="B59" s="12">
        <v>45005</v>
      </c>
      <c r="C59" s="18">
        <v>12.02</v>
      </c>
      <c r="D59" s="138">
        <f t="shared" si="0"/>
        <v>2.9991431019708692E-2</v>
      </c>
    </row>
    <row r="60" spans="2:13" x14ac:dyDescent="0.25">
      <c r="B60" s="12">
        <v>44998</v>
      </c>
      <c r="C60" s="18">
        <v>11.67</v>
      </c>
      <c r="D60" s="138">
        <f t="shared" si="0"/>
        <v>-5.9629331184528622E-2</v>
      </c>
      <c r="H60" s="129" t="s">
        <v>210</v>
      </c>
      <c r="I60" s="130">
        <v>-0.1</v>
      </c>
    </row>
    <row r="61" spans="2:13" ht="15.75" thickBot="1" x14ac:dyDescent="0.3">
      <c r="B61" s="12">
        <v>44991</v>
      </c>
      <c r="C61" s="18">
        <v>12.41</v>
      </c>
      <c r="D61" s="138">
        <f t="shared" si="0"/>
        <v>-0.11230329041487841</v>
      </c>
      <c r="H61" s="131" t="s">
        <v>211</v>
      </c>
      <c r="I61" s="132">
        <v>-0.3</v>
      </c>
    </row>
    <row r="62" spans="2:13" ht="15.75" thickBot="1" x14ac:dyDescent="0.3">
      <c r="B62" s="12">
        <v>44984</v>
      </c>
      <c r="C62" s="18">
        <v>13.98</v>
      </c>
      <c r="D62" s="138">
        <f t="shared" si="0"/>
        <v>0.16112956810631252</v>
      </c>
      <c r="H62" s="133"/>
    </row>
    <row r="63" spans="2:13" x14ac:dyDescent="0.25">
      <c r="B63" s="12">
        <v>44977</v>
      </c>
      <c r="C63" s="18">
        <v>12.04</v>
      </c>
      <c r="D63" s="138">
        <f t="shared" si="0"/>
        <v>-4.2163882259347751E-2</v>
      </c>
      <c r="H63" s="129" t="s">
        <v>212</v>
      </c>
      <c r="I63" s="134">
        <v>6.17</v>
      </c>
    </row>
    <row r="64" spans="2:13" x14ac:dyDescent="0.25">
      <c r="B64" s="12">
        <v>44970</v>
      </c>
      <c r="C64" s="18">
        <v>12.57</v>
      </c>
      <c r="D64" s="138">
        <f t="shared" si="0"/>
        <v>-2.8593508500772691E-2</v>
      </c>
      <c r="H64" s="135" t="s">
        <v>213</v>
      </c>
      <c r="I64" s="136">
        <f>I63*(1-I60)</f>
        <v>6.7870000000000008</v>
      </c>
    </row>
    <row r="65" spans="2:9" ht="15.75" thickBot="1" x14ac:dyDescent="0.3">
      <c r="B65" s="12">
        <v>44963</v>
      </c>
      <c r="C65" s="18">
        <v>12.94</v>
      </c>
      <c r="D65" s="138">
        <f t="shared" si="0"/>
        <v>-3.2161555721765156E-2</v>
      </c>
      <c r="H65" s="131" t="s">
        <v>214</v>
      </c>
      <c r="I65" s="137">
        <f>I63*(1+I61)</f>
        <v>4.319</v>
      </c>
    </row>
    <row r="66" spans="2:9" x14ac:dyDescent="0.25">
      <c r="B66" s="12">
        <v>44956</v>
      </c>
      <c r="C66" s="18">
        <v>13.37</v>
      </c>
      <c r="D66" s="138">
        <f t="shared" si="0"/>
        <v>-1.3284132841328566E-2</v>
      </c>
    </row>
    <row r="67" spans="2:9" x14ac:dyDescent="0.25">
      <c r="B67" s="12">
        <v>44949</v>
      </c>
      <c r="C67" s="18">
        <v>13.55</v>
      </c>
      <c r="D67" s="138">
        <f t="shared" ref="D67:D130" si="10">C67/C68-1</f>
        <v>2.5738077214231714E-2</v>
      </c>
    </row>
    <row r="68" spans="2:9" x14ac:dyDescent="0.25">
      <c r="B68" s="12">
        <v>44942</v>
      </c>
      <c r="C68" s="18">
        <v>13.21</v>
      </c>
      <c r="D68" s="138">
        <f t="shared" si="10"/>
        <v>-3.0102790014684189E-2</v>
      </c>
    </row>
    <row r="69" spans="2:9" x14ac:dyDescent="0.25">
      <c r="B69" s="12">
        <v>44935</v>
      </c>
      <c r="C69" s="18">
        <v>13.62</v>
      </c>
      <c r="D69" s="138">
        <f t="shared" si="10"/>
        <v>5.255023183925811E-2</v>
      </c>
    </row>
    <row r="70" spans="2:9" x14ac:dyDescent="0.25">
      <c r="B70" s="12">
        <v>44928</v>
      </c>
      <c r="C70" s="18">
        <v>12.94</v>
      </c>
      <c r="D70" s="138">
        <f t="shared" si="10"/>
        <v>0.12521739130434772</v>
      </c>
    </row>
    <row r="71" spans="2:9" x14ac:dyDescent="0.25">
      <c r="B71" s="12">
        <v>44921</v>
      </c>
      <c r="C71" s="18">
        <v>11.5</v>
      </c>
      <c r="D71" s="138">
        <f t="shared" si="10"/>
        <v>2.9543419874664245E-2</v>
      </c>
    </row>
    <row r="72" spans="2:9" x14ac:dyDescent="0.25">
      <c r="B72" s="12">
        <v>44914</v>
      </c>
      <c r="C72" s="18">
        <v>11.17</v>
      </c>
      <c r="D72" s="138">
        <f t="shared" si="10"/>
        <v>-7.1487946799667412E-2</v>
      </c>
    </row>
    <row r="73" spans="2:9" x14ac:dyDescent="0.25">
      <c r="B73" s="12">
        <v>44907</v>
      </c>
      <c r="C73" s="18">
        <v>12.03</v>
      </c>
      <c r="D73" s="138">
        <f t="shared" si="10"/>
        <v>6.2720848056537104E-2</v>
      </c>
    </row>
    <row r="74" spans="2:9" x14ac:dyDescent="0.25">
      <c r="B74" s="12">
        <v>44900</v>
      </c>
      <c r="C74" s="18">
        <v>11.32</v>
      </c>
      <c r="D74" s="138">
        <f t="shared" si="10"/>
        <v>0.25777777777777788</v>
      </c>
    </row>
    <row r="75" spans="2:9" x14ac:dyDescent="0.25">
      <c r="B75" s="12">
        <v>44893</v>
      </c>
      <c r="C75" s="18">
        <v>9</v>
      </c>
      <c r="D75" s="138">
        <f t="shared" si="10"/>
        <v>0.36570561456752659</v>
      </c>
    </row>
    <row r="76" spans="2:9" x14ac:dyDescent="0.25">
      <c r="B76" s="12">
        <v>44886</v>
      </c>
      <c r="C76" s="18">
        <v>6.59</v>
      </c>
      <c r="D76" s="138">
        <f t="shared" si="10"/>
        <v>-0.11305518169582773</v>
      </c>
    </row>
    <row r="77" spans="2:9" x14ac:dyDescent="0.25">
      <c r="B77" s="12">
        <v>44879</v>
      </c>
      <c r="C77" s="18">
        <v>7.43</v>
      </c>
      <c r="D77" s="138">
        <f t="shared" si="10"/>
        <v>6.7750677506774881E-3</v>
      </c>
    </row>
    <row r="78" spans="2:9" x14ac:dyDescent="0.25">
      <c r="B78" s="12">
        <v>44872</v>
      </c>
      <c r="C78" s="18">
        <v>7.38</v>
      </c>
      <c r="D78" s="138">
        <f t="shared" si="10"/>
        <v>0.14774494556765161</v>
      </c>
    </row>
    <row r="79" spans="2:9" x14ac:dyDescent="0.25">
      <c r="B79" s="12">
        <v>44865</v>
      </c>
      <c r="C79" s="18">
        <v>6.43</v>
      </c>
      <c r="D79" s="138">
        <f t="shared" si="10"/>
        <v>0.20864661654135319</v>
      </c>
    </row>
    <row r="80" spans="2:9" x14ac:dyDescent="0.25">
      <c r="B80" s="12">
        <v>44858</v>
      </c>
      <c r="C80" s="18">
        <v>5.32</v>
      </c>
      <c r="D80" s="138">
        <f t="shared" si="10"/>
        <v>-0.13915857605177984</v>
      </c>
    </row>
    <row r="81" spans="2:4" x14ac:dyDescent="0.25">
      <c r="B81" s="12">
        <v>44851</v>
      </c>
      <c r="C81" s="18">
        <v>6.18</v>
      </c>
      <c r="D81" s="138">
        <f t="shared" si="10"/>
        <v>-1.5923566878980999E-2</v>
      </c>
    </row>
    <row r="82" spans="2:4" x14ac:dyDescent="0.25">
      <c r="B82" s="12">
        <v>44844</v>
      </c>
      <c r="C82" s="18">
        <v>6.28</v>
      </c>
      <c r="D82" s="138">
        <f t="shared" si="10"/>
        <v>-0.22373300370828175</v>
      </c>
    </row>
    <row r="83" spans="2:4" x14ac:dyDescent="0.25">
      <c r="B83" s="12">
        <v>44837</v>
      </c>
      <c r="C83" s="18">
        <v>8.09</v>
      </c>
      <c r="D83" s="138">
        <f t="shared" si="10"/>
        <v>0.22021116138763208</v>
      </c>
    </row>
    <row r="84" spans="2:4" x14ac:dyDescent="0.25">
      <c r="B84" s="12">
        <v>44830</v>
      </c>
      <c r="C84" s="18">
        <v>6.63</v>
      </c>
      <c r="D84" s="138">
        <f t="shared" si="10"/>
        <v>0.25094339622641515</v>
      </c>
    </row>
    <row r="85" spans="2:4" x14ac:dyDescent="0.25">
      <c r="B85" s="12">
        <v>44823</v>
      </c>
      <c r="C85" s="18">
        <v>5.3</v>
      </c>
      <c r="D85" s="138">
        <f t="shared" si="10"/>
        <v>-8.7779690189328741E-2</v>
      </c>
    </row>
    <row r="86" spans="2:4" x14ac:dyDescent="0.25">
      <c r="B86" s="12">
        <v>44816</v>
      </c>
      <c r="C86" s="18">
        <v>5.81</v>
      </c>
      <c r="D86" s="138">
        <f t="shared" si="10"/>
        <v>5.6363636363636394E-2</v>
      </c>
    </row>
    <row r="87" spans="2:4" x14ac:dyDescent="0.25">
      <c r="B87" s="12">
        <v>44809</v>
      </c>
      <c r="C87" s="18">
        <v>5.5</v>
      </c>
      <c r="D87" s="138">
        <f t="shared" si="10"/>
        <v>7.421875E-2</v>
      </c>
    </row>
    <row r="88" spans="2:4" x14ac:dyDescent="0.25">
      <c r="B88" s="12">
        <v>44802</v>
      </c>
      <c r="C88" s="18">
        <v>5.12</v>
      </c>
      <c r="D88" s="138">
        <f t="shared" si="10"/>
        <v>-0.12925170068027203</v>
      </c>
    </row>
    <row r="89" spans="2:4" x14ac:dyDescent="0.25">
      <c r="B89" s="12">
        <v>44795</v>
      </c>
      <c r="C89" s="18">
        <v>5.88</v>
      </c>
      <c r="D89" s="138">
        <f t="shared" si="10"/>
        <v>9.7014925373134275E-2</v>
      </c>
    </row>
    <row r="90" spans="2:4" x14ac:dyDescent="0.25">
      <c r="B90" s="12">
        <v>44788</v>
      </c>
      <c r="C90" s="18">
        <v>5.36</v>
      </c>
      <c r="D90" s="138">
        <f t="shared" si="10"/>
        <v>1.5151515151515138E-2</v>
      </c>
    </row>
    <row r="91" spans="2:4" x14ac:dyDescent="0.25">
      <c r="B91" s="12">
        <v>44781</v>
      </c>
      <c r="C91" s="18">
        <v>5.28</v>
      </c>
      <c r="D91" s="138">
        <f t="shared" si="10"/>
        <v>-9.3808630393995562E-3</v>
      </c>
    </row>
    <row r="92" spans="2:4" x14ac:dyDescent="0.25">
      <c r="B92" s="12">
        <v>44774</v>
      </c>
      <c r="C92" s="18">
        <v>5.33</v>
      </c>
      <c r="D92" s="138">
        <f t="shared" si="10"/>
        <v>3.4951456310679641E-2</v>
      </c>
    </row>
    <row r="93" spans="2:4" x14ac:dyDescent="0.25">
      <c r="B93" s="12">
        <v>44767</v>
      </c>
      <c r="C93" s="18">
        <v>5.15</v>
      </c>
      <c r="D93" s="138">
        <f t="shared" si="10"/>
        <v>-8.5257548845470654E-2</v>
      </c>
    </row>
    <row r="94" spans="2:4" x14ac:dyDescent="0.25">
      <c r="B94" s="12">
        <v>44760</v>
      </c>
      <c r="C94" s="18">
        <v>5.63</v>
      </c>
      <c r="D94" s="138">
        <f t="shared" si="10"/>
        <v>0.16082474226804133</v>
      </c>
    </row>
    <row r="95" spans="2:4" x14ac:dyDescent="0.25">
      <c r="B95" s="12">
        <v>44753</v>
      </c>
      <c r="C95" s="18">
        <v>4.8499999999999996</v>
      </c>
      <c r="D95" s="138">
        <f t="shared" si="10"/>
        <v>-0.1339285714285714</v>
      </c>
    </row>
    <row r="96" spans="2:4" x14ac:dyDescent="0.25">
      <c r="B96" s="12">
        <v>44746</v>
      </c>
      <c r="C96" s="18">
        <v>5.6</v>
      </c>
      <c r="D96" s="138">
        <f t="shared" si="10"/>
        <v>-6.9767441860465129E-2</v>
      </c>
    </row>
    <row r="97" spans="2:4" x14ac:dyDescent="0.25">
      <c r="B97" s="12">
        <v>44739</v>
      </c>
      <c r="C97" s="18">
        <v>6.02</v>
      </c>
      <c r="D97" s="138">
        <f t="shared" si="10"/>
        <v>-1.4729950900163824E-2</v>
      </c>
    </row>
    <row r="98" spans="2:4" x14ac:dyDescent="0.25">
      <c r="B98" s="12">
        <v>44732</v>
      </c>
      <c r="C98" s="18">
        <v>6.11</v>
      </c>
      <c r="D98" s="138">
        <f t="shared" si="10"/>
        <v>0.13568773234200759</v>
      </c>
    </row>
    <row r="99" spans="2:4" x14ac:dyDescent="0.25">
      <c r="B99" s="12">
        <v>44725</v>
      </c>
      <c r="C99" s="18">
        <v>5.38</v>
      </c>
      <c r="D99" s="138">
        <f t="shared" si="10"/>
        <v>-5.6140350877193046E-2</v>
      </c>
    </row>
    <row r="100" spans="2:4" x14ac:dyDescent="0.25">
      <c r="B100" s="12">
        <v>44718</v>
      </c>
      <c r="C100" s="18">
        <v>5.7</v>
      </c>
      <c r="D100" s="138">
        <f t="shared" si="10"/>
        <v>4.3956043956044022E-2</v>
      </c>
    </row>
    <row r="101" spans="2:4" x14ac:dyDescent="0.25">
      <c r="B101" s="12">
        <v>44711</v>
      </c>
      <c r="C101" s="18">
        <v>5.46</v>
      </c>
      <c r="D101" s="138">
        <f t="shared" si="10"/>
        <v>3.0188679245283012E-2</v>
      </c>
    </row>
    <row r="102" spans="2:4" x14ac:dyDescent="0.25">
      <c r="B102" s="12">
        <v>44704</v>
      </c>
      <c r="C102" s="18">
        <v>5.3</v>
      </c>
      <c r="D102" s="138">
        <f t="shared" si="10"/>
        <v>-2.9304029304029311E-2</v>
      </c>
    </row>
    <row r="103" spans="2:4" x14ac:dyDescent="0.25">
      <c r="B103" s="12">
        <v>44697</v>
      </c>
      <c r="C103" s="18">
        <v>5.46</v>
      </c>
      <c r="D103" s="138">
        <f t="shared" si="10"/>
        <v>1.6759776536312776E-2</v>
      </c>
    </row>
    <row r="104" spans="2:4" x14ac:dyDescent="0.25">
      <c r="B104" s="12">
        <v>44690</v>
      </c>
      <c r="C104" s="18">
        <v>5.37</v>
      </c>
      <c r="D104" s="138">
        <f t="shared" si="10"/>
        <v>6.9721115537848766E-2</v>
      </c>
    </row>
    <row r="105" spans="2:4" x14ac:dyDescent="0.25">
      <c r="B105" s="12">
        <v>44683</v>
      </c>
      <c r="C105" s="18">
        <v>5.0199999999999996</v>
      </c>
      <c r="D105" s="138">
        <f t="shared" si="10"/>
        <v>-0.1223776223776224</v>
      </c>
    </row>
    <row r="106" spans="2:4" x14ac:dyDescent="0.25">
      <c r="B106" s="12">
        <v>44676</v>
      </c>
      <c r="C106" s="18">
        <v>5.72</v>
      </c>
      <c r="D106" s="138">
        <f t="shared" si="10"/>
        <v>-5.7660626029654161E-2</v>
      </c>
    </row>
    <row r="107" spans="2:4" x14ac:dyDescent="0.25">
      <c r="B107" s="12">
        <v>44669</v>
      </c>
      <c r="C107" s="18">
        <v>6.07</v>
      </c>
      <c r="D107" s="138">
        <f t="shared" si="10"/>
        <v>-0.10735294117647054</v>
      </c>
    </row>
    <row r="108" spans="2:4" x14ac:dyDescent="0.25">
      <c r="B108" s="12">
        <v>44662</v>
      </c>
      <c r="C108" s="18">
        <v>6.8</v>
      </c>
      <c r="D108" s="138">
        <f t="shared" si="10"/>
        <v>-7.2992700729926918E-3</v>
      </c>
    </row>
    <row r="109" spans="2:4" x14ac:dyDescent="0.25">
      <c r="B109" s="12">
        <v>44655</v>
      </c>
      <c r="C109" s="18">
        <v>6.85</v>
      </c>
      <c r="D109" s="138">
        <f t="shared" si="10"/>
        <v>-0.15222772277227725</v>
      </c>
    </row>
    <row r="110" spans="2:4" x14ac:dyDescent="0.25">
      <c r="B110" s="12">
        <v>44648</v>
      </c>
      <c r="C110" s="18">
        <v>8.08</v>
      </c>
      <c r="D110" s="138">
        <f t="shared" si="10"/>
        <v>2.4813895781636841E-3</v>
      </c>
    </row>
    <row r="111" spans="2:4" x14ac:dyDescent="0.25">
      <c r="B111" s="12">
        <v>44641</v>
      </c>
      <c r="C111" s="18">
        <v>8.06</v>
      </c>
      <c r="D111" s="138">
        <f t="shared" si="10"/>
        <v>-3.125E-2</v>
      </c>
    </row>
    <row r="112" spans="2:4" x14ac:dyDescent="0.25">
      <c r="B112" s="12">
        <v>44634</v>
      </c>
      <c r="C112" s="18">
        <v>8.32</v>
      </c>
      <c r="D112" s="138">
        <f t="shared" si="10"/>
        <v>0.23625557206537895</v>
      </c>
    </row>
    <row r="113" spans="2:4" x14ac:dyDescent="0.25">
      <c r="B113" s="12">
        <v>44627</v>
      </c>
      <c r="C113" s="18">
        <v>6.73</v>
      </c>
      <c r="D113" s="138">
        <f t="shared" si="10"/>
        <v>-0.28480340063761955</v>
      </c>
    </row>
    <row r="114" spans="2:4" x14ac:dyDescent="0.25">
      <c r="B114" s="12">
        <v>44620</v>
      </c>
      <c r="C114" s="18">
        <v>9.41</v>
      </c>
      <c r="D114" s="138">
        <f t="shared" si="10"/>
        <v>-8.640776699029129E-2</v>
      </c>
    </row>
    <row r="115" spans="2:4" x14ac:dyDescent="0.25">
      <c r="B115" s="12">
        <v>44613</v>
      </c>
      <c r="C115" s="18">
        <v>10.3</v>
      </c>
      <c r="D115" s="138">
        <f t="shared" si="10"/>
        <v>-7.3741007194244479E-2</v>
      </c>
    </row>
    <row r="116" spans="2:4" x14ac:dyDescent="0.25">
      <c r="B116" s="12">
        <v>44606</v>
      </c>
      <c r="C116" s="18">
        <v>11.12</v>
      </c>
      <c r="D116" s="138">
        <f t="shared" si="10"/>
        <v>4.806786050895373E-2</v>
      </c>
    </row>
    <row r="117" spans="2:4" x14ac:dyDescent="0.25">
      <c r="B117" s="12">
        <v>44599</v>
      </c>
      <c r="C117" s="18">
        <v>10.61</v>
      </c>
      <c r="D117" s="138">
        <f t="shared" si="10"/>
        <v>2.314368370298947E-2</v>
      </c>
    </row>
    <row r="118" spans="2:4" x14ac:dyDescent="0.25">
      <c r="B118" s="12">
        <v>44592</v>
      </c>
      <c r="C118" s="18">
        <v>10.37</v>
      </c>
      <c r="D118" s="138">
        <f t="shared" si="10"/>
        <v>4.1164658634537998E-2</v>
      </c>
    </row>
    <row r="119" spans="2:4" x14ac:dyDescent="0.25">
      <c r="B119" s="12">
        <v>44585</v>
      </c>
      <c r="C119" s="18">
        <v>9.9600000000000009</v>
      </c>
      <c r="D119" s="138">
        <f t="shared" si="10"/>
        <v>-0.10752688172043001</v>
      </c>
    </row>
    <row r="120" spans="2:4" x14ac:dyDescent="0.25">
      <c r="B120" s="12">
        <v>44578</v>
      </c>
      <c r="C120" s="18">
        <v>11.16</v>
      </c>
      <c r="D120" s="138">
        <f t="shared" si="10"/>
        <v>5.4054054054053502E-3</v>
      </c>
    </row>
    <row r="121" spans="2:4" x14ac:dyDescent="0.25">
      <c r="B121" s="12">
        <v>44571</v>
      </c>
      <c r="C121" s="18">
        <v>11.1</v>
      </c>
      <c r="D121" s="138">
        <f t="shared" si="10"/>
        <v>0.14315139031925828</v>
      </c>
    </row>
    <row r="122" spans="2:4" x14ac:dyDescent="0.25">
      <c r="B122" s="12">
        <v>44564</v>
      </c>
      <c r="C122" s="18">
        <v>9.7100000000000009</v>
      </c>
      <c r="D122" s="138">
        <f t="shared" si="10"/>
        <v>-4.6168958742632493E-2</v>
      </c>
    </row>
    <row r="123" spans="2:4" x14ac:dyDescent="0.25">
      <c r="B123" s="12">
        <v>44557</v>
      </c>
      <c r="C123" s="18">
        <v>10.18</v>
      </c>
      <c r="D123" s="138">
        <f t="shared" si="10"/>
        <v>-2.4904214559386961E-2</v>
      </c>
    </row>
    <row r="124" spans="2:4" x14ac:dyDescent="0.25">
      <c r="B124" s="12">
        <v>44550</v>
      </c>
      <c r="C124" s="18">
        <v>10.44</v>
      </c>
      <c r="D124" s="138">
        <f t="shared" si="10"/>
        <v>0.11777301927194861</v>
      </c>
    </row>
    <row r="125" spans="2:4" x14ac:dyDescent="0.25">
      <c r="B125" s="12">
        <v>44543</v>
      </c>
      <c r="C125" s="18">
        <v>9.34</v>
      </c>
      <c r="D125" s="138">
        <f t="shared" si="10"/>
        <v>-8.6105675146771143E-2</v>
      </c>
    </row>
    <row r="126" spans="2:4" x14ac:dyDescent="0.25">
      <c r="B126" s="12">
        <v>44536</v>
      </c>
      <c r="C126" s="18">
        <v>10.220000000000001</v>
      </c>
      <c r="D126" s="138">
        <f t="shared" si="10"/>
        <v>0.1001076426264802</v>
      </c>
    </row>
    <row r="127" spans="2:4" x14ac:dyDescent="0.25">
      <c r="B127" s="12">
        <v>44529</v>
      </c>
      <c r="C127" s="18">
        <v>9.2899999999999991</v>
      </c>
      <c r="D127" s="138">
        <f t="shared" si="10"/>
        <v>-0.1067307692307693</v>
      </c>
    </row>
    <row r="128" spans="2:4" x14ac:dyDescent="0.25">
      <c r="B128" s="12">
        <v>44522</v>
      </c>
      <c r="C128" s="18">
        <v>10.4</v>
      </c>
      <c r="D128" s="138">
        <f t="shared" si="10"/>
        <v>-4.9360146252285131E-2</v>
      </c>
    </row>
    <row r="129" spans="2:4" x14ac:dyDescent="0.25">
      <c r="B129" s="12">
        <v>44515</v>
      </c>
      <c r="C129" s="18">
        <v>10.94</v>
      </c>
      <c r="D129" s="138">
        <f t="shared" si="10"/>
        <v>-5.6896551724137989E-2</v>
      </c>
    </row>
    <row r="130" spans="2:4" x14ac:dyDescent="0.25">
      <c r="B130" s="12">
        <v>44508</v>
      </c>
      <c r="C130" s="18">
        <v>11.6</v>
      </c>
      <c r="D130" s="138">
        <f t="shared" si="10"/>
        <v>1.1333914559720881E-2</v>
      </c>
    </row>
    <row r="131" spans="2:4" x14ac:dyDescent="0.25">
      <c r="B131" s="12">
        <v>44501</v>
      </c>
      <c r="C131" s="18">
        <v>11.47</v>
      </c>
      <c r="D131" s="138">
        <f t="shared" ref="D131:D194" si="11">C131/C132-1</f>
        <v>5.9095106186519031E-2</v>
      </c>
    </row>
    <row r="132" spans="2:4" x14ac:dyDescent="0.25">
      <c r="B132" s="12">
        <v>44494</v>
      </c>
      <c r="C132" s="18">
        <v>10.83</v>
      </c>
      <c r="D132" s="138">
        <f t="shared" si="11"/>
        <v>-3.0438675022381401E-2</v>
      </c>
    </row>
    <row r="133" spans="2:4" x14ac:dyDescent="0.25">
      <c r="B133" s="12">
        <v>44487</v>
      </c>
      <c r="C133" s="18">
        <v>11.17</v>
      </c>
      <c r="D133" s="138">
        <f t="shared" si="11"/>
        <v>4.4964028776979248E-3</v>
      </c>
    </row>
    <row r="134" spans="2:4" x14ac:dyDescent="0.25">
      <c r="B134" s="12">
        <v>44480</v>
      </c>
      <c r="C134" s="18">
        <v>11.12</v>
      </c>
      <c r="D134" s="138">
        <f t="shared" si="11"/>
        <v>2.8677150786308836E-2</v>
      </c>
    </row>
    <row r="135" spans="2:4" x14ac:dyDescent="0.25">
      <c r="B135" s="12">
        <v>44473</v>
      </c>
      <c r="C135" s="18">
        <v>10.81</v>
      </c>
      <c r="D135" s="138">
        <f t="shared" si="11"/>
        <v>9.3370681605975392E-3</v>
      </c>
    </row>
    <row r="136" spans="2:4" x14ac:dyDescent="0.25">
      <c r="B136" s="12">
        <v>44466</v>
      </c>
      <c r="C136" s="18">
        <v>10.71</v>
      </c>
      <c r="D136" s="138">
        <f t="shared" si="11"/>
        <v>7.6381909547738935E-2</v>
      </c>
    </row>
    <row r="137" spans="2:4" x14ac:dyDescent="0.25">
      <c r="B137" s="12">
        <v>44459</v>
      </c>
      <c r="C137" s="18">
        <v>9.9499999999999993</v>
      </c>
      <c r="D137" s="138">
        <f t="shared" si="11"/>
        <v>-3.3041788143828965E-2</v>
      </c>
    </row>
    <row r="138" spans="2:4" x14ac:dyDescent="0.25">
      <c r="B138" s="12">
        <v>44452</v>
      </c>
      <c r="C138" s="18">
        <v>10.29</v>
      </c>
      <c r="D138" s="138">
        <f t="shared" si="11"/>
        <v>-0.21330275229357809</v>
      </c>
    </row>
    <row r="139" spans="2:4" x14ac:dyDescent="0.25">
      <c r="B139" s="12">
        <v>44445</v>
      </c>
      <c r="C139" s="18">
        <v>13.08</v>
      </c>
      <c r="D139" s="138">
        <f t="shared" si="11"/>
        <v>-5.2860246198407013E-2</v>
      </c>
    </row>
    <row r="140" spans="2:4" x14ac:dyDescent="0.25">
      <c r="B140" s="12">
        <v>44438</v>
      </c>
      <c r="C140" s="18">
        <v>13.81</v>
      </c>
      <c r="D140" s="138">
        <f t="shared" si="11"/>
        <v>7.2204968944099335E-2</v>
      </c>
    </row>
    <row r="141" spans="2:4" x14ac:dyDescent="0.25">
      <c r="B141" s="12">
        <v>44431</v>
      </c>
      <c r="C141" s="18">
        <v>12.88</v>
      </c>
      <c r="D141" s="138">
        <f t="shared" si="11"/>
        <v>0.1881918819188193</v>
      </c>
    </row>
    <row r="142" spans="2:4" x14ac:dyDescent="0.25">
      <c r="B142" s="12">
        <v>44424</v>
      </c>
      <c r="C142" s="18">
        <v>10.84</v>
      </c>
      <c r="D142" s="138">
        <f t="shared" si="11"/>
        <v>-0.12651087832393237</v>
      </c>
    </row>
    <row r="143" spans="2:4" x14ac:dyDescent="0.25">
      <c r="B143" s="12">
        <v>44417</v>
      </c>
      <c r="C143" s="18">
        <v>12.41</v>
      </c>
      <c r="D143" s="138">
        <f t="shared" si="11"/>
        <v>-5.699088145896658E-2</v>
      </c>
    </row>
    <row r="144" spans="2:4" x14ac:dyDescent="0.25">
      <c r="B144" s="12">
        <v>44410</v>
      </c>
      <c r="C144" s="18">
        <v>13.16</v>
      </c>
      <c r="D144" s="138">
        <f t="shared" si="11"/>
        <v>-5.4597701149425304E-2</v>
      </c>
    </row>
    <row r="145" spans="2:4" x14ac:dyDescent="0.25">
      <c r="B145" s="12">
        <v>44403</v>
      </c>
      <c r="C145" s="18">
        <v>13.92</v>
      </c>
      <c r="D145" s="138">
        <f t="shared" si="11"/>
        <v>-3.8674033149171283E-2</v>
      </c>
    </row>
    <row r="146" spans="2:4" x14ac:dyDescent="0.25">
      <c r="B146" s="12">
        <v>44396</v>
      </c>
      <c r="C146" s="18">
        <v>14.48</v>
      </c>
      <c r="D146" s="138">
        <f t="shared" si="11"/>
        <v>-3.0140656396517085E-2</v>
      </c>
    </row>
    <row r="147" spans="2:4" x14ac:dyDescent="0.25">
      <c r="B147" s="12">
        <v>44389</v>
      </c>
      <c r="C147" s="18">
        <v>14.93</v>
      </c>
      <c r="D147" s="138">
        <f t="shared" si="11"/>
        <v>-7.3821397405620437E-2</v>
      </c>
    </row>
    <row r="148" spans="2:4" x14ac:dyDescent="0.25">
      <c r="B148" s="12">
        <v>44382</v>
      </c>
      <c r="C148" s="18">
        <v>16.120000999999998</v>
      </c>
      <c r="D148" s="138">
        <f t="shared" si="11"/>
        <v>-4.1617063020214173E-2</v>
      </c>
    </row>
    <row r="149" spans="2:4" x14ac:dyDescent="0.25">
      <c r="B149" s="12">
        <v>44375</v>
      </c>
      <c r="C149" s="18">
        <v>16.82</v>
      </c>
      <c r="D149" s="138">
        <f t="shared" si="11"/>
        <v>-7.6696750637359479E-3</v>
      </c>
    </row>
    <row r="150" spans="2:4" x14ac:dyDescent="0.25">
      <c r="B150" s="12">
        <v>44368</v>
      </c>
      <c r="C150" s="18">
        <v>16.950001</v>
      </c>
      <c r="D150" s="138">
        <f t="shared" si="11"/>
        <v>-2.136252886836032E-2</v>
      </c>
    </row>
    <row r="151" spans="2:4" x14ac:dyDescent="0.25">
      <c r="B151" s="12">
        <v>44361</v>
      </c>
      <c r="C151" s="18">
        <v>17.32</v>
      </c>
      <c r="D151" s="138">
        <f t="shared" si="11"/>
        <v>-9.1533180778031742E-3</v>
      </c>
    </row>
    <row r="152" spans="2:4" x14ac:dyDescent="0.25">
      <c r="B152" s="12">
        <v>44354</v>
      </c>
      <c r="C152" s="18">
        <v>17.48</v>
      </c>
      <c r="D152" s="138">
        <f t="shared" si="11"/>
        <v>2.4018746338605679E-2</v>
      </c>
    </row>
    <row r="153" spans="2:4" x14ac:dyDescent="0.25">
      <c r="B153" s="12">
        <v>44347</v>
      </c>
      <c r="C153" s="18">
        <v>17.07</v>
      </c>
      <c r="D153" s="138">
        <f t="shared" si="11"/>
        <v>-6.9808605595775841E-3</v>
      </c>
    </row>
    <row r="154" spans="2:4" x14ac:dyDescent="0.25">
      <c r="B154" s="12">
        <v>44340</v>
      </c>
      <c r="C154" s="18">
        <v>17.190000999999999</v>
      </c>
      <c r="D154" s="138">
        <f t="shared" si="11"/>
        <v>-8.6504613610151049E-3</v>
      </c>
    </row>
    <row r="155" spans="2:4" x14ac:dyDescent="0.25">
      <c r="B155" s="12">
        <v>44333</v>
      </c>
      <c r="C155" s="18">
        <v>17.34</v>
      </c>
      <c r="D155" s="138">
        <f t="shared" si="11"/>
        <v>-1.7006746995847366E-2</v>
      </c>
    </row>
    <row r="156" spans="2:4" x14ac:dyDescent="0.25">
      <c r="B156" s="12">
        <v>44326</v>
      </c>
      <c r="C156" s="18">
        <v>17.639999</v>
      </c>
      <c r="D156" s="138">
        <f t="shared" si="11"/>
        <v>-3.1301484420729553E-2</v>
      </c>
    </row>
    <row r="157" spans="2:4" x14ac:dyDescent="0.25">
      <c r="B157" s="12">
        <v>44319</v>
      </c>
      <c r="C157" s="18">
        <v>18.209999</v>
      </c>
      <c r="D157" s="138">
        <f t="shared" si="11"/>
        <v>-5.5987659098618026E-2</v>
      </c>
    </row>
    <row r="158" spans="2:4" x14ac:dyDescent="0.25">
      <c r="B158" s="12">
        <v>44312</v>
      </c>
      <c r="C158" s="18">
        <v>19.290001</v>
      </c>
      <c r="D158" s="138">
        <f t="shared" si="11"/>
        <v>2.7703835908364338E-2</v>
      </c>
    </row>
    <row r="159" spans="2:4" x14ac:dyDescent="0.25">
      <c r="B159" s="12">
        <v>44305</v>
      </c>
      <c r="C159" s="18">
        <v>18.77</v>
      </c>
      <c r="D159" s="138">
        <f t="shared" si="11"/>
        <v>-3.047525669032769E-2</v>
      </c>
    </row>
    <row r="160" spans="2:4" x14ac:dyDescent="0.25">
      <c r="B160" s="12">
        <v>44298</v>
      </c>
      <c r="C160" s="18">
        <v>19.360001</v>
      </c>
      <c r="D160" s="138">
        <f t="shared" si="11"/>
        <v>-4.6774891520181772E-2</v>
      </c>
    </row>
    <row r="161" spans="2:4" x14ac:dyDescent="0.25">
      <c r="B161" s="12">
        <v>44291</v>
      </c>
      <c r="C161" s="18">
        <v>20.309999000000001</v>
      </c>
      <c r="D161" s="138">
        <f t="shared" si="11"/>
        <v>1.4791912485607739E-3</v>
      </c>
    </row>
    <row r="162" spans="2:4" x14ac:dyDescent="0.25">
      <c r="B162" s="12">
        <v>44284</v>
      </c>
      <c r="C162" s="18">
        <v>20.280000999999999</v>
      </c>
      <c r="D162" s="138">
        <f t="shared" si="11"/>
        <v>3.5222103113833558E-2</v>
      </c>
    </row>
    <row r="163" spans="2:4" x14ac:dyDescent="0.25">
      <c r="B163" s="12">
        <v>44277</v>
      </c>
      <c r="C163" s="18">
        <v>19.59</v>
      </c>
      <c r="D163" s="138">
        <f t="shared" si="11"/>
        <v>-7.0683111954459088E-2</v>
      </c>
    </row>
    <row r="164" spans="2:4" x14ac:dyDescent="0.25">
      <c r="B164" s="12">
        <v>44270</v>
      </c>
      <c r="C164" s="18">
        <v>21.08</v>
      </c>
      <c r="D164" s="138">
        <f t="shared" si="11"/>
        <v>1.2001920307249225E-2</v>
      </c>
    </row>
    <row r="165" spans="2:4" x14ac:dyDescent="0.25">
      <c r="B165" s="12">
        <v>44263</v>
      </c>
      <c r="C165" s="18">
        <v>20.83</v>
      </c>
      <c r="D165" s="138">
        <f t="shared" si="11"/>
        <v>-4.9292560474669234E-2</v>
      </c>
    </row>
    <row r="166" spans="2:4" x14ac:dyDescent="0.25">
      <c r="B166" s="12">
        <v>44256</v>
      </c>
      <c r="C166" s="18">
        <v>21.91</v>
      </c>
      <c r="D166" s="138">
        <f t="shared" si="11"/>
        <v>1.1542012927054479E-2</v>
      </c>
    </row>
    <row r="167" spans="2:4" x14ac:dyDescent="0.25">
      <c r="B167" s="12">
        <v>44249</v>
      </c>
      <c r="C167" s="18">
        <v>21.66</v>
      </c>
      <c r="D167" s="138">
        <f t="shared" si="11"/>
        <v>0.1595289079229123</v>
      </c>
    </row>
    <row r="168" spans="2:4" x14ac:dyDescent="0.25">
      <c r="B168" s="12">
        <v>44242</v>
      </c>
      <c r="C168" s="18">
        <v>18.68</v>
      </c>
      <c r="D168" s="138">
        <f t="shared" si="11"/>
        <v>4.943826120439665E-2</v>
      </c>
    </row>
    <row r="169" spans="2:4" x14ac:dyDescent="0.25">
      <c r="B169" s="12">
        <v>44235</v>
      </c>
      <c r="C169" s="18">
        <v>17.799999</v>
      </c>
      <c r="D169" s="138">
        <f t="shared" si="11"/>
        <v>2.4755208707242016E-2</v>
      </c>
    </row>
    <row r="170" spans="2:4" x14ac:dyDescent="0.25">
      <c r="B170" s="12">
        <v>44228</v>
      </c>
      <c r="C170" s="18">
        <v>17.370000999999998</v>
      </c>
      <c r="D170" s="138">
        <f t="shared" si="11"/>
        <v>8.6304002501563337E-2</v>
      </c>
    </row>
    <row r="171" spans="2:4" x14ac:dyDescent="0.25">
      <c r="B171" s="12">
        <v>44221</v>
      </c>
      <c r="C171" s="18">
        <v>15.99</v>
      </c>
      <c r="D171" s="138">
        <f t="shared" si="11"/>
        <v>-2.261619666160164E-2</v>
      </c>
    </row>
    <row r="172" spans="2:4" x14ac:dyDescent="0.25">
      <c r="B172" s="12">
        <v>44214</v>
      </c>
      <c r="C172" s="18">
        <v>16.360001</v>
      </c>
      <c r="D172" s="138">
        <f t="shared" si="11"/>
        <v>-4.2604382227632298E-3</v>
      </c>
    </row>
    <row r="173" spans="2:4" x14ac:dyDescent="0.25">
      <c r="B173" s="12">
        <v>44207</v>
      </c>
      <c r="C173" s="18">
        <v>16.43</v>
      </c>
      <c r="D173" s="138">
        <f t="shared" si="11"/>
        <v>-0.11237169097784994</v>
      </c>
    </row>
    <row r="174" spans="2:4" x14ac:dyDescent="0.25">
      <c r="B174" s="12">
        <v>44200</v>
      </c>
      <c r="C174" s="18">
        <v>18.510000000000002</v>
      </c>
      <c r="D174" s="138">
        <f t="shared" si="11"/>
        <v>-2.1562804396915158E-3</v>
      </c>
    </row>
    <row r="175" spans="2:4" x14ac:dyDescent="0.25">
      <c r="B175" s="12">
        <v>44193</v>
      </c>
      <c r="C175" s="18">
        <v>18.549999</v>
      </c>
      <c r="D175" s="138">
        <f t="shared" si="11"/>
        <v>0</v>
      </c>
    </row>
    <row r="176" spans="2:4" x14ac:dyDescent="0.25">
      <c r="B176" s="12">
        <v>44186</v>
      </c>
      <c r="C176" s="18">
        <v>18.549999</v>
      </c>
      <c r="D176" s="138">
        <f t="shared" si="11"/>
        <v>-2.2140222569331791E-2</v>
      </c>
    </row>
    <row r="177" spans="2:4" x14ac:dyDescent="0.25">
      <c r="B177" s="12">
        <v>44179</v>
      </c>
      <c r="C177" s="18">
        <v>18.969999000000001</v>
      </c>
      <c r="D177" s="138">
        <f t="shared" si="11"/>
        <v>3.3224290129395984E-2</v>
      </c>
    </row>
    <row r="178" spans="2:4" x14ac:dyDescent="0.25">
      <c r="B178" s="12">
        <v>44172</v>
      </c>
      <c r="C178" s="18">
        <v>18.360001</v>
      </c>
      <c r="D178" s="138">
        <f t="shared" si="11"/>
        <v>-6.6124059003051849E-2</v>
      </c>
    </row>
    <row r="179" spans="2:4" x14ac:dyDescent="0.25">
      <c r="B179" s="12">
        <v>44165</v>
      </c>
      <c r="C179" s="18">
        <v>19.66</v>
      </c>
      <c r="D179" s="138">
        <f t="shared" si="11"/>
        <v>6.3277447268794029E-2</v>
      </c>
    </row>
    <row r="180" spans="2:4" x14ac:dyDescent="0.25">
      <c r="B180" s="12">
        <v>44158</v>
      </c>
      <c r="C180" s="18">
        <v>18.489999999999998</v>
      </c>
      <c r="D180" s="138">
        <f t="shared" si="11"/>
        <v>-1.5442011957294333E-2</v>
      </c>
    </row>
    <row r="181" spans="2:4" x14ac:dyDescent="0.25">
      <c r="B181" s="12">
        <v>44151</v>
      </c>
      <c r="C181" s="18">
        <v>18.780000999999999</v>
      </c>
      <c r="D181" s="138">
        <f t="shared" si="11"/>
        <v>3.9867222584009987E-2</v>
      </c>
    </row>
    <row r="182" spans="2:4" x14ac:dyDescent="0.25">
      <c r="B182" s="12">
        <v>44144</v>
      </c>
      <c r="C182" s="18">
        <v>18.059999000000001</v>
      </c>
      <c r="D182" s="138">
        <f t="shared" si="11"/>
        <v>0.11481468427069852</v>
      </c>
    </row>
    <row r="183" spans="2:4" x14ac:dyDescent="0.25">
      <c r="B183" s="12">
        <v>44137</v>
      </c>
      <c r="C183" s="18">
        <v>16.200001</v>
      </c>
      <c r="D183" s="138">
        <f t="shared" si="11"/>
        <v>4.9627788484629676E-3</v>
      </c>
    </row>
    <row r="184" spans="2:4" x14ac:dyDescent="0.25">
      <c r="B184" s="12">
        <v>44130</v>
      </c>
      <c r="C184" s="18">
        <v>16.120000999999998</v>
      </c>
      <c r="D184" s="138">
        <f t="shared" si="11"/>
        <v>3.7361148029957381E-3</v>
      </c>
    </row>
    <row r="185" spans="2:4" x14ac:dyDescent="0.25">
      <c r="B185" s="12">
        <v>44123</v>
      </c>
      <c r="C185" s="18">
        <v>16.059999000000001</v>
      </c>
      <c r="D185" s="138">
        <f t="shared" si="11"/>
        <v>7.5686470194239908E-2</v>
      </c>
    </row>
    <row r="186" spans="2:4" x14ac:dyDescent="0.25">
      <c r="B186" s="12">
        <v>44116</v>
      </c>
      <c r="C186" s="18">
        <v>14.93</v>
      </c>
      <c r="D186" s="138">
        <f t="shared" si="11"/>
        <v>-3.3031088082901561E-2</v>
      </c>
    </row>
    <row r="187" spans="2:4" x14ac:dyDescent="0.25">
      <c r="B187" s="12">
        <v>44109</v>
      </c>
      <c r="C187" s="18">
        <v>15.44</v>
      </c>
      <c r="D187" s="138">
        <f t="shared" si="11"/>
        <v>-7.9857027422107985E-2</v>
      </c>
    </row>
    <row r="188" spans="2:4" x14ac:dyDescent="0.25">
      <c r="B188" s="12">
        <v>44102</v>
      </c>
      <c r="C188" s="18">
        <v>16.780000999999999</v>
      </c>
      <c r="D188" s="138">
        <f t="shared" si="11"/>
        <v>2.2547288238878638E-2</v>
      </c>
    </row>
    <row r="189" spans="2:4" x14ac:dyDescent="0.25">
      <c r="B189" s="12">
        <v>44095</v>
      </c>
      <c r="C189" s="18">
        <v>16.41</v>
      </c>
      <c r="D189" s="138">
        <f t="shared" si="11"/>
        <v>-9.3370165745856437E-2</v>
      </c>
    </row>
    <row r="190" spans="2:4" x14ac:dyDescent="0.25">
      <c r="B190" s="12">
        <v>44088</v>
      </c>
      <c r="C190" s="18">
        <v>18.100000000000001</v>
      </c>
      <c r="D190" s="138">
        <f t="shared" si="11"/>
        <v>-3.2085613257453738E-2</v>
      </c>
    </row>
    <row r="191" spans="2:4" x14ac:dyDescent="0.25">
      <c r="B191" s="12">
        <v>44081</v>
      </c>
      <c r="C191" s="18">
        <v>18.700001</v>
      </c>
      <c r="D191" s="138">
        <f t="shared" si="11"/>
        <v>-1.7857141919267794E-2</v>
      </c>
    </row>
    <row r="192" spans="2:4" x14ac:dyDescent="0.25">
      <c r="B192" s="12">
        <v>44074</v>
      </c>
      <c r="C192" s="18">
        <v>19.040001</v>
      </c>
      <c r="D192" s="138">
        <f t="shared" si="11"/>
        <v>-4.3216030150753704E-2</v>
      </c>
    </row>
    <row r="193" spans="2:4" x14ac:dyDescent="0.25">
      <c r="B193" s="12">
        <v>44067</v>
      </c>
      <c r="C193" s="18">
        <v>19.899999999999999</v>
      </c>
      <c r="D193" s="138">
        <f t="shared" si="11"/>
        <v>3.7539103232533844E-2</v>
      </c>
    </row>
    <row r="194" spans="2:4" x14ac:dyDescent="0.25">
      <c r="B194" s="12">
        <v>44060</v>
      </c>
      <c r="C194" s="18">
        <v>19.18</v>
      </c>
      <c r="D194" s="138">
        <f t="shared" si="11"/>
        <v>-1.5905592611595631E-2</v>
      </c>
    </row>
    <row r="195" spans="2:4" x14ac:dyDescent="0.25">
      <c r="B195" s="12">
        <v>44053</v>
      </c>
      <c r="C195" s="18">
        <v>19.489999999999998</v>
      </c>
      <c r="D195" s="138">
        <f t="shared" ref="D195:D258" si="12">C195/C196-1</f>
        <v>0.1220494460535726</v>
      </c>
    </row>
    <row r="196" spans="2:4" x14ac:dyDescent="0.25">
      <c r="B196" s="12">
        <v>44046</v>
      </c>
      <c r="C196" s="18">
        <v>17.370000999999998</v>
      </c>
      <c r="D196" s="138">
        <f t="shared" si="12"/>
        <v>5.5285665570210529E-2</v>
      </c>
    </row>
    <row r="197" spans="2:4" x14ac:dyDescent="0.25">
      <c r="B197" s="12">
        <v>44039</v>
      </c>
      <c r="C197" s="18">
        <v>16.459999</v>
      </c>
      <c r="D197" s="138">
        <f t="shared" si="12"/>
        <v>7.9344196721311544E-2</v>
      </c>
    </row>
    <row r="198" spans="2:4" x14ac:dyDescent="0.25">
      <c r="B198" s="12">
        <v>44032</v>
      </c>
      <c r="C198" s="18">
        <v>15.25</v>
      </c>
      <c r="D198" s="138">
        <f t="shared" si="12"/>
        <v>-0.10870840977741614</v>
      </c>
    </row>
    <row r="199" spans="2:4" x14ac:dyDescent="0.25">
      <c r="B199" s="12">
        <v>44025</v>
      </c>
      <c r="C199" s="18">
        <v>17.110001</v>
      </c>
      <c r="D199" s="138">
        <f t="shared" si="12"/>
        <v>9.6092312620115417E-2</v>
      </c>
    </row>
    <row r="200" spans="2:4" x14ac:dyDescent="0.25">
      <c r="B200" s="12">
        <v>44018</v>
      </c>
      <c r="C200" s="18">
        <v>15.61</v>
      </c>
      <c r="D200" s="138">
        <f t="shared" si="12"/>
        <v>-5.8504221954161606E-2</v>
      </c>
    </row>
    <row r="201" spans="2:4" x14ac:dyDescent="0.25">
      <c r="B201" s="12">
        <v>44011</v>
      </c>
      <c r="C201" s="18">
        <v>16.579999999999998</v>
      </c>
      <c r="D201" s="138">
        <f t="shared" si="12"/>
        <v>9.4389438943894177E-2</v>
      </c>
    </row>
    <row r="202" spans="2:4" x14ac:dyDescent="0.25">
      <c r="B202" s="12">
        <v>44004</v>
      </c>
      <c r="C202" s="18">
        <v>15.15</v>
      </c>
      <c r="D202" s="138">
        <f t="shared" si="12"/>
        <v>-7.8467209338977439E-2</v>
      </c>
    </row>
    <row r="203" spans="2:4" x14ac:dyDescent="0.25">
      <c r="B203" s="12">
        <v>43997</v>
      </c>
      <c r="C203" s="18">
        <v>16.440000999999999</v>
      </c>
      <c r="D203" s="138">
        <f t="shared" si="12"/>
        <v>-7.6404386314853245E-2</v>
      </c>
    </row>
    <row r="204" spans="2:4" x14ac:dyDescent="0.25">
      <c r="B204" s="12">
        <v>43990</v>
      </c>
      <c r="C204" s="18">
        <v>17.799999</v>
      </c>
      <c r="D204" s="138">
        <f t="shared" si="12"/>
        <v>-5.0666720000000054E-2</v>
      </c>
    </row>
    <row r="205" spans="2:4" x14ac:dyDescent="0.25">
      <c r="B205" s="12">
        <v>43983</v>
      </c>
      <c r="C205" s="18">
        <v>18.75</v>
      </c>
      <c r="D205" s="138">
        <f t="shared" si="12"/>
        <v>0.16968177356944647</v>
      </c>
    </row>
    <row r="206" spans="2:4" x14ac:dyDescent="0.25">
      <c r="B206" s="12">
        <v>43976</v>
      </c>
      <c r="C206" s="18">
        <v>16.030000999999999</v>
      </c>
      <c r="D206" s="138">
        <f t="shared" si="12"/>
        <v>0.12019573724668042</v>
      </c>
    </row>
    <row r="207" spans="2:4" x14ac:dyDescent="0.25">
      <c r="B207" s="12">
        <v>43969</v>
      </c>
      <c r="C207" s="18">
        <v>14.31</v>
      </c>
      <c r="D207" s="138">
        <f t="shared" si="12"/>
        <v>-5.4821664464993369E-2</v>
      </c>
    </row>
    <row r="208" spans="2:4" x14ac:dyDescent="0.25">
      <c r="B208" s="12">
        <v>43962</v>
      </c>
      <c r="C208" s="18">
        <v>15.14</v>
      </c>
      <c r="D208" s="138">
        <f t="shared" si="12"/>
        <v>-9.5579450418159961E-2</v>
      </c>
    </row>
    <row r="209" spans="2:4" x14ac:dyDescent="0.25">
      <c r="B209" s="12">
        <v>43955</v>
      </c>
      <c r="C209" s="18">
        <v>16.739999999999998</v>
      </c>
      <c r="D209" s="138">
        <f t="shared" si="12"/>
        <v>0.11081619110816177</v>
      </c>
    </row>
    <row r="210" spans="2:4" x14ac:dyDescent="0.25">
      <c r="B210" s="12">
        <v>43948</v>
      </c>
      <c r="C210" s="18">
        <v>15.07</v>
      </c>
      <c r="D210" s="138">
        <f t="shared" si="12"/>
        <v>-2.647253474520106E-3</v>
      </c>
    </row>
    <row r="211" spans="2:4" x14ac:dyDescent="0.25">
      <c r="B211" s="12">
        <v>43941</v>
      </c>
      <c r="C211" s="18">
        <v>15.11</v>
      </c>
      <c r="D211" s="138">
        <f t="shared" si="12"/>
        <v>7.3333333333331918E-3</v>
      </c>
    </row>
    <row r="212" spans="2:4" x14ac:dyDescent="0.25">
      <c r="B212" s="12">
        <v>43934</v>
      </c>
      <c r="C212" s="18">
        <v>15</v>
      </c>
      <c r="D212" s="138">
        <f t="shared" si="12"/>
        <v>0.10294117647058831</v>
      </c>
    </row>
    <row r="213" spans="2:4" x14ac:dyDescent="0.25">
      <c r="B213" s="12">
        <v>43927</v>
      </c>
      <c r="C213" s="18">
        <v>13.6</v>
      </c>
      <c r="D213" s="138">
        <f t="shared" si="12"/>
        <v>0.23636363636363633</v>
      </c>
    </row>
    <row r="214" spans="2:4" x14ac:dyDescent="0.25">
      <c r="B214" s="12">
        <v>43920</v>
      </c>
      <c r="C214" s="18">
        <v>11</v>
      </c>
      <c r="D214" s="138">
        <f t="shared" si="12"/>
        <v>-0.10277324632952689</v>
      </c>
    </row>
    <row r="215" spans="2:4" x14ac:dyDescent="0.25">
      <c r="B215" s="12">
        <v>43913</v>
      </c>
      <c r="C215" s="18">
        <v>12.26</v>
      </c>
      <c r="D215" s="138">
        <f t="shared" si="12"/>
        <v>-8.915304606240726E-2</v>
      </c>
    </row>
    <row r="216" spans="2:4" x14ac:dyDescent="0.25">
      <c r="B216" s="12">
        <v>43906</v>
      </c>
      <c r="C216" s="18">
        <v>13.46</v>
      </c>
      <c r="D216" s="138">
        <f t="shared" si="12"/>
        <v>-0.15980024968789008</v>
      </c>
    </row>
    <row r="217" spans="2:4" x14ac:dyDescent="0.25">
      <c r="B217" s="12">
        <v>43899</v>
      </c>
      <c r="C217" s="18">
        <v>16.02</v>
      </c>
      <c r="D217" s="138">
        <f t="shared" si="12"/>
        <v>-4.2438732815301861E-2</v>
      </c>
    </row>
    <row r="218" spans="2:4" x14ac:dyDescent="0.25">
      <c r="B218" s="12">
        <v>43892</v>
      </c>
      <c r="C218" s="18">
        <v>16.73</v>
      </c>
      <c r="D218" s="138">
        <f t="shared" si="12"/>
        <v>-3.5178777393310212E-2</v>
      </c>
    </row>
    <row r="219" spans="2:4" x14ac:dyDescent="0.25">
      <c r="B219" s="12">
        <v>43885</v>
      </c>
      <c r="C219" s="18">
        <v>17.34</v>
      </c>
      <c r="D219" s="138">
        <f t="shared" si="12"/>
        <v>-0.14833010076964148</v>
      </c>
    </row>
    <row r="220" spans="2:4" x14ac:dyDescent="0.25">
      <c r="B220" s="12">
        <v>43878</v>
      </c>
      <c r="C220" s="18">
        <v>20.360001</v>
      </c>
      <c r="D220" s="138">
        <f t="shared" si="12"/>
        <v>-4.8598084112149498E-2</v>
      </c>
    </row>
    <row r="221" spans="2:4" x14ac:dyDescent="0.25">
      <c r="B221" s="12">
        <v>43871</v>
      </c>
      <c r="C221" s="18">
        <v>21.4</v>
      </c>
      <c r="D221" s="138">
        <f t="shared" si="12"/>
        <v>5.6268509378084808E-2</v>
      </c>
    </row>
    <row r="222" spans="2:4" x14ac:dyDescent="0.25">
      <c r="B222" s="12">
        <v>43864</v>
      </c>
      <c r="C222" s="18">
        <v>20.260000000000002</v>
      </c>
      <c r="D222" s="138">
        <f t="shared" si="12"/>
        <v>4.4620723847297317E-3</v>
      </c>
    </row>
    <row r="223" spans="2:4" x14ac:dyDescent="0.25">
      <c r="B223" s="12">
        <v>43857</v>
      </c>
      <c r="C223" s="18">
        <v>20.170000000000002</v>
      </c>
      <c r="D223" s="138">
        <f t="shared" si="12"/>
        <v>-5.0376647834274757E-2</v>
      </c>
    </row>
    <row r="224" spans="2:4" x14ac:dyDescent="0.25">
      <c r="B224" s="12">
        <v>43850</v>
      </c>
      <c r="C224" s="18">
        <v>21.24</v>
      </c>
      <c r="D224" s="138">
        <f t="shared" si="12"/>
        <v>-0.15107913669064754</v>
      </c>
    </row>
    <row r="225" spans="2:4" x14ac:dyDescent="0.25">
      <c r="B225" s="12">
        <v>43843</v>
      </c>
      <c r="C225" s="18">
        <v>25.02</v>
      </c>
      <c r="D225" s="138">
        <f t="shared" si="12"/>
        <v>8.9246891129598938E-2</v>
      </c>
    </row>
    <row r="226" spans="2:4" x14ac:dyDescent="0.25">
      <c r="B226" s="12">
        <v>43836</v>
      </c>
      <c r="C226" s="18">
        <v>22.969999000000001</v>
      </c>
      <c r="D226" s="138">
        <f t="shared" si="12"/>
        <v>-6.8532076236820672E-2</v>
      </c>
    </row>
    <row r="227" spans="2:4" x14ac:dyDescent="0.25">
      <c r="B227" s="12">
        <v>43829</v>
      </c>
      <c r="C227" s="18">
        <v>24.66</v>
      </c>
      <c r="D227" s="138">
        <f t="shared" si="12"/>
        <v>1.1899835375468459E-2</v>
      </c>
    </row>
    <row r="228" spans="2:4" x14ac:dyDescent="0.25">
      <c r="B228" s="12">
        <v>43822</v>
      </c>
      <c r="C228" s="18">
        <v>24.370000999999998</v>
      </c>
      <c r="D228" s="138">
        <f t="shared" si="12"/>
        <v>1.1203360995850398E-2</v>
      </c>
    </row>
    <row r="229" spans="2:4" x14ac:dyDescent="0.25">
      <c r="B229" s="12">
        <v>43815</v>
      </c>
      <c r="C229" s="18">
        <v>24.1</v>
      </c>
      <c r="D229" s="138">
        <f t="shared" si="12"/>
        <v>2.2052586938083207E-2</v>
      </c>
    </row>
    <row r="230" spans="2:4" x14ac:dyDescent="0.25">
      <c r="B230" s="12">
        <v>43808</v>
      </c>
      <c r="C230" s="18">
        <v>23.58</v>
      </c>
      <c r="D230" s="138">
        <f t="shared" si="12"/>
        <v>0.10289995804022234</v>
      </c>
    </row>
    <row r="231" spans="2:4" x14ac:dyDescent="0.25">
      <c r="B231" s="12">
        <v>43801</v>
      </c>
      <c r="C231" s="18">
        <v>21.379999000000002</v>
      </c>
      <c r="D231" s="138">
        <f t="shared" si="12"/>
        <v>4.6991539145135874E-3</v>
      </c>
    </row>
    <row r="232" spans="2:4" x14ac:dyDescent="0.25">
      <c r="B232" s="12">
        <v>43794</v>
      </c>
      <c r="C232" s="18">
        <v>21.280000999999999</v>
      </c>
      <c r="D232" s="138">
        <f t="shared" si="12"/>
        <v>-1.7543813481071147E-2</v>
      </c>
    </row>
    <row r="233" spans="2:4" x14ac:dyDescent="0.25">
      <c r="B233" s="12">
        <v>43787</v>
      </c>
      <c r="C233" s="18">
        <v>21.66</v>
      </c>
      <c r="D233" s="138">
        <f t="shared" si="12"/>
        <v>-9.1491761596900201E-3</v>
      </c>
    </row>
    <row r="234" spans="2:4" x14ac:dyDescent="0.25">
      <c r="B234" s="12">
        <v>43780</v>
      </c>
      <c r="C234" s="18">
        <v>21.860001</v>
      </c>
      <c r="D234" s="138">
        <f t="shared" si="12"/>
        <v>-1.4871563097270668E-2</v>
      </c>
    </row>
    <row r="235" spans="2:4" x14ac:dyDescent="0.25">
      <c r="B235" s="12">
        <v>43773</v>
      </c>
      <c r="C235" s="18">
        <v>22.190000999999999</v>
      </c>
      <c r="D235" s="138">
        <f t="shared" si="12"/>
        <v>4.509017132552362E-4</v>
      </c>
    </row>
    <row r="236" spans="2:4" x14ac:dyDescent="0.25">
      <c r="B236" s="12">
        <v>43766</v>
      </c>
      <c r="C236" s="18">
        <v>22.18</v>
      </c>
      <c r="D236" s="138">
        <f t="shared" si="12"/>
        <v>-1.1586496809870894E-2</v>
      </c>
    </row>
    <row r="237" spans="2:4" x14ac:dyDescent="0.25">
      <c r="B237" s="12">
        <v>43759</v>
      </c>
      <c r="C237" s="18">
        <v>22.440000999999999</v>
      </c>
      <c r="D237" s="138">
        <f t="shared" si="12"/>
        <v>0.10596352360948624</v>
      </c>
    </row>
    <row r="238" spans="2:4" x14ac:dyDescent="0.25">
      <c r="B238" s="12">
        <v>43752</v>
      </c>
      <c r="C238" s="18">
        <v>20.290001</v>
      </c>
      <c r="D238" s="138">
        <f t="shared" si="12"/>
        <v>-4.9251233953262474E-4</v>
      </c>
    </row>
    <row r="239" spans="2:4" x14ac:dyDescent="0.25">
      <c r="B239" s="12">
        <v>43745</v>
      </c>
      <c r="C239" s="18">
        <v>20.299999</v>
      </c>
      <c r="D239" s="138">
        <f t="shared" si="12"/>
        <v>4.4776067936181052E-2</v>
      </c>
    </row>
    <row r="240" spans="2:4" x14ac:dyDescent="0.25">
      <c r="B240" s="12">
        <v>43738</v>
      </c>
      <c r="C240" s="18">
        <v>19.43</v>
      </c>
      <c r="D240" s="138">
        <f t="shared" si="12"/>
        <v>1.4621409921671047E-2</v>
      </c>
    </row>
    <row r="241" spans="2:4" x14ac:dyDescent="0.25">
      <c r="B241" s="12">
        <v>43731</v>
      </c>
      <c r="C241" s="18">
        <v>19.149999999999999</v>
      </c>
      <c r="D241" s="138">
        <f t="shared" si="12"/>
        <v>-7.9326878813792301E-2</v>
      </c>
    </row>
    <row r="242" spans="2:4" x14ac:dyDescent="0.25">
      <c r="B242" s="12">
        <v>43724</v>
      </c>
      <c r="C242" s="18">
        <v>20.799999</v>
      </c>
      <c r="D242" s="138">
        <f t="shared" si="12"/>
        <v>-4.1032824295397674E-2</v>
      </c>
    </row>
    <row r="243" spans="2:4" x14ac:dyDescent="0.25">
      <c r="B243" s="12">
        <v>43717</v>
      </c>
      <c r="C243" s="18">
        <v>21.690000999999999</v>
      </c>
      <c r="D243" s="138">
        <f t="shared" si="12"/>
        <v>3.5322194018033715E-2</v>
      </c>
    </row>
    <row r="244" spans="2:4" x14ac:dyDescent="0.25">
      <c r="B244" s="12">
        <v>43710</v>
      </c>
      <c r="C244" s="18">
        <v>20.950001</v>
      </c>
      <c r="D244" s="138">
        <f t="shared" si="12"/>
        <v>7.2116349620978681E-3</v>
      </c>
    </row>
    <row r="245" spans="2:4" x14ac:dyDescent="0.25">
      <c r="B245" s="12">
        <v>43703</v>
      </c>
      <c r="C245" s="18">
        <v>20.799999</v>
      </c>
      <c r="D245" s="138">
        <f t="shared" si="12"/>
        <v>5.7447839349262786E-2</v>
      </c>
    </row>
    <row r="246" spans="2:4" x14ac:dyDescent="0.25">
      <c r="B246" s="12">
        <v>43696</v>
      </c>
      <c r="C246" s="18">
        <v>19.670000000000002</v>
      </c>
      <c r="D246" s="138">
        <f t="shared" si="12"/>
        <v>-1.8463122831181455E-2</v>
      </c>
    </row>
    <row r="247" spans="2:4" x14ac:dyDescent="0.25">
      <c r="B247" s="12">
        <v>43689</v>
      </c>
      <c r="C247" s="18">
        <v>20.040001</v>
      </c>
      <c r="D247" s="138">
        <f t="shared" si="12"/>
        <v>-5.4590074441686065E-3</v>
      </c>
    </row>
    <row r="248" spans="2:4" x14ac:dyDescent="0.25">
      <c r="B248" s="12">
        <v>43682</v>
      </c>
      <c r="C248" s="18">
        <v>20.149999999999999</v>
      </c>
      <c r="D248" s="138">
        <f t="shared" si="12"/>
        <v>-3.8186203427866272E-2</v>
      </c>
    </row>
    <row r="249" spans="2:4" x14ac:dyDescent="0.25">
      <c r="B249" s="12">
        <v>43675</v>
      </c>
      <c r="C249" s="18">
        <v>20.950001</v>
      </c>
      <c r="D249" s="138">
        <f t="shared" si="12"/>
        <v>-0.12562596517637581</v>
      </c>
    </row>
    <row r="250" spans="2:4" x14ac:dyDescent="0.25">
      <c r="B250" s="12">
        <v>43668</v>
      </c>
      <c r="C250" s="18">
        <v>23.959999</v>
      </c>
      <c r="D250" s="138">
        <f t="shared" si="12"/>
        <v>-1.8837059787059851E-2</v>
      </c>
    </row>
    <row r="251" spans="2:4" x14ac:dyDescent="0.25">
      <c r="B251" s="12">
        <v>43661</v>
      </c>
      <c r="C251" s="18">
        <v>24.42</v>
      </c>
      <c r="D251" s="138">
        <f t="shared" si="12"/>
        <v>2.8210526315789464E-2</v>
      </c>
    </row>
    <row r="252" spans="2:4" x14ac:dyDescent="0.25">
      <c r="B252" s="12">
        <v>43654</v>
      </c>
      <c r="C252" s="18">
        <v>23.75</v>
      </c>
      <c r="D252" s="138">
        <f t="shared" si="12"/>
        <v>9.3497233595527529E-3</v>
      </c>
    </row>
    <row r="253" spans="2:4" x14ac:dyDescent="0.25">
      <c r="B253" s="12">
        <v>43647</v>
      </c>
      <c r="C253" s="18">
        <v>23.530000999999999</v>
      </c>
      <c r="D253" s="138">
        <f t="shared" si="12"/>
        <v>8.3333429251078561E-2</v>
      </c>
    </row>
    <row r="254" spans="2:4" x14ac:dyDescent="0.25">
      <c r="B254" s="12">
        <v>43640</v>
      </c>
      <c r="C254" s="18">
        <v>21.719999000000001</v>
      </c>
      <c r="D254" s="138">
        <f t="shared" si="12"/>
        <v>4.6252541801456992E-3</v>
      </c>
    </row>
    <row r="255" spans="2:4" x14ac:dyDescent="0.25">
      <c r="B255" s="12">
        <v>43633</v>
      </c>
      <c r="C255" s="18">
        <v>21.620000999999998</v>
      </c>
      <c r="D255" s="138">
        <f t="shared" si="12"/>
        <v>7.8842311435014301E-2</v>
      </c>
    </row>
    <row r="256" spans="2:4" x14ac:dyDescent="0.25">
      <c r="B256" s="12">
        <v>43626</v>
      </c>
      <c r="C256" s="18">
        <v>20.040001</v>
      </c>
      <c r="D256" s="138">
        <f t="shared" si="12"/>
        <v>3.4589569716594326E-2</v>
      </c>
    </row>
    <row r="257" spans="2:4" x14ac:dyDescent="0.25">
      <c r="B257" s="12">
        <v>43619</v>
      </c>
      <c r="C257" s="18">
        <v>19.370000999999998</v>
      </c>
      <c r="D257" s="138">
        <f t="shared" si="12"/>
        <v>3.6270468200541028E-3</v>
      </c>
    </row>
    <row r="258" spans="2:4" x14ac:dyDescent="0.25">
      <c r="B258" s="12">
        <v>43612</v>
      </c>
      <c r="C258" s="18">
        <v>19.299999</v>
      </c>
      <c r="D258" s="138">
        <f t="shared" si="12"/>
        <v>-6.082725356823615E-2</v>
      </c>
    </row>
    <row r="259" spans="2:4" x14ac:dyDescent="0.25">
      <c r="B259" s="12">
        <v>43605</v>
      </c>
      <c r="C259" s="18">
        <v>20.549999</v>
      </c>
      <c r="D259" s="138">
        <f t="shared" ref="D259:D322" si="13">C259/C260-1</f>
        <v>2.9282088823816554E-3</v>
      </c>
    </row>
    <row r="260" spans="2:4" x14ac:dyDescent="0.25">
      <c r="B260" s="12">
        <v>43598</v>
      </c>
      <c r="C260" s="18">
        <v>20.49</v>
      </c>
      <c r="D260" s="138">
        <f t="shared" si="13"/>
        <v>-7.7857744278026386E-2</v>
      </c>
    </row>
    <row r="261" spans="2:4" x14ac:dyDescent="0.25">
      <c r="B261" s="12">
        <v>43591</v>
      </c>
      <c r="C261" s="18">
        <v>22.219999000000001</v>
      </c>
      <c r="D261" s="138">
        <f t="shared" si="13"/>
        <v>-0.12277935254638761</v>
      </c>
    </row>
    <row r="262" spans="2:4" x14ac:dyDescent="0.25">
      <c r="B262" s="12">
        <v>43584</v>
      </c>
      <c r="C262" s="18">
        <v>25.33</v>
      </c>
      <c r="D262" s="138">
        <f t="shared" si="13"/>
        <v>-4.8459840403462073E-2</v>
      </c>
    </row>
    <row r="263" spans="2:4" x14ac:dyDescent="0.25">
      <c r="B263" s="12">
        <v>43577</v>
      </c>
      <c r="C263" s="18">
        <v>26.620000999999998</v>
      </c>
      <c r="D263" s="138">
        <f t="shared" si="13"/>
        <v>3.2183015425241601E-2</v>
      </c>
    </row>
    <row r="264" spans="2:4" x14ac:dyDescent="0.25">
      <c r="B264" s="12">
        <v>43570</v>
      </c>
      <c r="C264" s="18">
        <v>25.790001</v>
      </c>
      <c r="D264" s="138">
        <f t="shared" si="13"/>
        <v>5.0662899454403387E-3</v>
      </c>
    </row>
    <row r="265" spans="2:4" x14ac:dyDescent="0.25">
      <c r="B265" s="12">
        <v>43563</v>
      </c>
      <c r="C265" s="18">
        <v>25.66</v>
      </c>
      <c r="D265" s="138">
        <f t="shared" si="13"/>
        <v>2.231075697211149E-2</v>
      </c>
    </row>
    <row r="266" spans="2:4" x14ac:dyDescent="0.25">
      <c r="B266" s="12">
        <v>43556</v>
      </c>
      <c r="C266" s="18">
        <v>25.1</v>
      </c>
      <c r="D266" s="138">
        <f t="shared" si="13"/>
        <v>0.11111111111111116</v>
      </c>
    </row>
    <row r="267" spans="2:4" x14ac:dyDescent="0.25">
      <c r="B267" s="12">
        <v>43549</v>
      </c>
      <c r="C267" s="18">
        <v>22.59</v>
      </c>
      <c r="D267" s="138">
        <f t="shared" si="13"/>
        <v>4.4865816611201925E-2</v>
      </c>
    </row>
    <row r="268" spans="2:4" x14ac:dyDescent="0.25">
      <c r="B268" s="12">
        <v>43542</v>
      </c>
      <c r="C268" s="18">
        <v>21.620000999999998</v>
      </c>
      <c r="D268" s="138">
        <f t="shared" si="13"/>
        <v>-4.6316674018526793E-2</v>
      </c>
    </row>
    <row r="269" spans="2:4" x14ac:dyDescent="0.25">
      <c r="B269" s="12">
        <v>43535</v>
      </c>
      <c r="C269" s="18">
        <v>22.67</v>
      </c>
      <c r="D269" s="138">
        <f t="shared" si="13"/>
        <v>1.1601963409192395E-2</v>
      </c>
    </row>
    <row r="270" spans="2:4" x14ac:dyDescent="0.25">
      <c r="B270" s="12">
        <v>43528</v>
      </c>
      <c r="C270" s="18">
        <v>22.41</v>
      </c>
      <c r="D270" s="138">
        <f t="shared" si="13"/>
        <v>-2.9870129870129936E-2</v>
      </c>
    </row>
    <row r="271" spans="2:4" x14ac:dyDescent="0.25">
      <c r="B271" s="12">
        <v>43521</v>
      </c>
      <c r="C271" s="18">
        <v>23.1</v>
      </c>
      <c r="D271" s="138">
        <f t="shared" si="13"/>
        <v>-2.6138238875979769E-2</v>
      </c>
    </row>
    <row r="272" spans="2:4" x14ac:dyDescent="0.25">
      <c r="B272" s="12">
        <v>43514</v>
      </c>
      <c r="C272" s="18">
        <v>23.719999000000001</v>
      </c>
      <c r="D272" s="138">
        <f t="shared" si="13"/>
        <v>9.10763109475623E-2</v>
      </c>
    </row>
    <row r="273" spans="2:4" x14ac:dyDescent="0.25">
      <c r="B273" s="12">
        <v>43507</v>
      </c>
      <c r="C273" s="18">
        <v>21.74</v>
      </c>
      <c r="D273" s="138">
        <f t="shared" si="13"/>
        <v>-9.1158154459518581E-3</v>
      </c>
    </row>
    <row r="274" spans="2:4" x14ac:dyDescent="0.25">
      <c r="B274" s="12">
        <v>43500</v>
      </c>
      <c r="C274" s="18">
        <v>21.940000999999999</v>
      </c>
      <c r="D274" s="138">
        <f t="shared" si="13"/>
        <v>-9.4807674943566678E-3</v>
      </c>
    </row>
    <row r="275" spans="2:4" x14ac:dyDescent="0.25">
      <c r="B275" s="12">
        <v>43493</v>
      </c>
      <c r="C275" s="18">
        <v>22.15</v>
      </c>
      <c r="D275" s="138">
        <f t="shared" si="13"/>
        <v>2.3567514952288038E-2</v>
      </c>
    </row>
    <row r="276" spans="2:4" x14ac:dyDescent="0.25">
      <c r="B276" s="12">
        <v>43486</v>
      </c>
      <c r="C276" s="18">
        <v>21.639999</v>
      </c>
      <c r="D276" s="138">
        <f t="shared" si="13"/>
        <v>2.0754621662517847E-2</v>
      </c>
    </row>
    <row r="277" spans="2:4" x14ac:dyDescent="0.25">
      <c r="B277" s="12">
        <v>43479</v>
      </c>
      <c r="C277" s="18">
        <v>21.200001</v>
      </c>
      <c r="D277" s="138">
        <f t="shared" si="13"/>
        <v>7.3417772151898708E-2</v>
      </c>
    </row>
    <row r="278" spans="2:4" x14ac:dyDescent="0.25">
      <c r="B278" s="12">
        <v>43472</v>
      </c>
      <c r="C278" s="18">
        <v>19.75</v>
      </c>
      <c r="D278" s="138">
        <f t="shared" si="13"/>
        <v>2.1199586349534671E-2</v>
      </c>
    </row>
    <row r="279" spans="2:4" x14ac:dyDescent="0.25">
      <c r="B279" s="12">
        <v>43465</v>
      </c>
      <c r="C279" s="18">
        <v>19.34</v>
      </c>
      <c r="D279" s="138">
        <f t="shared" si="13"/>
        <v>0.10388127853881279</v>
      </c>
    </row>
    <row r="280" spans="2:4" x14ac:dyDescent="0.25">
      <c r="B280" s="12">
        <v>43458</v>
      </c>
      <c r="C280" s="18">
        <v>17.52</v>
      </c>
      <c r="D280" s="138">
        <f t="shared" si="13"/>
        <v>4.910173358672254E-2</v>
      </c>
    </row>
    <row r="281" spans="2:4" x14ac:dyDescent="0.25">
      <c r="B281" s="12">
        <v>43451</v>
      </c>
      <c r="C281" s="18">
        <v>16.700001</v>
      </c>
      <c r="D281" s="138">
        <f t="shared" si="13"/>
        <v>-5.0056825938566418E-2</v>
      </c>
    </row>
    <row r="282" spans="2:4" x14ac:dyDescent="0.25">
      <c r="B282" s="12">
        <v>43444</v>
      </c>
      <c r="C282" s="18">
        <v>17.579999999999998</v>
      </c>
      <c r="D282" s="138">
        <f t="shared" si="13"/>
        <v>3.1690080299877854E-2</v>
      </c>
    </row>
    <row r="283" spans="2:4" x14ac:dyDescent="0.25">
      <c r="B283" s="12">
        <v>43437</v>
      </c>
      <c r="C283" s="18">
        <v>17.040001</v>
      </c>
      <c r="D283" s="138">
        <f t="shared" si="13"/>
        <v>-5.7000498063088045E-2</v>
      </c>
    </row>
    <row r="284" spans="2:4" x14ac:dyDescent="0.25">
      <c r="B284" s="12">
        <v>43430</v>
      </c>
      <c r="C284" s="18">
        <v>18.07</v>
      </c>
      <c r="D284" s="138">
        <f t="shared" si="13"/>
        <v>6.4820333813808695E-2</v>
      </c>
    </row>
    <row r="285" spans="2:4" x14ac:dyDescent="0.25">
      <c r="B285" s="12">
        <v>43423</v>
      </c>
      <c r="C285" s="18">
        <v>16.969999000000001</v>
      </c>
      <c r="D285" s="138">
        <f t="shared" si="13"/>
        <v>2.9550236406619135E-3</v>
      </c>
    </row>
    <row r="286" spans="2:4" x14ac:dyDescent="0.25">
      <c r="B286" s="12">
        <v>43416</v>
      </c>
      <c r="C286" s="18">
        <v>16.920000000000002</v>
      </c>
      <c r="D286" s="138">
        <f t="shared" si="13"/>
        <v>8.4615384615384759E-2</v>
      </c>
    </row>
    <row r="287" spans="2:4" x14ac:dyDescent="0.25">
      <c r="B287" s="12">
        <v>43409</v>
      </c>
      <c r="C287" s="18">
        <v>15.6</v>
      </c>
      <c r="D287" s="138">
        <f t="shared" si="13"/>
        <v>-0.16666662215099481</v>
      </c>
    </row>
    <row r="288" spans="2:4" x14ac:dyDescent="0.25">
      <c r="B288" s="12">
        <v>43402</v>
      </c>
      <c r="C288" s="18">
        <v>18.719999000000001</v>
      </c>
      <c r="D288" s="138">
        <f t="shared" si="13"/>
        <v>0.13180156397814002</v>
      </c>
    </row>
    <row r="289" spans="2:4" x14ac:dyDescent="0.25">
      <c r="B289" s="12">
        <v>43395</v>
      </c>
      <c r="C289" s="18">
        <v>16.540001</v>
      </c>
      <c r="D289" s="138">
        <f t="shared" si="13"/>
        <v>-6.9741278417250863E-2</v>
      </c>
    </row>
    <row r="290" spans="2:4" x14ac:dyDescent="0.25">
      <c r="B290" s="12">
        <v>43388</v>
      </c>
      <c r="C290" s="18">
        <v>17.780000999999999</v>
      </c>
      <c r="D290" s="138">
        <f t="shared" si="13"/>
        <v>-5.6263216560509588E-2</v>
      </c>
    </row>
    <row r="291" spans="2:4" x14ac:dyDescent="0.25">
      <c r="B291" s="12">
        <v>43381</v>
      </c>
      <c r="C291" s="18">
        <v>18.84</v>
      </c>
      <c r="D291" s="138">
        <f t="shared" si="13"/>
        <v>-4.9445005045408719E-2</v>
      </c>
    </row>
    <row r="292" spans="2:4" x14ac:dyDescent="0.25">
      <c r="B292" s="12">
        <v>43374</v>
      </c>
      <c r="C292" s="18">
        <v>19.82</v>
      </c>
      <c r="D292" s="138">
        <f t="shared" si="13"/>
        <v>-6.2884160756501051E-2</v>
      </c>
    </row>
    <row r="293" spans="2:4" x14ac:dyDescent="0.25">
      <c r="B293" s="12">
        <v>43367</v>
      </c>
      <c r="C293" s="18">
        <v>21.15</v>
      </c>
      <c r="D293" s="138">
        <f t="shared" si="13"/>
        <v>-4.1685545990031825E-2</v>
      </c>
    </row>
    <row r="294" spans="2:4" x14ac:dyDescent="0.25">
      <c r="B294" s="12">
        <v>43360</v>
      </c>
      <c r="C294" s="18">
        <v>22.07</v>
      </c>
      <c r="D294" s="138">
        <f t="shared" si="13"/>
        <v>5.9021113243761913E-2</v>
      </c>
    </row>
    <row r="295" spans="2:4" x14ac:dyDescent="0.25">
      <c r="B295" s="12">
        <v>43353</v>
      </c>
      <c r="C295" s="18">
        <v>20.84</v>
      </c>
      <c r="D295" s="138">
        <f t="shared" si="13"/>
        <v>-1.4191060273938461E-2</v>
      </c>
    </row>
    <row r="296" spans="2:4" x14ac:dyDescent="0.25">
      <c r="B296" s="12">
        <v>43346</v>
      </c>
      <c r="C296" s="18">
        <v>21.139999</v>
      </c>
      <c r="D296" s="138">
        <f t="shared" si="13"/>
        <v>-0.11474037331408604</v>
      </c>
    </row>
    <row r="297" spans="2:4" x14ac:dyDescent="0.25">
      <c r="B297" s="12">
        <v>43339</v>
      </c>
      <c r="C297" s="18">
        <v>23.879999000000002</v>
      </c>
      <c r="D297" s="138">
        <f t="shared" si="13"/>
        <v>1.5737941301573688E-2</v>
      </c>
    </row>
    <row r="298" spans="2:4" x14ac:dyDescent="0.25">
      <c r="B298" s="12">
        <v>43332</v>
      </c>
      <c r="C298" s="18">
        <v>23.51</v>
      </c>
      <c r="D298" s="138">
        <f t="shared" si="13"/>
        <v>6.3800904977375561E-2</v>
      </c>
    </row>
    <row r="299" spans="2:4" x14ac:dyDescent="0.25">
      <c r="B299" s="12">
        <v>43325</v>
      </c>
      <c r="C299" s="18">
        <v>22.1</v>
      </c>
      <c r="D299" s="138">
        <f t="shared" si="13"/>
        <v>-2.1257750221434724E-2</v>
      </c>
    </row>
    <row r="300" spans="2:4" x14ac:dyDescent="0.25">
      <c r="B300" s="12">
        <v>43318</v>
      </c>
      <c r="C300" s="18">
        <v>22.58</v>
      </c>
      <c r="D300" s="138">
        <f t="shared" si="13"/>
        <v>-4.5243128964059243E-2</v>
      </c>
    </row>
    <row r="301" spans="2:4" x14ac:dyDescent="0.25">
      <c r="B301" s="12">
        <v>43311</v>
      </c>
      <c r="C301" s="18">
        <v>23.65</v>
      </c>
      <c r="D301" s="138">
        <f t="shared" si="13"/>
        <v>-2.5144270403957281E-2</v>
      </c>
    </row>
    <row r="302" spans="2:4" x14ac:dyDescent="0.25">
      <c r="B302" s="12">
        <v>43304</v>
      </c>
      <c r="C302" s="18">
        <v>24.26</v>
      </c>
      <c r="D302" s="138">
        <f t="shared" si="13"/>
        <v>-3.6960985626283138E-3</v>
      </c>
    </row>
    <row r="303" spans="2:4" x14ac:dyDescent="0.25">
      <c r="B303" s="12">
        <v>43297</v>
      </c>
      <c r="C303" s="18">
        <v>24.35</v>
      </c>
      <c r="D303" s="138">
        <f t="shared" si="13"/>
        <v>-2.2480931352870326E-2</v>
      </c>
    </row>
    <row r="304" spans="2:4" x14ac:dyDescent="0.25">
      <c r="B304" s="12">
        <v>43290</v>
      </c>
      <c r="C304" s="18">
        <v>24.91</v>
      </c>
      <c r="D304" s="138">
        <f t="shared" si="13"/>
        <v>2.8180354267310914E-3</v>
      </c>
    </row>
    <row r="305" spans="2:4" x14ac:dyDescent="0.25">
      <c r="B305" s="12">
        <v>43283</v>
      </c>
      <c r="C305" s="18">
        <v>24.84</v>
      </c>
      <c r="D305" s="138">
        <f t="shared" si="13"/>
        <v>-0.11285714285714288</v>
      </c>
    </row>
    <row r="306" spans="2:4" x14ac:dyDescent="0.25">
      <c r="B306" s="12">
        <v>43276</v>
      </c>
      <c r="C306" s="18">
        <v>28</v>
      </c>
      <c r="D306" s="138">
        <f t="shared" si="13"/>
        <v>-6.3858241390839177E-2</v>
      </c>
    </row>
    <row r="307" spans="2:4" x14ac:dyDescent="0.25">
      <c r="B307" s="12">
        <v>43269</v>
      </c>
      <c r="C307" s="18">
        <v>29.91</v>
      </c>
      <c r="D307" s="138">
        <f t="shared" si="13"/>
        <v>7.070673162603569E-3</v>
      </c>
    </row>
    <row r="308" spans="2:4" x14ac:dyDescent="0.25">
      <c r="B308" s="12">
        <v>43262</v>
      </c>
      <c r="C308" s="18">
        <v>29.700001</v>
      </c>
      <c r="D308" s="138">
        <f t="shared" si="13"/>
        <v>1.686374367622312E-3</v>
      </c>
    </row>
    <row r="309" spans="2:4" x14ac:dyDescent="0.25">
      <c r="B309" s="12">
        <v>43255</v>
      </c>
      <c r="C309" s="18">
        <v>29.65</v>
      </c>
      <c r="D309" s="138">
        <f t="shared" si="13"/>
        <v>-8.2327481203111064E-2</v>
      </c>
    </row>
    <row r="310" spans="2:4" x14ac:dyDescent="0.25">
      <c r="B310" s="12">
        <v>43248</v>
      </c>
      <c r="C310" s="18">
        <v>32.310001</v>
      </c>
      <c r="D310" s="138">
        <f t="shared" si="13"/>
        <v>-4.621010616790322E-3</v>
      </c>
    </row>
    <row r="311" spans="2:4" x14ac:dyDescent="0.25">
      <c r="B311" s="12">
        <v>43241</v>
      </c>
      <c r="C311" s="18">
        <v>32.459999000000003</v>
      </c>
      <c r="D311" s="138">
        <f t="shared" si="13"/>
        <v>5.6984697394487194E-2</v>
      </c>
    </row>
    <row r="312" spans="2:4" x14ac:dyDescent="0.25">
      <c r="B312" s="12">
        <v>43234</v>
      </c>
      <c r="C312" s="18">
        <v>30.709999</v>
      </c>
      <c r="D312" s="138">
        <f t="shared" si="13"/>
        <v>-2.2597103755569781E-2</v>
      </c>
    </row>
    <row r="313" spans="2:4" x14ac:dyDescent="0.25">
      <c r="B313" s="12">
        <v>43227</v>
      </c>
      <c r="C313" s="18">
        <v>31.42</v>
      </c>
      <c r="D313" s="138">
        <f t="shared" si="13"/>
        <v>-3.6787217559387408E-2</v>
      </c>
    </row>
    <row r="314" spans="2:4" x14ac:dyDescent="0.25">
      <c r="B314" s="12">
        <v>43220</v>
      </c>
      <c r="C314" s="18">
        <v>32.619999</v>
      </c>
      <c r="D314" s="138">
        <f t="shared" si="13"/>
        <v>6.9157620452310553E-2</v>
      </c>
    </row>
    <row r="315" spans="2:4" x14ac:dyDescent="0.25">
      <c r="B315" s="12">
        <v>43213</v>
      </c>
      <c r="C315" s="18">
        <v>30.51</v>
      </c>
      <c r="D315" s="138">
        <f t="shared" si="13"/>
        <v>-2.8653295128939771E-2</v>
      </c>
    </row>
    <row r="316" spans="2:4" x14ac:dyDescent="0.25">
      <c r="B316" s="12">
        <v>43206</v>
      </c>
      <c r="C316" s="18">
        <v>31.41</v>
      </c>
      <c r="D316" s="138">
        <f t="shared" si="13"/>
        <v>1.6833959755065075E-2</v>
      </c>
    </row>
    <row r="317" spans="2:4" x14ac:dyDescent="0.25">
      <c r="B317" s="12">
        <v>43199</v>
      </c>
      <c r="C317" s="18">
        <v>30.889999</v>
      </c>
      <c r="D317" s="138">
        <f t="shared" si="13"/>
        <v>8.8826151257449748E-2</v>
      </c>
    </row>
    <row r="318" spans="2:4" x14ac:dyDescent="0.25">
      <c r="B318" s="12">
        <v>43192</v>
      </c>
      <c r="C318" s="18">
        <v>28.370000999999998</v>
      </c>
      <c r="D318" s="138">
        <f t="shared" si="13"/>
        <v>-2.1048964803312642E-2</v>
      </c>
    </row>
    <row r="319" spans="2:4" x14ac:dyDescent="0.25">
      <c r="B319" s="12">
        <v>43185</v>
      </c>
      <c r="C319" s="18">
        <v>28.98</v>
      </c>
      <c r="D319" s="138">
        <f t="shared" si="13"/>
        <v>6.819023472872221E-2</v>
      </c>
    </row>
    <row r="320" spans="2:4" x14ac:dyDescent="0.25">
      <c r="B320" s="12">
        <v>43178</v>
      </c>
      <c r="C320" s="18">
        <v>27.129999000000002</v>
      </c>
      <c r="D320" s="138">
        <f t="shared" si="13"/>
        <v>-1.1657631633601673E-2</v>
      </c>
    </row>
    <row r="321" spans="2:4" x14ac:dyDescent="0.25">
      <c r="B321" s="12">
        <v>43171</v>
      </c>
      <c r="C321" s="18">
        <v>27.450001</v>
      </c>
      <c r="D321" s="138">
        <f t="shared" si="13"/>
        <v>-3.616569522471913E-2</v>
      </c>
    </row>
    <row r="322" spans="2:4" x14ac:dyDescent="0.25">
      <c r="B322" s="12">
        <v>43164</v>
      </c>
      <c r="C322" s="18">
        <v>28.48</v>
      </c>
      <c r="D322" s="138">
        <f t="shared" si="13"/>
        <v>7.4716981132075588E-2</v>
      </c>
    </row>
    <row r="323" spans="2:4" x14ac:dyDescent="0.25">
      <c r="B323" s="12">
        <v>43157</v>
      </c>
      <c r="C323" s="18">
        <v>26.5</v>
      </c>
      <c r="D323" s="138">
        <f t="shared" ref="D323:D386" si="14">C323/C324-1</f>
        <v>-6.2610541209762949E-2</v>
      </c>
    </row>
    <row r="324" spans="2:4" x14ac:dyDescent="0.25">
      <c r="B324" s="12">
        <v>43150</v>
      </c>
      <c r="C324" s="18">
        <v>28.27</v>
      </c>
      <c r="D324" s="138">
        <f t="shared" si="14"/>
        <v>4.6197940518761804E-3</v>
      </c>
    </row>
    <row r="325" spans="2:4" x14ac:dyDescent="0.25">
      <c r="B325" s="12">
        <v>43143</v>
      </c>
      <c r="C325" s="18">
        <v>28.139999</v>
      </c>
      <c r="D325" s="138">
        <f t="shared" si="14"/>
        <v>6.7931650853889858E-2</v>
      </c>
    </row>
    <row r="326" spans="2:4" x14ac:dyDescent="0.25">
      <c r="B326" s="12">
        <v>43136</v>
      </c>
      <c r="C326" s="18">
        <v>26.35</v>
      </c>
      <c r="D326" s="138">
        <f t="shared" si="14"/>
        <v>-8.602150537634401E-2</v>
      </c>
    </row>
    <row r="327" spans="2:4" x14ac:dyDescent="0.25">
      <c r="B327" s="12">
        <v>43129</v>
      </c>
      <c r="C327" s="18">
        <v>28.83</v>
      </c>
      <c r="D327" s="138">
        <f t="shared" si="14"/>
        <v>1.2644924926059842E-2</v>
      </c>
    </row>
    <row r="328" spans="2:4" x14ac:dyDescent="0.25">
      <c r="B328" s="12">
        <v>43122</v>
      </c>
      <c r="C328" s="18">
        <v>28.469999000000001</v>
      </c>
      <c r="D328" s="138">
        <f t="shared" si="14"/>
        <v>-2.3997291738087068E-2</v>
      </c>
    </row>
    <row r="329" spans="2:4" x14ac:dyDescent="0.25">
      <c r="B329" s="12">
        <v>43115</v>
      </c>
      <c r="C329" s="18">
        <v>29.17</v>
      </c>
      <c r="D329" s="138">
        <f t="shared" si="14"/>
        <v>7.9970381340244368E-2</v>
      </c>
    </row>
    <row r="330" spans="2:4" x14ac:dyDescent="0.25">
      <c r="B330" s="12">
        <v>43108</v>
      </c>
      <c r="C330" s="18">
        <v>27.01</v>
      </c>
      <c r="D330" s="138">
        <f t="shared" si="14"/>
        <v>-2.6666666666666616E-2</v>
      </c>
    </row>
    <row r="331" spans="2:4" x14ac:dyDescent="0.25">
      <c r="B331" s="12">
        <v>43101</v>
      </c>
      <c r="C331" s="18">
        <v>27.75</v>
      </c>
      <c r="D331" s="138">
        <f t="shared" si="14"/>
        <v>-4.4421520508900803E-2</v>
      </c>
    </row>
    <row r="332" spans="2:4" x14ac:dyDescent="0.25">
      <c r="B332" s="12">
        <v>43094</v>
      </c>
      <c r="C332" s="18">
        <v>29.040001</v>
      </c>
      <c r="D332" s="138">
        <f t="shared" si="14"/>
        <v>2.0379550962036141E-2</v>
      </c>
    </row>
    <row r="333" spans="2:4" x14ac:dyDescent="0.25">
      <c r="B333" s="12">
        <v>43087</v>
      </c>
      <c r="C333" s="18">
        <v>28.459999</v>
      </c>
      <c r="D333" s="138">
        <f t="shared" si="14"/>
        <v>5.2125695087826163E-2</v>
      </c>
    </row>
    <row r="334" spans="2:4" x14ac:dyDescent="0.25">
      <c r="B334" s="12">
        <v>43080</v>
      </c>
      <c r="C334" s="18">
        <v>27.049999</v>
      </c>
      <c r="D334" s="138">
        <f t="shared" si="14"/>
        <v>4.6421624758220537E-2</v>
      </c>
    </row>
    <row r="335" spans="2:4" x14ac:dyDescent="0.25">
      <c r="B335" s="12">
        <v>43073</v>
      </c>
      <c r="C335" s="18">
        <v>25.85</v>
      </c>
      <c r="D335" s="138">
        <f t="shared" si="14"/>
        <v>-2.673189106671281E-2</v>
      </c>
    </row>
    <row r="336" spans="2:4" x14ac:dyDescent="0.25">
      <c r="B336" s="12">
        <v>43066</v>
      </c>
      <c r="C336" s="18">
        <v>26.559999000000001</v>
      </c>
      <c r="D336" s="138">
        <f t="shared" si="14"/>
        <v>2.2641132075471582E-3</v>
      </c>
    </row>
    <row r="337" spans="2:4" x14ac:dyDescent="0.25">
      <c r="B337" s="12">
        <v>43059</v>
      </c>
      <c r="C337" s="18">
        <v>26.5</v>
      </c>
      <c r="D337" s="138">
        <f t="shared" si="14"/>
        <v>4.1257326473189471E-2</v>
      </c>
    </row>
    <row r="338" spans="2:4" x14ac:dyDescent="0.25">
      <c r="B338" s="12">
        <v>43052</v>
      </c>
      <c r="C338" s="18">
        <v>25.450001</v>
      </c>
      <c r="D338" s="138">
        <f t="shared" si="14"/>
        <v>9.9206345269589047E-3</v>
      </c>
    </row>
    <row r="339" spans="2:4" x14ac:dyDescent="0.25">
      <c r="B339" s="12">
        <v>43045</v>
      </c>
      <c r="C339" s="18">
        <v>25.200001</v>
      </c>
      <c r="D339" s="138">
        <f t="shared" si="14"/>
        <v>-2.7402508683905813E-2</v>
      </c>
    </row>
    <row r="340" spans="2:4" x14ac:dyDescent="0.25">
      <c r="B340" s="12">
        <v>43038</v>
      </c>
      <c r="C340" s="18">
        <v>25.91</v>
      </c>
      <c r="D340" s="138">
        <f t="shared" si="14"/>
        <v>0.11297246078297007</v>
      </c>
    </row>
    <row r="341" spans="2:4" x14ac:dyDescent="0.25">
      <c r="B341" s="12">
        <v>43031</v>
      </c>
      <c r="C341" s="18">
        <v>23.280000999999999</v>
      </c>
      <c r="D341" s="138">
        <f t="shared" si="14"/>
        <v>-2.6348766206608198E-2</v>
      </c>
    </row>
    <row r="342" spans="2:4" x14ac:dyDescent="0.25">
      <c r="B342" s="12">
        <v>43024</v>
      </c>
      <c r="C342" s="18">
        <v>23.91</v>
      </c>
      <c r="D342" s="138">
        <f t="shared" si="14"/>
        <v>8.860716925708223E-3</v>
      </c>
    </row>
    <row r="343" spans="2:4" x14ac:dyDescent="0.25">
      <c r="B343" s="12">
        <v>43017</v>
      </c>
      <c r="C343" s="18">
        <v>23.700001</v>
      </c>
      <c r="D343" s="138">
        <f t="shared" si="14"/>
        <v>5.5155282138310557E-3</v>
      </c>
    </row>
    <row r="344" spans="2:4" x14ac:dyDescent="0.25">
      <c r="B344" s="12">
        <v>43010</v>
      </c>
      <c r="C344" s="18">
        <v>23.57</v>
      </c>
      <c r="D344" s="138">
        <f t="shared" si="14"/>
        <v>-2.280269391365275E-2</v>
      </c>
    </row>
    <row r="345" spans="2:4" x14ac:dyDescent="0.25">
      <c r="B345" s="12">
        <v>43003</v>
      </c>
      <c r="C345" s="18">
        <v>24.120000999999998</v>
      </c>
      <c r="D345" s="138">
        <f t="shared" si="14"/>
        <v>2.5074372075037266E-2</v>
      </c>
    </row>
    <row r="346" spans="2:4" x14ac:dyDescent="0.25">
      <c r="B346" s="12">
        <v>42996</v>
      </c>
      <c r="C346" s="18">
        <v>23.530000999999999</v>
      </c>
      <c r="D346" s="138">
        <f t="shared" si="14"/>
        <v>4.1150486725663571E-2</v>
      </c>
    </row>
    <row r="347" spans="2:4" x14ac:dyDescent="0.25">
      <c r="B347" s="12">
        <v>42989</v>
      </c>
      <c r="C347" s="18">
        <v>22.6</v>
      </c>
      <c r="D347" s="138">
        <f t="shared" si="14"/>
        <v>-1.0507880910682998E-2</v>
      </c>
    </row>
    <row r="348" spans="2:4" x14ac:dyDescent="0.25">
      <c r="B348" s="12">
        <v>42982</v>
      </c>
      <c r="C348" s="18">
        <v>22.84</v>
      </c>
      <c r="D348" s="138">
        <f t="shared" si="14"/>
        <v>2.8828782485190052E-2</v>
      </c>
    </row>
    <row r="349" spans="2:4" x14ac:dyDescent="0.25">
      <c r="B349" s="12">
        <v>42975</v>
      </c>
      <c r="C349" s="18">
        <v>22.200001</v>
      </c>
      <c r="D349" s="138">
        <f t="shared" si="14"/>
        <v>6.4748249400479629E-2</v>
      </c>
    </row>
    <row r="350" spans="2:4" x14ac:dyDescent="0.25">
      <c r="B350" s="12">
        <v>42968</v>
      </c>
      <c r="C350" s="18">
        <v>20.85</v>
      </c>
      <c r="D350" s="138">
        <f t="shared" si="14"/>
        <v>1.0174467547212629E-2</v>
      </c>
    </row>
    <row r="351" spans="2:4" x14ac:dyDescent="0.25">
      <c r="B351" s="12">
        <v>42961</v>
      </c>
      <c r="C351" s="18">
        <v>20.639999</v>
      </c>
      <c r="D351" s="138">
        <f t="shared" si="14"/>
        <v>2.6865621890547198E-2</v>
      </c>
    </row>
    <row r="352" spans="2:4" x14ac:dyDescent="0.25">
      <c r="B352" s="12">
        <v>42954</v>
      </c>
      <c r="C352" s="18">
        <v>20.100000000000001</v>
      </c>
      <c r="D352" s="138">
        <f t="shared" si="14"/>
        <v>-6.9169960474306791E-3</v>
      </c>
    </row>
    <row r="353" spans="2:4" x14ac:dyDescent="0.25">
      <c r="B353" s="12">
        <v>42947</v>
      </c>
      <c r="C353" s="18">
        <v>20.239999999999998</v>
      </c>
      <c r="D353" s="138">
        <f t="shared" si="14"/>
        <v>-3.9370078740158521E-3</v>
      </c>
    </row>
    <row r="354" spans="2:4" x14ac:dyDescent="0.25">
      <c r="B354" s="12">
        <v>42940</v>
      </c>
      <c r="C354" s="18">
        <v>20.32</v>
      </c>
      <c r="D354" s="138">
        <f t="shared" si="14"/>
        <v>-6.6176470588235392E-2</v>
      </c>
    </row>
    <row r="355" spans="2:4" x14ac:dyDescent="0.25">
      <c r="B355" s="12">
        <v>42933</v>
      </c>
      <c r="C355" s="18">
        <v>21.76</v>
      </c>
      <c r="D355" s="138">
        <f t="shared" si="14"/>
        <v>2.6415045923818603E-2</v>
      </c>
    </row>
    <row r="356" spans="2:4" x14ac:dyDescent="0.25">
      <c r="B356" s="12">
        <v>42926</v>
      </c>
      <c r="C356" s="18">
        <v>21.200001</v>
      </c>
      <c r="D356" s="138">
        <f t="shared" si="14"/>
        <v>-2.2140175276752716E-2</v>
      </c>
    </row>
    <row r="357" spans="2:4" x14ac:dyDescent="0.25">
      <c r="B357" s="12">
        <v>42919</v>
      </c>
      <c r="C357" s="18">
        <v>21.68</v>
      </c>
      <c r="D357" s="138">
        <f t="shared" si="14"/>
        <v>-3.4298483995613194E-2</v>
      </c>
    </row>
    <row r="358" spans="2:4" x14ac:dyDescent="0.25">
      <c r="B358" s="12">
        <v>42912</v>
      </c>
      <c r="C358" s="18">
        <v>22.450001</v>
      </c>
      <c r="D358" s="138">
        <f t="shared" si="14"/>
        <v>-4.5898850578034334E-2</v>
      </c>
    </row>
    <row r="359" spans="2:4" x14ac:dyDescent="0.25">
      <c r="B359" s="12">
        <v>42905</v>
      </c>
      <c r="C359" s="18">
        <v>23.530000999999999</v>
      </c>
      <c r="D359" s="138">
        <f t="shared" si="14"/>
        <v>3.6563875041238925E-2</v>
      </c>
    </row>
    <row r="360" spans="2:4" x14ac:dyDescent="0.25">
      <c r="B360" s="12">
        <v>42898</v>
      </c>
      <c r="C360" s="18">
        <v>22.700001</v>
      </c>
      <c r="D360" s="138">
        <f t="shared" si="14"/>
        <v>7.5454945607860147E-3</v>
      </c>
    </row>
    <row r="361" spans="2:4" x14ac:dyDescent="0.25">
      <c r="B361" s="12">
        <v>42891</v>
      </c>
      <c r="C361" s="18">
        <v>22.530000999999999</v>
      </c>
      <c r="D361" s="138">
        <f t="shared" si="14"/>
        <v>3.5634742287984356E-3</v>
      </c>
    </row>
    <row r="362" spans="2:4" x14ac:dyDescent="0.25">
      <c r="B362" s="12">
        <v>42884</v>
      </c>
      <c r="C362" s="18">
        <v>22.450001</v>
      </c>
      <c r="D362" s="138">
        <f t="shared" si="14"/>
        <v>2.2779042242412562E-2</v>
      </c>
    </row>
    <row r="363" spans="2:4" x14ac:dyDescent="0.25">
      <c r="B363" s="12">
        <v>42877</v>
      </c>
      <c r="C363" s="18">
        <v>21.950001</v>
      </c>
      <c r="D363" s="138">
        <f t="shared" si="14"/>
        <v>4.0284407582938275E-2</v>
      </c>
    </row>
    <row r="364" spans="2:4" x14ac:dyDescent="0.25">
      <c r="B364" s="12">
        <v>42870</v>
      </c>
      <c r="C364" s="18">
        <v>21.1</v>
      </c>
      <c r="D364" s="138">
        <f t="shared" si="14"/>
        <v>-4.4384057971014301E-2</v>
      </c>
    </row>
    <row r="365" spans="2:4" x14ac:dyDescent="0.25">
      <c r="B365" s="12">
        <v>42863</v>
      </c>
      <c r="C365" s="18">
        <v>22.08</v>
      </c>
      <c r="D365" s="138">
        <f t="shared" si="14"/>
        <v>-1.1638316920322356E-2</v>
      </c>
    </row>
    <row r="366" spans="2:4" x14ac:dyDescent="0.25">
      <c r="B366" s="12">
        <v>42856</v>
      </c>
      <c r="C366" s="18">
        <v>22.34</v>
      </c>
      <c r="D366" s="138">
        <f t="shared" si="14"/>
        <v>1.7767607390997364E-2</v>
      </c>
    </row>
    <row r="367" spans="2:4" x14ac:dyDescent="0.25">
      <c r="B367" s="12">
        <v>42849</v>
      </c>
      <c r="C367" s="18">
        <v>21.950001</v>
      </c>
      <c r="D367" s="138">
        <f t="shared" si="14"/>
        <v>6.8126621320030223E-2</v>
      </c>
    </row>
    <row r="368" spans="2:4" x14ac:dyDescent="0.25">
      <c r="B368" s="12">
        <v>42842</v>
      </c>
      <c r="C368" s="18">
        <v>20.549999</v>
      </c>
      <c r="D368" s="138">
        <f t="shared" si="14"/>
        <v>3.840313095486958E-2</v>
      </c>
    </row>
    <row r="369" spans="2:4" x14ac:dyDescent="0.25">
      <c r="B369" s="12">
        <v>42835</v>
      </c>
      <c r="C369" s="18">
        <v>19.790001</v>
      </c>
      <c r="D369" s="138">
        <f t="shared" si="14"/>
        <v>1.8528100874935616E-2</v>
      </c>
    </row>
    <row r="370" spans="2:4" x14ac:dyDescent="0.25">
      <c r="B370" s="12">
        <v>42828</v>
      </c>
      <c r="C370" s="18">
        <v>19.43</v>
      </c>
      <c r="D370" s="138">
        <f t="shared" si="14"/>
        <v>4.8004258467947203E-2</v>
      </c>
    </row>
    <row r="371" spans="2:4" x14ac:dyDescent="0.25">
      <c r="B371" s="12">
        <v>42821</v>
      </c>
      <c r="C371" s="18">
        <v>18.540001</v>
      </c>
      <c r="D371" s="138">
        <f t="shared" si="14"/>
        <v>-9.6152782914145085E-3</v>
      </c>
    </row>
    <row r="372" spans="2:4" x14ac:dyDescent="0.25">
      <c r="B372" s="12">
        <v>42814</v>
      </c>
      <c r="C372" s="18">
        <v>18.719999000000001</v>
      </c>
      <c r="D372" s="138">
        <f t="shared" si="14"/>
        <v>9.1644209792141051E-3</v>
      </c>
    </row>
    <row r="373" spans="2:4" x14ac:dyDescent="0.25">
      <c r="B373" s="12">
        <v>42807</v>
      </c>
      <c r="C373" s="18">
        <v>18.549999</v>
      </c>
      <c r="D373" s="138">
        <f t="shared" si="14"/>
        <v>0.12424236363636365</v>
      </c>
    </row>
    <row r="374" spans="2:4" x14ac:dyDescent="0.25">
      <c r="B374" s="12">
        <v>42800</v>
      </c>
      <c r="C374" s="18">
        <v>16.5</v>
      </c>
      <c r="D374" s="138">
        <f t="shared" si="14"/>
        <v>-2.6548729997125098E-2</v>
      </c>
    </row>
    <row r="375" spans="2:4" x14ac:dyDescent="0.25">
      <c r="B375" s="12">
        <v>42793</v>
      </c>
      <c r="C375" s="18">
        <v>16.950001</v>
      </c>
      <c r="D375" s="138">
        <f t="shared" si="14"/>
        <v>5.5417313537815316E-2</v>
      </c>
    </row>
    <row r="376" spans="2:4" x14ac:dyDescent="0.25">
      <c r="B376" s="12">
        <v>42786</v>
      </c>
      <c r="C376" s="18">
        <v>16.059999000000001</v>
      </c>
      <c r="D376" s="138">
        <f t="shared" si="14"/>
        <v>-5.4738140082401299E-2</v>
      </c>
    </row>
    <row r="377" spans="2:4" x14ac:dyDescent="0.25">
      <c r="B377" s="12">
        <v>42779</v>
      </c>
      <c r="C377" s="18">
        <v>16.989999999999998</v>
      </c>
      <c r="D377" s="138">
        <f t="shared" si="14"/>
        <v>6.5166473054885099E-3</v>
      </c>
    </row>
    <row r="378" spans="2:4" x14ac:dyDescent="0.25">
      <c r="B378" s="12">
        <v>42772</v>
      </c>
      <c r="C378" s="18">
        <v>16.879999000000002</v>
      </c>
      <c r="D378" s="138">
        <f t="shared" si="14"/>
        <v>2.8014555420219134E-2</v>
      </c>
    </row>
    <row r="379" spans="2:4" x14ac:dyDescent="0.25">
      <c r="B379" s="12">
        <v>42765</v>
      </c>
      <c r="C379" s="18">
        <v>16.420000000000002</v>
      </c>
      <c r="D379" s="138">
        <f t="shared" si="14"/>
        <v>-4.8667439165701043E-2</v>
      </c>
    </row>
    <row r="380" spans="2:4" x14ac:dyDescent="0.25">
      <c r="B380" s="12">
        <v>42758</v>
      </c>
      <c r="C380" s="18">
        <v>17.260000000000002</v>
      </c>
      <c r="D380" s="138">
        <f t="shared" si="14"/>
        <v>4.2900365129931561E-2</v>
      </c>
    </row>
    <row r="381" spans="2:4" x14ac:dyDescent="0.25">
      <c r="B381" s="12">
        <v>42751</v>
      </c>
      <c r="C381" s="18">
        <v>16.549999</v>
      </c>
      <c r="D381" s="138">
        <f t="shared" si="14"/>
        <v>-4.2245483666349282E-2</v>
      </c>
    </row>
    <row r="382" spans="2:4" x14ac:dyDescent="0.25">
      <c r="B382" s="12">
        <v>42744</v>
      </c>
      <c r="C382" s="18">
        <v>17.280000999999999</v>
      </c>
      <c r="D382" s="138">
        <f t="shared" si="14"/>
        <v>9.0220883280756947E-2</v>
      </c>
    </row>
    <row r="383" spans="2:4" x14ac:dyDescent="0.25">
      <c r="B383" s="12">
        <v>42737</v>
      </c>
      <c r="C383" s="18">
        <v>15.85</v>
      </c>
      <c r="D383" s="138">
        <f t="shared" si="14"/>
        <v>-3.1446540880503138E-3</v>
      </c>
    </row>
    <row r="384" spans="2:4" x14ac:dyDescent="0.25">
      <c r="B384" s="12">
        <v>42730</v>
      </c>
      <c r="C384" s="18">
        <v>15.9</v>
      </c>
      <c r="D384" s="138">
        <f t="shared" si="14"/>
        <v>1.40306122448981E-2</v>
      </c>
    </row>
    <row r="385" spans="2:4" x14ac:dyDescent="0.25">
      <c r="B385" s="12">
        <v>42723</v>
      </c>
      <c r="C385" s="18">
        <v>15.68</v>
      </c>
      <c r="D385" s="138">
        <f t="shared" si="14"/>
        <v>-2.669155638165388E-2</v>
      </c>
    </row>
    <row r="386" spans="2:4" x14ac:dyDescent="0.25">
      <c r="B386" s="12">
        <v>42716</v>
      </c>
      <c r="C386" s="18">
        <v>16.110001</v>
      </c>
      <c r="D386" s="138">
        <f t="shared" si="14"/>
        <v>-5.4022310392113249E-2</v>
      </c>
    </row>
    <row r="387" spans="2:4" x14ac:dyDescent="0.25">
      <c r="B387" s="12">
        <v>42709</v>
      </c>
      <c r="C387" s="18">
        <v>17.030000999999999</v>
      </c>
      <c r="D387" s="138">
        <f t="shared" ref="D387:D450" si="15">C387/C388-1</f>
        <v>-9.318423358976391E-2</v>
      </c>
    </row>
    <row r="388" spans="2:4" x14ac:dyDescent="0.25">
      <c r="B388" s="12">
        <v>42702</v>
      </c>
      <c r="C388" s="18">
        <v>18.780000999999999</v>
      </c>
      <c r="D388" s="138">
        <f t="shared" si="15"/>
        <v>-2.6942902950409575E-2</v>
      </c>
    </row>
    <row r="389" spans="2:4" x14ac:dyDescent="0.25">
      <c r="B389" s="12">
        <v>42695</v>
      </c>
      <c r="C389" s="18">
        <v>19.299999</v>
      </c>
      <c r="D389" s="138">
        <f t="shared" si="15"/>
        <v>2.7688922913262859E-2</v>
      </c>
    </row>
    <row r="390" spans="2:4" x14ac:dyDescent="0.25">
      <c r="B390" s="12">
        <v>42688</v>
      </c>
      <c r="C390" s="18">
        <v>18.780000999999999</v>
      </c>
      <c r="D390" s="138">
        <f t="shared" si="15"/>
        <v>0.10340781433607504</v>
      </c>
    </row>
    <row r="391" spans="2:4" x14ac:dyDescent="0.25">
      <c r="B391" s="12">
        <v>42681</v>
      </c>
      <c r="C391" s="18">
        <v>17.02</v>
      </c>
      <c r="D391" s="138">
        <f t="shared" si="15"/>
        <v>-3.295454545454557E-2</v>
      </c>
    </row>
    <row r="392" spans="2:4" x14ac:dyDescent="0.25">
      <c r="B392" s="12">
        <v>42674</v>
      </c>
      <c r="C392" s="18">
        <v>17.600000000000001</v>
      </c>
      <c r="D392" s="138">
        <f t="shared" si="15"/>
        <v>4.1420118343195478E-2</v>
      </c>
    </row>
    <row r="393" spans="2:4" x14ac:dyDescent="0.25">
      <c r="B393" s="12">
        <v>42667</v>
      </c>
      <c r="C393" s="18">
        <v>16.899999999999999</v>
      </c>
      <c r="D393" s="138">
        <f t="shared" si="15"/>
        <v>3.2376235041158496E-2</v>
      </c>
    </row>
    <row r="394" spans="2:4" x14ac:dyDescent="0.25">
      <c r="B394" s="12">
        <v>42660</v>
      </c>
      <c r="C394" s="18">
        <v>16.370000999999998</v>
      </c>
      <c r="D394" s="138">
        <f t="shared" si="15"/>
        <v>5.476810567010304E-2</v>
      </c>
    </row>
    <row r="395" spans="2:4" x14ac:dyDescent="0.25">
      <c r="B395" s="12">
        <v>42653</v>
      </c>
      <c r="C395" s="18">
        <v>15.52</v>
      </c>
      <c r="D395" s="138">
        <f t="shared" si="15"/>
        <v>-6.7867867867867804E-2</v>
      </c>
    </row>
    <row r="396" spans="2:4" x14ac:dyDescent="0.25">
      <c r="B396" s="12">
        <v>42646</v>
      </c>
      <c r="C396" s="18">
        <v>16.649999999999999</v>
      </c>
      <c r="D396" s="138">
        <f t="shared" si="15"/>
        <v>3.351948891871559E-2</v>
      </c>
    </row>
    <row r="397" spans="2:4" x14ac:dyDescent="0.25">
      <c r="B397" s="12">
        <v>42639</v>
      </c>
      <c r="C397" s="18">
        <v>16.110001</v>
      </c>
      <c r="D397" s="138">
        <f t="shared" si="15"/>
        <v>1.5762988650693588E-2</v>
      </c>
    </row>
    <row r="398" spans="2:4" x14ac:dyDescent="0.25">
      <c r="B398" s="12">
        <v>42632</v>
      </c>
      <c r="C398" s="18">
        <v>15.86</v>
      </c>
      <c r="D398" s="138">
        <f t="shared" si="15"/>
        <v>4.4331855604813342E-3</v>
      </c>
    </row>
    <row r="399" spans="2:4" x14ac:dyDescent="0.25">
      <c r="B399" s="12">
        <v>42625</v>
      </c>
      <c r="C399" s="18">
        <v>15.79</v>
      </c>
      <c r="D399" s="138">
        <f t="shared" si="15"/>
        <v>2.4659312134977185E-2</v>
      </c>
    </row>
    <row r="400" spans="2:4" x14ac:dyDescent="0.25">
      <c r="B400" s="12">
        <v>42618</v>
      </c>
      <c r="C400" s="18">
        <v>15.41</v>
      </c>
      <c r="D400" s="138">
        <f t="shared" si="15"/>
        <v>9.2133238837703857E-2</v>
      </c>
    </row>
    <row r="401" spans="2:4" x14ac:dyDescent="0.25">
      <c r="B401" s="12">
        <v>42611</v>
      </c>
      <c r="C401" s="18">
        <v>14.11</v>
      </c>
      <c r="D401" s="138">
        <f t="shared" si="15"/>
        <v>8.1226053639846585E-2</v>
      </c>
    </row>
    <row r="402" spans="2:4" x14ac:dyDescent="0.25">
      <c r="B402" s="12">
        <v>42604</v>
      </c>
      <c r="C402" s="18">
        <v>13.05</v>
      </c>
      <c r="D402" s="138">
        <f t="shared" si="15"/>
        <v>-2.6119402985074647E-2</v>
      </c>
    </row>
    <row r="403" spans="2:4" x14ac:dyDescent="0.25">
      <c r="B403" s="12">
        <v>42597</v>
      </c>
      <c r="C403" s="18">
        <v>13.4</v>
      </c>
      <c r="D403" s="138">
        <f t="shared" si="15"/>
        <v>-9.152542372881356E-2</v>
      </c>
    </row>
    <row r="404" spans="2:4" x14ac:dyDescent="0.25">
      <c r="B404" s="12">
        <v>42590</v>
      </c>
      <c r="C404" s="18">
        <v>14.75</v>
      </c>
      <c r="D404" s="138">
        <f t="shared" si="15"/>
        <v>6.1915046796256146E-2</v>
      </c>
    </row>
    <row r="405" spans="2:4" x14ac:dyDescent="0.25">
      <c r="B405" s="12">
        <v>42583</v>
      </c>
      <c r="C405" s="18">
        <v>13.89</v>
      </c>
      <c r="D405" s="138">
        <f t="shared" si="15"/>
        <v>-5.0143266475645154E-3</v>
      </c>
    </row>
    <row r="406" spans="2:4" x14ac:dyDescent="0.25">
      <c r="B406" s="12">
        <v>42576</v>
      </c>
      <c r="C406" s="18">
        <v>13.96</v>
      </c>
      <c r="D406" s="138">
        <f t="shared" si="15"/>
        <v>9.5761381475667262E-2</v>
      </c>
    </row>
    <row r="407" spans="2:4" x14ac:dyDescent="0.25">
      <c r="B407" s="12">
        <v>42569</v>
      </c>
      <c r="C407" s="18">
        <v>12.74</v>
      </c>
      <c r="D407" s="138">
        <f t="shared" si="15"/>
        <v>2.6591458501208809E-2</v>
      </c>
    </row>
    <row r="408" spans="2:4" x14ac:dyDescent="0.25">
      <c r="B408" s="12">
        <v>42562</v>
      </c>
      <c r="C408" s="18">
        <v>12.41</v>
      </c>
      <c r="D408" s="138">
        <f t="shared" si="15"/>
        <v>3.8493723849372552E-2</v>
      </c>
    </row>
    <row r="409" spans="2:4" x14ac:dyDescent="0.25">
      <c r="B409" s="12">
        <v>42555</v>
      </c>
      <c r="C409" s="18">
        <v>11.95</v>
      </c>
      <c r="D409" s="138">
        <f t="shared" si="15"/>
        <v>-7.3643410852713309E-2</v>
      </c>
    </row>
    <row r="410" spans="2:4" x14ac:dyDescent="0.25">
      <c r="B410" s="12">
        <v>42548</v>
      </c>
      <c r="C410" s="18">
        <v>12.9</v>
      </c>
      <c r="D410" s="138">
        <f t="shared" si="15"/>
        <v>1.3354281225451681E-2</v>
      </c>
    </row>
    <row r="411" spans="2:4" x14ac:dyDescent="0.25">
      <c r="B411" s="12">
        <v>42541</v>
      </c>
      <c r="C411" s="18">
        <v>12.73</v>
      </c>
      <c r="D411" s="138">
        <f t="shared" si="15"/>
        <v>-9.9079971691436675E-2</v>
      </c>
    </row>
    <row r="412" spans="2:4" x14ac:dyDescent="0.25">
      <c r="B412" s="12">
        <v>42534</v>
      </c>
      <c r="C412" s="18">
        <v>14.13</v>
      </c>
      <c r="D412" s="138">
        <f t="shared" si="15"/>
        <v>2.9133284777858703E-2</v>
      </c>
    </row>
    <row r="413" spans="2:4" x14ac:dyDescent="0.25">
      <c r="B413" s="12">
        <v>42527</v>
      </c>
      <c r="C413" s="18">
        <v>13.73</v>
      </c>
      <c r="D413" s="138">
        <f t="shared" si="15"/>
        <v>-2.3470839260312903E-2</v>
      </c>
    </row>
    <row r="414" spans="2:4" x14ac:dyDescent="0.25">
      <c r="B414" s="12">
        <v>42520</v>
      </c>
      <c r="C414" s="18">
        <v>14.06</v>
      </c>
      <c r="D414" s="138">
        <f t="shared" si="15"/>
        <v>-4.5485403937542412E-2</v>
      </c>
    </row>
    <row r="415" spans="2:4" x14ac:dyDescent="0.25">
      <c r="B415" s="12">
        <v>42513</v>
      </c>
      <c r="C415" s="18">
        <v>14.73</v>
      </c>
      <c r="D415" s="138">
        <f t="shared" si="15"/>
        <v>3.0069930069930084E-2</v>
      </c>
    </row>
    <row r="416" spans="2:4" x14ac:dyDescent="0.25">
      <c r="B416" s="12">
        <v>42506</v>
      </c>
      <c r="C416" s="18">
        <v>14.3</v>
      </c>
      <c r="D416" s="138">
        <f t="shared" si="15"/>
        <v>-2.1887824897400709E-2</v>
      </c>
    </row>
    <row r="417" spans="2:4" x14ac:dyDescent="0.25">
      <c r="B417" s="12">
        <v>42499</v>
      </c>
      <c r="C417" s="18">
        <v>14.62</v>
      </c>
      <c r="D417" s="138">
        <f t="shared" si="15"/>
        <v>-1.8132975151108233E-2</v>
      </c>
    </row>
    <row r="418" spans="2:4" x14ac:dyDescent="0.25">
      <c r="B418" s="12">
        <v>42492</v>
      </c>
      <c r="C418" s="18">
        <v>14.89</v>
      </c>
      <c r="D418" s="138">
        <f t="shared" si="15"/>
        <v>6.0810810810809635E-3</v>
      </c>
    </row>
    <row r="419" spans="2:4" x14ac:dyDescent="0.25">
      <c r="B419" s="12">
        <v>42485</v>
      </c>
      <c r="C419" s="18">
        <v>14.8</v>
      </c>
      <c r="D419" s="138">
        <f t="shared" si="15"/>
        <v>-4.3927648578811374E-2</v>
      </c>
    </row>
    <row r="420" spans="2:4" x14ac:dyDescent="0.25">
      <c r="B420" s="12">
        <v>42478</v>
      </c>
      <c r="C420" s="18">
        <v>15.48</v>
      </c>
      <c r="D420" s="138">
        <f t="shared" si="15"/>
        <v>-6.7469879518072373E-2</v>
      </c>
    </row>
    <row r="421" spans="2:4" x14ac:dyDescent="0.25">
      <c r="B421" s="12">
        <v>42471</v>
      </c>
      <c r="C421" s="18">
        <v>16.600000000000001</v>
      </c>
      <c r="D421" s="138">
        <f t="shared" si="15"/>
        <v>5.8673469387755306E-2</v>
      </c>
    </row>
    <row r="422" spans="2:4" x14ac:dyDescent="0.25">
      <c r="B422" s="12">
        <v>42464</v>
      </c>
      <c r="C422" s="18">
        <v>15.68</v>
      </c>
      <c r="D422" s="138">
        <f t="shared" si="15"/>
        <v>-3.9804041641151144E-2</v>
      </c>
    </row>
    <row r="423" spans="2:4" x14ac:dyDescent="0.25">
      <c r="B423" s="12">
        <v>42457</v>
      </c>
      <c r="C423" s="18">
        <v>16.329999999999998</v>
      </c>
      <c r="D423" s="138">
        <f t="shared" si="15"/>
        <v>-1.5672091621458772E-2</v>
      </c>
    </row>
    <row r="424" spans="2:4" x14ac:dyDescent="0.25">
      <c r="B424" s="12">
        <v>42450</v>
      </c>
      <c r="C424" s="18">
        <v>16.59</v>
      </c>
      <c r="D424" s="138">
        <f t="shared" si="15"/>
        <v>-3.9374638100752701E-2</v>
      </c>
    </row>
    <row r="425" spans="2:4" x14ac:dyDescent="0.25">
      <c r="B425" s="12">
        <v>42443</v>
      </c>
      <c r="C425" s="18">
        <v>17.27</v>
      </c>
      <c r="D425" s="138">
        <f t="shared" si="15"/>
        <v>0.10989717223650386</v>
      </c>
    </row>
    <row r="426" spans="2:4" x14ac:dyDescent="0.25">
      <c r="B426" s="12">
        <v>42436</v>
      </c>
      <c r="C426" s="18">
        <v>15.56</v>
      </c>
      <c r="D426" s="138">
        <f t="shared" si="15"/>
        <v>-3.3540372670807561E-2</v>
      </c>
    </row>
    <row r="427" spans="2:4" x14ac:dyDescent="0.25">
      <c r="B427" s="12">
        <v>42429</v>
      </c>
      <c r="C427" s="18">
        <v>16.100000000000001</v>
      </c>
      <c r="D427" s="138">
        <f t="shared" si="15"/>
        <v>1.0037641154328814E-2</v>
      </c>
    </row>
    <row r="428" spans="2:4" x14ac:dyDescent="0.25">
      <c r="B428" s="12">
        <v>42422</v>
      </c>
      <c r="C428" s="18">
        <v>15.94</v>
      </c>
      <c r="D428" s="138">
        <f t="shared" si="15"/>
        <v>2.1794871794871717E-2</v>
      </c>
    </row>
    <row r="429" spans="2:4" x14ac:dyDescent="0.25">
      <c r="B429" s="12">
        <v>42415</v>
      </c>
      <c r="C429" s="18">
        <v>15.6</v>
      </c>
      <c r="D429" s="138">
        <f t="shared" si="15"/>
        <v>0.10014104372355437</v>
      </c>
    </row>
    <row r="430" spans="2:4" x14ac:dyDescent="0.25">
      <c r="B430" s="12">
        <v>42408</v>
      </c>
      <c r="C430" s="18">
        <v>14.18</v>
      </c>
      <c r="D430" s="138">
        <f t="shared" si="15"/>
        <v>5.3491827637444089E-2</v>
      </c>
    </row>
    <row r="431" spans="2:4" x14ac:dyDescent="0.25">
      <c r="B431" s="12">
        <v>42401</v>
      </c>
      <c r="C431" s="18">
        <v>13.46</v>
      </c>
      <c r="D431" s="138">
        <f t="shared" si="15"/>
        <v>-0.11679790026246717</v>
      </c>
    </row>
    <row r="432" spans="2:4" x14ac:dyDescent="0.25">
      <c r="B432" s="12">
        <v>42394</v>
      </c>
      <c r="C432" s="18">
        <v>15.24</v>
      </c>
      <c r="D432" s="138">
        <f t="shared" si="15"/>
        <v>9.4827586206896575E-2</v>
      </c>
    </row>
    <row r="433" spans="2:4" x14ac:dyDescent="0.25">
      <c r="B433" s="12">
        <v>42387</v>
      </c>
      <c r="C433" s="18">
        <v>13.92</v>
      </c>
      <c r="D433" s="138">
        <f t="shared" si="15"/>
        <v>-2.1784961349262111E-2</v>
      </c>
    </row>
    <row r="434" spans="2:4" x14ac:dyDescent="0.25">
      <c r="B434" s="12">
        <v>42380</v>
      </c>
      <c r="C434" s="18">
        <v>14.23</v>
      </c>
      <c r="D434" s="138">
        <f t="shared" si="15"/>
        <v>5.6537102473497303E-3</v>
      </c>
    </row>
    <row r="435" spans="2:4" x14ac:dyDescent="0.25">
      <c r="B435" s="12">
        <v>42373</v>
      </c>
      <c r="C435" s="18">
        <v>14.15</v>
      </c>
      <c r="D435" s="138">
        <f t="shared" si="15"/>
        <v>-0.15773804510345502</v>
      </c>
    </row>
    <row r="436" spans="2:4" x14ac:dyDescent="0.25">
      <c r="B436" s="12">
        <v>42366</v>
      </c>
      <c r="C436" s="18">
        <v>16.799999</v>
      </c>
      <c r="D436" s="138">
        <f t="shared" si="15"/>
        <v>-3.7249396146166402E-2</v>
      </c>
    </row>
    <row r="437" spans="2:4" x14ac:dyDescent="0.25">
      <c r="B437" s="12">
        <v>42359</v>
      </c>
      <c r="C437" s="18">
        <v>17.450001</v>
      </c>
      <c r="D437" s="138">
        <f t="shared" si="15"/>
        <v>6.9240257352941148E-2</v>
      </c>
    </row>
    <row r="438" spans="2:4" x14ac:dyDescent="0.25">
      <c r="B438" s="12">
        <v>42352</v>
      </c>
      <c r="C438" s="18">
        <v>16.32</v>
      </c>
      <c r="D438" s="138">
        <f t="shared" si="15"/>
        <v>7.7939233817701403E-2</v>
      </c>
    </row>
    <row r="439" spans="2:4" x14ac:dyDescent="0.25">
      <c r="B439" s="12">
        <v>42345</v>
      </c>
      <c r="C439" s="18">
        <v>15.14</v>
      </c>
      <c r="D439" s="138">
        <f t="shared" si="15"/>
        <v>-3.6895674300254422E-2</v>
      </c>
    </row>
    <row r="440" spans="2:4" x14ac:dyDescent="0.25">
      <c r="B440" s="12">
        <v>42338</v>
      </c>
      <c r="C440" s="18">
        <v>15.72</v>
      </c>
      <c r="D440" s="138">
        <f t="shared" si="15"/>
        <v>-1.9047619047618536E-3</v>
      </c>
    </row>
    <row r="441" spans="2:4" x14ac:dyDescent="0.25">
      <c r="B441" s="12">
        <v>42331</v>
      </c>
      <c r="C441" s="18">
        <v>15.75</v>
      </c>
      <c r="D441" s="138">
        <f t="shared" si="15"/>
        <v>-2.1739130434782705E-2</v>
      </c>
    </row>
    <row r="442" spans="2:4" x14ac:dyDescent="0.25">
      <c r="B442" s="12">
        <v>42324</v>
      </c>
      <c r="C442" s="18">
        <v>16.100000000000001</v>
      </c>
      <c r="D442" s="138">
        <f t="shared" si="15"/>
        <v>-6.1224489795918213E-2</v>
      </c>
    </row>
    <row r="443" spans="2:4" x14ac:dyDescent="0.25">
      <c r="B443" s="12">
        <v>42317</v>
      </c>
      <c r="C443" s="18">
        <v>17.149999999999999</v>
      </c>
      <c r="D443" s="138">
        <f t="shared" si="15"/>
        <v>-9.498685514581251E-2</v>
      </c>
    </row>
    <row r="444" spans="2:4" x14ac:dyDescent="0.25">
      <c r="B444" s="12">
        <v>42310</v>
      </c>
      <c r="C444" s="18">
        <v>18.950001</v>
      </c>
      <c r="D444" s="138">
        <f t="shared" si="15"/>
        <v>1.1745915643352811E-2</v>
      </c>
    </row>
    <row r="445" spans="2:4" x14ac:dyDescent="0.25">
      <c r="B445" s="12">
        <v>42303</v>
      </c>
      <c r="C445" s="18">
        <v>18.73</v>
      </c>
      <c r="D445" s="138">
        <f t="shared" si="15"/>
        <v>1.8488364246240563E-2</v>
      </c>
    </row>
    <row r="446" spans="2:4" x14ac:dyDescent="0.25">
      <c r="B446" s="12">
        <v>42296</v>
      </c>
      <c r="C446" s="18">
        <v>18.389999</v>
      </c>
      <c r="D446" s="138">
        <f t="shared" si="15"/>
        <v>-5.4353260869555164E-4</v>
      </c>
    </row>
    <row r="447" spans="2:4" x14ac:dyDescent="0.25">
      <c r="B447" s="12">
        <v>42289</v>
      </c>
      <c r="C447" s="18">
        <v>18.399999999999999</v>
      </c>
      <c r="D447" s="138">
        <f t="shared" si="15"/>
        <v>5.3837402854375771E-2</v>
      </c>
    </row>
    <row r="448" spans="2:4" x14ac:dyDescent="0.25">
      <c r="B448" s="12">
        <v>42282</v>
      </c>
      <c r="C448" s="18">
        <v>17.459999</v>
      </c>
      <c r="D448" s="138">
        <f t="shared" si="15"/>
        <v>0.12572527401676337</v>
      </c>
    </row>
    <row r="449" spans="2:4" x14ac:dyDescent="0.25">
      <c r="B449" s="12">
        <v>42275</v>
      </c>
      <c r="C449" s="18">
        <v>15.51</v>
      </c>
      <c r="D449" s="138">
        <f t="shared" si="15"/>
        <v>2.5793650793650924E-2</v>
      </c>
    </row>
    <row r="450" spans="2:4" x14ac:dyDescent="0.25">
      <c r="B450" s="12">
        <v>42268</v>
      </c>
      <c r="C450" s="18">
        <v>15.12</v>
      </c>
      <c r="D450" s="138">
        <f t="shared" si="15"/>
        <v>-0.14816901408450711</v>
      </c>
    </row>
    <row r="451" spans="2:4" x14ac:dyDescent="0.25">
      <c r="B451" s="12">
        <v>42261</v>
      </c>
      <c r="C451" s="18">
        <v>17.75</v>
      </c>
      <c r="D451" s="138">
        <f t="shared" ref="D451:D514" si="16">C451/C452-1</f>
        <v>5.1540346655233771E-2</v>
      </c>
    </row>
    <row r="452" spans="2:4" x14ac:dyDescent="0.25">
      <c r="B452" s="12">
        <v>42254</v>
      </c>
      <c r="C452" s="18">
        <v>16.879999000000002</v>
      </c>
      <c r="D452" s="138">
        <f t="shared" si="16"/>
        <v>-1.7741573033707159E-3</v>
      </c>
    </row>
    <row r="453" spans="2:4" x14ac:dyDescent="0.25">
      <c r="B453" s="12">
        <v>42247</v>
      </c>
      <c r="C453" s="18">
        <v>16.91</v>
      </c>
      <c r="D453" s="138">
        <f t="shared" si="16"/>
        <v>-7.1898961136057205E-2</v>
      </c>
    </row>
    <row r="454" spans="2:4" x14ac:dyDescent="0.25">
      <c r="B454" s="12">
        <v>42240</v>
      </c>
      <c r="C454" s="18">
        <v>18.219999000000001</v>
      </c>
      <c r="D454" s="138">
        <f t="shared" si="16"/>
        <v>-3.9536111730949508E-2</v>
      </c>
    </row>
    <row r="455" spans="2:4" x14ac:dyDescent="0.25">
      <c r="B455" s="12">
        <v>42233</v>
      </c>
      <c r="C455" s="18">
        <v>18.969999000000001</v>
      </c>
      <c r="D455" s="138">
        <f t="shared" si="16"/>
        <v>-0.13536927368417151</v>
      </c>
    </row>
    <row r="456" spans="2:4" x14ac:dyDescent="0.25">
      <c r="B456" s="12">
        <v>42226</v>
      </c>
      <c r="C456" s="18">
        <v>21.940000999999999</v>
      </c>
      <c r="D456" s="138">
        <f t="shared" si="16"/>
        <v>-6.0385396145610337E-2</v>
      </c>
    </row>
    <row r="457" spans="2:4" x14ac:dyDescent="0.25">
      <c r="B457" s="12">
        <v>42219</v>
      </c>
      <c r="C457" s="18">
        <v>23.35</v>
      </c>
      <c r="D457" s="138">
        <f t="shared" si="16"/>
        <v>0.13184687987624244</v>
      </c>
    </row>
    <row r="458" spans="2:4" x14ac:dyDescent="0.25">
      <c r="B458" s="12">
        <v>42212</v>
      </c>
      <c r="C458" s="18">
        <v>20.629999000000002</v>
      </c>
      <c r="D458" s="138">
        <f t="shared" si="16"/>
        <v>7.8163169426632706E-3</v>
      </c>
    </row>
    <row r="459" spans="2:4" x14ac:dyDescent="0.25">
      <c r="B459" s="12">
        <v>42205</v>
      </c>
      <c r="C459" s="18">
        <v>20.469999000000001</v>
      </c>
      <c r="D459" s="138">
        <f t="shared" si="16"/>
        <v>-1.4443957631198767E-2</v>
      </c>
    </row>
    <row r="460" spans="2:4" x14ac:dyDescent="0.25">
      <c r="B460" s="12">
        <v>42198</v>
      </c>
      <c r="C460" s="18">
        <v>20.77</v>
      </c>
      <c r="D460" s="138">
        <f t="shared" si="16"/>
        <v>-9.5373871977773028E-3</v>
      </c>
    </row>
    <row r="461" spans="2:4" x14ac:dyDescent="0.25">
      <c r="B461" s="12">
        <v>42191</v>
      </c>
      <c r="C461" s="18">
        <v>20.969999000000001</v>
      </c>
      <c r="D461" s="138">
        <f t="shared" si="16"/>
        <v>1.6480853925392891E-2</v>
      </c>
    </row>
    <row r="462" spans="2:4" x14ac:dyDescent="0.25">
      <c r="B462" s="12">
        <v>42184</v>
      </c>
      <c r="C462" s="18">
        <v>20.629999000000002</v>
      </c>
      <c r="D462" s="138">
        <f t="shared" si="16"/>
        <v>0.10913973118279574</v>
      </c>
    </row>
    <row r="463" spans="2:4" x14ac:dyDescent="0.25">
      <c r="B463" s="12">
        <v>42177</v>
      </c>
      <c r="C463" s="18">
        <v>18.600000000000001</v>
      </c>
      <c r="D463" s="138">
        <f t="shared" si="16"/>
        <v>-4.5174537987679675E-2</v>
      </c>
    </row>
    <row r="464" spans="2:4" x14ac:dyDescent="0.25">
      <c r="B464" s="12">
        <v>42170</v>
      </c>
      <c r="C464" s="18">
        <v>19.48</v>
      </c>
      <c r="D464" s="138">
        <f t="shared" si="16"/>
        <v>-1.0665362586827598E-2</v>
      </c>
    </row>
    <row r="465" spans="2:4" x14ac:dyDescent="0.25">
      <c r="B465" s="12">
        <v>42163</v>
      </c>
      <c r="C465" s="18">
        <v>19.690000999999999</v>
      </c>
      <c r="D465" s="138">
        <f t="shared" si="16"/>
        <v>-6.0143195219895307E-2</v>
      </c>
    </row>
    <row r="466" spans="2:4" x14ac:dyDescent="0.25">
      <c r="B466" s="12">
        <v>42156</v>
      </c>
      <c r="C466" s="18">
        <v>20.950001</v>
      </c>
      <c r="D466" s="138">
        <f t="shared" si="16"/>
        <v>8.3247207859358907E-2</v>
      </c>
    </row>
    <row r="467" spans="2:4" x14ac:dyDescent="0.25">
      <c r="B467" s="12">
        <v>42149</v>
      </c>
      <c r="C467" s="18">
        <v>19.34</v>
      </c>
      <c r="D467" s="138">
        <f t="shared" si="16"/>
        <v>6.7673611018927993E-3</v>
      </c>
    </row>
    <row r="468" spans="2:4" x14ac:dyDescent="0.25">
      <c r="B468" s="12">
        <v>42142</v>
      </c>
      <c r="C468" s="18">
        <v>19.209999</v>
      </c>
      <c r="D468" s="138">
        <f t="shared" si="16"/>
        <v>8.9284659176225301E-3</v>
      </c>
    </row>
    <row r="469" spans="2:4" x14ac:dyDescent="0.25">
      <c r="B469" s="12">
        <v>42135</v>
      </c>
      <c r="C469" s="18">
        <v>19.040001</v>
      </c>
      <c r="D469" s="138">
        <f t="shared" si="16"/>
        <v>-7.438011667476907E-2</v>
      </c>
    </row>
    <row r="470" spans="2:4" x14ac:dyDescent="0.25">
      <c r="B470" s="12">
        <v>42128</v>
      </c>
      <c r="C470" s="18">
        <v>20.57</v>
      </c>
      <c r="D470" s="138">
        <f t="shared" si="16"/>
        <v>-9.1522157996146714E-3</v>
      </c>
    </row>
    <row r="471" spans="2:4" x14ac:dyDescent="0.25">
      <c r="B471" s="12">
        <v>42121</v>
      </c>
      <c r="C471" s="18">
        <v>20.76</v>
      </c>
      <c r="D471" s="138">
        <f t="shared" si="16"/>
        <v>-5.593451568894936E-2</v>
      </c>
    </row>
    <row r="472" spans="2:4" x14ac:dyDescent="0.25">
      <c r="B472" s="12">
        <v>42114</v>
      </c>
      <c r="C472" s="18">
        <v>21.99</v>
      </c>
      <c r="D472" s="138">
        <f t="shared" si="16"/>
        <v>-1.8157511658760672E-3</v>
      </c>
    </row>
    <row r="473" spans="2:4" x14ac:dyDescent="0.25">
      <c r="B473" s="12">
        <v>42107</v>
      </c>
      <c r="C473" s="18">
        <v>22.030000999999999</v>
      </c>
      <c r="D473" s="138">
        <f t="shared" si="16"/>
        <v>-0.10628799188640969</v>
      </c>
    </row>
    <row r="474" spans="2:4" x14ac:dyDescent="0.25">
      <c r="B474" s="12">
        <v>42100</v>
      </c>
      <c r="C474" s="18">
        <v>24.65</v>
      </c>
      <c r="D474" s="138">
        <f t="shared" si="16"/>
        <v>6.7099567099566881E-2</v>
      </c>
    </row>
    <row r="475" spans="2:4" x14ac:dyDescent="0.25">
      <c r="B475" s="12">
        <v>42093</v>
      </c>
      <c r="C475" s="18">
        <v>23.1</v>
      </c>
      <c r="D475" s="138">
        <f t="shared" si="16"/>
        <v>6.4516079976217666E-2</v>
      </c>
    </row>
    <row r="476" spans="2:4" x14ac:dyDescent="0.25">
      <c r="B476" s="12">
        <v>42086</v>
      </c>
      <c r="C476" s="18">
        <v>21.700001</v>
      </c>
      <c r="D476" s="138">
        <f t="shared" si="16"/>
        <v>-5.6521695652173909E-2</v>
      </c>
    </row>
    <row r="477" spans="2:4" x14ac:dyDescent="0.25">
      <c r="B477" s="12">
        <v>42079</v>
      </c>
      <c r="C477" s="18">
        <v>23</v>
      </c>
      <c r="D477" s="138">
        <f t="shared" si="16"/>
        <v>7.4766355140186924E-2</v>
      </c>
    </row>
    <row r="478" spans="2:4" x14ac:dyDescent="0.25">
      <c r="B478" s="12">
        <v>42072</v>
      </c>
      <c r="C478" s="18">
        <v>21.4</v>
      </c>
      <c r="D478" s="138">
        <f t="shared" si="16"/>
        <v>-7.2388383181621219E-2</v>
      </c>
    </row>
    <row r="479" spans="2:4" x14ac:dyDescent="0.25">
      <c r="B479" s="12">
        <v>42065</v>
      </c>
      <c r="C479" s="18">
        <v>23.07</v>
      </c>
      <c r="D479" s="138">
        <f t="shared" si="16"/>
        <v>-3.9550374687760126E-2</v>
      </c>
    </row>
    <row r="480" spans="2:4" x14ac:dyDescent="0.25">
      <c r="B480" s="12">
        <v>42058</v>
      </c>
      <c r="C480" s="18">
        <v>24.02</v>
      </c>
      <c r="D480" s="138">
        <f t="shared" si="16"/>
        <v>-0.12527309269020737</v>
      </c>
    </row>
    <row r="481" spans="2:4" x14ac:dyDescent="0.25">
      <c r="B481" s="12">
        <v>42051</v>
      </c>
      <c r="C481" s="18">
        <v>27.459999</v>
      </c>
      <c r="D481" s="138">
        <f t="shared" si="16"/>
        <v>-2.904938166124249E-3</v>
      </c>
    </row>
    <row r="482" spans="2:4" x14ac:dyDescent="0.25">
      <c r="B482" s="12">
        <v>42044</v>
      </c>
      <c r="C482" s="18">
        <v>27.540001</v>
      </c>
      <c r="D482" s="138">
        <f t="shared" si="16"/>
        <v>9.6774189694377233E-2</v>
      </c>
    </row>
    <row r="483" spans="2:4" x14ac:dyDescent="0.25">
      <c r="B483" s="12">
        <v>42037</v>
      </c>
      <c r="C483" s="18">
        <v>25.110001</v>
      </c>
      <c r="D483" s="138">
        <f t="shared" si="16"/>
        <v>4.6250041666666686E-2</v>
      </c>
    </row>
    <row r="484" spans="2:4" x14ac:dyDescent="0.25">
      <c r="B484" s="12">
        <v>42030</v>
      </c>
      <c r="C484" s="18">
        <v>24</v>
      </c>
      <c r="D484" s="138">
        <f t="shared" si="16"/>
        <v>4.5296212774225353E-2</v>
      </c>
    </row>
    <row r="485" spans="2:4" x14ac:dyDescent="0.25">
      <c r="B485" s="12">
        <v>42023</v>
      </c>
      <c r="C485" s="18">
        <v>22.959999</v>
      </c>
      <c r="D485" s="138">
        <f t="shared" si="16"/>
        <v>1.9991070635273056E-2</v>
      </c>
    </row>
    <row r="486" spans="2:4" x14ac:dyDescent="0.25">
      <c r="B486" s="12">
        <v>42016</v>
      </c>
      <c r="C486" s="18">
        <v>22.51</v>
      </c>
      <c r="D486" s="138">
        <f t="shared" si="16"/>
        <v>-7.8214578214578223E-2</v>
      </c>
    </row>
    <row r="487" spans="2:4" x14ac:dyDescent="0.25">
      <c r="B487" s="12">
        <v>42009</v>
      </c>
      <c r="C487" s="18">
        <v>24.42</v>
      </c>
      <c r="D487" s="138">
        <f t="shared" si="16"/>
        <v>1.0761589403973648E-2</v>
      </c>
    </row>
    <row r="488" spans="2:4" x14ac:dyDescent="0.25">
      <c r="B488" s="12">
        <v>42002</v>
      </c>
      <c r="C488" s="18">
        <v>24.16</v>
      </c>
      <c r="D488" s="138">
        <f t="shared" si="16"/>
        <v>-3.5528903613928242E-2</v>
      </c>
    </row>
    <row r="489" spans="2:4" x14ac:dyDescent="0.25">
      <c r="B489" s="12">
        <v>41995</v>
      </c>
      <c r="C489" s="18">
        <v>25.049999</v>
      </c>
      <c r="D489" s="138">
        <f t="shared" si="16"/>
        <v>4.6803134141245373E-2</v>
      </c>
    </row>
    <row r="490" spans="2:4" x14ac:dyDescent="0.25">
      <c r="B490" s="12">
        <v>41988</v>
      </c>
      <c r="C490" s="18">
        <v>23.93</v>
      </c>
      <c r="D490" s="138">
        <f t="shared" si="16"/>
        <v>2.3086832966517035E-2</v>
      </c>
    </row>
    <row r="491" spans="2:4" x14ac:dyDescent="0.25">
      <c r="B491" s="12">
        <v>41981</v>
      </c>
      <c r="C491" s="18">
        <v>23.389999</v>
      </c>
      <c r="D491" s="138">
        <f t="shared" si="16"/>
        <v>-6.8498683054612375E-2</v>
      </c>
    </row>
    <row r="492" spans="2:4" x14ac:dyDescent="0.25">
      <c r="B492" s="12">
        <v>41974</v>
      </c>
      <c r="C492" s="18">
        <v>25.110001</v>
      </c>
      <c r="D492" s="138">
        <f t="shared" si="16"/>
        <v>-2.9752628661229852E-2</v>
      </c>
    </row>
    <row r="493" spans="2:4" x14ac:dyDescent="0.25">
      <c r="B493" s="12">
        <v>41967</v>
      </c>
      <c r="C493" s="18">
        <v>25.879999000000002</v>
      </c>
      <c r="D493" s="138">
        <f t="shared" si="16"/>
        <v>-8.808961746114008E-3</v>
      </c>
    </row>
    <row r="494" spans="2:4" x14ac:dyDescent="0.25">
      <c r="B494" s="12">
        <v>41960</v>
      </c>
      <c r="C494" s="18">
        <v>26.110001</v>
      </c>
      <c r="D494" s="138">
        <f t="shared" si="16"/>
        <v>-1.5831133967918021E-2</v>
      </c>
    </row>
    <row r="495" spans="2:4" x14ac:dyDescent="0.25">
      <c r="B495" s="12">
        <v>41953</v>
      </c>
      <c r="C495" s="18">
        <v>26.530000999999999</v>
      </c>
      <c r="D495" s="138">
        <f t="shared" si="16"/>
        <v>7.1053734356075759E-2</v>
      </c>
    </row>
    <row r="496" spans="2:4" x14ac:dyDescent="0.25">
      <c r="B496" s="12">
        <v>41946</v>
      </c>
      <c r="C496" s="18">
        <v>24.77</v>
      </c>
      <c r="D496" s="138">
        <f t="shared" si="16"/>
        <v>-8.7324947948597909E-2</v>
      </c>
    </row>
    <row r="497" spans="2:4" x14ac:dyDescent="0.25">
      <c r="B497" s="12">
        <v>41939</v>
      </c>
      <c r="C497" s="18">
        <v>27.139999</v>
      </c>
      <c r="D497" s="138">
        <f t="shared" si="16"/>
        <v>5.9328569112858442E-2</v>
      </c>
    </row>
    <row r="498" spans="2:4" x14ac:dyDescent="0.25">
      <c r="B498" s="12">
        <v>41932</v>
      </c>
      <c r="C498" s="18">
        <v>25.620000999999998</v>
      </c>
      <c r="D498" s="138">
        <f t="shared" si="16"/>
        <v>5.1000784621419992E-3</v>
      </c>
    </row>
    <row r="499" spans="2:4" x14ac:dyDescent="0.25">
      <c r="B499" s="12">
        <v>41925</v>
      </c>
      <c r="C499" s="18">
        <v>25.49</v>
      </c>
      <c r="D499" s="138">
        <f t="shared" si="16"/>
        <v>3.4496795231200972E-2</v>
      </c>
    </row>
    <row r="500" spans="2:4" x14ac:dyDescent="0.25">
      <c r="B500" s="12">
        <v>41918</v>
      </c>
      <c r="C500" s="18">
        <v>24.639999</v>
      </c>
      <c r="D500" s="138">
        <f t="shared" si="16"/>
        <v>-6.4516131633715057E-3</v>
      </c>
    </row>
    <row r="501" spans="2:4" x14ac:dyDescent="0.25">
      <c r="B501" s="12">
        <v>41911</v>
      </c>
      <c r="C501" s="18">
        <v>24.799999</v>
      </c>
      <c r="D501" s="138">
        <f t="shared" si="16"/>
        <v>-6.4150981132075513E-2</v>
      </c>
    </row>
    <row r="502" spans="2:4" x14ac:dyDescent="0.25">
      <c r="B502" s="12">
        <v>41904</v>
      </c>
      <c r="C502" s="18">
        <v>26.5</v>
      </c>
      <c r="D502" s="138">
        <f t="shared" si="16"/>
        <v>-2.0694716211925979E-2</v>
      </c>
    </row>
    <row r="503" spans="2:4" x14ac:dyDescent="0.25">
      <c r="B503" s="12">
        <v>41897</v>
      </c>
      <c r="C503" s="18">
        <v>27.059999000000001</v>
      </c>
      <c r="D503" s="138">
        <f t="shared" si="16"/>
        <v>-2.4864900900900877E-2</v>
      </c>
    </row>
    <row r="504" spans="2:4" x14ac:dyDescent="0.25">
      <c r="B504" s="12">
        <v>41890</v>
      </c>
      <c r="C504" s="18">
        <v>27.75</v>
      </c>
      <c r="D504" s="138">
        <f t="shared" si="16"/>
        <v>-1.2806865428428904E-2</v>
      </c>
    </row>
    <row r="505" spans="2:4" x14ac:dyDescent="0.25">
      <c r="B505" s="12">
        <v>41883</v>
      </c>
      <c r="C505" s="18">
        <v>28.110001</v>
      </c>
      <c r="D505" s="138">
        <f t="shared" si="16"/>
        <v>-8.8152324113105474E-3</v>
      </c>
    </row>
    <row r="506" spans="2:4" x14ac:dyDescent="0.25">
      <c r="B506" s="12">
        <v>41876</v>
      </c>
      <c r="C506" s="18">
        <v>28.360001</v>
      </c>
      <c r="D506" s="138">
        <f t="shared" si="16"/>
        <v>-2.4759250343878936E-2</v>
      </c>
    </row>
    <row r="507" spans="2:4" x14ac:dyDescent="0.25">
      <c r="B507" s="12">
        <v>41869</v>
      </c>
      <c r="C507" s="18">
        <v>29.08</v>
      </c>
      <c r="D507" s="138">
        <f t="shared" si="16"/>
        <v>-3.0853616729518141E-3</v>
      </c>
    </row>
    <row r="508" spans="2:4" x14ac:dyDescent="0.25">
      <c r="B508" s="12">
        <v>41862</v>
      </c>
      <c r="C508" s="18">
        <v>29.17</v>
      </c>
      <c r="D508" s="138">
        <f t="shared" si="16"/>
        <v>-1.1521518129447683E-2</v>
      </c>
    </row>
    <row r="509" spans="2:4" x14ac:dyDescent="0.25">
      <c r="B509" s="12">
        <v>41855</v>
      </c>
      <c r="C509" s="18">
        <v>29.51</v>
      </c>
      <c r="D509" s="138">
        <f t="shared" si="16"/>
        <v>-8.7789742676336435E-2</v>
      </c>
    </row>
    <row r="510" spans="2:4" x14ac:dyDescent="0.25">
      <c r="B510" s="12">
        <v>41848</v>
      </c>
      <c r="C510" s="18">
        <v>32.349997999999999</v>
      </c>
      <c r="D510" s="138">
        <f t="shared" si="16"/>
        <v>-1.5220701078885956E-2</v>
      </c>
    </row>
    <row r="511" spans="2:4" x14ac:dyDescent="0.25">
      <c r="B511" s="12">
        <v>41841</v>
      </c>
      <c r="C511" s="18">
        <v>32.849997999999999</v>
      </c>
      <c r="D511" s="138">
        <f t="shared" si="16"/>
        <v>8.5968068774946449E-3</v>
      </c>
    </row>
    <row r="512" spans="2:4" x14ac:dyDescent="0.25">
      <c r="B512" s="12">
        <v>41834</v>
      </c>
      <c r="C512" s="18">
        <v>32.57</v>
      </c>
      <c r="D512" s="138">
        <f t="shared" si="16"/>
        <v>-1.2731190498260547E-2</v>
      </c>
    </row>
    <row r="513" spans="2:4" x14ac:dyDescent="0.25">
      <c r="B513" s="12">
        <v>41827</v>
      </c>
      <c r="C513" s="18">
        <v>32.990001999999997</v>
      </c>
      <c r="D513" s="138">
        <f t="shared" si="16"/>
        <v>-0.10450591748099913</v>
      </c>
    </row>
    <row r="514" spans="2:4" x14ac:dyDescent="0.25">
      <c r="B514" s="12">
        <v>41820</v>
      </c>
      <c r="C514" s="18">
        <v>36.840000000000003</v>
      </c>
      <c r="D514" s="138">
        <f t="shared" si="16"/>
        <v>4.4810042246741011E-2</v>
      </c>
    </row>
    <row r="515" spans="2:4" x14ac:dyDescent="0.25">
      <c r="B515" s="12">
        <v>41813</v>
      </c>
      <c r="C515" s="18">
        <v>35.259998000000003</v>
      </c>
      <c r="D515" s="138">
        <f t="shared" ref="D515:D578" si="17">C515/C516-1</f>
        <v>5.0655451410743568E-2</v>
      </c>
    </row>
    <row r="516" spans="2:4" x14ac:dyDescent="0.25">
      <c r="B516" s="12">
        <v>41806</v>
      </c>
      <c r="C516" s="18">
        <v>33.560001</v>
      </c>
      <c r="D516" s="138">
        <f t="shared" si="17"/>
        <v>8.1105434631858486E-3</v>
      </c>
    </row>
    <row r="517" spans="2:4" x14ac:dyDescent="0.25">
      <c r="B517" s="12">
        <v>41799</v>
      </c>
      <c r="C517" s="18">
        <v>33.290000999999997</v>
      </c>
      <c r="D517" s="138">
        <f t="shared" si="17"/>
        <v>2.2734317134694759E-2</v>
      </c>
    </row>
    <row r="518" spans="2:4" x14ac:dyDescent="0.25">
      <c r="B518" s="12">
        <v>41792</v>
      </c>
      <c r="C518" s="18">
        <v>32.549999</v>
      </c>
      <c r="D518" s="138">
        <f t="shared" si="17"/>
        <v>-5.5700665630964208E-2</v>
      </c>
    </row>
    <row r="519" spans="2:4" x14ac:dyDescent="0.25">
      <c r="B519" s="12">
        <v>41785</v>
      </c>
      <c r="C519" s="18">
        <v>34.470001000000003</v>
      </c>
      <c r="D519" s="138">
        <f t="shared" si="17"/>
        <v>1.7114252496732263E-2</v>
      </c>
    </row>
    <row r="520" spans="2:4" x14ac:dyDescent="0.25">
      <c r="B520" s="12">
        <v>41778</v>
      </c>
      <c r="C520" s="18">
        <v>33.889999000000003</v>
      </c>
      <c r="D520" s="138">
        <f t="shared" si="17"/>
        <v>5.1504778156996833E-2</v>
      </c>
    </row>
    <row r="521" spans="2:4" x14ac:dyDescent="0.25">
      <c r="B521" s="12">
        <v>41771</v>
      </c>
      <c r="C521" s="18">
        <v>32.229999999999997</v>
      </c>
      <c r="D521" s="138">
        <f t="shared" si="17"/>
        <v>-3.7910447761194122E-2</v>
      </c>
    </row>
    <row r="522" spans="2:4" x14ac:dyDescent="0.25">
      <c r="B522" s="12">
        <v>41764</v>
      </c>
      <c r="C522" s="18">
        <v>33.5</v>
      </c>
      <c r="D522" s="138">
        <f t="shared" si="17"/>
        <v>-8.0932809850951748E-2</v>
      </c>
    </row>
    <row r="523" spans="2:4" x14ac:dyDescent="0.25">
      <c r="B523" s="12">
        <v>41757</v>
      </c>
      <c r="C523" s="18">
        <v>36.450001</v>
      </c>
      <c r="D523" s="138">
        <f t="shared" si="17"/>
        <v>2.4451909811584516E-2</v>
      </c>
    </row>
    <row r="524" spans="2:4" x14ac:dyDescent="0.25">
      <c r="B524" s="12">
        <v>41750</v>
      </c>
      <c r="C524" s="18">
        <v>35.580002</v>
      </c>
      <c r="D524" s="138">
        <f t="shared" si="17"/>
        <v>-4.3033835395373865E-2</v>
      </c>
    </row>
    <row r="525" spans="2:4" x14ac:dyDescent="0.25">
      <c r="B525" s="12">
        <v>41743</v>
      </c>
      <c r="C525" s="18">
        <v>37.18</v>
      </c>
      <c r="D525" s="138">
        <f t="shared" si="17"/>
        <v>4.2624789680314246E-2</v>
      </c>
    </row>
    <row r="526" spans="2:4" x14ac:dyDescent="0.25">
      <c r="B526" s="12">
        <v>41736</v>
      </c>
      <c r="C526" s="18">
        <v>35.659999999999997</v>
      </c>
      <c r="D526" s="138">
        <f t="shared" si="17"/>
        <v>-4.0107723278184571E-2</v>
      </c>
    </row>
    <row r="527" spans="2:4" x14ac:dyDescent="0.25">
      <c r="B527" s="12">
        <v>41729</v>
      </c>
      <c r="C527" s="18">
        <v>37.150002000000001</v>
      </c>
      <c r="D527" s="138">
        <f t="shared" si="17"/>
        <v>-8.2754139956063844E-3</v>
      </c>
    </row>
    <row r="528" spans="2:4" x14ac:dyDescent="0.25">
      <c r="B528" s="12">
        <v>41722</v>
      </c>
      <c r="C528" s="18">
        <v>37.459999000000003</v>
      </c>
      <c r="D528" s="138">
        <f t="shared" si="17"/>
        <v>-6.3734044675533341E-2</v>
      </c>
    </row>
    <row r="529" spans="2:4" x14ac:dyDescent="0.25">
      <c r="B529" s="12">
        <v>41715</v>
      </c>
      <c r="C529" s="18">
        <v>40.009998000000003</v>
      </c>
      <c r="D529" s="138">
        <f t="shared" si="17"/>
        <v>-3.1234891797454978E-2</v>
      </c>
    </row>
    <row r="530" spans="2:4" x14ac:dyDescent="0.25">
      <c r="B530" s="12">
        <v>41708</v>
      </c>
      <c r="C530" s="18">
        <v>41.299999</v>
      </c>
      <c r="D530" s="138">
        <f t="shared" si="17"/>
        <v>-6.9610274152067553E-2</v>
      </c>
    </row>
    <row r="531" spans="2:4" x14ac:dyDescent="0.25">
      <c r="B531" s="12">
        <v>41701</v>
      </c>
      <c r="C531" s="18">
        <v>44.389999000000003</v>
      </c>
      <c r="D531" s="138">
        <f t="shared" si="17"/>
        <v>3.4249791903531834E-2</v>
      </c>
    </row>
    <row r="532" spans="2:4" x14ac:dyDescent="0.25">
      <c r="B532" s="12">
        <v>41694</v>
      </c>
      <c r="C532" s="18">
        <v>42.919998</v>
      </c>
      <c r="D532" s="138">
        <f t="shared" si="17"/>
        <v>1.5377288857345572E-2</v>
      </c>
    </row>
    <row r="533" spans="2:4" x14ac:dyDescent="0.25">
      <c r="B533" s="12">
        <v>41687</v>
      </c>
      <c r="C533" s="18">
        <v>42.27</v>
      </c>
      <c r="D533" s="138">
        <f t="shared" si="17"/>
        <v>-8.2120837215410303E-3</v>
      </c>
    </row>
    <row r="534" spans="2:4" x14ac:dyDescent="0.25">
      <c r="B534" s="12">
        <v>41680</v>
      </c>
      <c r="C534" s="18">
        <v>42.619999</v>
      </c>
      <c r="D534" s="138">
        <f t="shared" si="17"/>
        <v>4.103566294664529E-2</v>
      </c>
    </row>
    <row r="535" spans="2:4" x14ac:dyDescent="0.25">
      <c r="B535" s="12">
        <v>41673</v>
      </c>
      <c r="C535" s="18">
        <v>40.939999</v>
      </c>
      <c r="D535" s="138">
        <f t="shared" si="17"/>
        <v>-1.2198828387467442E-3</v>
      </c>
    </row>
    <row r="536" spans="2:4" x14ac:dyDescent="0.25">
      <c r="B536" s="12">
        <v>41666</v>
      </c>
      <c r="C536" s="18">
        <v>40.990001999999997</v>
      </c>
      <c r="D536" s="138">
        <f t="shared" si="17"/>
        <v>7.3036673480715297E-2</v>
      </c>
    </row>
    <row r="537" spans="2:4" x14ac:dyDescent="0.25">
      <c r="B537" s="12">
        <v>41659</v>
      </c>
      <c r="C537" s="18">
        <v>38.200001</v>
      </c>
      <c r="D537" s="138">
        <f t="shared" si="17"/>
        <v>-0.15054480430187234</v>
      </c>
    </row>
    <row r="538" spans="2:4" x14ac:dyDescent="0.25">
      <c r="B538" s="12">
        <v>41652</v>
      </c>
      <c r="C538" s="18">
        <v>44.970001000000003</v>
      </c>
      <c r="D538" s="138">
        <f t="shared" si="17"/>
        <v>4.5570869359259136E-2</v>
      </c>
    </row>
    <row r="539" spans="2:4" x14ac:dyDescent="0.25">
      <c r="B539" s="12">
        <v>41645</v>
      </c>
      <c r="C539" s="18">
        <v>43.009998000000003</v>
      </c>
      <c r="D539" s="138">
        <f t="shared" si="17"/>
        <v>8.528884468107889E-2</v>
      </c>
    </row>
    <row r="540" spans="2:4" x14ac:dyDescent="0.25">
      <c r="B540" s="12">
        <v>41638</v>
      </c>
      <c r="C540" s="18">
        <v>39.630001</v>
      </c>
      <c r="D540" s="138">
        <f t="shared" si="17"/>
        <v>1.7981017210377592E-2</v>
      </c>
    </row>
    <row r="541" spans="2:4" x14ac:dyDescent="0.25">
      <c r="B541" s="12">
        <v>41631</v>
      </c>
      <c r="C541" s="18">
        <v>38.93</v>
      </c>
      <c r="D541" s="138">
        <f t="shared" si="17"/>
        <v>2.8533739948942705E-2</v>
      </c>
    </row>
    <row r="542" spans="2:4" x14ac:dyDescent="0.25">
      <c r="B542" s="12">
        <v>41624</v>
      </c>
      <c r="C542" s="18">
        <v>37.849997999999999</v>
      </c>
      <c r="D542" s="138">
        <f t="shared" si="17"/>
        <v>5.2857517691906608E-4</v>
      </c>
    </row>
    <row r="543" spans="2:4" x14ac:dyDescent="0.25">
      <c r="B543" s="12">
        <v>41617</v>
      </c>
      <c r="C543" s="18">
        <v>37.830002</v>
      </c>
      <c r="D543" s="138">
        <f t="shared" si="17"/>
        <v>2.8827903181941616E-2</v>
      </c>
    </row>
    <row r="544" spans="2:4" x14ac:dyDescent="0.25">
      <c r="B544" s="12">
        <v>41610</v>
      </c>
      <c r="C544" s="18">
        <v>36.770000000000003</v>
      </c>
      <c r="D544" s="138">
        <f t="shared" si="17"/>
        <v>3.3155380724922745E-2</v>
      </c>
    </row>
    <row r="545" spans="2:4" x14ac:dyDescent="0.25">
      <c r="B545" s="12">
        <v>41603</v>
      </c>
      <c r="C545" s="18">
        <v>35.590000000000003</v>
      </c>
      <c r="D545" s="138">
        <f t="shared" si="17"/>
        <v>3.1594202898550749E-2</v>
      </c>
    </row>
    <row r="546" spans="2:4" x14ac:dyDescent="0.25">
      <c r="B546" s="12">
        <v>41596</v>
      </c>
      <c r="C546" s="18">
        <v>34.5</v>
      </c>
      <c r="D546" s="138">
        <f t="shared" si="17"/>
        <v>-1.0894523770225817E-2</v>
      </c>
    </row>
    <row r="547" spans="2:4" x14ac:dyDescent="0.25">
      <c r="B547" s="12">
        <v>41589</v>
      </c>
      <c r="C547" s="18">
        <v>34.880001</v>
      </c>
      <c r="D547" s="138">
        <f t="shared" si="17"/>
        <v>1.988304035429711E-2</v>
      </c>
    </row>
    <row r="548" spans="2:4" x14ac:dyDescent="0.25">
      <c r="B548" s="12">
        <v>41582</v>
      </c>
      <c r="C548" s="18">
        <v>34.200001</v>
      </c>
      <c r="D548" s="138">
        <f t="shared" si="17"/>
        <v>2.4258820732519171E-2</v>
      </c>
    </row>
    <row r="549" spans="2:4" x14ac:dyDescent="0.25">
      <c r="B549" s="12">
        <v>41575</v>
      </c>
      <c r="C549" s="18">
        <v>33.389999000000003</v>
      </c>
      <c r="D549" s="138">
        <f t="shared" si="17"/>
        <v>-2.7097931235431139E-2</v>
      </c>
    </row>
    <row r="550" spans="2:4" x14ac:dyDescent="0.25">
      <c r="B550" s="12">
        <v>41568</v>
      </c>
      <c r="C550" s="18">
        <v>34.32</v>
      </c>
      <c r="D550" s="138">
        <f t="shared" si="17"/>
        <v>-5.9983514652616643E-2</v>
      </c>
    </row>
    <row r="551" spans="2:4" x14ac:dyDescent="0.25">
      <c r="B551" s="12">
        <v>41561</v>
      </c>
      <c r="C551" s="18">
        <v>36.509998000000003</v>
      </c>
      <c r="D551" s="138">
        <f t="shared" si="17"/>
        <v>7.5721834876895544E-2</v>
      </c>
    </row>
    <row r="552" spans="2:4" x14ac:dyDescent="0.25">
      <c r="B552" s="12">
        <v>41554</v>
      </c>
      <c r="C552" s="18">
        <v>33.939999</v>
      </c>
      <c r="D552" s="138">
        <f t="shared" si="17"/>
        <v>3.1924598112635927E-2</v>
      </c>
    </row>
    <row r="553" spans="2:4" x14ac:dyDescent="0.25">
      <c r="B553" s="12">
        <v>41547</v>
      </c>
      <c r="C553" s="18">
        <v>32.889999000000003</v>
      </c>
      <c r="D553" s="138">
        <f t="shared" si="17"/>
        <v>4.082275316455708E-2</v>
      </c>
    </row>
    <row r="554" spans="2:4" x14ac:dyDescent="0.25">
      <c r="B554" s="12">
        <v>41540</v>
      </c>
      <c r="C554" s="18">
        <v>31.6</v>
      </c>
      <c r="D554" s="138">
        <f t="shared" si="17"/>
        <v>2.3979227998080832E-2</v>
      </c>
    </row>
    <row r="555" spans="2:4" x14ac:dyDescent="0.25">
      <c r="B555" s="12">
        <v>41533</v>
      </c>
      <c r="C555" s="18">
        <v>30.860001</v>
      </c>
      <c r="D555" s="138">
        <f t="shared" si="17"/>
        <v>-2.2631425800193616E-3</v>
      </c>
    </row>
    <row r="556" spans="2:4" x14ac:dyDescent="0.25">
      <c r="B556" s="12">
        <v>41526</v>
      </c>
      <c r="C556" s="18">
        <v>30.93</v>
      </c>
      <c r="D556" s="138">
        <f t="shared" si="17"/>
        <v>7.6200417536534504E-2</v>
      </c>
    </row>
    <row r="557" spans="2:4" x14ac:dyDescent="0.25">
      <c r="B557" s="12">
        <v>41519</v>
      </c>
      <c r="C557" s="18">
        <v>28.74</v>
      </c>
      <c r="D557" s="138">
        <f t="shared" si="17"/>
        <v>5.7006213423824503E-2</v>
      </c>
    </row>
    <row r="558" spans="2:4" x14ac:dyDescent="0.25">
      <c r="B558" s="12">
        <v>41512</v>
      </c>
      <c r="C558" s="18">
        <v>27.190000999999999</v>
      </c>
      <c r="D558" s="138">
        <f t="shared" si="17"/>
        <v>-4.0292309168217244E-3</v>
      </c>
    </row>
    <row r="559" spans="2:4" x14ac:dyDescent="0.25">
      <c r="B559" s="12">
        <v>41505</v>
      </c>
      <c r="C559" s="18">
        <v>27.299999</v>
      </c>
      <c r="D559" s="138">
        <f t="shared" si="17"/>
        <v>1.8656717114056587E-2</v>
      </c>
    </row>
    <row r="560" spans="2:4" x14ac:dyDescent="0.25">
      <c r="B560" s="12">
        <v>41498</v>
      </c>
      <c r="C560" s="18">
        <v>26.799999</v>
      </c>
      <c r="D560" s="138">
        <f t="shared" si="17"/>
        <v>1.6691881005619136E-2</v>
      </c>
    </row>
    <row r="561" spans="2:4" x14ac:dyDescent="0.25">
      <c r="B561" s="12">
        <v>41491</v>
      </c>
      <c r="C561" s="18">
        <v>26.360001</v>
      </c>
      <c r="D561" s="138">
        <f t="shared" si="17"/>
        <v>6.4910268617401901E-3</v>
      </c>
    </row>
    <row r="562" spans="2:4" x14ac:dyDescent="0.25">
      <c r="B562" s="12">
        <v>41484</v>
      </c>
      <c r="C562" s="18">
        <v>26.190000999999999</v>
      </c>
      <c r="D562" s="138">
        <f t="shared" si="17"/>
        <v>0.10180904501472443</v>
      </c>
    </row>
    <row r="563" spans="2:4" x14ac:dyDescent="0.25">
      <c r="B563" s="12">
        <v>41477</v>
      </c>
      <c r="C563" s="18">
        <v>23.77</v>
      </c>
      <c r="D563" s="138">
        <f t="shared" si="17"/>
        <v>-2.502046862266083E-2</v>
      </c>
    </row>
    <row r="564" spans="2:4" x14ac:dyDescent="0.25">
      <c r="B564" s="12">
        <v>41470</v>
      </c>
      <c r="C564" s="18">
        <v>24.379999000000002</v>
      </c>
      <c r="D564" s="138">
        <f t="shared" si="17"/>
        <v>5.4954476202748737E-2</v>
      </c>
    </row>
    <row r="565" spans="2:4" x14ac:dyDescent="0.25">
      <c r="B565" s="12">
        <v>41463</v>
      </c>
      <c r="C565" s="18">
        <v>23.110001</v>
      </c>
      <c r="D565" s="138">
        <f t="shared" si="17"/>
        <v>2.6654864504664477E-2</v>
      </c>
    </row>
    <row r="566" spans="2:4" x14ac:dyDescent="0.25">
      <c r="B566" s="12">
        <v>41456</v>
      </c>
      <c r="C566" s="18">
        <v>22.51</v>
      </c>
      <c r="D566" s="138">
        <f t="shared" si="17"/>
        <v>6.7083628484632118E-3</v>
      </c>
    </row>
    <row r="567" spans="2:4" x14ac:dyDescent="0.25">
      <c r="B567" s="12">
        <v>41449</v>
      </c>
      <c r="C567" s="18">
        <v>22.360001</v>
      </c>
      <c r="D567" s="138">
        <f t="shared" si="17"/>
        <v>-5.7803023566028733E-3</v>
      </c>
    </row>
    <row r="568" spans="2:4" x14ac:dyDescent="0.25">
      <c r="B568" s="12">
        <v>41442</v>
      </c>
      <c r="C568" s="18">
        <v>22.49</v>
      </c>
      <c r="D568" s="138">
        <f t="shared" si="17"/>
        <v>-6.6804979253112129E-2</v>
      </c>
    </row>
    <row r="569" spans="2:4" x14ac:dyDescent="0.25">
      <c r="B569" s="12">
        <v>41435</v>
      </c>
      <c r="C569" s="18">
        <v>24.1</v>
      </c>
      <c r="D569" s="138">
        <f t="shared" si="17"/>
        <v>-9.4533497739415218E-3</v>
      </c>
    </row>
    <row r="570" spans="2:4" x14ac:dyDescent="0.25">
      <c r="B570" s="12">
        <v>41428</v>
      </c>
      <c r="C570" s="18">
        <v>24.33</v>
      </c>
      <c r="D570" s="138">
        <f t="shared" si="17"/>
        <v>2.3128636537904201E-2</v>
      </c>
    </row>
    <row r="571" spans="2:4" x14ac:dyDescent="0.25">
      <c r="B571" s="12">
        <v>41421</v>
      </c>
      <c r="C571" s="18">
        <v>23.780000999999999</v>
      </c>
      <c r="D571" s="138">
        <f t="shared" si="17"/>
        <v>2.4999998922413669E-2</v>
      </c>
    </row>
    <row r="572" spans="2:4" x14ac:dyDescent="0.25">
      <c r="B572" s="12">
        <v>41414</v>
      </c>
      <c r="C572" s="18">
        <v>23.200001</v>
      </c>
      <c r="D572" s="138">
        <f t="shared" si="17"/>
        <v>-3.3735901707621863E-2</v>
      </c>
    </row>
    <row r="573" spans="2:4" x14ac:dyDescent="0.25">
      <c r="B573" s="12">
        <v>41407</v>
      </c>
      <c r="C573" s="18">
        <v>24.01</v>
      </c>
      <c r="D573" s="138">
        <f t="shared" si="17"/>
        <v>-3.2634971796937862E-2</v>
      </c>
    </row>
    <row r="574" spans="2:4" x14ac:dyDescent="0.25">
      <c r="B574" s="12">
        <v>41400</v>
      </c>
      <c r="C574" s="18">
        <v>24.82</v>
      </c>
      <c r="D574" s="138">
        <f t="shared" si="17"/>
        <v>2.8282828282828465E-3</v>
      </c>
    </row>
    <row r="575" spans="2:4" x14ac:dyDescent="0.25">
      <c r="B575" s="12">
        <v>41393</v>
      </c>
      <c r="C575" s="18">
        <v>24.75</v>
      </c>
      <c r="D575" s="138">
        <f t="shared" si="17"/>
        <v>1.977750309023496E-2</v>
      </c>
    </row>
    <row r="576" spans="2:4" x14ac:dyDescent="0.25">
      <c r="B576" s="12">
        <v>41386</v>
      </c>
      <c r="C576" s="18">
        <v>24.27</v>
      </c>
      <c r="D576" s="138">
        <f t="shared" si="17"/>
        <v>7.4844995571302197E-2</v>
      </c>
    </row>
    <row r="577" spans="2:4" x14ac:dyDescent="0.25">
      <c r="B577" s="12">
        <v>41379</v>
      </c>
      <c r="C577" s="18">
        <v>22.58</v>
      </c>
      <c r="D577" s="138">
        <f t="shared" si="17"/>
        <v>-4.3220338983050999E-2</v>
      </c>
    </row>
    <row r="578" spans="2:4" x14ac:dyDescent="0.25">
      <c r="B578" s="12">
        <v>41372</v>
      </c>
      <c r="C578" s="18">
        <v>23.6</v>
      </c>
      <c r="D578" s="138">
        <f t="shared" si="17"/>
        <v>8.2072493446698536E-2</v>
      </c>
    </row>
    <row r="579" spans="2:4" x14ac:dyDescent="0.25">
      <c r="B579" s="12">
        <v>41365</v>
      </c>
      <c r="C579" s="18">
        <v>21.809999000000001</v>
      </c>
      <c r="D579" s="138">
        <f t="shared" ref="D579:D642" si="18">C579/C580-1</f>
        <v>-6.595293361884369E-2</v>
      </c>
    </row>
    <row r="580" spans="2:4" x14ac:dyDescent="0.25">
      <c r="B580" s="12">
        <v>41358</v>
      </c>
      <c r="C580" s="18">
        <v>23.35</v>
      </c>
      <c r="D580" s="138">
        <f t="shared" si="18"/>
        <v>6.0881417537482996E-2</v>
      </c>
    </row>
    <row r="581" spans="2:4" x14ac:dyDescent="0.25">
      <c r="B581" s="12">
        <v>41351</v>
      </c>
      <c r="C581" s="18">
        <v>22.01</v>
      </c>
      <c r="D581" s="138">
        <f t="shared" si="18"/>
        <v>7.1046280829502706E-2</v>
      </c>
    </row>
    <row r="582" spans="2:4" x14ac:dyDescent="0.25">
      <c r="B582" s="12">
        <v>41344</v>
      </c>
      <c r="C582" s="18">
        <v>20.549999</v>
      </c>
      <c r="D582" s="138">
        <f t="shared" si="18"/>
        <v>-1.2968347742555286E-2</v>
      </c>
    </row>
    <row r="583" spans="2:4" x14ac:dyDescent="0.25">
      <c r="B583" s="12">
        <v>41337</v>
      </c>
      <c r="C583" s="18">
        <v>20.82</v>
      </c>
      <c r="D583" s="138">
        <f t="shared" si="18"/>
        <v>7.3749410714255337E-2</v>
      </c>
    </row>
    <row r="584" spans="2:4" x14ac:dyDescent="0.25">
      <c r="B584" s="12">
        <v>41330</v>
      </c>
      <c r="C584" s="18">
        <v>19.389999</v>
      </c>
      <c r="D584" s="138">
        <f t="shared" si="18"/>
        <v>1.8917392594987259E-2</v>
      </c>
    </row>
    <row r="585" spans="2:4" x14ac:dyDescent="0.25">
      <c r="B585" s="12">
        <v>41323</v>
      </c>
      <c r="C585" s="18">
        <v>19.030000999999999</v>
      </c>
      <c r="D585" s="138">
        <f t="shared" si="18"/>
        <v>-8.4215587862579988E-2</v>
      </c>
    </row>
    <row r="586" spans="2:4" x14ac:dyDescent="0.25">
      <c r="B586" s="12">
        <v>41316</v>
      </c>
      <c r="C586" s="18">
        <v>20.780000999999999</v>
      </c>
      <c r="D586" s="138">
        <f t="shared" si="18"/>
        <v>-4.78917647457755E-3</v>
      </c>
    </row>
    <row r="587" spans="2:4" x14ac:dyDescent="0.25">
      <c r="B587" s="12">
        <v>41309</v>
      </c>
      <c r="C587" s="18">
        <v>20.879999000000002</v>
      </c>
      <c r="D587" s="138">
        <f t="shared" si="18"/>
        <v>-7.1327623807529994E-3</v>
      </c>
    </row>
    <row r="588" spans="2:4" x14ac:dyDescent="0.25">
      <c r="B588" s="12">
        <v>41302</v>
      </c>
      <c r="C588" s="18">
        <v>21.030000999999999</v>
      </c>
      <c r="D588" s="138">
        <f t="shared" si="18"/>
        <v>3.1388034889064942E-2</v>
      </c>
    </row>
    <row r="589" spans="2:4" x14ac:dyDescent="0.25">
      <c r="B589" s="12">
        <v>41295</v>
      </c>
      <c r="C589" s="18">
        <v>20.389999</v>
      </c>
      <c r="D589" s="138">
        <f t="shared" si="18"/>
        <v>3.2928014184397281E-2</v>
      </c>
    </row>
    <row r="590" spans="2:4" x14ac:dyDescent="0.25">
      <c r="B590" s="12">
        <v>41288</v>
      </c>
      <c r="C590" s="18">
        <v>19.739999999999998</v>
      </c>
      <c r="D590" s="138">
        <f t="shared" si="18"/>
        <v>5.6179718770480447E-2</v>
      </c>
    </row>
    <row r="591" spans="2:4" x14ac:dyDescent="0.25">
      <c r="B591" s="12">
        <v>41281</v>
      </c>
      <c r="C591" s="18">
        <v>18.690000999999999</v>
      </c>
      <c r="D591" s="138">
        <f t="shared" si="18"/>
        <v>2.6923075443787026E-2</v>
      </c>
    </row>
    <row r="592" spans="2:4" x14ac:dyDescent="0.25">
      <c r="B592" s="12">
        <v>41274</v>
      </c>
      <c r="C592" s="18">
        <v>18.200001</v>
      </c>
      <c r="D592" s="138">
        <f t="shared" si="18"/>
        <v>0.1193112546125461</v>
      </c>
    </row>
    <row r="593" spans="2:4" x14ac:dyDescent="0.25">
      <c r="B593" s="12">
        <v>41267</v>
      </c>
      <c r="C593" s="18">
        <v>16.260000000000002</v>
      </c>
      <c r="D593" s="138">
        <f t="shared" si="18"/>
        <v>-8.5365853658534441E-3</v>
      </c>
    </row>
    <row r="594" spans="2:4" x14ac:dyDescent="0.25">
      <c r="B594" s="12">
        <v>41260</v>
      </c>
      <c r="C594" s="18">
        <v>16.399999999999999</v>
      </c>
      <c r="D594" s="138">
        <f t="shared" si="18"/>
        <v>-2.147971360381884E-2</v>
      </c>
    </row>
    <row r="595" spans="2:4" x14ac:dyDescent="0.25">
      <c r="B595" s="12">
        <v>41253</v>
      </c>
      <c r="C595" s="18">
        <v>16.760000000000002</v>
      </c>
      <c r="D595" s="138">
        <f t="shared" si="18"/>
        <v>0.10773298083278249</v>
      </c>
    </row>
    <row r="596" spans="2:4" x14ac:dyDescent="0.25">
      <c r="B596" s="12">
        <v>41246</v>
      </c>
      <c r="C596" s="18">
        <v>15.13</v>
      </c>
      <c r="D596" s="138">
        <f t="shared" si="18"/>
        <v>-8.5190039318479016E-3</v>
      </c>
    </row>
    <row r="597" spans="2:4" x14ac:dyDescent="0.25">
      <c r="B597" s="12">
        <v>41239</v>
      </c>
      <c r="C597" s="18">
        <v>15.26</v>
      </c>
      <c r="D597" s="138">
        <f t="shared" si="18"/>
        <v>-1.9620667102681066E-3</v>
      </c>
    </row>
    <row r="598" spans="2:4" x14ac:dyDescent="0.25">
      <c r="B598" s="12">
        <v>41232</v>
      </c>
      <c r="C598" s="18">
        <v>15.29</v>
      </c>
      <c r="D598" s="138">
        <f t="shared" si="18"/>
        <v>0.10556760665220533</v>
      </c>
    </row>
    <row r="599" spans="2:4" x14ac:dyDescent="0.25">
      <c r="B599" s="12">
        <v>41225</v>
      </c>
      <c r="C599" s="18">
        <v>13.83</v>
      </c>
      <c r="D599" s="138">
        <f t="shared" si="18"/>
        <v>-4.6206896551724164E-2</v>
      </c>
    </row>
    <row r="600" spans="2:4" x14ac:dyDescent="0.25">
      <c r="B600" s="12">
        <v>41218</v>
      </c>
      <c r="C600" s="18">
        <v>14.5</v>
      </c>
      <c r="D600" s="138">
        <f t="shared" si="18"/>
        <v>-2.6192075218267385E-2</v>
      </c>
    </row>
    <row r="601" spans="2:4" x14ac:dyDescent="0.25">
      <c r="B601" s="12">
        <v>41211</v>
      </c>
      <c r="C601" s="18">
        <v>14.89</v>
      </c>
      <c r="D601" s="138">
        <f t="shared" si="18"/>
        <v>3.6908077994429078E-2</v>
      </c>
    </row>
    <row r="602" spans="2:4" x14ac:dyDescent="0.25">
      <c r="B602" s="12">
        <v>41204</v>
      </c>
      <c r="C602" s="18">
        <v>14.36</v>
      </c>
      <c r="D602" s="138">
        <f t="shared" si="18"/>
        <v>3.0868628858578662E-2</v>
      </c>
    </row>
    <row r="603" spans="2:4" x14ac:dyDescent="0.25">
      <c r="B603" s="12">
        <v>41197</v>
      </c>
      <c r="C603" s="18">
        <v>13.93</v>
      </c>
      <c r="D603" s="138">
        <f t="shared" si="18"/>
        <v>2.4264705882352855E-2</v>
      </c>
    </row>
    <row r="604" spans="2:4" x14ac:dyDescent="0.25">
      <c r="B604" s="12">
        <v>41190</v>
      </c>
      <c r="C604" s="18">
        <v>13.6</v>
      </c>
      <c r="D604" s="138">
        <f t="shared" si="18"/>
        <v>3.0303030303030276E-2</v>
      </c>
    </row>
    <row r="605" spans="2:4" x14ac:dyDescent="0.25">
      <c r="B605" s="12">
        <v>41183</v>
      </c>
      <c r="C605" s="18">
        <v>13.2</v>
      </c>
      <c r="D605" s="138">
        <f t="shared" si="18"/>
        <v>-2.0771513353115778E-2</v>
      </c>
    </row>
    <row r="606" spans="2:4" x14ac:dyDescent="0.25">
      <c r="B606" s="12">
        <v>41176</v>
      </c>
      <c r="C606" s="18">
        <v>13.48</v>
      </c>
      <c r="D606" s="138">
        <f t="shared" si="18"/>
        <v>5.7254901960784421E-2</v>
      </c>
    </row>
    <row r="607" spans="2:4" x14ac:dyDescent="0.25">
      <c r="B607" s="12">
        <v>41169</v>
      </c>
      <c r="C607" s="18">
        <v>12.75</v>
      </c>
      <c r="D607" s="138">
        <f t="shared" si="18"/>
        <v>-3.041825095057038E-2</v>
      </c>
    </row>
    <row r="608" spans="2:4" x14ac:dyDescent="0.25">
      <c r="B608" s="12">
        <v>41162</v>
      </c>
      <c r="C608" s="18">
        <v>13.15</v>
      </c>
      <c r="D608" s="138">
        <f t="shared" si="18"/>
        <v>6.391585760517815E-2</v>
      </c>
    </row>
    <row r="609" spans="2:4" x14ac:dyDescent="0.25">
      <c r="B609" s="12">
        <v>41155</v>
      </c>
      <c r="C609" s="18">
        <v>12.36</v>
      </c>
      <c r="D609" s="138">
        <f t="shared" si="18"/>
        <v>5.4607508532423132E-2</v>
      </c>
    </row>
    <row r="610" spans="2:4" x14ac:dyDescent="0.25">
      <c r="B610" s="12">
        <v>41148</v>
      </c>
      <c r="C610" s="18">
        <v>11.72</v>
      </c>
      <c r="D610" s="138">
        <f t="shared" si="18"/>
        <v>-1.5126050420168013E-2</v>
      </c>
    </row>
    <row r="611" spans="2:4" x14ac:dyDescent="0.25">
      <c r="B611" s="12">
        <v>41141</v>
      </c>
      <c r="C611" s="18">
        <v>11.9</v>
      </c>
      <c r="D611" s="138">
        <f t="shared" si="18"/>
        <v>2.4096385542168752E-2</v>
      </c>
    </row>
    <row r="612" spans="2:4" x14ac:dyDescent="0.25">
      <c r="B612" s="12">
        <v>41134</v>
      </c>
      <c r="C612" s="18">
        <v>11.62</v>
      </c>
      <c r="D612" s="138">
        <f t="shared" si="18"/>
        <v>0.12815533980582505</v>
      </c>
    </row>
    <row r="613" spans="2:4" x14ac:dyDescent="0.25">
      <c r="B613" s="12">
        <v>41127</v>
      </c>
      <c r="C613" s="18">
        <v>10.3</v>
      </c>
      <c r="D613" s="138">
        <f t="shared" si="18"/>
        <v>9.8039215686276382E-3</v>
      </c>
    </row>
    <row r="614" spans="2:4" x14ac:dyDescent="0.25">
      <c r="B614" s="12">
        <v>41120</v>
      </c>
      <c r="C614" s="18">
        <v>10.199999999999999</v>
      </c>
      <c r="D614" s="138">
        <f t="shared" si="18"/>
        <v>-9.7087378640777766E-3</v>
      </c>
    </row>
    <row r="615" spans="2:4" x14ac:dyDescent="0.25">
      <c r="B615" s="12">
        <v>41113</v>
      </c>
      <c r="C615" s="18">
        <v>10.3</v>
      </c>
      <c r="D615" s="138">
        <f t="shared" si="18"/>
        <v>-4.8309178743960457E-3</v>
      </c>
    </row>
    <row r="616" spans="2:4" x14ac:dyDescent="0.25">
      <c r="B616" s="12">
        <v>41106</v>
      </c>
      <c r="C616" s="18">
        <v>10.35</v>
      </c>
      <c r="D616" s="138">
        <f t="shared" si="18"/>
        <v>0</v>
      </c>
    </row>
    <row r="617" spans="2:4" x14ac:dyDescent="0.25">
      <c r="B617" s="12">
        <v>41099</v>
      </c>
      <c r="C617" s="18">
        <v>10.35</v>
      </c>
      <c r="D617" s="138">
        <f t="shared" si="18"/>
        <v>-4.5202952029520294E-2</v>
      </c>
    </row>
    <row r="618" spans="2:4" x14ac:dyDescent="0.25">
      <c r="B618" s="12">
        <v>41092</v>
      </c>
      <c r="C618" s="18">
        <v>10.84</v>
      </c>
      <c r="D618" s="138">
        <f t="shared" si="18"/>
        <v>-5.902777777777779E-2</v>
      </c>
    </row>
    <row r="619" spans="2:4" x14ac:dyDescent="0.25">
      <c r="B619" s="12">
        <v>41085</v>
      </c>
      <c r="C619" s="18">
        <v>11.52</v>
      </c>
      <c r="D619" s="138">
        <f t="shared" si="18"/>
        <v>-2.5380710659898553E-2</v>
      </c>
    </row>
    <row r="620" spans="2:4" x14ac:dyDescent="0.25">
      <c r="B620" s="12">
        <v>41078</v>
      </c>
      <c r="C620" s="18">
        <v>11.82</v>
      </c>
      <c r="D620" s="138">
        <f t="shared" si="18"/>
        <v>4.3248014121800571E-2</v>
      </c>
    </row>
    <row r="621" spans="2:4" x14ac:dyDescent="0.25">
      <c r="B621" s="12">
        <v>41071</v>
      </c>
      <c r="C621" s="18">
        <v>11.33</v>
      </c>
      <c r="D621" s="138">
        <f t="shared" si="18"/>
        <v>-5.2675585284280957E-2</v>
      </c>
    </row>
    <row r="622" spans="2:4" x14ac:dyDescent="0.25">
      <c r="B622" s="12">
        <v>41064</v>
      </c>
      <c r="C622" s="18">
        <v>11.96</v>
      </c>
      <c r="D622" s="138">
        <f t="shared" si="18"/>
        <v>9.2237442922374679E-2</v>
      </c>
    </row>
    <row r="623" spans="2:4" x14ac:dyDescent="0.25">
      <c r="B623" s="12">
        <v>41057</v>
      </c>
      <c r="C623" s="18">
        <v>10.95</v>
      </c>
      <c r="D623" s="138">
        <f t="shared" si="18"/>
        <v>-9.5041322314049603E-2</v>
      </c>
    </row>
    <row r="624" spans="2:4" x14ac:dyDescent="0.25">
      <c r="B624" s="12">
        <v>41050</v>
      </c>
      <c r="C624" s="18">
        <v>12.1</v>
      </c>
      <c r="D624" s="138">
        <f t="shared" si="18"/>
        <v>3.3167495854062867E-3</v>
      </c>
    </row>
    <row r="625" spans="2:4" x14ac:dyDescent="0.25">
      <c r="B625" s="12">
        <v>41043</v>
      </c>
      <c r="C625" s="18">
        <v>12.06</v>
      </c>
      <c r="D625" s="138">
        <f t="shared" si="18"/>
        <v>-0.16075156576200411</v>
      </c>
    </row>
    <row r="626" spans="2:4" x14ac:dyDescent="0.25">
      <c r="B626" s="12">
        <v>41036</v>
      </c>
      <c r="C626" s="18">
        <v>14.37</v>
      </c>
      <c r="D626" s="138">
        <f t="shared" si="18"/>
        <v>3.3812949640287693E-2</v>
      </c>
    </row>
    <row r="627" spans="2:4" x14ac:dyDescent="0.25">
      <c r="B627" s="12">
        <v>41029</v>
      </c>
      <c r="C627" s="18">
        <v>13.9</v>
      </c>
      <c r="D627" s="138">
        <f t="shared" si="18"/>
        <v>-0.1224747474747474</v>
      </c>
    </row>
    <row r="628" spans="2:4" x14ac:dyDescent="0.25">
      <c r="B628" s="12">
        <v>41022</v>
      </c>
      <c r="C628" s="18">
        <v>15.84</v>
      </c>
      <c r="D628" s="138">
        <f t="shared" si="18"/>
        <v>1.6688061617458283E-2</v>
      </c>
    </row>
    <row r="629" spans="2:4" x14ac:dyDescent="0.25">
      <c r="B629" s="12">
        <v>41015</v>
      </c>
      <c r="C629" s="18">
        <v>15.58</v>
      </c>
      <c r="D629" s="138">
        <f t="shared" si="18"/>
        <v>9.1036414565826451E-2</v>
      </c>
    </row>
    <row r="630" spans="2:4" x14ac:dyDescent="0.25">
      <c r="B630" s="12">
        <v>41008</v>
      </c>
      <c r="C630" s="18">
        <v>14.28</v>
      </c>
      <c r="D630" s="138">
        <f t="shared" si="18"/>
        <v>3.3285094066570098E-2</v>
      </c>
    </row>
    <row r="631" spans="2:4" x14ac:dyDescent="0.25">
      <c r="B631" s="12">
        <v>41001</v>
      </c>
      <c r="C631" s="18">
        <v>13.82</v>
      </c>
      <c r="D631" s="138">
        <f t="shared" si="18"/>
        <v>1.3196480938416411E-2</v>
      </c>
    </row>
    <row r="632" spans="2:4" x14ac:dyDescent="0.25">
      <c r="B632" s="12">
        <v>40994</v>
      </c>
      <c r="C632" s="18">
        <v>13.64</v>
      </c>
      <c r="D632" s="138">
        <f t="shared" si="18"/>
        <v>-6.5549890750181694E-3</v>
      </c>
    </row>
    <row r="633" spans="2:4" x14ac:dyDescent="0.25">
      <c r="B633" s="12">
        <v>40987</v>
      </c>
      <c r="C633" s="18">
        <v>13.73</v>
      </c>
      <c r="D633" s="138">
        <f t="shared" si="18"/>
        <v>7.2886297376095754E-4</v>
      </c>
    </row>
    <row r="634" spans="2:4" x14ac:dyDescent="0.25">
      <c r="B634" s="12">
        <v>40980</v>
      </c>
      <c r="C634" s="18">
        <v>13.72</v>
      </c>
      <c r="D634" s="138">
        <f t="shared" si="18"/>
        <v>4.4935262757044958E-2</v>
      </c>
    </row>
    <row r="635" spans="2:4" x14ac:dyDescent="0.25">
      <c r="B635" s="12">
        <v>40973</v>
      </c>
      <c r="C635" s="18">
        <v>13.13</v>
      </c>
      <c r="D635" s="138">
        <f t="shared" si="18"/>
        <v>-1.9417475728155331E-2</v>
      </c>
    </row>
    <row r="636" spans="2:4" x14ac:dyDescent="0.25">
      <c r="B636" s="12">
        <v>40966</v>
      </c>
      <c r="C636" s="18">
        <v>13.39</v>
      </c>
      <c r="D636" s="138">
        <f t="shared" si="18"/>
        <v>7.5502008032128698E-2</v>
      </c>
    </row>
    <row r="637" spans="2:4" x14ac:dyDescent="0.25">
      <c r="B637" s="12">
        <v>40959</v>
      </c>
      <c r="C637" s="18">
        <v>12.45</v>
      </c>
      <c r="D637" s="138">
        <f t="shared" si="18"/>
        <v>2.3848684210526327E-2</v>
      </c>
    </row>
    <row r="638" spans="2:4" x14ac:dyDescent="0.25">
      <c r="B638" s="12">
        <v>40952</v>
      </c>
      <c r="C638" s="18">
        <v>12.16</v>
      </c>
      <c r="D638" s="138">
        <f t="shared" si="18"/>
        <v>5.4640069384215062E-2</v>
      </c>
    </row>
    <row r="639" spans="2:4" x14ac:dyDescent="0.25">
      <c r="B639" s="12">
        <v>40945</v>
      </c>
      <c r="C639" s="18">
        <v>11.53</v>
      </c>
      <c r="D639" s="138">
        <f t="shared" si="18"/>
        <v>-4.5529801324503349E-2</v>
      </c>
    </row>
    <row r="640" spans="2:4" x14ac:dyDescent="0.25">
      <c r="B640" s="12">
        <v>40938</v>
      </c>
      <c r="C640" s="18">
        <v>12.08</v>
      </c>
      <c r="D640" s="138">
        <f t="shared" si="18"/>
        <v>3.0716723549488067E-2</v>
      </c>
    </row>
    <row r="641" spans="2:4" x14ac:dyDescent="0.25">
      <c r="B641" s="12">
        <v>40931</v>
      </c>
      <c r="C641" s="18">
        <v>11.72</v>
      </c>
      <c r="D641" s="138">
        <f t="shared" si="18"/>
        <v>4.8300536672629679E-2</v>
      </c>
    </row>
    <row r="642" spans="2:4" x14ac:dyDescent="0.25">
      <c r="B642" s="12">
        <v>40924</v>
      </c>
      <c r="C642" s="18">
        <v>11.18</v>
      </c>
      <c r="D642" s="138">
        <f t="shared" si="18"/>
        <v>6.4761904761904798E-2</v>
      </c>
    </row>
    <row r="643" spans="2:4" x14ac:dyDescent="0.25">
      <c r="B643" s="12">
        <v>40917</v>
      </c>
      <c r="C643" s="18">
        <v>10.5</v>
      </c>
      <c r="D643" s="138">
        <f t="shared" ref="D643:D706" si="19">C643/C644-1</f>
        <v>0.10410094637223977</v>
      </c>
    </row>
    <row r="644" spans="2:4" x14ac:dyDescent="0.25">
      <c r="B644" s="12">
        <v>40910</v>
      </c>
      <c r="C644" s="18">
        <v>9.51</v>
      </c>
      <c r="D644" s="138">
        <f t="shared" si="19"/>
        <v>-1.1434511434511352E-2</v>
      </c>
    </row>
    <row r="645" spans="2:4" x14ac:dyDescent="0.25">
      <c r="B645" s="12">
        <v>40903</v>
      </c>
      <c r="C645" s="18">
        <v>9.6199999999999992</v>
      </c>
      <c r="D645" s="138">
        <f t="shared" si="19"/>
        <v>1.3698630136986134E-2</v>
      </c>
    </row>
    <row r="646" spans="2:4" x14ac:dyDescent="0.25">
      <c r="B646" s="12">
        <v>40896</v>
      </c>
      <c r="C646" s="18">
        <v>9.49</v>
      </c>
      <c r="D646" s="138">
        <f t="shared" si="19"/>
        <v>4.4004400440043945E-2</v>
      </c>
    </row>
    <row r="647" spans="2:4" x14ac:dyDescent="0.25">
      <c r="B647" s="12">
        <v>40889</v>
      </c>
      <c r="C647" s="18">
        <v>9.09</v>
      </c>
      <c r="D647" s="138">
        <f t="shared" si="19"/>
        <v>-1.1956521739130421E-2</v>
      </c>
    </row>
    <row r="648" spans="2:4" x14ac:dyDescent="0.25">
      <c r="B648" s="12">
        <v>40882</v>
      </c>
      <c r="C648" s="18">
        <v>9.1999999999999993</v>
      </c>
      <c r="D648" s="138">
        <f t="shared" si="19"/>
        <v>-8.2751744765702906E-2</v>
      </c>
    </row>
    <row r="649" spans="2:4" x14ac:dyDescent="0.25">
      <c r="B649" s="12">
        <v>40875</v>
      </c>
      <c r="C649" s="18">
        <v>10.029999999999999</v>
      </c>
      <c r="D649" s="138">
        <f t="shared" si="19"/>
        <v>0.18979833926453149</v>
      </c>
    </row>
    <row r="650" spans="2:4" x14ac:dyDescent="0.25">
      <c r="B650" s="12">
        <v>40868</v>
      </c>
      <c r="C650" s="18">
        <v>8.43</v>
      </c>
      <c r="D650" s="138">
        <f t="shared" si="19"/>
        <v>-5.2808988764045051E-2</v>
      </c>
    </row>
    <row r="651" spans="2:4" x14ac:dyDescent="0.25">
      <c r="B651" s="12">
        <v>40861</v>
      </c>
      <c r="C651" s="18">
        <v>8.9</v>
      </c>
      <c r="D651" s="138">
        <f t="shared" si="19"/>
        <v>-8.247422680412364E-2</v>
      </c>
    </row>
    <row r="652" spans="2:4" x14ac:dyDescent="0.25">
      <c r="B652" s="12">
        <v>40854</v>
      </c>
      <c r="C652" s="18">
        <v>9.6999999999999993</v>
      </c>
      <c r="D652" s="138">
        <f t="shared" si="19"/>
        <v>-0.17376490630323682</v>
      </c>
    </row>
    <row r="653" spans="2:4" x14ac:dyDescent="0.25">
      <c r="B653" s="12">
        <v>40847</v>
      </c>
      <c r="C653" s="18">
        <v>11.74</v>
      </c>
      <c r="D653" s="138">
        <f t="shared" si="19"/>
        <v>-2.491694352159457E-2</v>
      </c>
    </row>
    <row r="654" spans="2:4" x14ac:dyDescent="0.25">
      <c r="B654" s="12">
        <v>40840</v>
      </c>
      <c r="C654" s="18">
        <v>12.04</v>
      </c>
      <c r="D654" s="138">
        <f t="shared" si="19"/>
        <v>0.19444444444444442</v>
      </c>
    </row>
    <row r="655" spans="2:4" x14ac:dyDescent="0.25">
      <c r="B655" s="12">
        <v>40833</v>
      </c>
      <c r="C655" s="18">
        <v>10.08</v>
      </c>
      <c r="D655" s="138">
        <f t="shared" si="19"/>
        <v>-7.6076993583867991E-2</v>
      </c>
    </row>
    <row r="656" spans="2:4" x14ac:dyDescent="0.25">
      <c r="B656" s="12">
        <v>40826</v>
      </c>
      <c r="C656" s="18">
        <v>10.91</v>
      </c>
      <c r="D656" s="138">
        <f t="shared" si="19"/>
        <v>0.15327695560253685</v>
      </c>
    </row>
    <row r="657" spans="2:4" x14ac:dyDescent="0.25">
      <c r="B657" s="12">
        <v>40819</v>
      </c>
      <c r="C657" s="18">
        <v>9.4600000000000009</v>
      </c>
      <c r="D657" s="138">
        <f t="shared" si="19"/>
        <v>0.13838748495788211</v>
      </c>
    </row>
    <row r="658" spans="2:4" x14ac:dyDescent="0.25">
      <c r="B658" s="12">
        <v>40812</v>
      </c>
      <c r="C658" s="18">
        <v>8.31</v>
      </c>
      <c r="D658" s="138">
        <f t="shared" si="19"/>
        <v>-0.18449460255152106</v>
      </c>
    </row>
    <row r="659" spans="2:4" x14ac:dyDescent="0.25">
      <c r="B659" s="12">
        <v>40805</v>
      </c>
      <c r="C659" s="18">
        <v>10.19</v>
      </c>
      <c r="D659" s="138">
        <f t="shared" si="19"/>
        <v>-0.11468288444830588</v>
      </c>
    </row>
    <row r="660" spans="2:4" x14ac:dyDescent="0.25">
      <c r="B660" s="12">
        <v>40798</v>
      </c>
      <c r="C660" s="18">
        <v>11.51</v>
      </c>
      <c r="D660" s="138">
        <f t="shared" si="19"/>
        <v>-5.0330033003300301E-2</v>
      </c>
    </row>
    <row r="661" spans="2:4" x14ac:dyDescent="0.25">
      <c r="B661" s="12">
        <v>40791</v>
      </c>
      <c r="C661" s="18">
        <v>12.12</v>
      </c>
      <c r="D661" s="138">
        <f t="shared" si="19"/>
        <v>-1.7828200972447417E-2</v>
      </c>
    </row>
    <row r="662" spans="2:4" x14ac:dyDescent="0.25">
      <c r="B662" s="12">
        <v>40784</v>
      </c>
      <c r="C662" s="18">
        <v>12.34</v>
      </c>
      <c r="D662" s="138">
        <f t="shared" si="19"/>
        <v>2.3217247097844007E-2</v>
      </c>
    </row>
    <row r="663" spans="2:4" x14ac:dyDescent="0.25">
      <c r="B663" s="12">
        <v>40777</v>
      </c>
      <c r="C663" s="18">
        <v>12.06</v>
      </c>
      <c r="D663" s="138">
        <f t="shared" si="19"/>
        <v>0</v>
      </c>
    </row>
    <row r="664" spans="2:4" x14ac:dyDescent="0.25">
      <c r="B664" s="12">
        <v>40770</v>
      </c>
      <c r="C664" s="18">
        <v>12.06</v>
      </c>
      <c r="D664" s="138">
        <f t="shared" si="19"/>
        <v>-0.1073279052553664</v>
      </c>
    </row>
    <row r="665" spans="2:4" x14ac:dyDescent="0.25">
      <c r="B665" s="12">
        <v>40763</v>
      </c>
      <c r="C665" s="18">
        <v>13.51</v>
      </c>
      <c r="D665" s="138">
        <f t="shared" si="19"/>
        <v>7.7352472089314173E-2</v>
      </c>
    </row>
    <row r="666" spans="2:4" x14ac:dyDescent="0.25">
      <c r="B666" s="12">
        <v>40756</v>
      </c>
      <c r="C666" s="18">
        <v>12.54</v>
      </c>
      <c r="D666" s="138">
        <f t="shared" si="19"/>
        <v>-0.17118307997356252</v>
      </c>
    </row>
    <row r="667" spans="2:4" x14ac:dyDescent="0.25">
      <c r="B667" s="12">
        <v>40749</v>
      </c>
      <c r="C667" s="18">
        <v>15.13</v>
      </c>
      <c r="D667" s="138">
        <f t="shared" si="19"/>
        <v>-3.8143674507310821E-2</v>
      </c>
    </row>
    <row r="668" spans="2:4" x14ac:dyDescent="0.25">
      <c r="B668" s="12">
        <v>40742</v>
      </c>
      <c r="C668" s="18">
        <v>15.73</v>
      </c>
      <c r="D668" s="138">
        <f t="shared" si="19"/>
        <v>8.7076710435383564E-2</v>
      </c>
    </row>
    <row r="669" spans="2:4" x14ac:dyDescent="0.25">
      <c r="B669" s="12">
        <v>40735</v>
      </c>
      <c r="C669" s="18">
        <v>14.47</v>
      </c>
      <c r="D669" s="138">
        <f t="shared" si="19"/>
        <v>3.5050071530758231E-2</v>
      </c>
    </row>
    <row r="670" spans="2:4" x14ac:dyDescent="0.25">
      <c r="B670" s="12">
        <v>40728</v>
      </c>
      <c r="C670" s="18">
        <v>13.98</v>
      </c>
      <c r="D670" s="138">
        <f t="shared" si="19"/>
        <v>2.8697571743929506E-2</v>
      </c>
    </row>
    <row r="671" spans="2:4" x14ac:dyDescent="0.25">
      <c r="B671" s="12">
        <v>40721</v>
      </c>
      <c r="C671" s="18">
        <v>13.59</v>
      </c>
      <c r="D671" s="138">
        <f t="shared" si="19"/>
        <v>0.18689956331877733</v>
      </c>
    </row>
    <row r="672" spans="2:4" x14ac:dyDescent="0.25">
      <c r="B672" s="12">
        <v>40714</v>
      </c>
      <c r="C672" s="18">
        <v>11.45</v>
      </c>
      <c r="D672" s="138">
        <f t="shared" si="19"/>
        <v>6.909430438842179E-2</v>
      </c>
    </row>
    <row r="673" spans="2:4" x14ac:dyDescent="0.25">
      <c r="B673" s="12">
        <v>40707</v>
      </c>
      <c r="C673" s="18">
        <v>10.71</v>
      </c>
      <c r="D673" s="138">
        <f t="shared" si="19"/>
        <v>2.8818443804034644E-2</v>
      </c>
    </row>
    <row r="674" spans="2:4" x14ac:dyDescent="0.25">
      <c r="B674" s="12">
        <v>40700</v>
      </c>
      <c r="C674" s="18">
        <v>10.41</v>
      </c>
      <c r="D674" s="138">
        <f t="shared" si="19"/>
        <v>-9.0829694323144028E-2</v>
      </c>
    </row>
    <row r="675" spans="2:4" x14ac:dyDescent="0.25">
      <c r="B675" s="12">
        <v>40693</v>
      </c>
      <c r="C675" s="18">
        <v>11.45</v>
      </c>
      <c r="D675" s="138">
        <f t="shared" si="19"/>
        <v>4.5662100456621113E-2</v>
      </c>
    </row>
    <row r="676" spans="2:4" x14ac:dyDescent="0.25">
      <c r="B676" s="12">
        <v>40686</v>
      </c>
      <c r="C676" s="18">
        <v>10.95</v>
      </c>
      <c r="D676" s="138">
        <f t="shared" si="19"/>
        <v>6.2075654704170535E-2</v>
      </c>
    </row>
    <row r="677" spans="2:4" x14ac:dyDescent="0.25">
      <c r="B677" s="12">
        <v>40679</v>
      </c>
      <c r="C677" s="18">
        <v>10.31</v>
      </c>
      <c r="D677" s="138">
        <f t="shared" si="19"/>
        <v>-1.7159199237368861E-2</v>
      </c>
    </row>
    <row r="678" spans="2:4" x14ac:dyDescent="0.25">
      <c r="B678" s="12">
        <v>40672</v>
      </c>
      <c r="C678" s="18">
        <v>10.49</v>
      </c>
      <c r="D678" s="138">
        <f t="shared" si="19"/>
        <v>-1.3170272812794037E-2</v>
      </c>
    </row>
    <row r="679" spans="2:4" x14ac:dyDescent="0.25">
      <c r="B679" s="12">
        <v>40665</v>
      </c>
      <c r="C679" s="18">
        <v>10.63</v>
      </c>
      <c r="D679" s="138">
        <f t="shared" si="19"/>
        <v>-1.024208566107998E-2</v>
      </c>
    </row>
    <row r="680" spans="2:4" x14ac:dyDescent="0.25">
      <c r="B680" s="12">
        <v>40658</v>
      </c>
      <c r="C680" s="18">
        <v>10.74</v>
      </c>
      <c r="D680" s="138">
        <f t="shared" si="19"/>
        <v>7.4000000000000066E-2</v>
      </c>
    </row>
    <row r="681" spans="2:4" x14ac:dyDescent="0.25">
      <c r="B681" s="12">
        <v>40651</v>
      </c>
      <c r="C681" s="18">
        <v>10</v>
      </c>
      <c r="D681" s="138">
        <f t="shared" si="19"/>
        <v>9.1703056768558833E-2</v>
      </c>
    </row>
    <row r="682" spans="2:4" x14ac:dyDescent="0.25">
      <c r="B682" s="12">
        <v>40644</v>
      </c>
      <c r="C682" s="18">
        <v>9.16</v>
      </c>
      <c r="D682" s="138">
        <f t="shared" si="19"/>
        <v>8.7885985748218598E-2</v>
      </c>
    </row>
    <row r="683" spans="2:4" x14ac:dyDescent="0.25">
      <c r="B683" s="12">
        <v>40637</v>
      </c>
      <c r="C683" s="18">
        <v>8.42</v>
      </c>
      <c r="D683" s="138">
        <f t="shared" si="19"/>
        <v>5.1186017478152435E-2</v>
      </c>
    </row>
    <row r="684" spans="2:4" x14ac:dyDescent="0.25">
      <c r="B684" s="12">
        <v>40630</v>
      </c>
      <c r="C684" s="18">
        <v>8.01</v>
      </c>
      <c r="D684" s="138">
        <f t="shared" si="19"/>
        <v>1.9083969465648831E-2</v>
      </c>
    </row>
    <row r="685" spans="2:4" x14ac:dyDescent="0.25">
      <c r="B685" s="12">
        <v>40623</v>
      </c>
      <c r="C685" s="18">
        <v>7.86</v>
      </c>
      <c r="D685" s="138">
        <f t="shared" si="19"/>
        <v>0.14912280701754388</v>
      </c>
    </row>
    <row r="686" spans="2:4" x14ac:dyDescent="0.25">
      <c r="B686" s="12">
        <v>40616</v>
      </c>
      <c r="C686" s="18">
        <v>6.84</v>
      </c>
      <c r="D686" s="138">
        <f t="shared" si="19"/>
        <v>-6.938775510204076E-2</v>
      </c>
    </row>
    <row r="687" spans="2:4" x14ac:dyDescent="0.25">
      <c r="B687" s="12">
        <v>40609</v>
      </c>
      <c r="C687" s="18">
        <v>7.35</v>
      </c>
      <c r="D687" s="138">
        <f t="shared" si="19"/>
        <v>-2.7137042062416183E-3</v>
      </c>
    </row>
    <row r="688" spans="2:4" x14ac:dyDescent="0.25">
      <c r="B688" s="12">
        <v>40602</v>
      </c>
      <c r="C688" s="18">
        <v>7.37</v>
      </c>
      <c r="D688" s="138">
        <f t="shared" si="19"/>
        <v>7.906295754026349E-2</v>
      </c>
    </row>
    <row r="689" spans="2:4" x14ac:dyDescent="0.25">
      <c r="B689" s="12">
        <v>40595</v>
      </c>
      <c r="C689" s="18">
        <v>6.83</v>
      </c>
      <c r="D689" s="138">
        <f t="shared" si="19"/>
        <v>-5.0069541029207243E-2</v>
      </c>
    </row>
    <row r="690" spans="2:4" x14ac:dyDescent="0.25">
      <c r="B690" s="12">
        <v>40588</v>
      </c>
      <c r="C690" s="18">
        <v>7.19</v>
      </c>
      <c r="D690" s="138">
        <f t="shared" si="19"/>
        <v>1.3927576601673319E-3</v>
      </c>
    </row>
    <row r="691" spans="2:4" x14ac:dyDescent="0.25">
      <c r="B691" s="12">
        <v>40581</v>
      </c>
      <c r="C691" s="18">
        <v>7.18</v>
      </c>
      <c r="D691" s="138">
        <f t="shared" si="19"/>
        <v>-2.4456521739130488E-2</v>
      </c>
    </row>
    <row r="692" spans="2:4" x14ac:dyDescent="0.25">
      <c r="B692" s="12">
        <v>40574</v>
      </c>
      <c r="C692" s="18">
        <v>7.36</v>
      </c>
      <c r="D692" s="138">
        <f t="shared" si="19"/>
        <v>-1.4725568942436373E-2</v>
      </c>
    </row>
    <row r="693" spans="2:4" x14ac:dyDescent="0.25">
      <c r="B693" s="12">
        <v>40567</v>
      </c>
      <c r="C693" s="18">
        <v>7.47</v>
      </c>
      <c r="D693" s="138">
        <f t="shared" si="19"/>
        <v>2.7510316368638321E-2</v>
      </c>
    </row>
    <row r="694" spans="2:4" x14ac:dyDescent="0.25">
      <c r="B694" s="12">
        <v>40560</v>
      </c>
      <c r="C694" s="18">
        <v>7.27</v>
      </c>
      <c r="D694" s="138">
        <f t="shared" si="19"/>
        <v>-3.7086092715231778E-2</v>
      </c>
    </row>
    <row r="695" spans="2:4" x14ac:dyDescent="0.25">
      <c r="B695" s="12">
        <v>40553</v>
      </c>
      <c r="C695" s="18">
        <v>7.55</v>
      </c>
      <c r="D695" s="138">
        <f t="shared" si="19"/>
        <v>7.7032810271041363E-2</v>
      </c>
    </row>
    <row r="696" spans="2:4" x14ac:dyDescent="0.25">
      <c r="B696" s="12">
        <v>40546</v>
      </c>
      <c r="C696" s="18">
        <v>7.01</v>
      </c>
      <c r="D696" s="138">
        <f t="shared" si="19"/>
        <v>0.10220125786163514</v>
      </c>
    </row>
    <row r="697" spans="2:4" x14ac:dyDescent="0.25">
      <c r="B697" s="12">
        <v>40539</v>
      </c>
      <c r="C697" s="18">
        <v>6.36</v>
      </c>
      <c r="D697" s="138">
        <f t="shared" si="19"/>
        <v>1.760000000000006E-2</v>
      </c>
    </row>
    <row r="698" spans="2:4" x14ac:dyDescent="0.25">
      <c r="B698" s="12">
        <v>40532</v>
      </c>
      <c r="C698" s="18">
        <v>6.25</v>
      </c>
      <c r="D698" s="138">
        <f t="shared" si="19"/>
        <v>1.6025641025640969E-3</v>
      </c>
    </row>
    <row r="699" spans="2:4" x14ac:dyDescent="0.25">
      <c r="B699" s="12">
        <v>40525</v>
      </c>
      <c r="C699" s="18">
        <v>6.24</v>
      </c>
      <c r="D699" s="138">
        <f t="shared" si="19"/>
        <v>8.1455805892547861E-2</v>
      </c>
    </row>
    <row r="700" spans="2:4" x14ac:dyDescent="0.25">
      <c r="B700" s="12">
        <v>40518</v>
      </c>
      <c r="C700" s="18">
        <v>5.77</v>
      </c>
      <c r="D700" s="138">
        <f t="shared" si="19"/>
        <v>-4.4701986754966949E-2</v>
      </c>
    </row>
    <row r="701" spans="2:4" x14ac:dyDescent="0.25">
      <c r="B701" s="12">
        <v>40511</v>
      </c>
      <c r="C701" s="18">
        <v>6.04</v>
      </c>
      <c r="D701" s="138">
        <f t="shared" si="19"/>
        <v>-1.6528925619834212E-3</v>
      </c>
    </row>
    <row r="702" spans="2:4" x14ac:dyDescent="0.25">
      <c r="B702" s="12">
        <v>40504</v>
      </c>
      <c r="C702" s="18">
        <v>6.05</v>
      </c>
      <c r="D702" s="138">
        <f t="shared" si="19"/>
        <v>-2.5764895330112725E-2</v>
      </c>
    </row>
    <row r="703" spans="2:4" x14ac:dyDescent="0.25">
      <c r="B703" s="12">
        <v>40497</v>
      </c>
      <c r="C703" s="18">
        <v>6.21</v>
      </c>
      <c r="D703" s="138">
        <f t="shared" si="19"/>
        <v>8.116883116883189E-3</v>
      </c>
    </row>
    <row r="704" spans="2:4" x14ac:dyDescent="0.25">
      <c r="B704" s="12">
        <v>40490</v>
      </c>
      <c r="C704" s="18">
        <v>6.16</v>
      </c>
      <c r="D704" s="138">
        <f t="shared" si="19"/>
        <v>-6.2404870624048758E-2</v>
      </c>
    </row>
    <row r="705" spans="2:4" x14ac:dyDescent="0.25">
      <c r="B705" s="12">
        <v>40483</v>
      </c>
      <c r="C705" s="18">
        <v>6.57</v>
      </c>
      <c r="D705" s="138">
        <f t="shared" si="19"/>
        <v>4.7846889952153138E-2</v>
      </c>
    </row>
    <row r="706" spans="2:4" x14ac:dyDescent="0.25">
      <c r="B706" s="12">
        <v>40476</v>
      </c>
      <c r="C706" s="18">
        <v>6.27</v>
      </c>
      <c r="D706" s="138">
        <f t="shared" si="19"/>
        <v>6.271186440677945E-2</v>
      </c>
    </row>
    <row r="707" spans="2:4" x14ac:dyDescent="0.25">
      <c r="B707" s="12">
        <v>40469</v>
      </c>
      <c r="C707" s="18">
        <v>5.9</v>
      </c>
      <c r="D707" s="138">
        <f t="shared" ref="D707:D770" si="20">C707/C708-1</f>
        <v>5.9245960502692929E-2</v>
      </c>
    </row>
    <row r="708" spans="2:4" x14ac:dyDescent="0.25">
      <c r="B708" s="12">
        <v>40462</v>
      </c>
      <c r="C708" s="18">
        <v>5.57</v>
      </c>
      <c r="D708" s="138">
        <f t="shared" si="20"/>
        <v>-1.7921146953404632E-3</v>
      </c>
    </row>
    <row r="709" spans="2:4" x14ac:dyDescent="0.25">
      <c r="B709" s="12">
        <v>40455</v>
      </c>
      <c r="C709" s="18">
        <v>5.58</v>
      </c>
      <c r="D709" s="138">
        <f t="shared" si="20"/>
        <v>9.6267190569744532E-2</v>
      </c>
    </row>
    <row r="710" spans="2:4" x14ac:dyDescent="0.25">
      <c r="B710" s="12">
        <v>40448</v>
      </c>
      <c r="C710" s="18">
        <v>5.09</v>
      </c>
      <c r="D710" s="138">
        <f t="shared" si="20"/>
        <v>3.8775510204081431E-2</v>
      </c>
    </row>
    <row r="711" spans="2:4" x14ac:dyDescent="0.25">
      <c r="B711" s="12">
        <v>40441</v>
      </c>
      <c r="C711" s="18">
        <v>4.9000000000000004</v>
      </c>
      <c r="D711" s="138">
        <f t="shared" si="20"/>
        <v>2.044989775051187E-3</v>
      </c>
    </row>
    <row r="712" spans="2:4" x14ac:dyDescent="0.25">
      <c r="B712" s="12">
        <v>40434</v>
      </c>
      <c r="C712" s="18">
        <v>4.8899999999999997</v>
      </c>
      <c r="D712" s="138">
        <f t="shared" si="20"/>
        <v>7.9470198675496651E-2</v>
      </c>
    </row>
    <row r="713" spans="2:4" x14ac:dyDescent="0.25">
      <c r="B713" s="12">
        <v>40427</v>
      </c>
      <c r="C713" s="18">
        <v>4.53</v>
      </c>
      <c r="D713" s="138">
        <f t="shared" si="20"/>
        <v>8.9086859688196629E-3</v>
      </c>
    </row>
    <row r="714" spans="2:4" x14ac:dyDescent="0.25">
      <c r="B714" s="12">
        <v>40420</v>
      </c>
      <c r="C714" s="18">
        <v>4.49</v>
      </c>
      <c r="D714" s="138">
        <f t="shared" si="20"/>
        <v>5.89622641509433E-2</v>
      </c>
    </row>
    <row r="715" spans="2:4" x14ac:dyDescent="0.25">
      <c r="B715" s="12">
        <v>40413</v>
      </c>
      <c r="C715" s="18">
        <v>4.24</v>
      </c>
      <c r="D715" s="138">
        <f t="shared" si="20"/>
        <v>1.4354066985646119E-2</v>
      </c>
    </row>
    <row r="716" spans="2:4" x14ac:dyDescent="0.25">
      <c r="B716" s="12">
        <v>40406</v>
      </c>
      <c r="C716" s="18">
        <v>4.18</v>
      </c>
      <c r="D716" s="138">
        <f t="shared" si="20"/>
        <v>9.7112860892388353E-2</v>
      </c>
    </row>
    <row r="717" spans="2:4" x14ac:dyDescent="0.25">
      <c r="B717" s="12">
        <v>40399</v>
      </c>
      <c r="C717" s="18">
        <v>3.81</v>
      </c>
      <c r="D717" s="138">
        <f t="shared" si="20"/>
        <v>-2.0565552699228773E-2</v>
      </c>
    </row>
    <row r="718" spans="2:4" x14ac:dyDescent="0.25">
      <c r="B718" s="12">
        <v>40392</v>
      </c>
      <c r="C718" s="18">
        <v>3.89</v>
      </c>
      <c r="D718" s="138">
        <f t="shared" si="20"/>
        <v>0</v>
      </c>
    </row>
    <row r="719" spans="2:4" x14ac:dyDescent="0.25">
      <c r="B719" s="12">
        <v>40385</v>
      </c>
      <c r="C719" s="18">
        <v>3.89</v>
      </c>
      <c r="D719" s="138">
        <f t="shared" si="20"/>
        <v>-5.3527980535279851E-2</v>
      </c>
    </row>
    <row r="720" spans="2:4" x14ac:dyDescent="0.25">
      <c r="B720" s="12">
        <v>40378</v>
      </c>
      <c r="C720" s="18">
        <v>4.1100000000000003</v>
      </c>
      <c r="D720" s="138">
        <f t="shared" si="20"/>
        <v>0.12602739726027412</v>
      </c>
    </row>
    <row r="721" spans="2:4" x14ac:dyDescent="0.25">
      <c r="B721" s="12">
        <v>40371</v>
      </c>
      <c r="C721" s="18">
        <v>3.65</v>
      </c>
      <c r="D721" s="138">
        <f t="shared" si="20"/>
        <v>-8.2914572864321578E-2</v>
      </c>
    </row>
    <row r="722" spans="2:4" x14ac:dyDescent="0.25">
      <c r="B722" s="12">
        <v>40364</v>
      </c>
      <c r="C722" s="18">
        <v>3.98</v>
      </c>
      <c r="D722" s="138">
        <f t="shared" si="20"/>
        <v>8.1521739130434812E-2</v>
      </c>
    </row>
    <row r="723" spans="2:4" x14ac:dyDescent="0.25">
      <c r="B723" s="12">
        <v>40357</v>
      </c>
      <c r="C723" s="18">
        <v>3.68</v>
      </c>
      <c r="D723" s="138">
        <f t="shared" si="20"/>
        <v>-0.13207547169811318</v>
      </c>
    </row>
    <row r="724" spans="2:4" x14ac:dyDescent="0.25">
      <c r="B724" s="12">
        <v>40350</v>
      </c>
      <c r="C724" s="18">
        <v>4.24</v>
      </c>
      <c r="D724" s="138">
        <f t="shared" si="20"/>
        <v>-3.4168564920273203E-2</v>
      </c>
    </row>
    <row r="725" spans="2:4" x14ac:dyDescent="0.25">
      <c r="B725" s="12">
        <v>40343</v>
      </c>
      <c r="C725" s="18">
        <v>4.3899999999999997</v>
      </c>
      <c r="D725" s="138">
        <f t="shared" si="20"/>
        <v>6.0386473429951737E-2</v>
      </c>
    </row>
    <row r="726" spans="2:4" x14ac:dyDescent="0.25">
      <c r="B726" s="12">
        <v>40336</v>
      </c>
      <c r="C726" s="18">
        <v>4.1399999999999997</v>
      </c>
      <c r="D726" s="138">
        <f t="shared" si="20"/>
        <v>3.2418952618453734E-2</v>
      </c>
    </row>
    <row r="727" spans="2:4" x14ac:dyDescent="0.25">
      <c r="B727" s="12">
        <v>40329</v>
      </c>
      <c r="C727" s="18">
        <v>4.01</v>
      </c>
      <c r="D727" s="138">
        <f t="shared" si="20"/>
        <v>-6.5268065268065278E-2</v>
      </c>
    </row>
    <row r="728" spans="2:4" x14ac:dyDescent="0.25">
      <c r="B728" s="12">
        <v>40322</v>
      </c>
      <c r="C728" s="18">
        <v>4.29</v>
      </c>
      <c r="D728" s="138">
        <f t="shared" si="20"/>
        <v>0.16893732970027253</v>
      </c>
    </row>
    <row r="729" spans="2:4" x14ac:dyDescent="0.25">
      <c r="B729" s="12">
        <v>40315</v>
      </c>
      <c r="C729" s="18">
        <v>3.67</v>
      </c>
      <c r="D729" s="138">
        <f t="shared" si="20"/>
        <v>-9.1584158415841554E-2</v>
      </c>
    </row>
    <row r="730" spans="2:4" x14ac:dyDescent="0.25">
      <c r="B730" s="12">
        <v>40308</v>
      </c>
      <c r="C730" s="18">
        <v>4.04</v>
      </c>
      <c r="D730" s="138">
        <f t="shared" si="20"/>
        <v>5.7591623036649331E-2</v>
      </c>
    </row>
    <row r="731" spans="2:4" x14ac:dyDescent="0.25">
      <c r="B731" s="12">
        <v>40301</v>
      </c>
      <c r="C731" s="18">
        <v>3.82</v>
      </c>
      <c r="D731" s="138">
        <f t="shared" si="20"/>
        <v>-0.19747899159663862</v>
      </c>
    </row>
    <row r="732" spans="2:4" x14ac:dyDescent="0.25">
      <c r="B732" s="12">
        <v>40294</v>
      </c>
      <c r="C732" s="18">
        <v>4.76</v>
      </c>
      <c r="D732" s="138">
        <f t="shared" si="20"/>
        <v>-1.8556701030927769E-2</v>
      </c>
    </row>
    <row r="733" spans="2:4" x14ac:dyDescent="0.25">
      <c r="B733" s="12">
        <v>40287</v>
      </c>
      <c r="C733" s="18">
        <v>4.8499999999999996</v>
      </c>
      <c r="D733" s="138">
        <f t="shared" si="20"/>
        <v>2.1052631578947212E-2</v>
      </c>
    </row>
    <row r="734" spans="2:4" x14ac:dyDescent="0.25">
      <c r="B734" s="12">
        <v>40280</v>
      </c>
      <c r="C734" s="18">
        <v>4.75</v>
      </c>
      <c r="D734" s="138">
        <f t="shared" si="20"/>
        <v>-0.13162705667276042</v>
      </c>
    </row>
    <row r="735" spans="2:4" x14ac:dyDescent="0.25">
      <c r="B735" s="12">
        <v>40273</v>
      </c>
      <c r="C735" s="18">
        <v>5.47</v>
      </c>
      <c r="D735" s="138">
        <f t="shared" si="20"/>
        <v>0.17381974248927023</v>
      </c>
    </row>
    <row r="736" spans="2:4" x14ac:dyDescent="0.25">
      <c r="B736" s="12">
        <v>40266</v>
      </c>
      <c r="C736" s="18">
        <v>4.66</v>
      </c>
      <c r="D736" s="138">
        <f t="shared" si="20"/>
        <v>-4.3121149897330624E-2</v>
      </c>
    </row>
    <row r="737" spans="2:4" x14ac:dyDescent="0.25">
      <c r="B737" s="12">
        <v>40259</v>
      </c>
      <c r="C737" s="18">
        <v>4.87</v>
      </c>
      <c r="D737" s="138">
        <f t="shared" si="20"/>
        <v>7.0329670329670302E-2</v>
      </c>
    </row>
    <row r="738" spans="2:4" x14ac:dyDescent="0.25">
      <c r="B738" s="12">
        <v>40252</v>
      </c>
      <c r="C738" s="18">
        <v>4.55</v>
      </c>
      <c r="D738" s="138">
        <f t="shared" si="20"/>
        <v>1.7897091722595126E-2</v>
      </c>
    </row>
    <row r="739" spans="2:4" x14ac:dyDescent="0.25">
      <c r="B739" s="12">
        <v>40245</v>
      </c>
      <c r="C739" s="18">
        <v>4.47</v>
      </c>
      <c r="D739" s="138">
        <f t="shared" si="20"/>
        <v>2.0547945205479312E-2</v>
      </c>
    </row>
    <row r="740" spans="2:4" x14ac:dyDescent="0.25">
      <c r="B740" s="12">
        <v>40238</v>
      </c>
      <c r="C740" s="18">
        <v>4.38</v>
      </c>
      <c r="D740" s="138">
        <f t="shared" si="20"/>
        <v>8.4158415841584233E-2</v>
      </c>
    </row>
    <row r="741" spans="2:4" x14ac:dyDescent="0.25">
      <c r="B741" s="12">
        <v>40231</v>
      </c>
      <c r="C741" s="18">
        <v>4.04</v>
      </c>
      <c r="D741" s="138">
        <f t="shared" si="20"/>
        <v>6.5963060686015762E-2</v>
      </c>
    </row>
    <row r="742" spans="2:4" x14ac:dyDescent="0.25">
      <c r="B742" s="12">
        <v>40224</v>
      </c>
      <c r="C742" s="18">
        <v>3.79</v>
      </c>
      <c r="D742" s="138">
        <f t="shared" si="20"/>
        <v>1.3368983957219305E-2</v>
      </c>
    </row>
    <row r="743" spans="2:4" x14ac:dyDescent="0.25">
      <c r="B743" s="12">
        <v>40217</v>
      </c>
      <c r="C743" s="18">
        <v>3.74</v>
      </c>
      <c r="D743" s="138">
        <f t="shared" si="20"/>
        <v>6.25E-2</v>
      </c>
    </row>
    <row r="744" spans="2:4" x14ac:dyDescent="0.25">
      <c r="B744" s="12">
        <v>40210</v>
      </c>
      <c r="C744" s="18">
        <v>3.52</v>
      </c>
      <c r="D744" s="138">
        <f t="shared" si="20"/>
        <v>-1.4005602240896309E-2</v>
      </c>
    </row>
    <row r="745" spans="2:4" x14ac:dyDescent="0.25">
      <c r="B745" s="12">
        <v>40203</v>
      </c>
      <c r="C745" s="18">
        <v>3.57</v>
      </c>
      <c r="D745" s="138">
        <f t="shared" si="20"/>
        <v>1.4204545454545414E-2</v>
      </c>
    </row>
    <row r="746" spans="2:4" x14ac:dyDescent="0.25">
      <c r="B746" s="12">
        <v>40196</v>
      </c>
      <c r="C746" s="18">
        <v>3.52</v>
      </c>
      <c r="D746" s="138">
        <f t="shared" si="20"/>
        <v>-6.1333333333333351E-2</v>
      </c>
    </row>
    <row r="747" spans="2:4" x14ac:dyDescent="0.25">
      <c r="B747" s="12">
        <v>40189</v>
      </c>
      <c r="C747" s="18">
        <v>3.75</v>
      </c>
      <c r="D747" s="138">
        <f t="shared" si="20"/>
        <v>-8.9805825242718518E-2</v>
      </c>
    </row>
    <row r="748" spans="2:4" x14ac:dyDescent="0.25">
      <c r="B748" s="12">
        <v>40182</v>
      </c>
      <c r="C748" s="18">
        <v>4.12</v>
      </c>
      <c r="D748" s="138">
        <f t="shared" si="20"/>
        <v>0.22619047619047628</v>
      </c>
    </row>
    <row r="749" spans="2:4" x14ac:dyDescent="0.25">
      <c r="B749" s="12">
        <v>40175</v>
      </c>
      <c r="C749" s="18">
        <v>3.36</v>
      </c>
      <c r="D749" s="138">
        <f t="shared" si="20"/>
        <v>-2.0408163265306256E-2</v>
      </c>
    </row>
    <row r="750" spans="2:4" x14ac:dyDescent="0.25">
      <c r="B750" s="12">
        <v>40168</v>
      </c>
      <c r="C750" s="18">
        <v>3.43</v>
      </c>
      <c r="D750" s="138">
        <f t="shared" si="20"/>
        <v>-5.509641873278226E-2</v>
      </c>
    </row>
    <row r="751" spans="2:4" x14ac:dyDescent="0.25">
      <c r="B751" s="12">
        <v>40161</v>
      </c>
      <c r="C751" s="18">
        <v>3.63</v>
      </c>
      <c r="D751" s="138">
        <f t="shared" si="20"/>
        <v>-3.2000000000000028E-2</v>
      </c>
    </row>
    <row r="752" spans="2:4" x14ac:dyDescent="0.25">
      <c r="B752" s="12">
        <v>40154</v>
      </c>
      <c r="C752" s="18">
        <v>3.75</v>
      </c>
      <c r="D752" s="138">
        <f t="shared" si="20"/>
        <v>-0.12177985948477743</v>
      </c>
    </row>
    <row r="753" spans="2:4" x14ac:dyDescent="0.25">
      <c r="B753" s="12">
        <v>40147</v>
      </c>
      <c r="C753" s="18">
        <v>4.2699999999999996</v>
      </c>
      <c r="D753" s="138">
        <f t="shared" si="20"/>
        <v>3.6407766990291135E-2</v>
      </c>
    </row>
    <row r="754" spans="2:4" x14ac:dyDescent="0.25">
      <c r="B754" s="12">
        <v>40140</v>
      </c>
      <c r="C754" s="18">
        <v>4.12</v>
      </c>
      <c r="D754" s="138">
        <f t="shared" si="20"/>
        <v>-6.3636363636363713E-2</v>
      </c>
    </row>
    <row r="755" spans="2:4" x14ac:dyDescent="0.25">
      <c r="B755" s="12">
        <v>40133</v>
      </c>
      <c r="C755" s="18">
        <v>4.4000000000000004</v>
      </c>
      <c r="D755" s="138">
        <f t="shared" si="20"/>
        <v>2.277904328018332E-3</v>
      </c>
    </row>
    <row r="756" spans="2:4" x14ac:dyDescent="0.25">
      <c r="B756" s="12">
        <v>40126</v>
      </c>
      <c r="C756" s="18">
        <v>4.3899999999999997</v>
      </c>
      <c r="D756" s="138">
        <f t="shared" si="20"/>
        <v>-0.1306930693069307</v>
      </c>
    </row>
    <row r="757" spans="2:4" x14ac:dyDescent="0.25">
      <c r="B757" s="12">
        <v>40119</v>
      </c>
      <c r="C757" s="18">
        <v>5.05</v>
      </c>
      <c r="D757" s="138">
        <f t="shared" si="20"/>
        <v>1.8145161290322509E-2</v>
      </c>
    </row>
    <row r="758" spans="2:4" x14ac:dyDescent="0.25">
      <c r="B758" s="12">
        <v>40112</v>
      </c>
      <c r="C758" s="18">
        <v>4.96</v>
      </c>
      <c r="D758" s="138">
        <f t="shared" si="20"/>
        <v>-0.10469314079422387</v>
      </c>
    </row>
    <row r="759" spans="2:4" x14ac:dyDescent="0.25">
      <c r="B759" s="12">
        <v>40105</v>
      </c>
      <c r="C759" s="18">
        <v>5.54</v>
      </c>
      <c r="D759" s="138">
        <f t="shared" si="20"/>
        <v>-8.5808580858085737E-2</v>
      </c>
    </row>
    <row r="760" spans="2:4" x14ac:dyDescent="0.25">
      <c r="B760" s="12">
        <v>40098</v>
      </c>
      <c r="C760" s="18">
        <v>6.06</v>
      </c>
      <c r="D760" s="138">
        <f t="shared" si="20"/>
        <v>-0.15598885793871864</v>
      </c>
    </row>
    <row r="761" spans="2:4" x14ac:dyDescent="0.25">
      <c r="B761" s="12">
        <v>40091</v>
      </c>
      <c r="C761" s="18">
        <v>7.18</v>
      </c>
      <c r="D761" s="138">
        <f t="shared" si="20"/>
        <v>0.106317411402157</v>
      </c>
    </row>
    <row r="762" spans="2:4" x14ac:dyDescent="0.25">
      <c r="B762" s="12">
        <v>40084</v>
      </c>
      <c r="C762" s="18">
        <v>6.49</v>
      </c>
      <c r="D762" s="138">
        <f t="shared" si="20"/>
        <v>-0.12533692722371959</v>
      </c>
    </row>
    <row r="763" spans="2:4" x14ac:dyDescent="0.25">
      <c r="B763" s="12">
        <v>40077</v>
      </c>
      <c r="C763" s="18">
        <v>7.42</v>
      </c>
      <c r="D763" s="138">
        <f t="shared" si="20"/>
        <v>5.8487874465049883E-2</v>
      </c>
    </row>
    <row r="764" spans="2:4" x14ac:dyDescent="0.25">
      <c r="B764" s="12">
        <v>40070</v>
      </c>
      <c r="C764" s="18">
        <v>7.01</v>
      </c>
      <c r="D764" s="138">
        <f t="shared" si="20"/>
        <v>5.7388809182210565E-3</v>
      </c>
    </row>
    <row r="765" spans="2:4" x14ac:dyDescent="0.25">
      <c r="B765" s="12">
        <v>40063</v>
      </c>
      <c r="C765" s="18">
        <v>6.97</v>
      </c>
      <c r="D765" s="138">
        <f t="shared" si="20"/>
        <v>8.5669781931464239E-2</v>
      </c>
    </row>
    <row r="766" spans="2:4" x14ac:dyDescent="0.25">
      <c r="B766" s="12">
        <v>40056</v>
      </c>
      <c r="C766" s="18">
        <v>6.42</v>
      </c>
      <c r="D766" s="138">
        <f t="shared" si="20"/>
        <v>-1.0785824345146411E-2</v>
      </c>
    </row>
    <row r="767" spans="2:4" x14ac:dyDescent="0.25">
      <c r="B767" s="12">
        <v>40049</v>
      </c>
      <c r="C767" s="18">
        <v>6.49</v>
      </c>
      <c r="D767" s="138">
        <f t="shared" si="20"/>
        <v>0.10940170940170946</v>
      </c>
    </row>
    <row r="768" spans="2:4" x14ac:dyDescent="0.25">
      <c r="B768" s="12">
        <v>40042</v>
      </c>
      <c r="C768" s="18">
        <v>5.85</v>
      </c>
      <c r="D768" s="138">
        <f t="shared" si="20"/>
        <v>7.9335793357933504E-2</v>
      </c>
    </row>
    <row r="769" spans="2:4" x14ac:dyDescent="0.25">
      <c r="B769" s="12">
        <v>40035</v>
      </c>
      <c r="C769" s="18">
        <v>5.42</v>
      </c>
      <c r="D769" s="138">
        <f t="shared" si="20"/>
        <v>5.5658627087198376E-3</v>
      </c>
    </row>
    <row r="770" spans="2:4" x14ac:dyDescent="0.25">
      <c r="B770" s="12">
        <v>40028</v>
      </c>
      <c r="C770" s="18">
        <v>5.39</v>
      </c>
      <c r="D770" s="138">
        <f t="shared" si="20"/>
        <v>-3.0575539568345356E-2</v>
      </c>
    </row>
    <row r="771" spans="2:4" x14ac:dyDescent="0.25">
      <c r="B771" s="12">
        <v>40021</v>
      </c>
      <c r="C771" s="18">
        <v>5.56</v>
      </c>
      <c r="D771" s="138">
        <f t="shared" ref="D771:D834" si="21">C771/C772-1</f>
        <v>4.7080979284369162E-2</v>
      </c>
    </row>
    <row r="772" spans="2:4" x14ac:dyDescent="0.25">
      <c r="B772" s="12">
        <v>40014</v>
      </c>
      <c r="C772" s="18">
        <v>5.31</v>
      </c>
      <c r="D772" s="138">
        <f t="shared" si="21"/>
        <v>8.1466395112016254E-2</v>
      </c>
    </row>
    <row r="773" spans="2:4" x14ac:dyDescent="0.25">
      <c r="B773" s="12">
        <v>40007</v>
      </c>
      <c r="C773" s="18">
        <v>4.91</v>
      </c>
      <c r="D773" s="138">
        <f t="shared" si="21"/>
        <v>0.15801886792452824</v>
      </c>
    </row>
    <row r="774" spans="2:4" x14ac:dyDescent="0.25">
      <c r="B774" s="12">
        <v>40000</v>
      </c>
      <c r="C774" s="18">
        <v>4.24</v>
      </c>
      <c r="D774" s="138">
        <f t="shared" si="21"/>
        <v>-6.8131868131868001E-2</v>
      </c>
    </row>
    <row r="775" spans="2:4" x14ac:dyDescent="0.25">
      <c r="B775" s="12">
        <v>39993</v>
      </c>
      <c r="C775" s="18">
        <v>4.55</v>
      </c>
      <c r="D775" s="138">
        <f t="shared" si="21"/>
        <v>-2.777777777777779E-2</v>
      </c>
    </row>
    <row r="776" spans="2:4" x14ac:dyDescent="0.25">
      <c r="B776" s="12">
        <v>39986</v>
      </c>
      <c r="C776" s="18">
        <v>4.68</v>
      </c>
      <c r="D776" s="138">
        <f t="shared" si="21"/>
        <v>-0.12030075187969935</v>
      </c>
    </row>
    <row r="777" spans="2:4" x14ac:dyDescent="0.25">
      <c r="B777" s="12">
        <v>39979</v>
      </c>
      <c r="C777" s="18">
        <v>5.32</v>
      </c>
      <c r="D777" s="138">
        <f t="shared" si="21"/>
        <v>7.4747474747474785E-2</v>
      </c>
    </row>
    <row r="778" spans="2:4" x14ac:dyDescent="0.25">
      <c r="B778" s="12">
        <v>39972</v>
      </c>
      <c r="C778" s="18">
        <v>4.95</v>
      </c>
      <c r="D778" s="138">
        <f t="shared" si="21"/>
        <v>-0.14507772020725385</v>
      </c>
    </row>
    <row r="779" spans="2:4" x14ac:dyDescent="0.25">
      <c r="B779" s="12">
        <v>39965</v>
      </c>
      <c r="C779" s="18">
        <v>5.79</v>
      </c>
      <c r="D779" s="138">
        <f t="shared" si="21"/>
        <v>-3.8205980066445155E-2</v>
      </c>
    </row>
    <row r="780" spans="2:4" x14ac:dyDescent="0.25">
      <c r="B780" s="12">
        <v>39958</v>
      </c>
      <c r="C780" s="18">
        <v>6.02</v>
      </c>
      <c r="D780" s="138">
        <f t="shared" si="21"/>
        <v>7.6923076923076872E-2</v>
      </c>
    </row>
    <row r="781" spans="2:4" x14ac:dyDescent="0.25">
      <c r="B781" s="12">
        <v>39951</v>
      </c>
      <c r="C781" s="18">
        <v>5.59</v>
      </c>
      <c r="D781" s="138">
        <f t="shared" si="21"/>
        <v>2.3809523809523725E-2</v>
      </c>
    </row>
    <row r="782" spans="2:4" x14ac:dyDescent="0.25">
      <c r="B782" s="12">
        <v>39944</v>
      </c>
      <c r="C782" s="18">
        <v>5.46</v>
      </c>
      <c r="D782" s="138">
        <f t="shared" si="21"/>
        <v>-8.9999999999999969E-2</v>
      </c>
    </row>
    <row r="783" spans="2:4" x14ac:dyDescent="0.25">
      <c r="B783" s="12">
        <v>39937</v>
      </c>
      <c r="C783" s="18">
        <v>6</v>
      </c>
      <c r="D783" s="138">
        <f t="shared" si="21"/>
        <v>0.19999999999999996</v>
      </c>
    </row>
    <row r="784" spans="2:4" x14ac:dyDescent="0.25">
      <c r="B784" s="12">
        <v>39930</v>
      </c>
      <c r="C784" s="18">
        <v>5</v>
      </c>
      <c r="D784" s="138">
        <f t="shared" si="21"/>
        <v>2.4590163934426146E-2</v>
      </c>
    </row>
    <row r="785" spans="2:4" x14ac:dyDescent="0.25">
      <c r="B785" s="12">
        <v>39923</v>
      </c>
      <c r="C785" s="18">
        <v>4.88</v>
      </c>
      <c r="D785" s="138">
        <f t="shared" si="21"/>
        <v>7.7262693156732842E-2</v>
      </c>
    </row>
    <row r="786" spans="2:4" x14ac:dyDescent="0.25">
      <c r="B786" s="12">
        <v>39916</v>
      </c>
      <c r="C786" s="18">
        <v>4.53</v>
      </c>
      <c r="D786" s="138">
        <f t="shared" si="21"/>
        <v>-6.0165975103734448E-2</v>
      </c>
    </row>
    <row r="787" spans="2:4" x14ac:dyDescent="0.25">
      <c r="B787" s="12">
        <v>39909</v>
      </c>
      <c r="C787" s="18">
        <v>4.82</v>
      </c>
      <c r="D787" s="138">
        <f t="shared" si="21"/>
        <v>5.2401746724890952E-2</v>
      </c>
    </row>
    <row r="788" spans="2:4" x14ac:dyDescent="0.25">
      <c r="B788" s="12">
        <v>39902</v>
      </c>
      <c r="C788" s="18">
        <v>4.58</v>
      </c>
      <c r="D788" s="138">
        <f t="shared" si="21"/>
        <v>0.32369942196531798</v>
      </c>
    </row>
    <row r="789" spans="2:4" x14ac:dyDescent="0.25">
      <c r="B789" s="12">
        <v>39895</v>
      </c>
      <c r="C789" s="18">
        <v>3.46</v>
      </c>
      <c r="D789" s="138">
        <f t="shared" si="21"/>
        <v>9.8412698412698507E-2</v>
      </c>
    </row>
    <row r="790" spans="2:4" x14ac:dyDescent="0.25">
      <c r="B790" s="12">
        <v>39888</v>
      </c>
      <c r="C790" s="18">
        <v>3.15</v>
      </c>
      <c r="D790" s="138">
        <f t="shared" si="21"/>
        <v>-2.7777777777777901E-2</v>
      </c>
    </row>
    <row r="791" spans="2:4" x14ac:dyDescent="0.25">
      <c r="B791" s="12">
        <v>39881</v>
      </c>
      <c r="C791" s="18">
        <v>3.24</v>
      </c>
      <c r="D791" s="138">
        <f t="shared" si="21"/>
        <v>0.23193916349809895</v>
      </c>
    </row>
    <row r="792" spans="2:4" x14ac:dyDescent="0.25">
      <c r="B792" s="12">
        <v>39874</v>
      </c>
      <c r="C792" s="18">
        <v>2.63</v>
      </c>
      <c r="D792" s="138">
        <f t="shared" si="21"/>
        <v>-7.067137809187285E-2</v>
      </c>
    </row>
    <row r="793" spans="2:4" x14ac:dyDescent="0.25">
      <c r="B793" s="12">
        <v>39867</v>
      </c>
      <c r="C793" s="18">
        <v>2.83</v>
      </c>
      <c r="D793" s="138">
        <f t="shared" si="21"/>
        <v>0.15040650406504064</v>
      </c>
    </row>
    <row r="794" spans="2:4" x14ac:dyDescent="0.25">
      <c r="B794" s="12">
        <v>39860</v>
      </c>
      <c r="C794" s="18">
        <v>2.46</v>
      </c>
      <c r="D794" s="138">
        <f t="shared" si="21"/>
        <v>-1.2048192771084487E-2</v>
      </c>
    </row>
    <row r="795" spans="2:4" x14ac:dyDescent="0.25">
      <c r="B795" s="12">
        <v>39853</v>
      </c>
      <c r="C795" s="18">
        <v>2.4900000000000002</v>
      </c>
      <c r="D795" s="138">
        <f t="shared" si="21"/>
        <v>-0.15593220338983049</v>
      </c>
    </row>
    <row r="796" spans="2:4" x14ac:dyDescent="0.25">
      <c r="B796" s="12">
        <v>39846</v>
      </c>
      <c r="C796" s="18">
        <v>2.95</v>
      </c>
      <c r="D796" s="138">
        <f t="shared" si="21"/>
        <v>5.7347670250896154E-2</v>
      </c>
    </row>
    <row r="797" spans="2:4" x14ac:dyDescent="0.25">
      <c r="B797" s="12">
        <v>39839</v>
      </c>
      <c r="C797" s="18">
        <v>2.79</v>
      </c>
      <c r="D797" s="138">
        <f t="shared" si="21"/>
        <v>-7.9207920792079167E-2</v>
      </c>
    </row>
    <row r="798" spans="2:4" x14ac:dyDescent="0.25">
      <c r="B798" s="12">
        <v>39832</v>
      </c>
      <c r="C798" s="18">
        <v>3.03</v>
      </c>
      <c r="D798" s="138">
        <f t="shared" si="21"/>
        <v>-0.12173913043478268</v>
      </c>
    </row>
    <row r="799" spans="2:4" x14ac:dyDescent="0.25">
      <c r="B799" s="12">
        <v>39825</v>
      </c>
      <c r="C799" s="18">
        <v>3.45</v>
      </c>
      <c r="D799" s="138">
        <f t="shared" si="21"/>
        <v>-7.999999999999996E-2</v>
      </c>
    </row>
    <row r="800" spans="2:4" x14ac:dyDescent="0.25">
      <c r="B800" s="12">
        <v>39818</v>
      </c>
      <c r="C800" s="18">
        <v>3.75</v>
      </c>
      <c r="D800" s="138">
        <f t="shared" si="21"/>
        <v>7.7586206896551824E-2</v>
      </c>
    </row>
    <row r="801" spans="2:4" x14ac:dyDescent="0.25">
      <c r="B801" s="12">
        <v>39811</v>
      </c>
      <c r="C801" s="18">
        <v>3.48</v>
      </c>
      <c r="D801" s="138">
        <f t="shared" si="21"/>
        <v>0.13355048859934859</v>
      </c>
    </row>
    <row r="802" spans="2:4" x14ac:dyDescent="0.25">
      <c r="B802" s="12">
        <v>39804</v>
      </c>
      <c r="C802" s="18">
        <v>3.07</v>
      </c>
      <c r="D802" s="138">
        <f t="shared" si="21"/>
        <v>-0.16802168021680219</v>
      </c>
    </row>
    <row r="803" spans="2:4" x14ac:dyDescent="0.25">
      <c r="B803" s="12">
        <v>39797</v>
      </c>
      <c r="C803" s="18">
        <v>3.69</v>
      </c>
      <c r="D803" s="138">
        <f t="shared" si="21"/>
        <v>0.33212996389891702</v>
      </c>
    </row>
    <row r="804" spans="2:4" x14ac:dyDescent="0.25">
      <c r="B804" s="12">
        <v>39790</v>
      </c>
      <c r="C804" s="18">
        <v>2.77</v>
      </c>
      <c r="D804" s="138">
        <f t="shared" si="21"/>
        <v>-0.13437500000000002</v>
      </c>
    </row>
    <row r="805" spans="2:4" x14ac:dyDescent="0.25">
      <c r="B805" s="12">
        <v>39783</v>
      </c>
      <c r="C805" s="18">
        <v>3.2</v>
      </c>
      <c r="D805" s="138">
        <f t="shared" si="21"/>
        <v>6.2893081761006275E-3</v>
      </c>
    </row>
    <row r="806" spans="2:4" x14ac:dyDescent="0.25">
      <c r="B806" s="12">
        <v>39776</v>
      </c>
      <c r="C806" s="18">
        <v>3.18</v>
      </c>
      <c r="D806" s="138">
        <f t="shared" si="21"/>
        <v>0.20000000000000018</v>
      </c>
    </row>
    <row r="807" spans="2:4" x14ac:dyDescent="0.25">
      <c r="B807" s="12">
        <v>39769</v>
      </c>
      <c r="C807" s="18">
        <v>2.65</v>
      </c>
      <c r="D807" s="138">
        <f t="shared" si="21"/>
        <v>-0.24929178470254953</v>
      </c>
    </row>
    <row r="808" spans="2:4" x14ac:dyDescent="0.25">
      <c r="B808" s="12">
        <v>39762</v>
      </c>
      <c r="C808" s="18">
        <v>3.53</v>
      </c>
      <c r="D808" s="138">
        <f t="shared" si="21"/>
        <v>-7.8328981723237656E-2</v>
      </c>
    </row>
    <row r="809" spans="2:4" x14ac:dyDescent="0.25">
      <c r="B809" s="12">
        <v>39755</v>
      </c>
      <c r="C809" s="18">
        <v>3.83</v>
      </c>
      <c r="D809" s="138">
        <f t="shared" si="21"/>
        <v>-6.5853658536585313E-2</v>
      </c>
    </row>
    <row r="810" spans="2:4" x14ac:dyDescent="0.25">
      <c r="B810" s="12">
        <v>39748</v>
      </c>
      <c r="C810" s="18">
        <v>4.0999999999999996</v>
      </c>
      <c r="D810" s="138">
        <f t="shared" si="21"/>
        <v>0.28930817610062864</v>
      </c>
    </row>
    <row r="811" spans="2:4" x14ac:dyDescent="0.25">
      <c r="B811" s="12">
        <v>39741</v>
      </c>
      <c r="C811" s="18">
        <v>3.18</v>
      </c>
      <c r="D811" s="138">
        <f t="shared" si="21"/>
        <v>-2.4539877300613355E-2</v>
      </c>
    </row>
    <row r="812" spans="2:4" x14ac:dyDescent="0.25">
      <c r="B812" s="12">
        <v>39734</v>
      </c>
      <c r="C812" s="18">
        <v>3.26</v>
      </c>
      <c r="D812" s="138">
        <f t="shared" si="21"/>
        <v>0.13986013986013979</v>
      </c>
    </row>
    <row r="813" spans="2:4" x14ac:dyDescent="0.25">
      <c r="B813" s="12">
        <v>39727</v>
      </c>
      <c r="C813" s="18">
        <v>2.86</v>
      </c>
      <c r="D813" s="138">
        <f t="shared" si="21"/>
        <v>-0.1090342679127726</v>
      </c>
    </row>
    <row r="814" spans="2:4" x14ac:dyDescent="0.25">
      <c r="B814" s="12">
        <v>39720</v>
      </c>
      <c r="C814" s="18">
        <v>3.21</v>
      </c>
      <c r="D814" s="138">
        <f t="shared" si="21"/>
        <v>-0.21323529411764708</v>
      </c>
    </row>
    <row r="815" spans="2:4" x14ac:dyDescent="0.25">
      <c r="B815" s="12">
        <v>39713</v>
      </c>
      <c r="C815" s="18">
        <v>4.08</v>
      </c>
      <c r="D815" s="138">
        <f t="shared" si="21"/>
        <v>-0.15527950310559002</v>
      </c>
    </row>
    <row r="816" spans="2:4" x14ac:dyDescent="0.25">
      <c r="B816" s="12">
        <v>39706</v>
      </c>
      <c r="C816" s="18">
        <v>4.83</v>
      </c>
      <c r="D816" s="138">
        <f t="shared" si="21"/>
        <v>-9.2105263157894801E-2</v>
      </c>
    </row>
    <row r="817" spans="2:4" x14ac:dyDescent="0.25">
      <c r="B817" s="12">
        <v>39699</v>
      </c>
      <c r="C817" s="18">
        <v>5.32</v>
      </c>
      <c r="D817" s="138">
        <f t="shared" si="21"/>
        <v>-0.13495934959349598</v>
      </c>
    </row>
    <row r="818" spans="2:4" x14ac:dyDescent="0.25">
      <c r="B818" s="12">
        <v>39692</v>
      </c>
      <c r="C818" s="18">
        <v>6.15</v>
      </c>
      <c r="D818" s="138">
        <f t="shared" si="21"/>
        <v>-6.8181818181818121E-2</v>
      </c>
    </row>
    <row r="819" spans="2:4" x14ac:dyDescent="0.25">
      <c r="B819" s="12">
        <v>39685</v>
      </c>
      <c r="C819" s="18">
        <v>6.6</v>
      </c>
      <c r="D819" s="138">
        <f t="shared" si="21"/>
        <v>7.3170731707316916E-2</v>
      </c>
    </row>
    <row r="820" spans="2:4" x14ac:dyDescent="0.25">
      <c r="B820" s="12">
        <v>39678</v>
      </c>
      <c r="C820" s="18">
        <v>6.15</v>
      </c>
      <c r="D820" s="138">
        <f t="shared" si="21"/>
        <v>-0.16440217391304346</v>
      </c>
    </row>
    <row r="821" spans="2:4" x14ac:dyDescent="0.25">
      <c r="B821" s="12">
        <v>39671</v>
      </c>
      <c r="C821" s="18">
        <v>7.36</v>
      </c>
      <c r="D821" s="138">
        <f t="shared" si="21"/>
        <v>0.17948717948717952</v>
      </c>
    </row>
    <row r="822" spans="2:4" x14ac:dyDescent="0.25">
      <c r="B822" s="12">
        <v>39664</v>
      </c>
      <c r="C822" s="18">
        <v>6.24</v>
      </c>
      <c r="D822" s="138">
        <f t="shared" si="21"/>
        <v>6.8493150684931559E-2</v>
      </c>
    </row>
    <row r="823" spans="2:4" x14ac:dyDescent="0.25">
      <c r="B823" s="12">
        <v>39657</v>
      </c>
      <c r="C823" s="18">
        <v>5.84</v>
      </c>
      <c r="D823" s="138">
        <f t="shared" si="21"/>
        <v>-0.14494875549048314</v>
      </c>
    </row>
    <row r="824" spans="2:4" x14ac:dyDescent="0.25">
      <c r="B824" s="12">
        <v>39650</v>
      </c>
      <c r="C824" s="18">
        <v>6.83</v>
      </c>
      <c r="D824" s="138">
        <f t="shared" si="21"/>
        <v>2.7067669172932352E-2</v>
      </c>
    </row>
    <row r="825" spans="2:4" x14ac:dyDescent="0.25">
      <c r="B825" s="12">
        <v>39643</v>
      </c>
      <c r="C825" s="18">
        <v>6.65</v>
      </c>
      <c r="D825" s="138">
        <f t="shared" si="21"/>
        <v>-6.3380281690140761E-2</v>
      </c>
    </row>
    <row r="826" spans="2:4" x14ac:dyDescent="0.25">
      <c r="B826" s="12">
        <v>39636</v>
      </c>
      <c r="C826" s="18">
        <v>7.1</v>
      </c>
      <c r="D826" s="138">
        <f t="shared" si="21"/>
        <v>-9.3231162196679485E-2</v>
      </c>
    </row>
    <row r="827" spans="2:4" x14ac:dyDescent="0.25">
      <c r="B827" s="12">
        <v>39629</v>
      </c>
      <c r="C827" s="18">
        <v>7.83</v>
      </c>
      <c r="D827" s="138">
        <f t="shared" si="21"/>
        <v>-0.16346153846153844</v>
      </c>
    </row>
    <row r="828" spans="2:4" x14ac:dyDescent="0.25">
      <c r="B828" s="12">
        <v>39622</v>
      </c>
      <c r="C828" s="18">
        <v>9.36</v>
      </c>
      <c r="D828" s="138">
        <f t="shared" si="21"/>
        <v>1.4084507042253502E-2</v>
      </c>
    </row>
    <row r="829" spans="2:4" x14ac:dyDescent="0.25">
      <c r="B829" s="12">
        <v>39615</v>
      </c>
      <c r="C829" s="18">
        <v>9.23</v>
      </c>
      <c r="D829" s="138">
        <f t="shared" si="21"/>
        <v>-0.11590038314176232</v>
      </c>
    </row>
    <row r="830" spans="2:4" x14ac:dyDescent="0.25">
      <c r="B830" s="12">
        <v>39608</v>
      </c>
      <c r="C830" s="18">
        <v>10.44</v>
      </c>
      <c r="D830" s="138">
        <f t="shared" si="21"/>
        <v>-1.6949152542372836E-2</v>
      </c>
    </row>
    <row r="831" spans="2:4" x14ac:dyDescent="0.25">
      <c r="B831" s="12">
        <v>39601</v>
      </c>
      <c r="C831" s="18">
        <v>10.62</v>
      </c>
      <c r="D831" s="138">
        <f t="shared" si="21"/>
        <v>-0.10681244743481932</v>
      </c>
    </row>
    <row r="832" spans="2:4" x14ac:dyDescent="0.25">
      <c r="B832" s="12">
        <v>39594</v>
      </c>
      <c r="C832" s="18">
        <v>11.89</v>
      </c>
      <c r="D832" s="138">
        <f t="shared" si="21"/>
        <v>-3.9579967689822304E-2</v>
      </c>
    </row>
    <row r="833" spans="2:4" x14ac:dyDescent="0.25">
      <c r="B833" s="12">
        <v>39587</v>
      </c>
      <c r="C833" s="18">
        <v>12.38</v>
      </c>
      <c r="D833" s="138">
        <f t="shared" si="21"/>
        <v>-5.5682684973302754E-2</v>
      </c>
    </row>
    <row r="834" spans="2:4" x14ac:dyDescent="0.25">
      <c r="B834" s="12">
        <v>39580</v>
      </c>
      <c r="C834" s="18">
        <v>13.11</v>
      </c>
      <c r="D834" s="138">
        <f t="shared" si="21"/>
        <v>-9.0846047156726839E-2</v>
      </c>
    </row>
    <row r="835" spans="2:4" x14ac:dyDescent="0.25">
      <c r="B835" s="12">
        <v>39573</v>
      </c>
      <c r="C835" s="18">
        <v>14.42</v>
      </c>
      <c r="D835" s="138">
        <f t="shared" ref="D835:D898" si="22">C835/C836-1</f>
        <v>7.3715562174236693E-2</v>
      </c>
    </row>
    <row r="836" spans="2:4" x14ac:dyDescent="0.25">
      <c r="B836" s="12">
        <v>39566</v>
      </c>
      <c r="C836" s="18">
        <v>13.43</v>
      </c>
      <c r="D836" s="138">
        <f t="shared" si="22"/>
        <v>-3.3812949640287804E-2</v>
      </c>
    </row>
    <row r="837" spans="2:4" x14ac:dyDescent="0.25">
      <c r="B837" s="12">
        <v>39559</v>
      </c>
      <c r="C837" s="18">
        <v>13.9</v>
      </c>
      <c r="D837" s="138">
        <f t="shared" si="22"/>
        <v>8.255451713395634E-2</v>
      </c>
    </row>
    <row r="838" spans="2:4" x14ac:dyDescent="0.25">
      <c r="B838" s="12">
        <v>39552</v>
      </c>
      <c r="C838" s="18">
        <v>12.84</v>
      </c>
      <c r="D838" s="138">
        <f t="shared" si="22"/>
        <v>-8.494208494208455E-3</v>
      </c>
    </row>
    <row r="839" spans="2:4" x14ac:dyDescent="0.25">
      <c r="B839" s="12">
        <v>39545</v>
      </c>
      <c r="C839" s="18">
        <v>12.95</v>
      </c>
      <c r="D839" s="138">
        <f t="shared" si="22"/>
        <v>8.5669781931463351E-3</v>
      </c>
    </row>
    <row r="840" spans="2:4" x14ac:dyDescent="0.25">
      <c r="B840" s="12">
        <v>39538</v>
      </c>
      <c r="C840" s="18">
        <v>12.84</v>
      </c>
      <c r="D840" s="138">
        <f t="shared" si="22"/>
        <v>8.3544303797468356E-2</v>
      </c>
    </row>
    <row r="841" spans="2:4" x14ac:dyDescent="0.25">
      <c r="B841" s="12">
        <v>39531</v>
      </c>
      <c r="C841" s="18">
        <v>11.85</v>
      </c>
      <c r="D841" s="138">
        <f t="shared" si="22"/>
        <v>1.6906170752324368E-3</v>
      </c>
    </row>
    <row r="842" spans="2:4" x14ac:dyDescent="0.25">
      <c r="B842" s="12">
        <v>39524</v>
      </c>
      <c r="C842" s="18">
        <v>11.83</v>
      </c>
      <c r="D842" s="138">
        <f t="shared" si="22"/>
        <v>9.385665529010101E-3</v>
      </c>
    </row>
    <row r="843" spans="2:4" x14ac:dyDescent="0.25">
      <c r="B843" s="12">
        <v>39517</v>
      </c>
      <c r="C843" s="18">
        <v>11.72</v>
      </c>
      <c r="D843" s="138">
        <f t="shared" si="22"/>
        <v>6.0085836909871126E-3</v>
      </c>
    </row>
    <row r="844" spans="2:4" x14ac:dyDescent="0.25">
      <c r="B844" s="12">
        <v>39510</v>
      </c>
      <c r="C844" s="18">
        <v>11.65</v>
      </c>
      <c r="D844" s="138">
        <f t="shared" si="22"/>
        <v>-3.7190082644628086E-2</v>
      </c>
    </row>
    <row r="845" spans="2:4" x14ac:dyDescent="0.25">
      <c r="B845" s="12">
        <v>39503</v>
      </c>
      <c r="C845" s="18">
        <v>12.1</v>
      </c>
      <c r="D845" s="138">
        <f t="shared" si="22"/>
        <v>-3.2773780975219879E-2</v>
      </c>
    </row>
    <row r="846" spans="2:4" x14ac:dyDescent="0.25">
      <c r="B846" s="12">
        <v>39496</v>
      </c>
      <c r="C846" s="18">
        <v>12.51</v>
      </c>
      <c r="D846" s="138">
        <f t="shared" si="22"/>
        <v>4.7738693467336724E-2</v>
      </c>
    </row>
    <row r="847" spans="2:4" x14ac:dyDescent="0.25">
      <c r="B847" s="12">
        <v>39489</v>
      </c>
      <c r="C847" s="18">
        <v>11.94</v>
      </c>
      <c r="D847" s="138">
        <f t="shared" si="22"/>
        <v>9.9447513812154664E-2</v>
      </c>
    </row>
    <row r="848" spans="2:4" x14ac:dyDescent="0.25">
      <c r="B848" s="12">
        <v>39482</v>
      </c>
      <c r="C848" s="18">
        <v>10.86</v>
      </c>
      <c r="D848" s="138">
        <f t="shared" si="22"/>
        <v>-0.12277867528271413</v>
      </c>
    </row>
    <row r="849" spans="2:4" x14ac:dyDescent="0.25">
      <c r="B849" s="12">
        <v>39475</v>
      </c>
      <c r="C849" s="18">
        <v>12.38</v>
      </c>
      <c r="D849" s="138">
        <f t="shared" si="22"/>
        <v>6.8162208800690349E-2</v>
      </c>
    </row>
    <row r="850" spans="2:4" x14ac:dyDescent="0.25">
      <c r="B850" s="12">
        <v>39468</v>
      </c>
      <c r="C850" s="18">
        <v>11.59</v>
      </c>
      <c r="D850" s="138">
        <f t="shared" si="22"/>
        <v>0.21743697478991608</v>
      </c>
    </row>
    <row r="851" spans="2:4" x14ac:dyDescent="0.25">
      <c r="B851" s="12">
        <v>39461</v>
      </c>
      <c r="C851" s="18">
        <v>9.52</v>
      </c>
      <c r="D851" s="138">
        <f t="shared" si="22"/>
        <v>-4.3216080402009971E-2</v>
      </c>
    </row>
    <row r="852" spans="2:4" x14ac:dyDescent="0.25">
      <c r="B852" s="12">
        <v>39454</v>
      </c>
      <c r="C852" s="18">
        <v>9.9499999999999993</v>
      </c>
      <c r="D852" s="138">
        <f t="shared" si="22"/>
        <v>-8.7992667277726921E-2</v>
      </c>
    </row>
    <row r="853" spans="2:4" x14ac:dyDescent="0.25">
      <c r="B853" s="12">
        <v>39447</v>
      </c>
      <c r="C853" s="18">
        <v>10.91</v>
      </c>
      <c r="D853" s="138">
        <f t="shared" si="22"/>
        <v>-7.385398981324276E-2</v>
      </c>
    </row>
    <row r="854" spans="2:4" x14ac:dyDescent="0.25">
      <c r="B854" s="12">
        <v>39440</v>
      </c>
      <c r="C854" s="18">
        <v>11.78</v>
      </c>
      <c r="D854" s="138">
        <f t="shared" si="22"/>
        <v>-3.2046014790468424E-2</v>
      </c>
    </row>
    <row r="855" spans="2:4" x14ac:dyDescent="0.25">
      <c r="B855" s="12">
        <v>39433</v>
      </c>
      <c r="C855" s="18">
        <v>12.17</v>
      </c>
      <c r="D855" s="138">
        <f t="shared" si="22"/>
        <v>3.7510656436487544E-2</v>
      </c>
    </row>
    <row r="856" spans="2:4" x14ac:dyDescent="0.25">
      <c r="B856" s="12">
        <v>39426</v>
      </c>
      <c r="C856" s="18">
        <v>11.73</v>
      </c>
      <c r="D856" s="138">
        <f t="shared" si="22"/>
        <v>-9.210526315789469E-2</v>
      </c>
    </row>
    <row r="857" spans="2:4" x14ac:dyDescent="0.25">
      <c r="B857" s="12">
        <v>39419</v>
      </c>
      <c r="C857" s="18">
        <v>12.92</v>
      </c>
      <c r="D857" s="138">
        <f t="shared" si="22"/>
        <v>-0.10835058661145625</v>
      </c>
    </row>
    <row r="858" spans="2:4" x14ac:dyDescent="0.25">
      <c r="B858" s="12">
        <v>39412</v>
      </c>
      <c r="C858" s="18">
        <v>14.49</v>
      </c>
      <c r="D858" s="138">
        <f t="shared" si="22"/>
        <v>0.1171935235158057</v>
      </c>
    </row>
    <row r="859" spans="2:4" x14ac:dyDescent="0.25">
      <c r="B859" s="12">
        <v>39405</v>
      </c>
      <c r="C859" s="18">
        <v>12.97</v>
      </c>
      <c r="D859" s="138">
        <f t="shared" si="22"/>
        <v>-0.1347565043362241</v>
      </c>
    </row>
    <row r="860" spans="2:4" x14ac:dyDescent="0.25">
      <c r="B860" s="12">
        <v>39398</v>
      </c>
      <c r="C860" s="18">
        <v>14.99</v>
      </c>
      <c r="D860" s="138">
        <f t="shared" si="22"/>
        <v>8.3875632682574031E-2</v>
      </c>
    </row>
    <row r="861" spans="2:4" x14ac:dyDescent="0.25">
      <c r="B861" s="12">
        <v>39391</v>
      </c>
      <c r="C861" s="18">
        <v>13.83</v>
      </c>
      <c r="D861" s="138">
        <f t="shared" si="22"/>
        <v>-4.6864231564438308E-2</v>
      </c>
    </row>
    <row r="862" spans="2:4" x14ac:dyDescent="0.25">
      <c r="B862" s="12">
        <v>39384</v>
      </c>
      <c r="C862" s="18">
        <v>14.51</v>
      </c>
      <c r="D862" s="138">
        <f t="shared" si="22"/>
        <v>-4.9770792403405317E-2</v>
      </c>
    </row>
    <row r="863" spans="2:4" x14ac:dyDescent="0.25">
      <c r="B863" s="12">
        <v>39377</v>
      </c>
      <c r="C863" s="18">
        <v>15.27</v>
      </c>
      <c r="D863" s="138">
        <f t="shared" si="22"/>
        <v>-9.3230403800475092E-2</v>
      </c>
    </row>
    <row r="864" spans="2:4" x14ac:dyDescent="0.25">
      <c r="B864" s="12">
        <v>39370</v>
      </c>
      <c r="C864" s="18">
        <v>16.84</v>
      </c>
      <c r="D864" s="138">
        <f t="shared" si="22"/>
        <v>-8.726292209957065E-2</v>
      </c>
    </row>
    <row r="865" spans="2:4" x14ac:dyDescent="0.25">
      <c r="B865" s="12">
        <v>39363</v>
      </c>
      <c r="C865" s="18">
        <v>18.450001</v>
      </c>
      <c r="D865" s="138">
        <f t="shared" si="22"/>
        <v>-8.0644623655914405E-3</v>
      </c>
    </row>
    <row r="866" spans="2:4" x14ac:dyDescent="0.25">
      <c r="B866" s="12">
        <v>39356</v>
      </c>
      <c r="C866" s="18">
        <v>18.600000000000001</v>
      </c>
      <c r="D866" s="138">
        <f t="shared" si="22"/>
        <v>0.12727272727272743</v>
      </c>
    </row>
    <row r="867" spans="2:4" x14ac:dyDescent="0.25">
      <c r="B867" s="12">
        <v>39349</v>
      </c>
      <c r="C867" s="18">
        <v>16.5</v>
      </c>
      <c r="D867" s="138">
        <f t="shared" si="22"/>
        <v>6.3829787234042534E-2</v>
      </c>
    </row>
    <row r="868" spans="2:4" x14ac:dyDescent="0.25">
      <c r="B868" s="12">
        <v>39342</v>
      </c>
      <c r="C868" s="18">
        <v>15.51</v>
      </c>
      <c r="D868" s="138">
        <f t="shared" si="22"/>
        <v>2.1066491112573971E-2</v>
      </c>
    </row>
    <row r="869" spans="2:4" x14ac:dyDescent="0.25">
      <c r="B869" s="12">
        <v>39335</v>
      </c>
      <c r="C869" s="18">
        <v>15.19</v>
      </c>
      <c r="D869" s="138">
        <f t="shared" si="22"/>
        <v>0.11119239209948795</v>
      </c>
    </row>
    <row r="870" spans="2:4" x14ac:dyDescent="0.25">
      <c r="B870" s="12">
        <v>39328</v>
      </c>
      <c r="C870" s="18">
        <v>13.67</v>
      </c>
      <c r="D870" s="138">
        <f t="shared" si="22"/>
        <v>4.9117421335379996E-2</v>
      </c>
    </row>
    <row r="871" spans="2:4" x14ac:dyDescent="0.25">
      <c r="B871" s="12">
        <v>39321</v>
      </c>
      <c r="C871" s="18">
        <v>13.03</v>
      </c>
      <c r="D871" s="138">
        <f t="shared" si="22"/>
        <v>4.6260601387817513E-3</v>
      </c>
    </row>
    <row r="872" spans="2:4" x14ac:dyDescent="0.25">
      <c r="B872" s="12">
        <v>39314</v>
      </c>
      <c r="C872" s="18">
        <v>12.97</v>
      </c>
      <c r="D872" s="138">
        <f t="shared" si="22"/>
        <v>0.12979094076655051</v>
      </c>
    </row>
    <row r="873" spans="2:4" x14ac:dyDescent="0.25">
      <c r="B873" s="12">
        <v>39307</v>
      </c>
      <c r="C873" s="18">
        <v>11.48</v>
      </c>
      <c r="D873" s="138">
        <f t="shared" si="22"/>
        <v>-0.13489073097211746</v>
      </c>
    </row>
    <row r="874" spans="2:4" x14ac:dyDescent="0.25">
      <c r="B874" s="12">
        <v>39300</v>
      </c>
      <c r="C874" s="18">
        <v>13.27</v>
      </c>
      <c r="D874" s="138">
        <f t="shared" si="22"/>
        <v>3.7529319781079096E-2</v>
      </c>
    </row>
    <row r="875" spans="2:4" x14ac:dyDescent="0.25">
      <c r="B875" s="12">
        <v>39293</v>
      </c>
      <c r="C875" s="18">
        <v>12.79</v>
      </c>
      <c r="D875" s="138">
        <f t="shared" si="22"/>
        <v>4.1530944625407074E-2</v>
      </c>
    </row>
    <row r="876" spans="2:4" x14ac:dyDescent="0.25">
      <c r="B876" s="12">
        <v>39286</v>
      </c>
      <c r="C876" s="18">
        <v>12.28</v>
      </c>
      <c r="D876" s="138">
        <f t="shared" si="22"/>
        <v>-5.5384615384615477E-2</v>
      </c>
    </row>
    <row r="877" spans="2:4" x14ac:dyDescent="0.25">
      <c r="B877" s="12">
        <v>39279</v>
      </c>
      <c r="C877" s="18">
        <v>13</v>
      </c>
      <c r="D877" s="138">
        <f t="shared" si="22"/>
        <v>-6.6091954022988508E-2</v>
      </c>
    </row>
    <row r="878" spans="2:4" x14ac:dyDescent="0.25">
      <c r="B878" s="12">
        <v>39272</v>
      </c>
      <c r="C878" s="18">
        <v>13.92</v>
      </c>
      <c r="D878" s="138">
        <f t="shared" si="22"/>
        <v>1.8288222384784225E-2</v>
      </c>
    </row>
    <row r="879" spans="2:4" x14ac:dyDescent="0.25">
      <c r="B879" s="12">
        <v>39265</v>
      </c>
      <c r="C879" s="18">
        <v>13.67</v>
      </c>
      <c r="D879" s="138">
        <f t="shared" si="22"/>
        <v>8.8375796178343791E-2</v>
      </c>
    </row>
    <row r="880" spans="2:4" x14ac:dyDescent="0.25">
      <c r="B880" s="12">
        <v>39258</v>
      </c>
      <c r="C880" s="18">
        <v>12.56</v>
      </c>
      <c r="D880" s="138">
        <f t="shared" si="22"/>
        <v>8.7445887445887438E-2</v>
      </c>
    </row>
    <row r="881" spans="2:4" x14ac:dyDescent="0.25">
      <c r="B881" s="12">
        <v>39251</v>
      </c>
      <c r="C881" s="18">
        <v>11.55</v>
      </c>
      <c r="D881" s="138">
        <f t="shared" si="22"/>
        <v>-8.4786053882725754E-2</v>
      </c>
    </row>
    <row r="882" spans="2:4" x14ac:dyDescent="0.25">
      <c r="B882" s="12">
        <v>39244</v>
      </c>
      <c r="C882" s="18">
        <v>12.62</v>
      </c>
      <c r="D882" s="138">
        <f t="shared" si="22"/>
        <v>-4.8265460030165963E-2</v>
      </c>
    </row>
    <row r="883" spans="2:4" x14ac:dyDescent="0.25">
      <c r="B883" s="12">
        <v>39237</v>
      </c>
      <c r="C883" s="18">
        <v>13.26</v>
      </c>
      <c r="D883" s="138">
        <f t="shared" si="22"/>
        <v>-5.2857142857142825E-2</v>
      </c>
    </row>
    <row r="884" spans="2:4" x14ac:dyDescent="0.25">
      <c r="B884" s="12">
        <v>39230</v>
      </c>
      <c r="C884" s="18">
        <v>14</v>
      </c>
      <c r="D884" s="138">
        <f t="shared" si="22"/>
        <v>3.0169242089771897E-2</v>
      </c>
    </row>
    <row r="885" spans="2:4" x14ac:dyDescent="0.25">
      <c r="B885" s="12">
        <v>39223</v>
      </c>
      <c r="C885" s="18">
        <v>13.59</v>
      </c>
      <c r="D885" s="138">
        <f t="shared" si="22"/>
        <v>-2.9285714285714248E-2</v>
      </c>
    </row>
    <row r="886" spans="2:4" x14ac:dyDescent="0.25">
      <c r="B886" s="12">
        <v>39216</v>
      </c>
      <c r="C886" s="18">
        <v>14</v>
      </c>
      <c r="D886" s="138">
        <f t="shared" si="22"/>
        <v>-0.15509957754978876</v>
      </c>
    </row>
    <row r="887" spans="2:4" x14ac:dyDescent="0.25">
      <c r="B887" s="12">
        <v>39209</v>
      </c>
      <c r="C887" s="18">
        <v>16.57</v>
      </c>
      <c r="D887" s="138">
        <f t="shared" si="22"/>
        <v>-7.1188340807174844E-2</v>
      </c>
    </row>
    <row r="888" spans="2:4" x14ac:dyDescent="0.25">
      <c r="B888" s="12">
        <v>39202</v>
      </c>
      <c r="C888" s="18">
        <v>17.84</v>
      </c>
      <c r="D888" s="138">
        <f t="shared" si="22"/>
        <v>-5.0195203569436408E-3</v>
      </c>
    </row>
    <row r="889" spans="2:4" x14ac:dyDescent="0.25">
      <c r="B889" s="12">
        <v>39195</v>
      </c>
      <c r="C889" s="18">
        <v>17.93</v>
      </c>
      <c r="D889" s="138">
        <f t="shared" si="22"/>
        <v>-5.1824431517715541E-2</v>
      </c>
    </row>
    <row r="890" spans="2:4" x14ac:dyDescent="0.25">
      <c r="B890" s="12">
        <v>39188</v>
      </c>
      <c r="C890" s="18">
        <v>18.91</v>
      </c>
      <c r="D890" s="138">
        <f t="shared" si="22"/>
        <v>0.14121907060953531</v>
      </c>
    </row>
    <row r="891" spans="2:4" x14ac:dyDescent="0.25">
      <c r="B891" s="12">
        <v>39181</v>
      </c>
      <c r="C891" s="18">
        <v>16.57</v>
      </c>
      <c r="D891" s="138">
        <f t="shared" si="22"/>
        <v>1.656447954383311E-2</v>
      </c>
    </row>
    <row r="892" spans="2:4" x14ac:dyDescent="0.25">
      <c r="B892" s="12">
        <v>39174</v>
      </c>
      <c r="C892" s="18">
        <v>16.299999</v>
      </c>
      <c r="D892" s="138">
        <f t="shared" si="22"/>
        <v>9.9132595980953031E-3</v>
      </c>
    </row>
    <row r="893" spans="2:4" x14ac:dyDescent="0.25">
      <c r="B893" s="12">
        <v>39167</v>
      </c>
      <c r="C893" s="18">
        <v>16.139999</v>
      </c>
      <c r="D893" s="138">
        <f t="shared" si="22"/>
        <v>-2.4183916312943476E-2</v>
      </c>
    </row>
    <row r="894" spans="2:4" x14ac:dyDescent="0.25">
      <c r="B894" s="12">
        <v>39160</v>
      </c>
      <c r="C894" s="18">
        <v>16.540001</v>
      </c>
      <c r="D894" s="138">
        <f t="shared" si="22"/>
        <v>6.6408833010960677E-2</v>
      </c>
    </row>
    <row r="895" spans="2:4" x14ac:dyDescent="0.25">
      <c r="B895" s="12">
        <v>39153</v>
      </c>
      <c r="C895" s="18">
        <v>15.51</v>
      </c>
      <c r="D895" s="138">
        <f t="shared" si="22"/>
        <v>-2.8195488721804551E-2</v>
      </c>
    </row>
    <row r="896" spans="2:4" x14ac:dyDescent="0.25">
      <c r="B896" s="12">
        <v>39146</v>
      </c>
      <c r="C896" s="18">
        <v>15.96</v>
      </c>
      <c r="D896" s="138">
        <f t="shared" si="22"/>
        <v>-3.037661180902862E-2</v>
      </c>
    </row>
    <row r="897" spans="2:4" x14ac:dyDescent="0.25">
      <c r="B897" s="12">
        <v>39139</v>
      </c>
      <c r="C897" s="18">
        <v>16.459999</v>
      </c>
      <c r="D897" s="138">
        <f t="shared" si="22"/>
        <v>-0.10543483695652167</v>
      </c>
    </row>
    <row r="898" spans="2:4" x14ac:dyDescent="0.25">
      <c r="B898" s="12">
        <v>39132</v>
      </c>
      <c r="C898" s="18">
        <v>18.399999999999999</v>
      </c>
      <c r="D898" s="138">
        <f t="shared" si="22"/>
        <v>2.7247956403269047E-3</v>
      </c>
    </row>
    <row r="899" spans="2:4" x14ac:dyDescent="0.25">
      <c r="B899" s="12">
        <v>39125</v>
      </c>
      <c r="C899" s="18">
        <v>18.350000000000001</v>
      </c>
      <c r="D899" s="138">
        <f t="shared" ref="D899:D906" si="23">C899/C900-1</f>
        <v>-1.4500589983856504E-2</v>
      </c>
    </row>
    <row r="900" spans="2:4" x14ac:dyDescent="0.25">
      <c r="B900" s="12">
        <v>39118</v>
      </c>
      <c r="C900" s="18">
        <v>18.620000999999998</v>
      </c>
      <c r="D900" s="138">
        <f t="shared" si="23"/>
        <v>-8.8148824681684723E-2</v>
      </c>
    </row>
    <row r="901" spans="2:4" x14ac:dyDescent="0.25">
      <c r="B901" s="12">
        <v>39111</v>
      </c>
      <c r="C901" s="18">
        <v>20.420000000000002</v>
      </c>
      <c r="D901" s="138">
        <f t="shared" si="23"/>
        <v>1.4713585812340391E-3</v>
      </c>
    </row>
    <row r="902" spans="2:4" x14ac:dyDescent="0.25">
      <c r="B902" s="12">
        <v>39104</v>
      </c>
      <c r="C902" s="18">
        <v>20.389999</v>
      </c>
      <c r="D902" s="138">
        <f t="shared" si="23"/>
        <v>-6.5536251145737912E-2</v>
      </c>
    </row>
    <row r="903" spans="2:4" x14ac:dyDescent="0.25">
      <c r="B903" s="12">
        <v>39097</v>
      </c>
      <c r="C903" s="18">
        <v>21.82</v>
      </c>
      <c r="D903" s="138">
        <f t="shared" si="23"/>
        <v>5.7683037211974542E-2</v>
      </c>
    </row>
    <row r="904" spans="2:4" x14ac:dyDescent="0.25">
      <c r="B904" s="12">
        <v>39090</v>
      </c>
      <c r="C904" s="18">
        <v>20.629999000000002</v>
      </c>
      <c r="D904" s="138">
        <f t="shared" si="23"/>
        <v>-7.2185752060357489E-3</v>
      </c>
    </row>
    <row r="905" spans="2:4" x14ac:dyDescent="0.25">
      <c r="B905" s="12">
        <v>39083</v>
      </c>
      <c r="C905" s="18">
        <v>20.780000999999999</v>
      </c>
      <c r="D905" s="138">
        <f t="shared" si="23"/>
        <v>-2.2577563499529774E-2</v>
      </c>
    </row>
    <row r="906" spans="2:4" x14ac:dyDescent="0.25">
      <c r="B906" s="12">
        <v>39076</v>
      </c>
      <c r="C906" s="18">
        <v>21.26</v>
      </c>
      <c r="D906" s="138">
        <f t="shared" si="23"/>
        <v>8.969759097898522E-2</v>
      </c>
    </row>
    <row r="907" spans="2:4" x14ac:dyDescent="0.25">
      <c r="B907" s="12">
        <v>39069</v>
      </c>
      <c r="C907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2024-05-02T17:42:48Z</dcterms:modified>
</cp:coreProperties>
</file>