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imon\Documents\models\Oil &amp; Gas - Integrated - US\"/>
    </mc:Choice>
  </mc:AlternateContent>
  <xr:revisionPtr revIDLastSave="0" documentId="13_ncr:1_{3018E3FE-5317-4EF3-ADA5-56E63C67449E}" xr6:coauthVersionLast="47" xr6:coauthVersionMax="47" xr10:uidLastSave="{00000000-0000-0000-0000-000000000000}"/>
  <bookViews>
    <workbookView xWindow="-120" yWindow="-120" windowWidth="29040" windowHeight="15720" tabRatio="678"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Model!$B$5</definedName>
    <definedName name="_xlchart.v1.1" hidden="1">Model!$B$6</definedName>
    <definedName name="_xlchart.v1.10" hidden="1">Model!$B$5</definedName>
    <definedName name="_xlchart.v1.11" hidden="1">Model!$B$6</definedName>
    <definedName name="_xlchart.v1.12" hidden="1">Model!$L$2:$U$2</definedName>
    <definedName name="_xlchart.v1.13" hidden="1">Model!$L$5:$U$5</definedName>
    <definedName name="_xlchart.v1.14" hidden="1">Model!$L$6:$U$6</definedName>
    <definedName name="_xlchart.v1.2" hidden="1">Model!$L$2:$U$2</definedName>
    <definedName name="_xlchart.v1.3" hidden="1">Model!$L$5:$U$5</definedName>
    <definedName name="_xlchart.v1.4" hidden="1">Model!$L$6:$U$6</definedName>
    <definedName name="_xlchart.v1.5" hidden="1">Model!$B$24</definedName>
    <definedName name="_xlchart.v1.6" hidden="1">Model!$B$25</definedName>
    <definedName name="_xlchart.v1.7" hidden="1">Model!$L$24:$U$24</definedName>
    <definedName name="_xlchart.v1.8" hidden="1">Model!$L$25:$U$25</definedName>
    <definedName name="_xlchart.v1.9" hidden="1">Model!$L$2:$U$2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2" i="1" l="1"/>
  <c r="C31" i="1"/>
  <c r="C30" i="1"/>
  <c r="C29" i="1"/>
  <c r="C28" i="1"/>
  <c r="C27" i="1"/>
  <c r="C25" i="1"/>
  <c r="C10" i="1"/>
  <c r="C9" i="1"/>
  <c r="I22" i="2"/>
  <c r="H22" i="2"/>
  <c r="H28" i="2" s="1"/>
  <c r="X9" i="2"/>
  <c r="X22" i="2"/>
  <c r="W22" i="2"/>
  <c r="V22" i="2"/>
  <c r="N22" i="6"/>
  <c r="N14" i="6"/>
  <c r="N13" i="6"/>
  <c r="N12" i="6"/>
  <c r="N11" i="6"/>
  <c r="N10" i="6"/>
  <c r="N8" i="6"/>
  <c r="R22" i="6"/>
  <c r="R14" i="6"/>
  <c r="R13" i="6"/>
  <c r="R12" i="6"/>
  <c r="R11" i="6"/>
  <c r="R10" i="6"/>
  <c r="R8" i="6"/>
  <c r="G40" i="2"/>
  <c r="F40" i="2"/>
  <c r="E40" i="2"/>
  <c r="D40" i="2"/>
  <c r="C40" i="2"/>
  <c r="S40" i="2"/>
  <c r="R40" i="2"/>
  <c r="Q40" i="2"/>
  <c r="O40" i="2"/>
  <c r="N40" i="2"/>
  <c r="M40" i="2"/>
  <c r="L40" i="2"/>
  <c r="U40" i="2"/>
  <c r="W9" i="2"/>
  <c r="U9" i="2"/>
  <c r="U17" i="2"/>
  <c r="U63" i="2"/>
  <c r="U57" i="2"/>
  <c r="U60" i="2" s="1"/>
  <c r="U47" i="2"/>
  <c r="U52" i="2" s="1"/>
  <c r="T41" i="2"/>
  <c r="U34" i="2"/>
  <c r="U33" i="2"/>
  <c r="U5" i="2"/>
  <c r="U31" i="2" s="1"/>
  <c r="C21" i="1"/>
  <c r="C17" i="1"/>
  <c r="C15" i="1"/>
  <c r="C14" i="1"/>
  <c r="C7" i="1"/>
  <c r="I35" i="2"/>
  <c r="C17" i="2"/>
  <c r="D17" i="2"/>
  <c r="D13" i="2"/>
  <c r="C54" i="2"/>
  <c r="C43" i="2"/>
  <c r="D54" i="2"/>
  <c r="D43" i="2"/>
  <c r="L43" i="2"/>
  <c r="M43" i="2"/>
  <c r="L17" i="2"/>
  <c r="L13" i="2"/>
  <c r="M17" i="2"/>
  <c r="N17" i="2"/>
  <c r="O17" i="2"/>
  <c r="D14" i="6"/>
  <c r="D13" i="6"/>
  <c r="D12" i="6"/>
  <c r="D11" i="6"/>
  <c r="D10" i="6"/>
  <c r="E43" i="2"/>
  <c r="E17" i="2"/>
  <c r="E12" i="2"/>
  <c r="Q63" i="2"/>
  <c r="R63" i="2"/>
  <c r="S63" i="2"/>
  <c r="Q17" i="2"/>
  <c r="R17" i="2"/>
  <c r="S17" i="2"/>
  <c r="D22" i="6"/>
  <c r="P22" i="6"/>
  <c r="O22" i="6"/>
  <c r="M22" i="6"/>
  <c r="M24" i="6" s="1"/>
  <c r="L22" i="6"/>
  <c r="L24" i="6" s="1"/>
  <c r="K22" i="6"/>
  <c r="J22" i="6"/>
  <c r="J24" i="6" s="1"/>
  <c r="I22" i="6"/>
  <c r="Q22" i="6"/>
  <c r="Q24" i="6" s="1"/>
  <c r="P8" i="6"/>
  <c r="O8" i="6"/>
  <c r="M8" i="6"/>
  <c r="L8" i="6"/>
  <c r="K8" i="6"/>
  <c r="J8" i="6"/>
  <c r="I8" i="6"/>
  <c r="Q8" i="6"/>
  <c r="C22" i="6"/>
  <c r="E22" i="6"/>
  <c r="E24" i="6" s="1"/>
  <c r="B22" i="6"/>
  <c r="B24" i="6" s="1"/>
  <c r="Q14" i="6"/>
  <c r="M14" i="6"/>
  <c r="O14" i="6"/>
  <c r="P14" i="6"/>
  <c r="P13" i="6"/>
  <c r="O13" i="6"/>
  <c r="M13" i="6"/>
  <c r="P12" i="6"/>
  <c r="O12" i="6"/>
  <c r="M12" i="6"/>
  <c r="P11" i="6"/>
  <c r="O11" i="6"/>
  <c r="M11" i="6"/>
  <c r="P10" i="6"/>
  <c r="O10" i="6"/>
  <c r="M10" i="6"/>
  <c r="Q13" i="6"/>
  <c r="Q12" i="6"/>
  <c r="Q11" i="6"/>
  <c r="Q10" i="6"/>
  <c r="B8" i="6"/>
  <c r="C8" i="6"/>
  <c r="D8" i="6"/>
  <c r="E8" i="6"/>
  <c r="E14" i="6"/>
  <c r="E13" i="6"/>
  <c r="E12" i="6"/>
  <c r="E11" i="6"/>
  <c r="E10" i="6"/>
  <c r="P59" i="2"/>
  <c r="P58" i="2"/>
  <c r="P63" i="2" s="1"/>
  <c r="P56" i="2"/>
  <c r="P55" i="2"/>
  <c r="P54" i="2"/>
  <c r="P53" i="2"/>
  <c r="P51" i="2"/>
  <c r="P50" i="2"/>
  <c r="P49" i="2"/>
  <c r="P48" i="2"/>
  <c r="P46" i="2"/>
  <c r="P45" i="2"/>
  <c r="P44" i="2"/>
  <c r="P43" i="2"/>
  <c r="P42" i="2"/>
  <c r="P41" i="2"/>
  <c r="T59" i="2"/>
  <c r="T58" i="2"/>
  <c r="T63" i="2" s="1"/>
  <c r="T56" i="2"/>
  <c r="T55" i="2"/>
  <c r="T54" i="2"/>
  <c r="T53" i="2"/>
  <c r="T51" i="2"/>
  <c r="T50" i="2"/>
  <c r="T49" i="2"/>
  <c r="T48" i="2"/>
  <c r="T46" i="2"/>
  <c r="T45" i="2"/>
  <c r="T44" i="2"/>
  <c r="T43" i="2"/>
  <c r="T42" i="2"/>
  <c r="P17" i="2"/>
  <c r="S34" i="2"/>
  <c r="R34" i="2"/>
  <c r="Q34" i="2"/>
  <c r="P34" i="2"/>
  <c r="S33" i="2"/>
  <c r="R33" i="2"/>
  <c r="Q33" i="2"/>
  <c r="P33" i="2"/>
  <c r="T34" i="2"/>
  <c r="T33" i="2"/>
  <c r="T17" i="2"/>
  <c r="L5" i="2"/>
  <c r="L32" i="2" s="1"/>
  <c r="M5" i="2"/>
  <c r="M32" i="2" s="1"/>
  <c r="N5" i="2"/>
  <c r="N31" i="2" s="1"/>
  <c r="O5" i="2"/>
  <c r="O31" i="2" s="1"/>
  <c r="P5" i="2"/>
  <c r="Q5" i="2"/>
  <c r="R5" i="2"/>
  <c r="V30" i="2" s="1"/>
  <c r="S5" i="2"/>
  <c r="S32" i="2" s="1"/>
  <c r="T5" i="2"/>
  <c r="X30" i="2" s="1"/>
  <c r="G17" i="2"/>
  <c r="F17" i="2"/>
  <c r="C5" i="2"/>
  <c r="C32" i="2" s="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L9" i="2"/>
  <c r="M9" i="2"/>
  <c r="N9" i="2"/>
  <c r="O9" i="2"/>
  <c r="P9" i="2"/>
  <c r="Q9" i="2"/>
  <c r="R9" i="2"/>
  <c r="S9" i="2"/>
  <c r="T9" i="2"/>
  <c r="V9" i="2"/>
  <c r="D9" i="2"/>
  <c r="E9" i="2"/>
  <c r="F9" i="2"/>
  <c r="G9" i="2"/>
  <c r="H9" i="2"/>
  <c r="H14" i="2" s="1"/>
  <c r="H19" i="2" s="1"/>
  <c r="I9" i="2"/>
  <c r="I14" i="2" s="1"/>
  <c r="I19" i="2" s="1"/>
  <c r="C9" i="2"/>
  <c r="T40" i="2" l="1"/>
  <c r="P40" i="2"/>
  <c r="C19" i="1"/>
  <c r="W30" i="2"/>
  <c r="M31" i="2"/>
  <c r="U32" i="2"/>
  <c r="C31" i="2"/>
  <c r="T57" i="2"/>
  <c r="O24" i="6"/>
  <c r="P24" i="6"/>
  <c r="N24" i="6"/>
  <c r="R24" i="6"/>
  <c r="K24" i="6"/>
  <c r="D24" i="6"/>
  <c r="U61" i="2"/>
  <c r="U27" i="2"/>
  <c r="C24" i="1" s="1"/>
  <c r="U14" i="2"/>
  <c r="U19" i="2" s="1"/>
  <c r="U37" i="2" s="1"/>
  <c r="U30" i="2"/>
  <c r="C24" i="6"/>
  <c r="I24" i="6"/>
  <c r="R32" i="2"/>
  <c r="R14" i="2"/>
  <c r="R19" i="2" s="1"/>
  <c r="R22" i="2" s="1"/>
  <c r="R24" i="2" s="1"/>
  <c r="V35" i="2" s="1"/>
  <c r="S14" i="2"/>
  <c r="S19" i="2" s="1"/>
  <c r="S22" i="2" s="1"/>
  <c r="S24" i="2" s="1"/>
  <c r="W35" i="2" s="1"/>
  <c r="M14" i="2"/>
  <c r="M19" i="2" s="1"/>
  <c r="M22" i="2" s="1"/>
  <c r="M24" i="2" s="1"/>
  <c r="L14" i="2"/>
  <c r="L19" i="2" s="1"/>
  <c r="L22" i="2" s="1"/>
  <c r="L24" i="2" s="1"/>
  <c r="N14" i="2"/>
  <c r="N19" i="2" s="1"/>
  <c r="N32" i="2"/>
  <c r="P14" i="2"/>
  <c r="P19" i="2" s="1"/>
  <c r="P32" i="2"/>
  <c r="T32" i="2"/>
  <c r="T14" i="2"/>
  <c r="T19" i="2" s="1"/>
  <c r="O32" i="2"/>
  <c r="Q14" i="2"/>
  <c r="Q19" i="2" s="1"/>
  <c r="Q32" i="2"/>
  <c r="O14" i="2"/>
  <c r="O19" i="2" s="1"/>
  <c r="C8" i="1"/>
  <c r="I31" i="5"/>
  <c r="I30" i="5"/>
  <c r="I29" i="5"/>
  <c r="I28" i="5"/>
  <c r="I26" i="5"/>
  <c r="I25" i="5"/>
  <c r="I24" i="5"/>
  <c r="I23" i="5"/>
  <c r="I22" i="5"/>
  <c r="I21" i="5"/>
  <c r="I20" i="5"/>
  <c r="I19" i="5"/>
  <c r="I65" i="5"/>
  <c r="I64" i="5"/>
  <c r="U22" i="2" l="1"/>
  <c r="U29" i="2"/>
  <c r="L29" i="2"/>
  <c r="M29" i="2"/>
  <c r="M37" i="2"/>
  <c r="R37" i="2"/>
  <c r="R29" i="2"/>
  <c r="S29" i="2"/>
  <c r="S37" i="2"/>
  <c r="L37" i="2"/>
  <c r="O22" i="2"/>
  <c r="O24" i="2" s="1"/>
  <c r="O29" i="2"/>
  <c r="O37" i="2"/>
  <c r="Q22" i="2"/>
  <c r="Q24" i="2" s="1"/>
  <c r="Q29" i="2"/>
  <c r="Q37" i="2"/>
  <c r="N22" i="2"/>
  <c r="N24" i="2" s="1"/>
  <c r="N29" i="2"/>
  <c r="N37" i="2"/>
  <c r="T22" i="2"/>
  <c r="T24" i="2" s="1"/>
  <c r="X35" i="2" s="1"/>
  <c r="T37" i="2"/>
  <c r="T29" i="2"/>
  <c r="P22" i="2"/>
  <c r="P24" i="2" s="1"/>
  <c r="P37" i="2"/>
  <c r="P29" i="2"/>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14" i="2"/>
  <c r="D5" i="2"/>
  <c r="D14" i="2" s="1"/>
  <c r="E5" i="2"/>
  <c r="E14" i="2" s="1"/>
  <c r="F5" i="2"/>
  <c r="F14" i="2" s="1"/>
  <c r="G5" i="2"/>
  <c r="L28" i="2"/>
  <c r="L27" i="2"/>
  <c r="M27" i="2"/>
  <c r="N27" i="2"/>
  <c r="O27" i="2"/>
  <c r="P27" i="2"/>
  <c r="Q27" i="2"/>
  <c r="R27" i="2"/>
  <c r="S27" i="2"/>
  <c r="T27" i="2"/>
  <c r="P30" i="2"/>
  <c r="Q30" i="2"/>
  <c r="R30" i="2"/>
  <c r="S30" i="2"/>
  <c r="T30" i="2"/>
  <c r="L31" i="2"/>
  <c r="P31" i="2"/>
  <c r="Q31" i="2"/>
  <c r="R31" i="2"/>
  <c r="S31" i="2"/>
  <c r="T31" i="2"/>
  <c r="L47" i="2"/>
  <c r="L52" i="2" s="1"/>
  <c r="M47" i="2"/>
  <c r="M52" i="2" s="1"/>
  <c r="N47" i="2"/>
  <c r="N52" i="2" s="1"/>
  <c r="O47" i="2"/>
  <c r="O52" i="2" s="1"/>
  <c r="P47" i="2"/>
  <c r="P52" i="2" s="1"/>
  <c r="Q47" i="2"/>
  <c r="Q52" i="2" s="1"/>
  <c r="R47" i="2"/>
  <c r="R52" i="2" s="1"/>
  <c r="S47" i="2"/>
  <c r="S52" i="2" s="1"/>
  <c r="T47" i="2"/>
  <c r="T52" i="2" s="1"/>
  <c r="L57" i="2"/>
  <c r="L60" i="2" s="1"/>
  <c r="M57" i="2"/>
  <c r="M60" i="2" s="1"/>
  <c r="N57" i="2"/>
  <c r="N60" i="2" s="1"/>
  <c r="O57" i="2"/>
  <c r="O60" i="2" s="1"/>
  <c r="P57" i="2"/>
  <c r="P60" i="2" s="1"/>
  <c r="Q57" i="2"/>
  <c r="Q60" i="2" s="1"/>
  <c r="R57" i="2"/>
  <c r="R60" i="2" s="1"/>
  <c r="S57" i="2"/>
  <c r="S60" i="2" s="1"/>
  <c r="T60" i="2"/>
  <c r="I36" i="2"/>
  <c r="H36" i="2"/>
  <c r="C47" i="2"/>
  <c r="C52" i="2" s="1"/>
  <c r="D47" i="2"/>
  <c r="D52" i="2" s="1"/>
  <c r="E47" i="2"/>
  <c r="E52" i="2" s="1"/>
  <c r="I28" i="2"/>
  <c r="I30" i="2"/>
  <c r="E34" i="2"/>
  <c r="F34" i="2"/>
  <c r="G34" i="2"/>
  <c r="E33" i="2"/>
  <c r="F33" i="2"/>
  <c r="G33" i="2"/>
  <c r="G14" i="2" l="1"/>
  <c r="G19" i="2" s="1"/>
  <c r="C20" i="1"/>
  <c r="U35" i="2"/>
  <c r="U24" i="2"/>
  <c r="U28" i="2"/>
  <c r="R61" i="2"/>
  <c r="Q61" i="2"/>
  <c r="G37" i="2"/>
  <c r="F19" i="2"/>
  <c r="F37" i="2"/>
  <c r="D19" i="2"/>
  <c r="D37" i="2"/>
  <c r="P61" i="2"/>
  <c r="C19" i="2"/>
  <c r="C37" i="2"/>
  <c r="E19" i="2"/>
  <c r="E37" i="2"/>
  <c r="T61" i="2"/>
  <c r="L61" i="2"/>
  <c r="S61" i="2"/>
  <c r="O61" i="2"/>
  <c r="N61" i="2"/>
  <c r="M61" i="2"/>
  <c r="K11" i="5"/>
  <c r="G31" i="2"/>
  <c r="G32" i="2"/>
  <c r="F36" i="2"/>
  <c r="F32" i="2"/>
  <c r="E31" i="2"/>
  <c r="E32" i="2"/>
  <c r="D31" i="2"/>
  <c r="D32"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Q28" i="2"/>
  <c r="Q35" i="2"/>
  <c r="M28" i="2"/>
  <c r="P28" i="2"/>
  <c r="P35" i="2"/>
  <c r="T35" i="2"/>
  <c r="T28" i="2"/>
  <c r="S35" i="2"/>
  <c r="S28" i="2"/>
  <c r="R28" i="2"/>
  <c r="R35" i="2"/>
  <c r="O28" i="2"/>
  <c r="N28" i="2"/>
  <c r="C27" i="2"/>
  <c r="H37" i="2"/>
  <c r="I37" i="2"/>
  <c r="G36" i="2"/>
  <c r="D36" i="2"/>
  <c r="E36" i="2"/>
  <c r="C36" i="2"/>
  <c r="H30" i="2"/>
  <c r="F27" i="2"/>
  <c r="F31" i="2"/>
  <c r="E27" i="2"/>
  <c r="D27" i="2"/>
  <c r="G27" i="2"/>
  <c r="G30" i="2"/>
  <c r="G57" i="2"/>
  <c r="G47" i="2"/>
  <c r="E30" i="2"/>
  <c r="F30" i="2"/>
  <c r="D30" i="2"/>
  <c r="D57" i="2"/>
  <c r="D60" i="2" s="1"/>
  <c r="D61" i="2" s="1"/>
  <c r="E57" i="2"/>
  <c r="F47" i="2"/>
  <c r="F52" i="2" s="1"/>
  <c r="G52" i="2" l="1"/>
  <c r="G60" i="2"/>
  <c r="C23" i="1"/>
  <c r="C22" i="1"/>
  <c r="C22" i="2"/>
  <c r="C29" i="2"/>
  <c r="D22" i="2"/>
  <c r="D29" i="2"/>
  <c r="F22" i="2"/>
  <c r="F29" i="2"/>
  <c r="E22" i="2"/>
  <c r="E29" i="2"/>
  <c r="G22" i="2"/>
  <c r="G29" i="2"/>
  <c r="M5" i="5"/>
  <c r="M6" i="5" s="1"/>
  <c r="M7" i="5" s="1"/>
  <c r="M8" i="5" s="1"/>
  <c r="M9" i="5" s="1"/>
  <c r="M10" i="5" s="1"/>
  <c r="M11" i="5" s="1"/>
  <c r="M12" i="5" s="1"/>
  <c r="M13" i="5" s="1"/>
  <c r="M14" i="5" s="1"/>
  <c r="M15" i="5" s="1"/>
  <c r="F57" i="2"/>
  <c r="F60" i="2" s="1"/>
  <c r="F61" i="2" s="1"/>
  <c r="E60" i="2"/>
  <c r="E61" i="2" s="1"/>
  <c r="C57" i="2"/>
  <c r="C60" i="2" s="1"/>
  <c r="C61" i="2" s="1"/>
  <c r="G61" i="2" l="1"/>
  <c r="C34" i="1"/>
  <c r="C33" i="1"/>
  <c r="C24" i="2"/>
  <c r="E24" i="2"/>
  <c r="D28" i="2"/>
  <c r="G35" i="2"/>
  <c r="G24" i="2"/>
  <c r="C13" i="1" s="1"/>
  <c r="G28" i="2"/>
  <c r="C35" i="1" l="1"/>
  <c r="C16" i="1"/>
  <c r="C18" i="1" s="1"/>
  <c r="H35" i="2"/>
  <c r="C28" i="2"/>
  <c r="D35" i="2"/>
  <c r="E28" i="2"/>
  <c r="F35" i="2"/>
  <c r="F24" i="2"/>
  <c r="E35" i="2"/>
  <c r="D24" i="2"/>
  <c r="F28" i="2"/>
  <c r="C11" i="1" s="1"/>
  <c r="C12" i="1" l="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<sst xmlns="http://schemas.openxmlformats.org/spreadsheetml/2006/main" count="252" uniqueCount="225">
  <si>
    <t>Price</t>
  </si>
  <si>
    <t>Shares</t>
  </si>
  <si>
    <t>MC</t>
  </si>
  <si>
    <t>CASH</t>
  </si>
  <si>
    <t>DEBT</t>
  </si>
  <si>
    <t>EV</t>
  </si>
  <si>
    <t>Q222</t>
  </si>
  <si>
    <t>Q322</t>
  </si>
  <si>
    <t>Q422</t>
  </si>
  <si>
    <t>Q123</t>
  </si>
  <si>
    <t>Q421</t>
  </si>
  <si>
    <t>Q122</t>
  </si>
  <si>
    <t>FY21</t>
  </si>
  <si>
    <t>FY22</t>
  </si>
  <si>
    <t>FY23</t>
  </si>
  <si>
    <t>Revenue</t>
  </si>
  <si>
    <t>FY20</t>
  </si>
  <si>
    <t>EBITDA</t>
  </si>
  <si>
    <t>Income Tax</t>
  </si>
  <si>
    <t>Net Income</t>
  </si>
  <si>
    <t>EPS</t>
  </si>
  <si>
    <t>Operational Income</t>
  </si>
  <si>
    <t>D&amp;A</t>
  </si>
  <si>
    <t>Cash</t>
  </si>
  <si>
    <t>Other</t>
  </si>
  <si>
    <t>Total Assets</t>
  </si>
  <si>
    <t>Total Liablities</t>
  </si>
  <si>
    <t>AP</t>
  </si>
  <si>
    <t>Gross Margin</t>
  </si>
  <si>
    <t>Net Margin</t>
  </si>
  <si>
    <t>Revenue y/y</t>
  </si>
  <si>
    <t>FY24</t>
  </si>
  <si>
    <t>FY19</t>
  </si>
  <si>
    <t>Net Income y/y</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</si>
  <si>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</si>
  <si>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</si>
  <si>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</si>
  <si>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</si>
  <si>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</si>
  <si>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</si>
  <si>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</si>
  <si>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</si>
  <si>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</si>
  <si>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</si>
  <si>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</si>
  <si>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</si>
  <si>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</si>
  <si>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</si>
  <si>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</si>
  <si>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</si>
  <si>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</si>
  <si>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</si>
  <si>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</si>
  <si>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</si>
  <si>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</si>
  <si>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</si>
  <si>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</si>
  <si>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</si>
  <si>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</si>
  <si>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</si>
  <si>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</si>
  <si>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Q124</t>
  </si>
  <si>
    <t>EPS exp.</t>
  </si>
  <si>
    <t>Rev. Exp.</t>
  </si>
  <si>
    <t>Q224</t>
  </si>
  <si>
    <t>FY25</t>
  </si>
  <si>
    <t>PEG1</t>
  </si>
  <si>
    <t>PEG2</t>
  </si>
  <si>
    <t>EBIT</t>
  </si>
  <si>
    <t>EV/EBITDA</t>
  </si>
  <si>
    <t>NI Noncontrolling Interest</t>
  </si>
  <si>
    <t>Notes</t>
  </si>
  <si>
    <t>Restricted Cash</t>
  </si>
  <si>
    <t>Prepaid Expense</t>
  </si>
  <si>
    <t>PP&amp;E</t>
  </si>
  <si>
    <t>Equity</t>
  </si>
  <si>
    <t>Interest exp / REV</t>
  </si>
  <si>
    <t>Interest exp / op Inc</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</si>
  <si>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</si>
  <si>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</si>
  <si>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</si>
  <si>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</si>
  <si>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</si>
  <si>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</si>
  <si>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</si>
  <si>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</si>
  <si>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</si>
  <si>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</si>
  <si>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</si>
  <si>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</si>
  <si>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</si>
  <si>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</si>
  <si>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</si>
  <si>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</si>
  <si>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</si>
  <si>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</si>
  <si>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</si>
  <si>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</si>
  <si>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</si>
  <si>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</si>
  <si>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</si>
  <si>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</si>
  <si>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</si>
  <si>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</si>
  <si>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</si>
  <si>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</si>
  <si>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</si>
  <si>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</si>
  <si>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</si>
  <si>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</si>
  <si>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</si>
  <si>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</si>
  <si>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</si>
  <si>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</si>
  <si>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</si>
  <si>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</si>
  <si>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</si>
  <si>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</si>
  <si>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</si>
  <si>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</si>
  <si>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</si>
  <si>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</si>
  <si>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</si>
  <si>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</si>
  <si>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</si>
  <si>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</si>
  <si>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</si>
  <si>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</si>
  <si>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</si>
  <si>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</si>
  <si>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G&amp;A / REV</t>
  </si>
  <si>
    <t>G&amp;A</t>
  </si>
  <si>
    <t>Price (T.Rowe) Associates Inc</t>
  </si>
  <si>
    <t>9.87%</t>
  </si>
  <si>
    <t>Robotti Robert</t>
  </si>
  <si>
    <t>7.37%</t>
  </si>
  <si>
    <t>Vanguard Group Inc</t>
  </si>
  <si>
    <t>7.33%</t>
  </si>
  <si>
    <t>Blackrock Inc.</t>
  </si>
  <si>
    <t>6.56%</t>
  </si>
  <si>
    <t>Neuberger Berman Group, LLC</t>
  </si>
  <si>
    <t>5.96%</t>
  </si>
  <si>
    <t>FMR, LLC</t>
  </si>
  <si>
    <t>4.30%</t>
  </si>
  <si>
    <t>Boston Partners</t>
  </si>
  <si>
    <t>3.98%</t>
  </si>
  <si>
    <t>Dimensional Fund Advisors LP</t>
  </si>
  <si>
    <t>3.45%</t>
  </si>
  <si>
    <t>Pilgrim Global Advisors LLC</t>
  </si>
  <si>
    <t>3.29%</t>
  </si>
  <si>
    <t>Slate Path Capital, LP</t>
  </si>
  <si>
    <t>2.70%</t>
  </si>
  <si>
    <t>DARLING DAVID E</t>
  </si>
  <si>
    <t>FAGERSTAL DICK H</t>
  </si>
  <si>
    <t>HUDSON DANIEL ALLEN</t>
  </si>
  <si>
    <t>KNEEN QUINTIN V</t>
  </si>
  <si>
    <t>RASPINO LOUIS A</t>
  </si>
  <si>
    <t>ROBOTTI ROBERT EDWARD</t>
  </si>
  <si>
    <t>ROBOTTI, ROBERT EDWARD</t>
  </si>
  <si>
    <t>RUBIO SAMUEL R</t>
  </si>
  <si>
    <t>TRAUB KENNETH H</t>
  </si>
  <si>
    <t>ZABROCKY LOIS K</t>
  </si>
  <si>
    <t>Mr. Quintin V. Kneen</t>
  </si>
  <si>
    <t>President, CEO &amp; Director</t>
  </si>
  <si>
    <t>Mr. Samuel R. Rubio</t>
  </si>
  <si>
    <t>Executive VP &amp; CFO</t>
  </si>
  <si>
    <t>Mr. David E. Darling</t>
  </si>
  <si>
    <t>Executive VP &amp; COO</t>
  </si>
  <si>
    <t>Mr. Daniel A. Hudson</t>
  </si>
  <si>
    <t>Executive VP, General Counsel &amp; Corporate Secretary</t>
  </si>
  <si>
    <t>Mr. Lee R. Johnson</t>
  </si>
  <si>
    <t>Executive VP &amp; Chief Information Officer</t>
  </si>
  <si>
    <t>West Gotcher</t>
  </si>
  <si>
    <t>Vice President of Finance &amp; Investor Relations</t>
  </si>
  <si>
    <t>Piers Middleton</t>
  </si>
  <si>
    <t>Vice President Sales &amp; Marketing</t>
  </si>
  <si>
    <t>Mr. Darren J. Vorst</t>
  </si>
  <si>
    <t>VP &amp; Treasurer</t>
  </si>
  <si>
    <t xml:space="preserve">Tidewater Inc., together with its subsidiaries, provides offshore support vessels and marine support services to the offshore energy industry through the operation of a fleet of marine service vessels worldwide. It provides services in support of offshore oil and gas exploration, field development, and production, as well as windfarm development and maintenance, including towing of and anchor handling for mobile offshore drilling units; transporting supplies and personnel necessary to sustain drilling, workover, and production activities; offshore construction, and seismic and subsea support; geotechnical survey support for windfarm construction; and various specialized services, such as pipe and cable laying. </t>
  </si>
  <si>
    <t>Vessel Revenues</t>
  </si>
  <si>
    <t>Other operating revenues</t>
  </si>
  <si>
    <t>Cost of other operating rev</t>
  </si>
  <si>
    <t>Vessel operating cost</t>
  </si>
  <si>
    <t>Longlived Assets Impairment</t>
  </si>
  <si>
    <t>Gain on asset dispositions</t>
  </si>
  <si>
    <t>Foreign exchange gain</t>
  </si>
  <si>
    <t>Equity in net earnings</t>
  </si>
  <si>
    <t>Interest net</t>
  </si>
  <si>
    <t>Other (loss on warrants)</t>
  </si>
  <si>
    <t>Tax Rate</t>
  </si>
  <si>
    <t>Vessel revenues y/y</t>
  </si>
  <si>
    <t>Other y/y</t>
  </si>
  <si>
    <t>Trade &amp; receivables</t>
  </si>
  <si>
    <t>Marine operating supplies</t>
  </si>
  <si>
    <t>Assets held for sale</t>
  </si>
  <si>
    <t>Deferred drydocking and survey cost</t>
  </si>
  <si>
    <t>Indemnification assets</t>
  </si>
  <si>
    <t>Other assets</t>
  </si>
  <si>
    <t>Accrued Expense</t>
  </si>
  <si>
    <t>Current Portion of ltd</t>
  </si>
  <si>
    <t>Other current liab</t>
  </si>
  <si>
    <t>Long-term debt</t>
  </si>
  <si>
    <t>Other liab</t>
  </si>
  <si>
    <t>Revenue Breakdown</t>
  </si>
  <si>
    <t>Americas</t>
  </si>
  <si>
    <t>Asia Pacific</t>
  </si>
  <si>
    <t>Middle East</t>
  </si>
  <si>
    <t>Europe</t>
  </si>
  <si>
    <t>West Africa</t>
  </si>
  <si>
    <t>Total</t>
  </si>
  <si>
    <t>Americas y/y</t>
  </si>
  <si>
    <t>Asia Pacific y/y</t>
  </si>
  <si>
    <t>Middle East y/y</t>
  </si>
  <si>
    <t>Europe y/y</t>
  </si>
  <si>
    <t>West Africa y/y</t>
  </si>
  <si>
    <t>Vessel operating Cost</t>
  </si>
  <si>
    <t>Crew Cost</t>
  </si>
  <si>
    <t>Repair &amp; maintenance</t>
  </si>
  <si>
    <t>Insurance</t>
  </si>
  <si>
    <t>Fuel, lube and supplies</t>
  </si>
  <si>
    <t>Operating Margin</t>
  </si>
  <si>
    <t>Debt y/y</t>
  </si>
  <si>
    <t>Q324</t>
  </si>
  <si>
    <t>Q424</t>
  </si>
  <si>
    <t>D&amp;A / 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</si>
</sst>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rgb="FFFF9B9B"/>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9" fillId="9" borderId="9" applyNumberFormat="0" applyAlignment="0" applyProtection="0"/>
  </cellStyleXfs>
  <cellXfs count="171">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9" fontId="0" fillId="6" borderId="0" xfId="0" applyNumberFormat="1" applyFill="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2" fillId="0" borderId="2" xfId="0" applyNumberFormat="1" applyFont="1" applyBorder="1" applyAlignment="1">
      <alignment horizontal="right"/>
    </xf>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9" fontId="0" fillId="7" borderId="0" xfId="1" applyFont="1" applyFill="1" applyBorder="1"/>
    <xf numFmtId="9" fontId="0" fillId="7" borderId="2" xfId="1" applyFont="1" applyFill="1" applyBorder="1"/>
    <xf numFmtId="9" fontId="0" fillId="7" borderId="0" xfId="1" applyFont="1" applyFill="1"/>
    <xf numFmtId="10" fontId="2" fillId="0" borderId="0" xfId="1" applyNumberFormat="1" applyFont="1"/>
    <xf numFmtId="10" fontId="2" fillId="0" borderId="2" xfId="1" applyNumberFormat="1" applyFont="1" applyBorder="1"/>
    <xf numFmtId="2" fontId="2" fillId="3" borderId="2" xfId="0" applyNumberFormat="1" applyFont="1" applyFill="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0" fillId="3" borderId="7" xfId="0" applyFill="1" applyBorder="1" applyAlignment="1">
      <alignment horizontal="right"/>
    </xf>
    <xf numFmtId="0" fontId="11" fillId="11" borderId="13" xfId="0" applyFont="1" applyFill="1" applyBorder="1"/>
    <xf numFmtId="0" fontId="11" fillId="11" borderId="14" xfId="0" applyFont="1" applyFill="1" applyBorder="1"/>
    <xf numFmtId="0" fontId="11" fillId="11" borderId="15" xfId="0" applyFont="1" applyFill="1" applyBorder="1"/>
    <xf numFmtId="0" fontId="11" fillId="11" borderId="16" xfId="0" applyFont="1" applyFill="1" applyBorder="1"/>
    <xf numFmtId="0" fontId="12" fillId="11" borderId="17" xfId="0" applyFont="1" applyFill="1" applyBorder="1" applyAlignment="1">
      <alignment horizontal="center"/>
    </xf>
    <xf numFmtId="0" fontId="12" fillId="11" borderId="18" xfId="0" applyFont="1" applyFill="1" applyBorder="1" applyAlignment="1">
      <alignment horizontal="center"/>
    </xf>
    <xf numFmtId="0" fontId="11" fillId="11" borderId="19" xfId="0" applyFont="1" applyFill="1" applyBorder="1"/>
    <xf numFmtId="0" fontId="11" fillId="11" borderId="20" xfId="0" applyFont="1" applyFill="1" applyBorder="1"/>
    <xf numFmtId="166" fontId="11" fillId="11" borderId="21" xfId="0" applyNumberFormat="1" applyFont="1" applyFill="1" applyBorder="1"/>
    <xf numFmtId="166" fontId="11" fillId="11" borderId="22" xfId="0" applyNumberFormat="1" applyFont="1" applyFill="1" applyBorder="1"/>
    <xf numFmtId="0" fontId="11" fillId="11" borderId="22" xfId="0" applyFont="1" applyFill="1" applyBorder="1"/>
    <xf numFmtId="10" fontId="11" fillId="11" borderId="22" xfId="0" applyNumberFormat="1" applyFont="1" applyFill="1" applyBorder="1"/>
    <xf numFmtId="10" fontId="11" fillId="11" borderId="23" xfId="0" applyNumberFormat="1" applyFont="1" applyFill="1" applyBorder="1"/>
    <xf numFmtId="166" fontId="11" fillId="11" borderId="24" xfId="0" applyNumberFormat="1" applyFont="1" applyFill="1" applyBorder="1"/>
    <xf numFmtId="166" fontId="11" fillId="11" borderId="25" xfId="0" applyNumberFormat="1" applyFont="1" applyFill="1" applyBorder="1"/>
    <xf numFmtId="0" fontId="11" fillId="11" borderId="25" xfId="0" applyFont="1" applyFill="1" applyBorder="1"/>
    <xf numFmtId="0" fontId="11" fillId="11" borderId="25" xfId="0" quotePrefix="1" applyFont="1" applyFill="1" applyBorder="1"/>
    <xf numFmtId="10" fontId="11" fillId="11" borderId="25" xfId="0" applyNumberFormat="1" applyFont="1" applyFill="1" applyBorder="1"/>
    <xf numFmtId="10" fontId="11" fillId="11" borderId="26" xfId="0" applyNumberFormat="1" applyFont="1" applyFill="1" applyBorder="1"/>
    <xf numFmtId="0" fontId="11" fillId="11" borderId="27" xfId="0" applyFont="1" applyFill="1" applyBorder="1"/>
    <xf numFmtId="0" fontId="11" fillId="11" borderId="28" xfId="0" applyFont="1" applyFill="1" applyBorder="1"/>
    <xf numFmtId="10" fontId="11" fillId="11" borderId="29" xfId="0" applyNumberFormat="1" applyFont="1" applyFill="1" applyBorder="1"/>
    <xf numFmtId="166" fontId="11" fillId="11" borderId="30" xfId="0" applyNumberFormat="1" applyFont="1" applyFill="1" applyBorder="1"/>
    <xf numFmtId="0" fontId="11" fillId="11" borderId="31" xfId="0" applyFont="1" applyFill="1" applyBorder="1"/>
    <xf numFmtId="166" fontId="11" fillId="11" borderId="34" xfId="0" applyNumberFormat="1" applyFont="1" applyFill="1" applyBorder="1"/>
    <xf numFmtId="166" fontId="11" fillId="11" borderId="13" xfId="0" applyNumberFormat="1" applyFont="1" applyFill="1" applyBorder="1"/>
    <xf numFmtId="0" fontId="0" fillId="11" borderId="35" xfId="0" applyFill="1" applyBorder="1"/>
    <xf numFmtId="166" fontId="11" fillId="11" borderId="36" xfId="0" applyNumberFormat="1" applyFont="1" applyFill="1" applyBorder="1"/>
    <xf numFmtId="166" fontId="11" fillId="11" borderId="37" xfId="0" applyNumberFormat="1" applyFont="1" applyFill="1" applyBorder="1"/>
    <xf numFmtId="0" fontId="13" fillId="11" borderId="22" xfId="0" applyFont="1" applyFill="1" applyBorder="1"/>
    <xf numFmtId="0" fontId="13" fillId="11" borderId="23" xfId="0" applyFont="1" applyFill="1" applyBorder="1"/>
    <xf numFmtId="166" fontId="13" fillId="11" borderId="24" xfId="0" applyNumberFormat="1" applyFont="1" applyFill="1" applyBorder="1"/>
    <xf numFmtId="166" fontId="13" fillId="11" borderId="30" xfId="0" applyNumberFormat="1" applyFont="1" applyFill="1" applyBorder="1"/>
    <xf numFmtId="10" fontId="11" fillId="11" borderId="28" xfId="0" applyNumberFormat="1" applyFont="1" applyFill="1" applyBorder="1"/>
    <xf numFmtId="0" fontId="11" fillId="11" borderId="0" xfId="0" applyFont="1" applyFill="1"/>
    <xf numFmtId="1" fontId="11" fillId="11" borderId="24" xfId="0" applyNumberFormat="1" applyFont="1" applyFill="1" applyBorder="1"/>
    <xf numFmtId="10" fontId="11" fillId="11" borderId="38" xfId="0" applyNumberFormat="1" applyFont="1" applyFill="1" applyBorder="1"/>
    <xf numFmtId="9" fontId="13" fillId="11" borderId="39" xfId="0" applyNumberFormat="1" applyFont="1" applyFill="1" applyBorder="1"/>
    <xf numFmtId="10" fontId="0" fillId="11" borderId="41" xfId="0" applyNumberFormat="1" applyFill="1" applyBorder="1" applyAlignment="1">
      <alignment horizontal="centerContinuous"/>
    </xf>
    <xf numFmtId="9" fontId="13" fillId="11" borderId="42" xfId="0" applyNumberFormat="1" applyFont="1" applyFill="1" applyBorder="1"/>
    <xf numFmtId="10" fontId="0" fillId="11" borderId="40" xfId="0" applyNumberFormat="1" applyFill="1" applyBorder="1" applyAlignment="1">
      <alignment horizontal="centerContinuous"/>
    </xf>
    <xf numFmtId="9" fontId="13" fillId="11" borderId="34" xfId="0" applyNumberFormat="1" applyFont="1" applyFill="1" applyBorder="1"/>
    <xf numFmtId="10" fontId="0" fillId="11" borderId="2" xfId="0" applyNumberFormat="1" applyFill="1" applyBorder="1" applyAlignment="1">
      <alignment horizontal="centerContinuous"/>
    </xf>
    <xf numFmtId="9" fontId="13" fillId="11" borderId="1" xfId="0" applyNumberFormat="1" applyFont="1" applyFill="1" applyBorder="1"/>
    <xf numFmtId="10" fontId="0" fillId="11" borderId="31" xfId="0" applyNumberFormat="1" applyFill="1" applyBorder="1" applyAlignment="1">
      <alignment horizontal="centerContinuous"/>
    </xf>
    <xf numFmtId="9" fontId="13" fillId="11" borderId="13" xfId="0" applyNumberFormat="1" applyFont="1" applyFill="1" applyBorder="1"/>
    <xf numFmtId="10" fontId="0" fillId="11" borderId="35" xfId="0" applyNumberFormat="1" applyFill="1" applyBorder="1" applyAlignment="1">
      <alignment horizontal="centerContinuous"/>
    </xf>
    <xf numFmtId="0" fontId="11" fillId="11" borderId="43" xfId="0" applyFont="1" applyFill="1" applyBorder="1"/>
    <xf numFmtId="9" fontId="13" fillId="11" borderId="43" xfId="0" applyNumberFormat="1" applyFont="1" applyFill="1" applyBorder="1"/>
    <xf numFmtId="10" fontId="0" fillId="11" borderId="15" xfId="0" applyNumberFormat="1" applyFill="1" applyBorder="1" applyAlignment="1">
      <alignment horizontal="centerContinuous"/>
    </xf>
    <xf numFmtId="0" fontId="13" fillId="0" borderId="21" xfId="0" applyFont="1" applyBorder="1"/>
    <xf numFmtId="9" fontId="9" fillId="9" borderId="23" xfId="3" applyNumberFormat="1" applyBorder="1"/>
    <xf numFmtId="0" fontId="13" fillId="0" borderId="27" xfId="0" applyFont="1" applyBorder="1"/>
    <xf numFmtId="9" fontId="9" fillId="9" borderId="29" xfId="3" applyNumberFormat="1" applyBorder="1"/>
    <xf numFmtId="0" fontId="11" fillId="0" borderId="0" xfId="0" applyFont="1"/>
    <xf numFmtId="2" fontId="9" fillId="9" borderId="23" xfId="3" applyNumberFormat="1" applyBorder="1"/>
    <xf numFmtId="0" fontId="13"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1" fillId="11" borderId="31" xfId="0" applyNumberFormat="1" applyFont="1" applyFill="1" applyBorder="1"/>
    <xf numFmtId="2" fontId="11" fillId="11" borderId="31" xfId="0" applyNumberFormat="1" applyFont="1" applyFill="1" applyBorder="1"/>
    <xf numFmtId="0" fontId="0" fillId="6" borderId="0" xfId="0" applyFill="1"/>
    <xf numFmtId="9" fontId="0" fillId="7" borderId="0" xfId="0" applyNumberFormat="1" applyFill="1"/>
    <xf numFmtId="9" fontId="0" fillId="7" borderId="2" xfId="0" applyNumberFormat="1" applyFill="1" applyBorder="1"/>
    <xf numFmtId="9" fontId="2" fillId="0" borderId="2" xfId="1" applyFont="1" applyBorder="1"/>
    <xf numFmtId="9" fontId="2" fillId="0" borderId="0" xfId="1" applyFont="1" applyBorder="1"/>
    <xf numFmtId="0" fontId="0" fillId="8" borderId="3" xfId="0" applyFill="1" applyBorder="1" applyAlignment="1">
      <alignment horizontal="center" vertical="center" wrapText="1"/>
    </xf>
    <xf numFmtId="0" fontId="0" fillId="8" borderId="7"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10" fillId="10" borderId="10" xfId="0" applyFont="1" applyFill="1" applyBorder="1" applyAlignment="1">
      <alignment horizontal="center"/>
    </xf>
    <xf numFmtId="0" fontId="10" fillId="10" borderId="11" xfId="0" applyFont="1" applyFill="1" applyBorder="1" applyAlignment="1">
      <alignment horizontal="center"/>
    </xf>
    <xf numFmtId="0" fontId="10" fillId="10" borderId="12" xfId="0" applyFont="1" applyFill="1" applyBorder="1" applyAlignment="1">
      <alignment horizontal="center"/>
    </xf>
    <xf numFmtId="166" fontId="11" fillId="11" borderId="32" xfId="0" applyNumberFormat="1" applyFont="1" applyFill="1" applyBorder="1" applyAlignment="1">
      <alignment horizontal="center"/>
    </xf>
    <xf numFmtId="166" fontId="11" fillId="11" borderId="44" xfId="0" applyNumberFormat="1" applyFont="1" applyFill="1" applyBorder="1" applyAlignment="1">
      <alignment horizontal="center"/>
    </xf>
    <xf numFmtId="166" fontId="11" fillId="11" borderId="33" xfId="0" applyNumberFormat="1" applyFont="1" applyFill="1" applyBorder="1" applyAlignment="1">
      <alignment horizontal="center"/>
    </xf>
    <xf numFmtId="166" fontId="11" fillId="11"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0" fontId="0" fillId="0" borderId="0" xfId="0" applyBorder="1"/>
    <xf numFmtId="3" fontId="0" fillId="0" borderId="0" xfId="0" applyNumberFormat="1" applyBorder="1"/>
    <xf numFmtId="3" fontId="2" fillId="0" borderId="0" xfId="0" applyNumberFormat="1" applyFont="1" applyBorder="1"/>
    <xf numFmtId="2" fontId="2" fillId="0" borderId="0" xfId="0" applyNumberFormat="1" applyFont="1" applyBorder="1" applyAlignment="1">
      <alignment horizontal="right"/>
    </xf>
    <xf numFmtId="9" fontId="0" fillId="0" borderId="0" xfId="0" applyNumberFormat="1" applyBorder="1"/>
    <xf numFmtId="9" fontId="0" fillId="7" borderId="0" xfId="0" applyNumberFormat="1" applyFill="1" applyBorder="1"/>
    <xf numFmtId="0" fontId="5" fillId="0" borderId="0" xfId="0" applyFont="1" applyBorder="1"/>
    <xf numFmtId="0" fontId="2" fillId="0" borderId="0" xfId="0" applyFont="1" applyBorder="1"/>
    <xf numFmtId="2" fontId="0" fillId="0" borderId="0" xfId="0" applyNumberFormat="1" applyFont="1" applyBorder="1" applyAlignment="1">
      <alignment horizontal="right"/>
    </xf>
    <xf numFmtId="3" fontId="0" fillId="3" borderId="2" xfId="0" applyNumberFormat="1" applyFill="1" applyBorder="1"/>
    <xf numFmtId="2" fontId="2" fillId="3" borderId="2" xfId="0" applyNumberFormat="1" applyFont="1" applyFill="1" applyBorder="1" applyAlignment="1">
      <alignment horizontal="right"/>
    </xf>
    <xf numFmtId="3" fontId="5" fillId="0" borderId="0" xfId="0" applyNumberFormat="1" applyFont="1" applyFill="1"/>
    <xf numFmtId="1" fontId="2" fillId="0" borderId="0" xfId="0" applyNumberFormat="1" applyFont="1"/>
    <xf numFmtId="3" fontId="0" fillId="0" borderId="0" xfId="0" applyNumberFormat="1" applyFill="1" applyBorder="1"/>
    <xf numFmtId="3" fontId="5" fillId="3" borderId="0" xfId="0" applyNumberFormat="1" applyFont="1" applyFill="1"/>
    <xf numFmtId="3" fontId="0" fillId="7" borderId="0" xfId="0" applyNumberFormat="1" applyFill="1" applyBorder="1"/>
    <xf numFmtId="3" fontId="5" fillId="7" borderId="0" xfId="0" applyNumberFormat="1" applyFont="1" applyFill="1"/>
    <xf numFmtId="2" fontId="2" fillId="0" borderId="2" xfId="0" applyNumberFormat="1" applyFont="1" applyFill="1" applyBorder="1" applyAlignment="1">
      <alignment horizontal="right"/>
    </xf>
    <xf numFmtId="2" fontId="6" fillId="0" borderId="0" xfId="0" applyNumberFormat="1" applyFont="1" applyFill="1"/>
    <xf numFmtId="0" fontId="6" fillId="0" borderId="0" xfId="0" applyFont="1" applyFill="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8"/>
            <c:invertIfNegative val="0"/>
            <c:bubble3D val="0"/>
            <c:spPr>
              <a:solidFill>
                <a:schemeClr val="accent2"/>
              </a:solidFill>
              <a:ln>
                <a:noFill/>
              </a:ln>
              <a:effectLst/>
            </c:spPr>
          </c:dPt>
          <c:dPt>
            <c:idx val="9"/>
            <c:invertIfNegative val="0"/>
            <c:bubble3D val="0"/>
            <c:spPr>
              <a:solidFill>
                <a:schemeClr val="accent2"/>
              </a:solidFill>
              <a:ln>
                <a:noFill/>
              </a:ln>
              <a:effectLst/>
            </c:spPr>
          </c:dPt>
          <c:dPt>
            <c:idx val="10"/>
            <c:invertIfNegative val="0"/>
            <c:bubble3D val="0"/>
            <c:spPr>
              <a:solidFill>
                <a:schemeClr val="bg2"/>
              </a:solidFill>
              <a:ln>
                <a:noFill/>
              </a:ln>
              <a:effectLst/>
            </c:spPr>
            <c:extLst>
              <c:ext xmlns:c16="http://schemas.microsoft.com/office/drawing/2014/chart" uri="{C3380CC4-5D6E-409C-BE32-E72D297353CC}">
                <c16:uniqueId val="{00000004-0B50-4ECB-86F3-B845F44217F8}"/>
              </c:ext>
            </c:extLst>
          </c:dPt>
          <c:dPt>
            <c:idx val="11"/>
            <c:invertIfNegative val="0"/>
            <c:bubble3D val="0"/>
            <c:spPr>
              <a:solidFill>
                <a:schemeClr val="bg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Q421</c:v>
                </c:pt>
                <c:pt idx="1">
                  <c:v>Q122</c:v>
                </c:pt>
                <c:pt idx="2">
                  <c:v>Q222</c:v>
                </c:pt>
                <c:pt idx="3">
                  <c:v>Q322</c:v>
                </c:pt>
                <c:pt idx="4">
                  <c:v>Q422</c:v>
                </c:pt>
                <c:pt idx="5">
                  <c:v>Q123</c:v>
                </c:pt>
                <c:pt idx="6">
                  <c:v>Q223</c:v>
                </c:pt>
                <c:pt idx="7">
                  <c:v>Q323</c:v>
                </c:pt>
                <c:pt idx="8">
                  <c:v>Q423</c:v>
                </c:pt>
                <c:pt idx="9">
                  <c:v>Q124</c:v>
                </c:pt>
                <c:pt idx="10">
                  <c:v>Q224</c:v>
                </c:pt>
                <c:pt idx="11">
                  <c:v>Q324</c:v>
                </c:pt>
                <c:pt idx="12">
                  <c:v>Q424</c:v>
                </c:pt>
              </c:strCache>
            </c:strRef>
          </c:cat>
          <c:val>
            <c:numRef>
              <c:f>Model!$L$5:$X$5</c:f>
              <c:numCache>
                <c:formatCode>#,##0</c:formatCode>
                <c:ptCount val="13"/>
                <c:pt idx="0">
                  <c:v>105.175</c:v>
                </c:pt>
                <c:pt idx="1">
                  <c:v>105.729</c:v>
                </c:pt>
                <c:pt idx="2">
                  <c:v>163.447</c:v>
                </c:pt>
                <c:pt idx="3">
                  <c:v>191.762</c:v>
                </c:pt>
                <c:pt idx="4">
                  <c:v>186.74599999999998</c:v>
                </c:pt>
                <c:pt idx="5">
                  <c:v>193.10400000000001</c:v>
                </c:pt>
                <c:pt idx="6">
                  <c:v>214.96100000000001</c:v>
                </c:pt>
                <c:pt idx="7">
                  <c:v>299.262</c:v>
                </c:pt>
                <c:pt idx="8">
                  <c:v>302.65799999999996</c:v>
                </c:pt>
                <c:pt idx="9">
                  <c:v>321.16399999999999</c:v>
                </c:pt>
                <c:pt idx="10" formatCode="0">
                  <c:v>337.89</c:v>
                </c:pt>
                <c:pt idx="11" formatCode="0">
                  <c:v>374.52</c:v>
                </c:pt>
                <c:pt idx="12" formatCode="0">
                  <c:v>384.83</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Model!$B$30</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Model!$M$30:$X$30</c:f>
              <c:numCache>
                <c:formatCode>0%</c:formatCode>
                <c:ptCount val="12"/>
                <c:pt idx="3">
                  <c:v>0.77557404326123125</c:v>
                </c:pt>
                <c:pt idx="4">
                  <c:v>0.82640524359447287</c:v>
                </c:pt>
                <c:pt idx="5">
                  <c:v>0.31517250240139005</c:v>
                </c:pt>
                <c:pt idx="6">
                  <c:v>0.56059073226186618</c:v>
                </c:pt>
                <c:pt idx="7">
                  <c:v>0.62069334818416455</c:v>
                </c:pt>
                <c:pt idx="8">
                  <c:v>0.66316596238296444</c:v>
                </c:pt>
                <c:pt idx="9">
                  <c:v>0.57186652462539711</c:v>
                </c:pt>
                <c:pt idx="10">
                  <c:v>0.25147863744812238</c:v>
                </c:pt>
                <c:pt idx="11">
                  <c:v>0.27150116633295673</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Pt>
            <c:idx val="6"/>
            <c:invertIfNegative val="0"/>
            <c:bubble3D val="0"/>
            <c:spPr>
              <a:solidFill>
                <a:schemeClr val="bg1">
                  <a:lumMod val="85000"/>
                </a:schemeClr>
              </a:solidFill>
              <a:ln>
                <a:noFill/>
              </a:ln>
              <a:effectLst/>
            </c:spPr>
            <c:extLst>
              <c:ext xmlns:c16="http://schemas.microsoft.com/office/drawing/2014/chart" uri="{C3380CC4-5D6E-409C-BE32-E72D297353CC}">
                <c16:uniqueId val="{00000004-D4C9-4F31-9D14-A9F505B85788}"/>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Model!$C$5:$I$5</c:f>
              <c:numCache>
                <c:formatCode>#,##0</c:formatCode>
                <c:ptCount val="7"/>
                <c:pt idx="0">
                  <c:v>486.54899999999998</c:v>
                </c:pt>
                <c:pt idx="1">
                  <c:v>397.03799999999995</c:v>
                </c:pt>
                <c:pt idx="2">
                  <c:v>371.03300000000002</c:v>
                </c:pt>
                <c:pt idx="3">
                  <c:v>647.68399999999997</c:v>
                </c:pt>
                <c:pt idx="4">
                  <c:v>1009.985</c:v>
                </c:pt>
                <c:pt idx="5">
                  <c:v>1410</c:v>
                </c:pt>
                <c:pt idx="6">
                  <c:v>1630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Model!$B$30</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Model!$C$30:$I$30</c:f>
              <c:numCache>
                <c:formatCode>0%</c:formatCode>
                <c:ptCount val="7"/>
                <c:pt idx="1">
                  <c:v>-0.1839711930350284</c:v>
                </c:pt>
                <c:pt idx="2">
                  <c:v>-6.5497509054548764E-2</c:v>
                </c:pt>
                <c:pt idx="3">
                  <c:v>0.74562370463004624</c:v>
                </c:pt>
                <c:pt idx="4">
                  <c:v>0.55937926519722581</c:v>
                </c:pt>
                <c:pt idx="5">
                  <c:v>0.39606033752976533</c:v>
                </c:pt>
                <c:pt idx="6">
                  <c:v>0.15602836879432624</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Model!$B$22</c:f>
              <c:strCache>
                <c:ptCount val="1"/>
                <c:pt idx="0">
                  <c:v>Net Income</c:v>
                </c:pt>
              </c:strCache>
            </c:strRef>
          </c:tx>
          <c:spPr>
            <a:solidFill>
              <a:schemeClr val="accent1"/>
            </a:solidFill>
            <a:ln>
              <a:noFill/>
            </a:ln>
            <a:effectLst/>
          </c:spPr>
          <c:invertIfNegative val="0"/>
          <c:dPt>
            <c:idx val="8"/>
            <c:invertIfNegative val="0"/>
            <c:bubble3D val="0"/>
            <c:spPr>
              <a:solidFill>
                <a:schemeClr val="accent1"/>
              </a:solidFill>
              <a:ln>
                <a:noFill/>
              </a:ln>
              <a:effectLst/>
            </c:spPr>
          </c:dPt>
          <c:dPt>
            <c:idx val="9"/>
            <c:invertIfNegative val="0"/>
            <c:bubble3D val="0"/>
            <c:spPr>
              <a:solidFill>
                <a:schemeClr val="accent1"/>
              </a:solidFill>
              <a:ln>
                <a:noFill/>
              </a:ln>
              <a:effectLst/>
            </c:spPr>
          </c:dPt>
          <c:dPt>
            <c:idx val="10"/>
            <c:invertIfNegative val="0"/>
            <c:bubble3D val="0"/>
            <c:spPr>
              <a:solidFill>
                <a:schemeClr val="bg2"/>
              </a:solidFill>
              <a:ln>
                <a:noFill/>
              </a:ln>
              <a:effectLst/>
            </c:spPr>
            <c:extLst>
              <c:ext xmlns:c16="http://schemas.microsoft.com/office/drawing/2014/chart" uri="{C3380CC4-5D6E-409C-BE32-E72D297353CC}">
                <c16:uniqueId val="{00000004-557C-4861-BBBD-52723D9A8E5E}"/>
              </c:ext>
            </c:extLst>
          </c:dPt>
          <c:dPt>
            <c:idx val="11"/>
            <c:invertIfNegative val="0"/>
            <c:bubble3D val="0"/>
            <c:spPr>
              <a:solidFill>
                <a:schemeClr val="bg2"/>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bg2"/>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Q421</c:v>
                </c:pt>
                <c:pt idx="1">
                  <c:v>Q122</c:v>
                </c:pt>
                <c:pt idx="2">
                  <c:v>Q222</c:v>
                </c:pt>
                <c:pt idx="3">
                  <c:v>Q322</c:v>
                </c:pt>
                <c:pt idx="4">
                  <c:v>Q422</c:v>
                </c:pt>
                <c:pt idx="5">
                  <c:v>Q123</c:v>
                </c:pt>
                <c:pt idx="6">
                  <c:v>Q223</c:v>
                </c:pt>
                <c:pt idx="7">
                  <c:v>Q323</c:v>
                </c:pt>
                <c:pt idx="8">
                  <c:v>Q423</c:v>
                </c:pt>
                <c:pt idx="9">
                  <c:v>Q124</c:v>
                </c:pt>
                <c:pt idx="10">
                  <c:v>Q224</c:v>
                </c:pt>
                <c:pt idx="11">
                  <c:v>Q324</c:v>
                </c:pt>
                <c:pt idx="12">
                  <c:v>Q424</c:v>
                </c:pt>
              </c:strCache>
            </c:strRef>
          </c:cat>
          <c:val>
            <c:numRef>
              <c:f>Model!$L$22:$X$22</c:f>
              <c:numCache>
                <c:formatCode>#,##0</c:formatCode>
                <c:ptCount val="13"/>
                <c:pt idx="0">
                  <c:v>-37.934000000000005</c:v>
                </c:pt>
                <c:pt idx="1">
                  <c:v>-12.168000000000003</c:v>
                </c:pt>
                <c:pt idx="2">
                  <c:v>-25.580999999999996</c:v>
                </c:pt>
                <c:pt idx="3">
                  <c:v>5.3800000000000017</c:v>
                </c:pt>
                <c:pt idx="4">
                  <c:v>10.619999999999965</c:v>
                </c:pt>
                <c:pt idx="5">
                  <c:v>10.894000000000023</c:v>
                </c:pt>
                <c:pt idx="6">
                  <c:v>22.584000000000003</c:v>
                </c:pt>
                <c:pt idx="7">
                  <c:v>26.199000000000012</c:v>
                </c:pt>
                <c:pt idx="8">
                  <c:v>37.654999999999966</c:v>
                </c:pt>
                <c:pt idx="9">
                  <c:v>47.025999999999939</c:v>
                </c:pt>
                <c:pt idx="10">
                  <c:v>55.545000000000002</c:v>
                </c:pt>
                <c:pt idx="11">
                  <c:v>84.64</c:v>
                </c:pt>
                <c:pt idx="12">
                  <c:v>96.278000000000006</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Model!$B$27</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Model!$L$27:$X$27</c:f>
              <c:numCache>
                <c:formatCode>0%</c:formatCode>
                <c:ptCount val="13"/>
                <c:pt idx="0">
                  <c:v>0.32098882814357033</c:v>
                </c:pt>
                <c:pt idx="1">
                  <c:v>0.3485987761162973</c:v>
                </c:pt>
                <c:pt idx="2">
                  <c:v>0.38365341670388564</c:v>
                </c:pt>
                <c:pt idx="3">
                  <c:v>0.40744777380294317</c:v>
                </c:pt>
                <c:pt idx="4">
                  <c:v>0.37781799877909028</c:v>
                </c:pt>
                <c:pt idx="5">
                  <c:v>0.39612851106139702</c:v>
                </c:pt>
                <c:pt idx="6">
                  <c:v>0.4480998878866399</c:v>
                </c:pt>
                <c:pt idx="7">
                  <c:v>0.4462377448523368</c:v>
                </c:pt>
                <c:pt idx="8">
                  <c:v>0.47171394775621323</c:v>
                </c:pt>
                <c:pt idx="9">
                  <c:v>0.47470451233637634</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Model!$B$22</c:f>
              <c:strCache>
                <c:ptCount val="1"/>
                <c:pt idx="0">
                  <c:v>Net Income</c:v>
                </c:pt>
              </c:strCache>
            </c:strRef>
          </c:tx>
          <c:spPr>
            <a:solidFill>
              <a:schemeClr val="accent1"/>
            </a:solidFill>
            <a:ln>
              <a:noFill/>
            </a:ln>
            <a:effectLst/>
          </c:spPr>
          <c:invertIfNegative val="0"/>
          <c:dPt>
            <c:idx val="5"/>
            <c:invertIfNegative val="0"/>
            <c:bubble3D val="0"/>
            <c:spPr>
              <a:solidFill>
                <a:schemeClr val="bg2"/>
              </a:solidFill>
              <a:ln>
                <a:noFill/>
              </a:ln>
              <a:effectLst/>
            </c:spPr>
            <c:extLst>
              <c:ext xmlns:c16="http://schemas.microsoft.com/office/drawing/2014/chart" uri="{C3380CC4-5D6E-409C-BE32-E72D297353CC}">
                <c16:uniqueId val="{00000000-3B94-42E0-A478-2FD7F74F4148}"/>
              </c:ext>
            </c:extLst>
          </c:dPt>
          <c:dPt>
            <c:idx val="6"/>
            <c:invertIfNegative val="0"/>
            <c:bubble3D val="0"/>
            <c:spPr>
              <a:solidFill>
                <a:schemeClr val="bg2"/>
              </a:solidFill>
              <a:ln>
                <a:noFill/>
              </a:ln>
              <a:effectLst/>
            </c:spPr>
            <c:extLst>
              <c:ext xmlns:c16="http://schemas.microsoft.com/office/drawing/2014/chart" uri="{C3380CC4-5D6E-409C-BE32-E72D297353CC}">
                <c16:uniqueId val="{00000001-3B94-42E0-A478-2FD7F74F4148}"/>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Model!$C$22:$I$22</c:f>
              <c:numCache>
                <c:formatCode>#,##0</c:formatCode>
                <c:ptCount val="7"/>
                <c:pt idx="0">
                  <c:v>-141.74300000000005</c:v>
                </c:pt>
                <c:pt idx="1">
                  <c:v>-196.24199999999996</c:v>
                </c:pt>
                <c:pt idx="2">
                  <c:v>-128.96900000000002</c:v>
                </c:pt>
                <c:pt idx="3">
                  <c:v>-21.749000000000031</c:v>
                </c:pt>
                <c:pt idx="4">
                  <c:v>97.185000000000031</c:v>
                </c:pt>
                <c:pt idx="5">
                  <c:v>276.66700000000003</c:v>
                </c:pt>
                <c:pt idx="6">
                  <c:v>427.96099999999996</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Model!$B$35</c:f>
              <c:strCache>
                <c:ptCount val="1"/>
                <c:pt idx="0">
                  <c:v>Net Income y/y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Model!$C$35:$I$35</c:f>
              <c:numCache>
                <c:formatCode>0%</c:formatCode>
                <c:ptCount val="7"/>
                <c:pt idx="1">
                  <c:v>-0.38449165038132316</c:v>
                </c:pt>
                <c:pt idx="2">
                  <c:v>0.34280633095871405</c:v>
                </c:pt>
                <c:pt idx="3">
                  <c:v>-0.83136257550263992</c:v>
                </c:pt>
                <c:pt idx="4">
                  <c:v>-5.4684813094854885</c:v>
                </c:pt>
                <c:pt idx="5">
                  <c:v>1.8487987858208563</c:v>
                </c:pt>
                <c:pt idx="6">
                  <c:v>0.5468451242829826</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Model!$B$31</c:f>
              <c:strCache>
                <c:ptCount val="1"/>
                <c:pt idx="0">
                  <c:v>G&amp;A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Q421</c:v>
                </c:pt>
                <c:pt idx="1">
                  <c:v>Q122</c:v>
                </c:pt>
                <c:pt idx="2">
                  <c:v>Q222</c:v>
                </c:pt>
                <c:pt idx="3">
                  <c:v>Q322</c:v>
                </c:pt>
                <c:pt idx="4">
                  <c:v>Q422</c:v>
                </c:pt>
                <c:pt idx="5">
                  <c:v>Q123</c:v>
                </c:pt>
                <c:pt idx="6">
                  <c:v>Q223</c:v>
                </c:pt>
                <c:pt idx="7">
                  <c:v>Q323</c:v>
                </c:pt>
                <c:pt idx="8">
                  <c:v>Q423</c:v>
                </c:pt>
                <c:pt idx="9">
                  <c:v>Q124</c:v>
                </c:pt>
                <c:pt idx="10">
                  <c:v>Q224</c:v>
                </c:pt>
                <c:pt idx="11">
                  <c:v>Q324</c:v>
                </c:pt>
                <c:pt idx="12">
                  <c:v>Q424</c:v>
                </c:pt>
              </c:strCache>
            </c:strRef>
          </c:cat>
          <c:val>
            <c:numRef>
              <c:f>Model!$L$31:$X$31</c:f>
              <c:numCache>
                <c:formatCode>0%</c:formatCode>
                <c:ptCount val="13"/>
                <c:pt idx="0">
                  <c:v>0.16772997385310195</c:v>
                </c:pt>
                <c:pt idx="1">
                  <c:v>0.17229899081614314</c:v>
                </c:pt>
                <c:pt idx="2">
                  <c:v>0.17011018862383523</c:v>
                </c:pt>
                <c:pt idx="3">
                  <c:v>0.14219188368915633</c:v>
                </c:pt>
                <c:pt idx="4">
                  <c:v>0.15332590791770642</c:v>
                </c:pt>
                <c:pt idx="5">
                  <c:v>0.12192911591681167</c:v>
                </c:pt>
                <c:pt idx="6">
                  <c:v>0.12101264880606249</c:v>
                </c:pt>
                <c:pt idx="7">
                  <c:v>7.0175966210210453E-2</c:v>
                </c:pt>
                <c:pt idx="8">
                  <c:v>8.1689563798082329E-2</c:v>
                </c:pt>
                <c:pt idx="9">
                  <c:v>7.8866249019192688E-2</c:v>
                </c:pt>
              </c:numCache>
            </c:numRef>
          </c:val>
          <c:smooth val="0"/>
          <c:extLst>
            <c:ext xmlns:c16="http://schemas.microsoft.com/office/drawing/2014/chart" uri="{C3380CC4-5D6E-409C-BE32-E72D297353CC}">
              <c16:uniqueId val="{00000001-35FE-4BEB-944F-3D772460C6A2}"/>
            </c:ext>
          </c:extLst>
        </c:ser>
        <c:ser>
          <c:idx val="0"/>
          <c:order val="1"/>
          <c:tx>
            <c:strRef>
              <c:f>Model!$B$32</c:f>
              <c:strCache>
                <c:ptCount val="1"/>
                <c:pt idx="0">
                  <c:v>D&amp;A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Q421</c:v>
                </c:pt>
                <c:pt idx="1">
                  <c:v>Q122</c:v>
                </c:pt>
                <c:pt idx="2">
                  <c:v>Q222</c:v>
                </c:pt>
                <c:pt idx="3">
                  <c:v>Q322</c:v>
                </c:pt>
                <c:pt idx="4">
                  <c:v>Q422</c:v>
                </c:pt>
                <c:pt idx="5">
                  <c:v>Q123</c:v>
                </c:pt>
                <c:pt idx="6">
                  <c:v>Q223</c:v>
                </c:pt>
                <c:pt idx="7">
                  <c:v>Q323</c:v>
                </c:pt>
                <c:pt idx="8">
                  <c:v>Q423</c:v>
                </c:pt>
                <c:pt idx="9">
                  <c:v>Q124</c:v>
                </c:pt>
                <c:pt idx="10">
                  <c:v>Q224</c:v>
                </c:pt>
                <c:pt idx="11">
                  <c:v>Q324</c:v>
                </c:pt>
                <c:pt idx="12">
                  <c:v>Q424</c:v>
                </c:pt>
              </c:strCache>
            </c:strRef>
          </c:cat>
          <c:val>
            <c:numRef>
              <c:f>Model!$L$32:$X$32</c:f>
              <c:numCache>
                <c:formatCode>0%</c:formatCode>
                <c:ptCount val="13"/>
                <c:pt idx="0">
                  <c:v>0.2689612550511053</c:v>
                </c:pt>
                <c:pt idx="1">
                  <c:v>0.25212571763659924</c:v>
                </c:pt>
                <c:pt idx="2">
                  <c:v>0.19435046222934652</c:v>
                </c:pt>
                <c:pt idx="3">
                  <c:v>0.16090779195043858</c:v>
                </c:pt>
                <c:pt idx="4">
                  <c:v>0.1600087819819434</c:v>
                </c:pt>
                <c:pt idx="5">
                  <c:v>0.15880561769823515</c:v>
                </c:pt>
                <c:pt idx="6">
                  <c:v>0.15243695367996984</c:v>
                </c:pt>
                <c:pt idx="7">
                  <c:v>0.19290788673470069</c:v>
                </c:pt>
                <c:pt idx="8">
                  <c:v>0.19549128058732962</c:v>
                </c:pt>
                <c:pt idx="9">
                  <c:v>0.17520643658691512</c:v>
                </c:pt>
              </c:numCache>
            </c:numRef>
          </c:val>
          <c:smooth val="0"/>
          <c:extLst>
            <c:ext xmlns:c16="http://schemas.microsoft.com/office/drawing/2014/chart" uri="{C3380CC4-5D6E-409C-BE32-E72D297353CC}">
              <c16:uniqueId val="{00000000-1CAA-4791-8C2B-1B9112E1C867}"/>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Model!$B$31</c:f>
              <c:strCache>
                <c:ptCount val="1"/>
                <c:pt idx="0">
                  <c:v>G&amp;A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Model!$C$31:$I$31</c:f>
              <c:numCache>
                <c:formatCode>0%</c:formatCode>
                <c:ptCount val="7"/>
                <c:pt idx="0">
                  <c:v>0.21316660809086033</c:v>
                </c:pt>
                <c:pt idx="1">
                  <c:v>0.18498733118744304</c:v>
                </c:pt>
                <c:pt idx="2">
                  <c:v>0.18466281974918675</c:v>
                </c:pt>
                <c:pt idx="3">
                  <c:v>0.15736223219965292</c:v>
                </c:pt>
                <c:pt idx="4">
                  <c:v>9.4341005064431646E-2</c:v>
                </c:pt>
              </c:numCache>
            </c:numRef>
          </c:val>
          <c:smooth val="0"/>
          <c:extLst>
            <c:ext xmlns:c16="http://schemas.microsoft.com/office/drawing/2014/chart" uri="{C3380CC4-5D6E-409C-BE32-E72D297353CC}">
              <c16:uniqueId val="{00000000-E79C-46D7-BBD0-0EABFCB1E143}"/>
            </c:ext>
          </c:extLst>
        </c:ser>
        <c:ser>
          <c:idx val="0"/>
          <c:order val="1"/>
          <c:tx>
            <c:strRef>
              <c:f>Model!$B$32</c:f>
              <c:strCache>
                <c:ptCount val="1"/>
                <c:pt idx="0">
                  <c:v>D&amp;A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Model!$C$32:$I$32</c:f>
              <c:numCache>
                <c:formatCode>0%</c:formatCode>
                <c:ptCount val="7"/>
                <c:pt idx="0">
                  <c:v>0.20949791285153191</c:v>
                </c:pt>
                <c:pt idx="1">
                  <c:v>0.2939491937799405</c:v>
                </c:pt>
                <c:pt idx="2">
                  <c:v>0.30871647535394425</c:v>
                </c:pt>
                <c:pt idx="3">
                  <c:v>0.18397860685148931</c:v>
                </c:pt>
                <c:pt idx="4">
                  <c:v>0.17854819626034049</c:v>
                </c:pt>
              </c:numCache>
            </c:numRef>
          </c:val>
          <c:smooth val="0"/>
          <c:extLst>
            <c:ext xmlns:c16="http://schemas.microsoft.com/office/drawing/2014/chart" uri="{C3380CC4-5D6E-409C-BE32-E72D297353CC}">
              <c16:uniqueId val="{00000001-E79C-46D7-BBD0-0EABFCB1E143}"/>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numCache>
            </c:numRef>
          </c:cat>
          <c:val>
            <c:numRef>
              <c:f>Catalysts!$C$2:$C$10000</c:f>
              <c:numCache>
                <c:formatCode>0.00</c:formatCode>
                <c:ptCount val="9999"/>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catAx>
        <c:axId val="693983327"/>
        <c:scaling>
          <c:orientation val="minMax"/>
          <c:min val="7148"/>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Algn val="ctr"/>
        <c:lblOffset val="100"/>
        <c:noMultiLvlLbl val="1"/>
      </c:cat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numRef>
              <c:f>DoR!$K$4:$K$15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DoR!$J$4:$J$15</c:f>
              <c:numCache>
                <c:formatCode>General</c:formatCode>
                <c:ptCount val="12"/>
                <c:pt idx="0">
                  <c:v>67</c:v>
                </c:pt>
                <c:pt idx="1">
                  <c:v>67</c:v>
                </c:pt>
                <c:pt idx="2">
                  <c:v>67</c:v>
                </c:pt>
                <c:pt idx="3">
                  <c:v>67</c:v>
                </c:pt>
                <c:pt idx="4">
                  <c:v>67</c:v>
                </c:pt>
                <c:pt idx="5">
                  <c:v>67</c:v>
                </c:pt>
                <c:pt idx="6">
                  <c:v>67</c:v>
                </c:pt>
                <c:pt idx="7">
                  <c:v>67</c:v>
                </c:pt>
                <c:pt idx="8">
                  <c:v>67</c:v>
                </c:pt>
                <c:pt idx="9">
                  <c:v>67</c:v>
                </c:pt>
                <c:pt idx="10">
                  <c:v>67</c:v>
                </c:pt>
                <c:pt idx="11">
                  <c:v>67</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0" meanMarker="1" nonoutliers="0" outliers="1"/>
            <cx:statistics quartileMethod="exclusive"/>
          </cx:layoutPr>
        </cx:series>
        <cx:series layoutId="boxWhisker" uniqueId="{C8A70830-D21B-405F-8F13-72F0AC678416}">
          <cx:tx>
            <cx:txData>
              <cx:f>_xlchart.v1.5</cx:f>
              <cx:v>EPS</cx:v>
            </cx:txData>
          </cx:tx>
          <cx:dataId val="1"/>
          <cx:layoutPr>
            <cx:visibility meanLine="0"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_xlchart.v1.12</cx:f>
      </cx:strDim>
      <cx:numDim type="val">
        <cx:f dir="row">_xlchart.v1.14</cx:f>
      </cx:numDim>
    </cx:data>
    <cx:data id="1">
      <cx:strDim type="cat">
        <cx:f dir="row">_xlchart.v1.12</cx:f>
      </cx:strDim>
      <cx:numDim type="val">
        <cx:f dir="row">_xlchart.v1.13</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_xlchart.v1.10</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30</xdr:row>
      <xdr:rowOff>42862</xdr:rowOff>
    </xdr:from>
    <xdr:to>
      <xdr:col>11</xdr:col>
      <xdr:colOff>0</xdr:colOff>
      <xdr:row>47</xdr:row>
      <xdr:rowOff>9525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9525</xdr:rowOff>
    </xdr:from>
    <xdr:to>
      <xdr:col>10</xdr:col>
      <xdr:colOff>600075</xdr:colOff>
      <xdr:row>64</xdr:row>
      <xdr:rowOff>61913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9525</xdr:rowOff>
    </xdr:from>
    <xdr:to>
      <xdr:col>20</xdr:col>
      <xdr:colOff>419100</xdr:colOff>
      <xdr:row>64</xdr:row>
      <xdr:rowOff>61913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30</xdr:row>
      <xdr:rowOff>57150</xdr:rowOff>
    </xdr:from>
    <xdr:to>
      <xdr:col>20</xdr:col>
      <xdr:colOff>390525</xdr:colOff>
      <xdr:row>47</xdr:row>
      <xdr:rowOff>23813</xdr:rowOff>
    </xdr:to>
    <xdr:graphicFrame macro="">
      <xdr:nvGraphicFramePr>
        <xdr:cNvPr id="7" name="Chart 6">
          <a:extLst>
            <a:ext uri="{FF2B5EF4-FFF2-40B4-BE49-F238E27FC236}">
              <a16:creationId xmlns:a16="http://schemas.microsoft.com/office/drawing/2014/main" id="{95AB5FA5-CC68-4269-BD2C-424BEF6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6"/>
  <sheetViews>
    <sheetView tabSelected="1" workbookViewId="0">
      <selection activeCell="E20" sqref="E20"/>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c r="C2" s="19"/>
      <c r="E2" s="24" t="s">
        <v>47</v>
      </c>
      <c r="F2" s="63" t="s">
        <v>48</v>
      </c>
      <c r="G2" s="25"/>
      <c r="H2" s="26" t="s">
        <v>55</v>
      </c>
      <c r="I2" s="26" t="s">
        <v>1</v>
      </c>
      <c r="J2" s="27" t="s">
        <v>48</v>
      </c>
      <c r="L2" s="30" t="s">
        <v>41</v>
      </c>
      <c r="M2" s="31" t="s">
        <v>57</v>
      </c>
      <c r="N2" s="32" t="s">
        <v>56</v>
      </c>
    </row>
    <row r="3" spans="2:14" x14ac:dyDescent="0.25">
      <c r="B3" s="5" t="s">
        <v>40</v>
      </c>
      <c r="C3" s="20">
        <v>45418</v>
      </c>
      <c r="E3" s="5" t="s">
        <v>132</v>
      </c>
      <c r="F3" s="28" t="s">
        <v>133</v>
      </c>
      <c r="H3" t="s">
        <v>152</v>
      </c>
      <c r="I3" s="10">
        <v>78241</v>
      </c>
      <c r="J3" s="39"/>
      <c r="L3" s="5" t="s">
        <v>162</v>
      </c>
      <c r="M3" t="s">
        <v>163</v>
      </c>
      <c r="N3" s="38"/>
    </row>
    <row r="4" spans="2:14" x14ac:dyDescent="0.25">
      <c r="B4" s="5"/>
      <c r="C4" s="21">
        <v>0.59930555555555554</v>
      </c>
      <c r="E4" s="5" t="s">
        <v>134</v>
      </c>
      <c r="F4" s="28" t="s">
        <v>135</v>
      </c>
      <c r="H4" t="s">
        <v>153</v>
      </c>
      <c r="I4" s="10">
        <v>69550</v>
      </c>
      <c r="J4" s="39"/>
      <c r="L4" s="5" t="s">
        <v>164</v>
      </c>
      <c r="M4" t="s">
        <v>165</v>
      </c>
      <c r="N4" s="13"/>
    </row>
    <row r="5" spans="2:14" x14ac:dyDescent="0.25">
      <c r="B5" s="5"/>
      <c r="C5" s="13"/>
      <c r="E5" s="5" t="s">
        <v>136</v>
      </c>
      <c r="F5" s="28" t="s">
        <v>137</v>
      </c>
      <c r="H5" t="s">
        <v>154</v>
      </c>
      <c r="I5" s="10">
        <v>94542</v>
      </c>
      <c r="J5" s="39"/>
      <c r="L5" s="5" t="s">
        <v>166</v>
      </c>
      <c r="M5" t="s">
        <v>167</v>
      </c>
      <c r="N5" s="13"/>
    </row>
    <row r="6" spans="2:14" x14ac:dyDescent="0.25">
      <c r="B6" s="5" t="s">
        <v>0</v>
      </c>
      <c r="C6" s="13">
        <v>108.2</v>
      </c>
      <c r="E6" s="5" t="s">
        <v>138</v>
      </c>
      <c r="F6" s="28" t="s">
        <v>139</v>
      </c>
      <c r="H6" t="s">
        <v>155</v>
      </c>
      <c r="I6" s="10">
        <v>651718</v>
      </c>
      <c r="J6" s="39"/>
      <c r="L6" s="5" t="s">
        <v>168</v>
      </c>
      <c r="M6" t="s">
        <v>169</v>
      </c>
      <c r="N6" s="13"/>
    </row>
    <row r="7" spans="2:14" x14ac:dyDescent="0.25">
      <c r="B7" s="5" t="s">
        <v>1</v>
      </c>
      <c r="C7" s="15">
        <f>Model!G23</f>
        <v>52.936999999999998</v>
      </c>
      <c r="E7" s="5" t="s">
        <v>140</v>
      </c>
      <c r="F7" s="28" t="s">
        <v>141</v>
      </c>
      <c r="H7" t="s">
        <v>156</v>
      </c>
      <c r="I7" s="10">
        <v>71175</v>
      </c>
      <c r="J7" s="39"/>
      <c r="L7" s="5" t="s">
        <v>170</v>
      </c>
      <c r="M7" t="s">
        <v>171</v>
      </c>
      <c r="N7" s="13"/>
    </row>
    <row r="8" spans="2:14" x14ac:dyDescent="0.25">
      <c r="B8" s="5" t="s">
        <v>2</v>
      </c>
      <c r="C8" s="15">
        <f>C6*C7</f>
        <v>5727.7834000000003</v>
      </c>
      <c r="E8" s="5" t="s">
        <v>142</v>
      </c>
      <c r="F8" s="28" t="s">
        <v>143</v>
      </c>
      <c r="H8" t="s">
        <v>157</v>
      </c>
      <c r="I8" s="10"/>
      <c r="J8" s="39"/>
      <c r="L8" s="5" t="s">
        <v>172</v>
      </c>
      <c r="M8" t="s">
        <v>173</v>
      </c>
      <c r="N8" s="13"/>
    </row>
    <row r="9" spans="2:14" x14ac:dyDescent="0.25">
      <c r="B9" s="5" t="s">
        <v>3</v>
      </c>
      <c r="C9" s="15">
        <f>Model!U41+Model!U42</f>
        <v>287.327</v>
      </c>
      <c r="E9" s="5" t="s">
        <v>144</v>
      </c>
      <c r="F9" s="28" t="s">
        <v>145</v>
      </c>
      <c r="H9" t="s">
        <v>158</v>
      </c>
      <c r="I9" s="10"/>
      <c r="J9" s="39"/>
      <c r="L9" s="5" t="s">
        <v>174</v>
      </c>
      <c r="M9" t="s">
        <v>175</v>
      </c>
      <c r="N9" s="13"/>
    </row>
    <row r="10" spans="2:14" x14ac:dyDescent="0.25">
      <c r="B10" s="5" t="s">
        <v>4</v>
      </c>
      <c r="C10" s="15">
        <f>Model!U55+Model!U58</f>
        <v>723.33799999999997</v>
      </c>
      <c r="E10" s="5" t="s">
        <v>146</v>
      </c>
      <c r="F10" s="28" t="s">
        <v>147</v>
      </c>
      <c r="H10" t="s">
        <v>159</v>
      </c>
      <c r="I10" s="10">
        <v>88923</v>
      </c>
      <c r="J10" s="39"/>
      <c r="L10" s="5" t="s">
        <v>176</v>
      </c>
      <c r="M10" t="s">
        <v>177</v>
      </c>
      <c r="N10" s="13"/>
    </row>
    <row r="11" spans="2:14" x14ac:dyDescent="0.25">
      <c r="B11" s="5" t="s">
        <v>35</v>
      </c>
      <c r="C11" s="15">
        <f>C9-C10</f>
        <v>-436.01099999999997</v>
      </c>
      <c r="E11" s="5" t="s">
        <v>148</v>
      </c>
      <c r="F11" s="28" t="s">
        <v>149</v>
      </c>
      <c r="H11" t="s">
        <v>160</v>
      </c>
      <c r="I11" s="10">
        <v>87479</v>
      </c>
      <c r="J11" s="39"/>
      <c r="L11" s="5"/>
      <c r="N11" s="13"/>
    </row>
    <row r="12" spans="2:14" x14ac:dyDescent="0.25">
      <c r="B12" s="5" t="s">
        <v>5</v>
      </c>
      <c r="C12" s="15">
        <f>C8-C9+C10</f>
        <v>6163.7943999999998</v>
      </c>
      <c r="E12" s="5" t="s">
        <v>150</v>
      </c>
      <c r="F12" s="28" t="s">
        <v>151</v>
      </c>
      <c r="H12" t="s">
        <v>161</v>
      </c>
      <c r="I12">
        <v>48009</v>
      </c>
      <c r="J12" s="13"/>
      <c r="L12" s="5"/>
      <c r="N12" s="13"/>
    </row>
    <row r="13" spans="2:14" x14ac:dyDescent="0.25">
      <c r="B13" s="5" t="s">
        <v>46</v>
      </c>
      <c r="C13" s="36">
        <f>C6/Model!G24</f>
        <v>58.936907959047161</v>
      </c>
      <c r="E13" s="5"/>
      <c r="J13" s="13"/>
      <c r="L13" s="5"/>
      <c r="N13" s="13"/>
    </row>
    <row r="14" spans="2:14" x14ac:dyDescent="0.25">
      <c r="B14" s="5" t="s">
        <v>44</v>
      </c>
      <c r="C14" s="36">
        <f>C6/Model!H25</f>
        <v>20.688336520076479</v>
      </c>
      <c r="E14" s="22"/>
      <c r="F14" s="29"/>
      <c r="G14" s="29"/>
      <c r="H14" s="29"/>
      <c r="I14" s="29"/>
      <c r="J14" s="23"/>
      <c r="L14" s="22"/>
      <c r="M14" s="29"/>
      <c r="N14" s="23"/>
    </row>
    <row r="15" spans="2:14" x14ac:dyDescent="0.25">
      <c r="B15" s="5" t="s">
        <v>45</v>
      </c>
      <c r="C15" s="36">
        <f>C6/Model!I25</f>
        <v>13.374536464771323</v>
      </c>
    </row>
    <row r="16" spans="2:14" x14ac:dyDescent="0.25">
      <c r="B16" s="5" t="s">
        <v>42</v>
      </c>
      <c r="C16" s="6">
        <f>Model!H25/Model!G24-1</f>
        <v>1.8487987858208563</v>
      </c>
    </row>
    <row r="17" spans="2:14" x14ac:dyDescent="0.25">
      <c r="B17" s="5" t="s">
        <v>43</v>
      </c>
      <c r="C17" s="6">
        <f>Model!I25/Model!H25-1</f>
        <v>0.5468451242829826</v>
      </c>
      <c r="E17" s="33" t="s">
        <v>53</v>
      </c>
      <c r="L17" s="132" t="s">
        <v>178</v>
      </c>
      <c r="M17" s="133"/>
      <c r="N17" s="134"/>
    </row>
    <row r="18" spans="2:14" x14ac:dyDescent="0.25">
      <c r="B18" s="5" t="s">
        <v>66</v>
      </c>
      <c r="C18" s="52">
        <f>C14/(C16*100)</f>
        <v>0.11190150425640275</v>
      </c>
      <c r="L18" s="135"/>
      <c r="M18" s="136"/>
      <c r="N18" s="137"/>
    </row>
    <row r="19" spans="2:14" x14ac:dyDescent="0.25">
      <c r="B19" s="5" t="s">
        <v>67</v>
      </c>
      <c r="C19" s="52">
        <f>C15/(C17*100)</f>
        <v>0.24457631367396518</v>
      </c>
      <c r="L19" s="135"/>
      <c r="M19" s="136"/>
      <c r="N19" s="137"/>
    </row>
    <row r="20" spans="2:14" x14ac:dyDescent="0.25">
      <c r="B20" s="5" t="s">
        <v>78</v>
      </c>
      <c r="C20" s="6">
        <f>Model!H6/Model!G5-1</f>
        <v>0.39606033752976533</v>
      </c>
      <c r="L20" s="135"/>
      <c r="M20" s="136"/>
      <c r="N20" s="137"/>
    </row>
    <row r="21" spans="2:14" x14ac:dyDescent="0.25">
      <c r="B21" s="5" t="s">
        <v>79</v>
      </c>
      <c r="C21" s="6">
        <f>Model!I6/Model!H6-1</f>
        <v>0.15602836879432624</v>
      </c>
      <c r="L21" s="135"/>
      <c r="M21" s="136"/>
      <c r="N21" s="137"/>
    </row>
    <row r="22" spans="2:14" x14ac:dyDescent="0.25">
      <c r="B22" s="5" t="s">
        <v>68</v>
      </c>
      <c r="C22" s="15">
        <f>Model!G19+Model!G11</f>
        <v>319.26</v>
      </c>
      <c r="L22" s="135"/>
      <c r="M22" s="136"/>
      <c r="N22" s="137"/>
    </row>
    <row r="23" spans="2:14" x14ac:dyDescent="0.25">
      <c r="B23" s="5" t="s">
        <v>17</v>
      </c>
      <c r="C23" s="15">
        <f>Model!G19</f>
        <v>138.92900000000003</v>
      </c>
      <c r="L23" s="135"/>
      <c r="M23" s="136"/>
      <c r="N23" s="137"/>
    </row>
    <row r="24" spans="2:14" x14ac:dyDescent="0.25">
      <c r="B24" s="5" t="s">
        <v>28</v>
      </c>
      <c r="C24" s="7">
        <f>Model!U27</f>
        <v>0.47470451233637634</v>
      </c>
      <c r="L24" s="135"/>
      <c r="M24" s="136"/>
      <c r="N24" s="137"/>
    </row>
    <row r="25" spans="2:14" x14ac:dyDescent="0.25">
      <c r="B25" s="5" t="s">
        <v>29</v>
      </c>
      <c r="C25" s="7">
        <f>Model!U28</f>
        <v>0.14642363403121128</v>
      </c>
      <c r="L25" s="135"/>
      <c r="M25" s="136"/>
      <c r="N25" s="137"/>
    </row>
    <row r="26" spans="2:14" x14ac:dyDescent="0.25">
      <c r="B26" s="5" t="s">
        <v>69</v>
      </c>
      <c r="C26" s="36">
        <f>C12/C23</f>
        <v>44.366506632884409</v>
      </c>
      <c r="L26" s="135"/>
      <c r="M26" s="136"/>
      <c r="N26" s="137"/>
    </row>
    <row r="27" spans="2:14" x14ac:dyDescent="0.25">
      <c r="B27" s="5" t="s">
        <v>80</v>
      </c>
      <c r="C27" s="123">
        <f>C10/Model!U61</f>
        <v>0.68552901806657407</v>
      </c>
      <c r="E27" t="s">
        <v>71</v>
      </c>
      <c r="L27" s="135"/>
      <c r="M27" s="136"/>
      <c r="N27" s="137"/>
    </row>
    <row r="28" spans="2:14" x14ac:dyDescent="0.25">
      <c r="B28" s="5" t="s">
        <v>81</v>
      </c>
      <c r="C28" s="36">
        <f>C22/-Model!G17</f>
        <v>7.6095816946728636</v>
      </c>
      <c r="L28" s="138"/>
      <c r="M28" s="139"/>
      <c r="N28" s="140"/>
    </row>
    <row r="29" spans="2:14" x14ac:dyDescent="0.25">
      <c r="B29" s="5" t="s">
        <v>82</v>
      </c>
      <c r="C29" s="36">
        <f>Model!U47/Model!U57</f>
        <v>1.8149273007663573</v>
      </c>
    </row>
    <row r="30" spans="2:14" x14ac:dyDescent="0.25">
      <c r="B30" s="5" t="s">
        <v>83</v>
      </c>
      <c r="C30" s="36">
        <f>(Model!U41+Model!U42+Model!U43)/Model!U57</f>
        <v>1.6904525309830543</v>
      </c>
    </row>
    <row r="31" spans="2:14" x14ac:dyDescent="0.25">
      <c r="B31" s="5" t="s">
        <v>84</v>
      </c>
      <c r="C31" s="6">
        <f>(Model!U47-Model!U57)/Model!U52</f>
        <v>0.13301081520211611</v>
      </c>
    </row>
    <row r="32" spans="2:14" x14ac:dyDescent="0.25">
      <c r="B32" s="5" t="s">
        <v>85</v>
      </c>
      <c r="C32" s="36">
        <f>(Model!U52-Model!U60)/Main!C7</f>
        <v>19.932240210061021</v>
      </c>
    </row>
    <row r="33" spans="2:3" x14ac:dyDescent="0.25">
      <c r="B33" s="5" t="s">
        <v>86</v>
      </c>
      <c r="C33" s="36">
        <f>Model!G5/Model!G52</f>
        <v>0.48962465107665698</v>
      </c>
    </row>
    <row r="34" spans="2:3" x14ac:dyDescent="0.25">
      <c r="B34" s="5" t="s">
        <v>87</v>
      </c>
      <c r="C34" s="39">
        <f>Model!G22/Model!G52</f>
        <v>4.7113741010891177E-2</v>
      </c>
    </row>
    <row r="35" spans="2:3" x14ac:dyDescent="0.25">
      <c r="B35" s="5" t="s">
        <v>88</v>
      </c>
      <c r="C35" s="39">
        <f>Model!G22/Model!G61</f>
        <v>9.3744845408060454E-2</v>
      </c>
    </row>
    <row r="36" spans="2:3" x14ac:dyDescent="0.25">
      <c r="B36" s="22" t="s">
        <v>89</v>
      </c>
      <c r="C36" s="23"/>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X82"/>
  <sheetViews>
    <sheetView zoomScaleNormal="100" workbookViewId="0">
      <pane xSplit="2" ySplit="2" topLeftCell="E33" activePane="bottomRight" state="frozen"/>
      <selection pane="topRight" activeCell="B1" sqref="B1"/>
      <selection pane="bottomLeft" activeCell="A3" sqref="A3"/>
      <selection pane="bottomRight" activeCell="U26" sqref="U26"/>
    </sheetView>
  </sheetViews>
  <sheetFormatPr defaultColWidth="11.42578125" defaultRowHeight="15" x14ac:dyDescent="0.25"/>
  <cols>
    <col min="1" max="1" width="4.7109375" customWidth="1"/>
    <col min="2" max="2" width="27.28515625" customWidth="1"/>
    <col min="7" max="7" width="11.42578125" style="13"/>
    <col min="20" max="20" width="11.42578125" style="151"/>
    <col min="21" max="21" width="11.42578125" style="13"/>
  </cols>
  <sheetData>
    <row r="1" spans="1:24" x14ac:dyDescent="0.25">
      <c r="A1" s="8" t="s">
        <v>36</v>
      </c>
    </row>
    <row r="2" spans="1:24" x14ac:dyDescent="0.25">
      <c r="C2" t="s">
        <v>32</v>
      </c>
      <c r="D2" t="s">
        <v>16</v>
      </c>
      <c r="E2" t="s">
        <v>12</v>
      </c>
      <c r="F2" t="s">
        <v>13</v>
      </c>
      <c r="G2" s="13" t="s">
        <v>14</v>
      </c>
      <c r="H2" t="s">
        <v>31</v>
      </c>
      <c r="I2" t="s">
        <v>65</v>
      </c>
      <c r="L2" t="s">
        <v>10</v>
      </c>
      <c r="M2" t="s">
        <v>11</v>
      </c>
      <c r="N2" t="s">
        <v>6</v>
      </c>
      <c r="O2" t="s">
        <v>7</v>
      </c>
      <c r="P2" t="s">
        <v>8</v>
      </c>
      <c r="Q2" t="s">
        <v>9</v>
      </c>
      <c r="R2" t="s">
        <v>34</v>
      </c>
      <c r="S2" t="s">
        <v>38</v>
      </c>
      <c r="T2" s="151" t="s">
        <v>39</v>
      </c>
      <c r="U2" s="13" t="s">
        <v>61</v>
      </c>
      <c r="V2" t="s">
        <v>64</v>
      </c>
      <c r="W2" t="s">
        <v>222</v>
      </c>
      <c r="X2" t="s">
        <v>223</v>
      </c>
    </row>
    <row r="3" spans="1:24" x14ac:dyDescent="0.25">
      <c r="B3" s="9" t="s">
        <v>179</v>
      </c>
      <c r="C3" s="10">
        <v>477.01499999999999</v>
      </c>
      <c r="D3" s="10">
        <v>386.17399999999998</v>
      </c>
      <c r="E3" s="10">
        <v>361.56900000000002</v>
      </c>
      <c r="F3" s="10">
        <v>641.404</v>
      </c>
      <c r="G3" s="15">
        <v>998.99300000000005</v>
      </c>
      <c r="L3" s="10">
        <v>100.428</v>
      </c>
      <c r="M3" s="10">
        <v>103.876</v>
      </c>
      <c r="N3" s="10">
        <v>162.17500000000001</v>
      </c>
      <c r="O3" s="10">
        <v>190.24700000000001</v>
      </c>
      <c r="P3" s="10">
        <v>185.10599999999999</v>
      </c>
      <c r="Q3" s="10">
        <v>191.18</v>
      </c>
      <c r="R3" s="10">
        <v>210.32300000000001</v>
      </c>
      <c r="S3" s="10">
        <v>296.97500000000002</v>
      </c>
      <c r="T3" s="152">
        <v>300.51499999999999</v>
      </c>
      <c r="U3" s="15">
        <v>318.68599999999998</v>
      </c>
    </row>
    <row r="4" spans="1:24" x14ac:dyDescent="0.25">
      <c r="B4" s="9" t="s">
        <v>180</v>
      </c>
      <c r="C4" s="10">
        <v>9.5340000000000007</v>
      </c>
      <c r="D4" s="10">
        <v>10.864000000000001</v>
      </c>
      <c r="E4" s="10">
        <v>9.4640000000000004</v>
      </c>
      <c r="F4" s="10">
        <v>6.28</v>
      </c>
      <c r="G4" s="15">
        <v>10.992000000000001</v>
      </c>
      <c r="L4" s="10">
        <v>4.7469999999999999</v>
      </c>
      <c r="M4" s="10">
        <v>1.853</v>
      </c>
      <c r="N4" s="10">
        <v>1.272</v>
      </c>
      <c r="O4" s="10">
        <v>1.5149999999999999</v>
      </c>
      <c r="P4" s="10">
        <v>1.64</v>
      </c>
      <c r="Q4" s="10">
        <v>1.9239999999999999</v>
      </c>
      <c r="R4" s="10">
        <v>4.6379999999999999</v>
      </c>
      <c r="S4" s="10">
        <v>2.2869999999999999</v>
      </c>
      <c r="T4" s="152">
        <v>2.1429999999999998</v>
      </c>
      <c r="U4" s="15">
        <v>2.4780000000000002</v>
      </c>
    </row>
    <row r="5" spans="1:24" s="1" customFormat="1" x14ac:dyDescent="0.25">
      <c r="B5" s="1" t="s">
        <v>15</v>
      </c>
      <c r="C5" s="11">
        <f>SUM(C3:C4)</f>
        <v>486.54899999999998</v>
      </c>
      <c r="D5" s="11">
        <f>SUM(D3:D4)</f>
        <v>397.03799999999995</v>
      </c>
      <c r="E5" s="11">
        <f>SUM(E3:E4)</f>
        <v>371.03300000000002</v>
      </c>
      <c r="F5" s="11">
        <f>SUM(F3:F4)</f>
        <v>647.68399999999997</v>
      </c>
      <c r="G5" s="14">
        <f>SUM(G3:G4)</f>
        <v>1009.985</v>
      </c>
      <c r="H5" s="162">
        <v>1410</v>
      </c>
      <c r="I5" s="162">
        <v>1630</v>
      </c>
      <c r="L5" s="11">
        <f t="shared" ref="L5:T5" si="0">SUM(L3:L4)</f>
        <v>105.175</v>
      </c>
      <c r="M5" s="11">
        <f t="shared" si="0"/>
        <v>105.729</v>
      </c>
      <c r="N5" s="11">
        <f t="shared" si="0"/>
        <v>163.447</v>
      </c>
      <c r="O5" s="11">
        <f t="shared" si="0"/>
        <v>191.762</v>
      </c>
      <c r="P5" s="11">
        <f t="shared" si="0"/>
        <v>186.74599999999998</v>
      </c>
      <c r="Q5" s="11">
        <f t="shared" si="0"/>
        <v>193.10400000000001</v>
      </c>
      <c r="R5" s="11">
        <f t="shared" si="0"/>
        <v>214.96100000000001</v>
      </c>
      <c r="S5" s="11">
        <f t="shared" si="0"/>
        <v>299.262</v>
      </c>
      <c r="T5" s="153">
        <f t="shared" si="0"/>
        <v>302.65799999999996</v>
      </c>
      <c r="U5" s="14">
        <f t="shared" ref="U5" si="1">SUM(U3:U4)</f>
        <v>321.16399999999999</v>
      </c>
      <c r="V5" s="163">
        <v>337.89</v>
      </c>
      <c r="W5" s="163">
        <v>374.52</v>
      </c>
      <c r="X5" s="163">
        <v>384.83</v>
      </c>
    </row>
    <row r="6" spans="1:24" x14ac:dyDescent="0.25">
      <c r="B6" s="9" t="s">
        <v>63</v>
      </c>
      <c r="C6" s="10"/>
      <c r="D6" s="10"/>
      <c r="E6" s="10"/>
      <c r="F6" s="10"/>
      <c r="G6" s="15"/>
      <c r="H6" s="43">
        <v>1410</v>
      </c>
      <c r="I6" s="43">
        <v>1630</v>
      </c>
      <c r="L6" s="41"/>
      <c r="M6" s="41"/>
      <c r="N6" s="165">
        <v>102.5</v>
      </c>
      <c r="O6" s="165">
        <v>174.25</v>
      </c>
      <c r="P6" s="167">
        <v>193</v>
      </c>
      <c r="Q6" s="165">
        <v>170.25</v>
      </c>
      <c r="R6" s="167">
        <v>218.84</v>
      </c>
      <c r="S6" s="165">
        <v>291.92</v>
      </c>
      <c r="T6" s="166">
        <v>309.45999999999998</v>
      </c>
      <c r="U6" s="160">
        <v>312</v>
      </c>
      <c r="V6" s="43">
        <v>337.89</v>
      </c>
      <c r="W6" s="43">
        <v>374.52</v>
      </c>
      <c r="X6" s="43">
        <v>384.83</v>
      </c>
    </row>
    <row r="7" spans="1:24" x14ac:dyDescent="0.25">
      <c r="B7" s="9" t="s">
        <v>182</v>
      </c>
      <c r="C7" s="10">
        <v>329.19600000000003</v>
      </c>
      <c r="D7" s="10">
        <v>268.77999999999997</v>
      </c>
      <c r="E7" s="10">
        <v>261.81400000000002</v>
      </c>
      <c r="F7" s="10">
        <v>397.30099999999999</v>
      </c>
      <c r="G7" s="15">
        <v>556.51499999999999</v>
      </c>
      <c r="H7" s="41"/>
      <c r="I7" s="41"/>
      <c r="L7" s="41">
        <v>71.186999999999998</v>
      </c>
      <c r="M7" s="41">
        <v>68.510999999999996</v>
      </c>
      <c r="N7" s="41">
        <v>100.25700000000001</v>
      </c>
      <c r="O7" s="41">
        <v>113.03700000000001</v>
      </c>
      <c r="P7" s="41">
        <v>115.496</v>
      </c>
      <c r="Q7" s="41">
        <v>115.459</v>
      </c>
      <c r="R7" s="41">
        <v>118.264</v>
      </c>
      <c r="S7" s="41">
        <v>164.239</v>
      </c>
      <c r="T7" s="152">
        <v>158.553</v>
      </c>
      <c r="U7" s="15">
        <v>167.55600000000001</v>
      </c>
      <c r="V7" s="41"/>
    </row>
    <row r="8" spans="1:24" x14ac:dyDescent="0.25">
      <c r="B8" s="9" t="s">
        <v>181</v>
      </c>
      <c r="C8" s="10">
        <v>2.8</v>
      </c>
      <c r="D8" s="10">
        <v>3.4049999999999998</v>
      </c>
      <c r="E8" s="10">
        <v>2.2309999999999999</v>
      </c>
      <c r="F8" s="10">
        <v>2.13</v>
      </c>
      <c r="G8" s="15">
        <v>4.3419999999999996</v>
      </c>
      <c r="H8" s="41"/>
      <c r="I8" s="41"/>
      <c r="L8" s="41">
        <v>0.22800000000000001</v>
      </c>
      <c r="M8" s="41">
        <v>0.36099999999999999</v>
      </c>
      <c r="N8" s="41">
        <v>0.48299999999999998</v>
      </c>
      <c r="O8" s="41">
        <v>0.59199999999999997</v>
      </c>
      <c r="P8" s="41">
        <v>0.69399999999999995</v>
      </c>
      <c r="Q8" s="41">
        <v>1.151</v>
      </c>
      <c r="R8" s="41">
        <v>0.373</v>
      </c>
      <c r="S8" s="41">
        <v>1.4810000000000001</v>
      </c>
      <c r="T8" s="152">
        <v>1.337</v>
      </c>
      <c r="U8" s="15">
        <v>1.1499999999999999</v>
      </c>
      <c r="V8" s="41"/>
    </row>
    <row r="9" spans="1:24" s="1" customFormat="1" x14ac:dyDescent="0.25">
      <c r="B9" s="1" t="s">
        <v>58</v>
      </c>
      <c r="C9" s="11">
        <f t="shared" ref="C9:I9" si="2">SUM(C7:C8)</f>
        <v>331.99600000000004</v>
      </c>
      <c r="D9" s="11">
        <f t="shared" si="2"/>
        <v>272.18499999999995</v>
      </c>
      <c r="E9" s="11">
        <f t="shared" si="2"/>
        <v>264.04500000000002</v>
      </c>
      <c r="F9" s="11">
        <f t="shared" si="2"/>
        <v>399.43099999999998</v>
      </c>
      <c r="G9" s="14">
        <f t="shared" si="2"/>
        <v>560.85699999999997</v>
      </c>
      <c r="H9" s="11">
        <f t="shared" si="2"/>
        <v>0</v>
      </c>
      <c r="I9" s="11">
        <f t="shared" si="2"/>
        <v>0</v>
      </c>
      <c r="L9" s="11">
        <f t="shared" ref="L9:X9" si="3">SUM(L7:L8)</f>
        <v>71.414999999999992</v>
      </c>
      <c r="M9" s="11">
        <f t="shared" si="3"/>
        <v>68.872</v>
      </c>
      <c r="N9" s="11">
        <f t="shared" si="3"/>
        <v>100.74000000000001</v>
      </c>
      <c r="O9" s="11">
        <f t="shared" si="3"/>
        <v>113.629</v>
      </c>
      <c r="P9" s="11">
        <f t="shared" si="3"/>
        <v>116.19</v>
      </c>
      <c r="Q9" s="11">
        <f t="shared" si="3"/>
        <v>116.61</v>
      </c>
      <c r="R9" s="11">
        <f t="shared" si="3"/>
        <v>118.637</v>
      </c>
      <c r="S9" s="11">
        <f t="shared" si="3"/>
        <v>165.72</v>
      </c>
      <c r="T9" s="153">
        <f t="shared" si="3"/>
        <v>159.88999999999999</v>
      </c>
      <c r="U9" s="14">
        <f>SUM(U7:U8)</f>
        <v>168.70600000000002</v>
      </c>
      <c r="V9" s="11">
        <f t="shared" si="3"/>
        <v>0</v>
      </c>
      <c r="W9" s="11">
        <f t="shared" si="3"/>
        <v>0</v>
      </c>
      <c r="X9" s="11">
        <f t="shared" si="3"/>
        <v>0</v>
      </c>
    </row>
    <row r="10" spans="1:24" x14ac:dyDescent="0.25">
      <c r="B10" t="s">
        <v>131</v>
      </c>
      <c r="C10" s="10">
        <v>103.71599999999999</v>
      </c>
      <c r="D10" s="10">
        <v>73.447000000000003</v>
      </c>
      <c r="E10" s="10">
        <v>68.516000000000005</v>
      </c>
      <c r="F10" s="10">
        <v>101.92100000000001</v>
      </c>
      <c r="G10" s="15">
        <v>95.283000000000001</v>
      </c>
      <c r="H10" s="41"/>
      <c r="I10" s="41"/>
      <c r="L10" s="10">
        <v>17.640999999999998</v>
      </c>
      <c r="M10" s="10">
        <v>18.216999999999999</v>
      </c>
      <c r="N10" s="10">
        <v>27.803999999999998</v>
      </c>
      <c r="O10" s="10">
        <v>27.266999999999999</v>
      </c>
      <c r="P10" s="10">
        <v>28.632999999999999</v>
      </c>
      <c r="Q10" s="10">
        <v>23.545000000000002</v>
      </c>
      <c r="R10" s="10">
        <v>26.013000000000002</v>
      </c>
      <c r="S10" s="10">
        <v>21.001000000000001</v>
      </c>
      <c r="T10" s="152">
        <v>24.724</v>
      </c>
      <c r="U10" s="15">
        <v>25.329000000000001</v>
      </c>
    </row>
    <row r="11" spans="1:24" x14ac:dyDescent="0.25">
      <c r="B11" t="s">
        <v>22</v>
      </c>
      <c r="C11" s="10">
        <v>101.931</v>
      </c>
      <c r="D11" s="10">
        <v>116.709</v>
      </c>
      <c r="E11" s="10">
        <v>114.544</v>
      </c>
      <c r="F11" s="10">
        <v>119.16</v>
      </c>
      <c r="G11" s="15">
        <v>180.33099999999999</v>
      </c>
      <c r="H11" s="41"/>
      <c r="I11" s="41"/>
      <c r="L11" s="10">
        <v>28.288</v>
      </c>
      <c r="M11" s="10">
        <v>26.657</v>
      </c>
      <c r="N11" s="10">
        <v>31.765999999999998</v>
      </c>
      <c r="O11" s="10">
        <v>30.856000000000002</v>
      </c>
      <c r="P11" s="10">
        <v>29.881</v>
      </c>
      <c r="Q11" s="10">
        <v>30.666</v>
      </c>
      <c r="R11" s="10">
        <v>32.768000000000001</v>
      </c>
      <c r="S11" s="10">
        <v>57.73</v>
      </c>
      <c r="T11" s="152">
        <v>59.167000000000002</v>
      </c>
      <c r="U11" s="15">
        <v>56.27</v>
      </c>
    </row>
    <row r="12" spans="1:24" x14ac:dyDescent="0.25">
      <c r="B12" t="s">
        <v>183</v>
      </c>
      <c r="C12" s="10">
        <v>37.773000000000003</v>
      </c>
      <c r="D12" s="10">
        <v>74.108999999999995</v>
      </c>
      <c r="E12" s="10">
        <f>15.643+0.4</f>
        <v>16.042999999999999</v>
      </c>
      <c r="F12" s="10">
        <v>0.71399999999999997</v>
      </c>
      <c r="G12" s="15">
        <v>0</v>
      </c>
      <c r="H12" s="10"/>
      <c r="I12" s="10"/>
      <c r="L12" s="10">
        <v>13.476000000000001</v>
      </c>
      <c r="M12" s="10">
        <v>-0.5</v>
      </c>
      <c r="N12" s="10">
        <v>0</v>
      </c>
      <c r="O12" s="10">
        <v>1.214</v>
      </c>
      <c r="P12" s="10">
        <v>0</v>
      </c>
      <c r="Q12" s="10"/>
      <c r="R12" s="10">
        <v>0</v>
      </c>
      <c r="S12" s="10">
        <v>0</v>
      </c>
      <c r="T12" s="152">
        <v>0</v>
      </c>
      <c r="U12" s="15"/>
    </row>
    <row r="13" spans="1:24" x14ac:dyDescent="0.25">
      <c r="B13" t="s">
        <v>184</v>
      </c>
      <c r="C13" s="10">
        <v>-2.2629999999999999</v>
      </c>
      <c r="D13" s="10">
        <f>-7.591+52.981+2</f>
        <v>47.39</v>
      </c>
      <c r="E13" s="10">
        <v>2.9009999999999998</v>
      </c>
      <c r="F13" s="10">
        <v>-0.25</v>
      </c>
      <c r="G13" s="15">
        <v>-8.7010000000000005</v>
      </c>
      <c r="H13" s="41"/>
      <c r="I13" s="41"/>
      <c r="L13" s="10">
        <f>1.4-0.053</f>
        <v>1.347</v>
      </c>
      <c r="M13" s="10">
        <v>-0.20699999999999999</v>
      </c>
      <c r="N13" s="10">
        <v>1.2969999999999999</v>
      </c>
      <c r="O13" s="10">
        <v>-0.26400000000000001</v>
      </c>
      <c r="P13" s="10">
        <v>-1.0760000000000001</v>
      </c>
      <c r="Q13" s="10">
        <v>-2.2160000000000002</v>
      </c>
      <c r="R13" s="10">
        <v>-1.4039999999999999</v>
      </c>
      <c r="S13" s="10">
        <v>-0.86299999999999999</v>
      </c>
      <c r="T13" s="152">
        <v>-4.218</v>
      </c>
      <c r="U13" s="15">
        <v>-11.039</v>
      </c>
    </row>
    <row r="14" spans="1:24" s="1" customFormat="1" x14ac:dyDescent="0.25">
      <c r="B14" s="1" t="s">
        <v>21</v>
      </c>
      <c r="C14" s="11">
        <f t="shared" ref="C14:I14" si="4">C5-SUM(C9:C13)</f>
        <v>-86.604000000000042</v>
      </c>
      <c r="D14" s="11">
        <f t="shared" si="4"/>
        <v>-186.80199999999996</v>
      </c>
      <c r="E14" s="11">
        <f t="shared" si="4"/>
        <v>-95.01600000000002</v>
      </c>
      <c r="F14" s="11">
        <f t="shared" si="4"/>
        <v>26.70799999999997</v>
      </c>
      <c r="G14" s="14">
        <f t="shared" si="4"/>
        <v>182.21500000000003</v>
      </c>
      <c r="H14" s="11">
        <f t="shared" si="4"/>
        <v>1410</v>
      </c>
      <c r="I14" s="11">
        <f t="shared" si="4"/>
        <v>1630</v>
      </c>
      <c r="J14" s="11"/>
      <c r="K14" s="11"/>
      <c r="L14" s="11">
        <f t="shared" ref="L14:U14" si="5">L5-SUM(L9:L13)</f>
        <v>-26.992000000000004</v>
      </c>
      <c r="M14" s="11">
        <f t="shared" si="5"/>
        <v>-7.3100000000000023</v>
      </c>
      <c r="N14" s="11">
        <f t="shared" si="5"/>
        <v>1.8400000000000034</v>
      </c>
      <c r="O14" s="11">
        <f t="shared" si="5"/>
        <v>19.060000000000002</v>
      </c>
      <c r="P14" s="11">
        <f t="shared" si="5"/>
        <v>13.117999999999967</v>
      </c>
      <c r="Q14" s="11">
        <f t="shared" si="5"/>
        <v>24.499000000000024</v>
      </c>
      <c r="R14" s="11">
        <f t="shared" si="5"/>
        <v>38.947000000000003</v>
      </c>
      <c r="S14" s="11">
        <f t="shared" si="5"/>
        <v>55.674000000000007</v>
      </c>
      <c r="T14" s="153">
        <f t="shared" si="5"/>
        <v>63.09499999999997</v>
      </c>
      <c r="U14" s="14">
        <f t="shared" si="5"/>
        <v>81.897999999999939</v>
      </c>
      <c r="V14" s="11"/>
      <c r="W14" s="11"/>
    </row>
    <row r="15" spans="1:24" x14ac:dyDescent="0.25">
      <c r="B15" t="s">
        <v>185</v>
      </c>
      <c r="C15" s="10">
        <v>-1.2689999999999999</v>
      </c>
      <c r="D15" s="10">
        <v>-5.2450000000000001</v>
      </c>
      <c r="E15" s="10">
        <v>-0.36899999999999999</v>
      </c>
      <c r="F15" s="10">
        <v>-2.827</v>
      </c>
      <c r="G15" s="15">
        <v>-1.37</v>
      </c>
      <c r="H15" s="41"/>
      <c r="I15" s="41"/>
      <c r="L15" s="10">
        <v>0.58199999999999996</v>
      </c>
      <c r="M15" s="10">
        <v>0.94599999999999995</v>
      </c>
      <c r="N15" s="10">
        <v>-1.881</v>
      </c>
      <c r="O15" s="10">
        <v>-3.9969999999999999</v>
      </c>
      <c r="P15" s="10">
        <v>2.105</v>
      </c>
      <c r="Q15" s="10">
        <v>2.3479999999999999</v>
      </c>
      <c r="R15" s="10">
        <v>-3.819</v>
      </c>
      <c r="S15" s="10">
        <v>-2.149</v>
      </c>
      <c r="T15" s="152">
        <v>2.25</v>
      </c>
      <c r="U15" s="15">
        <v>-4.085</v>
      </c>
    </row>
    <row r="16" spans="1:24" x14ac:dyDescent="0.25">
      <c r="B16" t="s">
        <v>186</v>
      </c>
      <c r="C16" s="10">
        <v>-3.1520000000000001</v>
      </c>
      <c r="D16" s="10">
        <v>0.16400000000000001</v>
      </c>
      <c r="E16" s="10">
        <v>-3.3220000000000001</v>
      </c>
      <c r="F16" s="10">
        <v>-0.221</v>
      </c>
      <c r="G16" s="15">
        <v>3.9E-2</v>
      </c>
      <c r="H16" s="41"/>
      <c r="I16" s="41"/>
      <c r="L16" s="10">
        <v>-1.625</v>
      </c>
      <c r="M16" s="10">
        <v>0</v>
      </c>
      <c r="N16" s="10">
        <v>-0.24399999999999999</v>
      </c>
      <c r="O16" s="10">
        <v>8.9999999999999993E-3</v>
      </c>
      <c r="P16" s="10">
        <v>1.4E-2</v>
      </c>
      <c r="Q16" s="10"/>
      <c r="R16" s="10">
        <v>2.5000000000000001E-2</v>
      </c>
      <c r="S16" s="10">
        <v>4.0000000000000001E-3</v>
      </c>
      <c r="T16" s="152">
        <v>1E-3</v>
      </c>
      <c r="U16" s="15">
        <v>-5.0000000000000001E-3</v>
      </c>
    </row>
    <row r="17" spans="2:24" x14ac:dyDescent="0.25">
      <c r="B17" t="s">
        <v>187</v>
      </c>
      <c r="C17" s="10">
        <f>6.598-29.068</f>
        <v>-22.470000000000002</v>
      </c>
      <c r="D17" s="10">
        <f>1.228-24.156</f>
        <v>-22.927999999999997</v>
      </c>
      <c r="E17" s="10">
        <f>1.605-15.583</f>
        <v>-13.978</v>
      </c>
      <c r="F17" s="10">
        <f>5.397-17.189</f>
        <v>-11.792</v>
      </c>
      <c r="G17" s="15">
        <f>6.517-48.472</f>
        <v>-41.954999999999998</v>
      </c>
      <c r="H17" s="41"/>
      <c r="I17" s="41"/>
      <c r="L17" s="10">
        <f>1.426-3.417</f>
        <v>-1.9909999999999999</v>
      </c>
      <c r="M17" s="10">
        <f>3.486-4.175</f>
        <v>-0.68899999999999961</v>
      </c>
      <c r="N17" s="10">
        <f>0.349-4.284</f>
        <v>-3.9349999999999996</v>
      </c>
      <c r="O17" s="10">
        <f>0.581-4.391</f>
        <v>-3.81</v>
      </c>
      <c r="P17" s="10">
        <f>0.981-4.339</f>
        <v>-3.3580000000000005</v>
      </c>
      <c r="Q17" s="10">
        <f>0.13-4.19</f>
        <v>-4.0600000000000005</v>
      </c>
      <c r="R17" s="10">
        <f>2.79-4.731</f>
        <v>-1.9409999999999998</v>
      </c>
      <c r="S17" s="10">
        <f>0.568-19.288</f>
        <v>-18.72</v>
      </c>
      <c r="T17" s="152">
        <f>3.029-20.263</f>
        <v>-17.234000000000002</v>
      </c>
      <c r="U17" s="15">
        <f>1.483-19.476</f>
        <v>-17.992999999999999</v>
      </c>
    </row>
    <row r="18" spans="2:24" x14ac:dyDescent="0.25">
      <c r="B18" t="s">
        <v>188</v>
      </c>
      <c r="C18" s="10">
        <v>0</v>
      </c>
      <c r="D18" s="10">
        <v>17.149999999999999</v>
      </c>
      <c r="E18" s="10">
        <v>-11.1</v>
      </c>
      <c r="F18" s="10">
        <v>-14.175000000000001</v>
      </c>
      <c r="G18" s="15">
        <v>0</v>
      </c>
      <c r="H18" s="41"/>
      <c r="I18" s="41"/>
      <c r="L18" s="10">
        <v>-11.1</v>
      </c>
      <c r="M18" s="10"/>
      <c r="N18" s="10">
        <v>-14.175000000000001</v>
      </c>
      <c r="O18" s="10"/>
      <c r="P18" s="10"/>
      <c r="Q18" s="10"/>
      <c r="R18" s="10"/>
      <c r="S18" s="10">
        <v>0</v>
      </c>
      <c r="T18" s="152"/>
      <c r="U18" s="15"/>
    </row>
    <row r="19" spans="2:24" s="1" customFormat="1" x14ac:dyDescent="0.25">
      <c r="B19" s="1" t="s">
        <v>17</v>
      </c>
      <c r="C19" s="11">
        <f t="shared" ref="C19:I19" si="6">C14+SUM(C15:C18)</f>
        <v>-113.49500000000005</v>
      </c>
      <c r="D19" s="11">
        <f t="shared" si="6"/>
        <v>-197.66099999999997</v>
      </c>
      <c r="E19" s="11">
        <f t="shared" si="6"/>
        <v>-123.78500000000003</v>
      </c>
      <c r="F19" s="11">
        <f t="shared" si="6"/>
        <v>-2.3070000000000306</v>
      </c>
      <c r="G19" s="14">
        <f t="shared" si="6"/>
        <v>138.92900000000003</v>
      </c>
      <c r="H19" s="11">
        <f t="shared" si="6"/>
        <v>1410</v>
      </c>
      <c r="I19" s="11">
        <f t="shared" si="6"/>
        <v>1630</v>
      </c>
      <c r="L19" s="11">
        <f t="shared" ref="L19:U19" si="7">L14+SUM(L15:L18)</f>
        <v>-41.126000000000005</v>
      </c>
      <c r="M19" s="11">
        <f t="shared" si="7"/>
        <v>-7.0530000000000017</v>
      </c>
      <c r="N19" s="11">
        <f t="shared" si="7"/>
        <v>-18.394999999999996</v>
      </c>
      <c r="O19" s="11">
        <f t="shared" si="7"/>
        <v>11.262000000000002</v>
      </c>
      <c r="P19" s="11">
        <f t="shared" si="7"/>
        <v>11.878999999999966</v>
      </c>
      <c r="Q19" s="11">
        <f t="shared" si="7"/>
        <v>22.787000000000024</v>
      </c>
      <c r="R19" s="11">
        <f t="shared" si="7"/>
        <v>33.212000000000003</v>
      </c>
      <c r="S19" s="11">
        <f t="shared" si="7"/>
        <v>34.809000000000012</v>
      </c>
      <c r="T19" s="153">
        <f t="shared" si="7"/>
        <v>48.111999999999966</v>
      </c>
      <c r="U19" s="14">
        <f t="shared" si="7"/>
        <v>59.814999999999941</v>
      </c>
      <c r="V19" s="11"/>
      <c r="W19" s="11"/>
    </row>
    <row r="20" spans="2:24" x14ac:dyDescent="0.25">
      <c r="B20" t="s">
        <v>18</v>
      </c>
      <c r="C20" s="10">
        <v>27.724</v>
      </c>
      <c r="D20" s="10">
        <v>-0.96499999999999997</v>
      </c>
      <c r="E20" s="10">
        <v>5.875</v>
      </c>
      <c r="F20" s="10">
        <v>19.885999999999999</v>
      </c>
      <c r="G20" s="15">
        <v>43.308</v>
      </c>
      <c r="H20" s="41"/>
      <c r="I20" s="41"/>
      <c r="L20" s="10">
        <v>-3.0470000000000002</v>
      </c>
      <c r="M20" s="10">
        <v>5.218</v>
      </c>
      <c r="N20" s="10">
        <v>6.6189999999999998</v>
      </c>
      <c r="O20" s="10">
        <v>6.3520000000000003</v>
      </c>
      <c r="P20" s="10">
        <v>1.6970000000000001</v>
      </c>
      <c r="Q20" s="10">
        <v>11.971</v>
      </c>
      <c r="R20" s="10">
        <v>11.284000000000001</v>
      </c>
      <c r="S20" s="10">
        <v>9.26</v>
      </c>
      <c r="T20" s="152">
        <v>10.792999999999999</v>
      </c>
      <c r="U20" s="15">
        <v>13.07</v>
      </c>
    </row>
    <row r="21" spans="2:24" x14ac:dyDescent="0.25">
      <c r="B21" t="s">
        <v>70</v>
      </c>
      <c r="C21" s="10">
        <v>0.52400000000000002</v>
      </c>
      <c r="D21" s="10">
        <v>-0.45400000000000001</v>
      </c>
      <c r="E21" s="10">
        <v>-0.69099999999999995</v>
      </c>
      <c r="F21" s="10">
        <v>-0.44400000000000001</v>
      </c>
      <c r="G21" s="15">
        <v>-1.5640000000000001</v>
      </c>
      <c r="H21" s="41"/>
      <c r="I21" s="41"/>
      <c r="L21" s="10">
        <v>-0.14499999999999999</v>
      </c>
      <c r="M21" s="10">
        <v>-0.10299999999999999</v>
      </c>
      <c r="N21" s="10">
        <v>0.56699999999999995</v>
      </c>
      <c r="O21" s="10">
        <v>-0.47</v>
      </c>
      <c r="P21" s="10">
        <v>-0.438</v>
      </c>
      <c r="Q21" s="10">
        <v>-7.8E-2</v>
      </c>
      <c r="R21" s="10">
        <v>-0.65600000000000003</v>
      </c>
      <c r="S21" s="10">
        <v>-0.65</v>
      </c>
      <c r="T21" s="152">
        <v>-0.33600000000000002</v>
      </c>
      <c r="U21" s="15">
        <v>-0.28100000000000003</v>
      </c>
    </row>
    <row r="22" spans="2:24" s="1" customFormat="1" x14ac:dyDescent="0.25">
      <c r="B22" s="1" t="s">
        <v>19</v>
      </c>
      <c r="C22" s="11">
        <f>C19-SUM(C20:C21)</f>
        <v>-141.74300000000005</v>
      </c>
      <c r="D22" s="11">
        <f t="shared" ref="D22:G22" si="8">D19-SUM(D20:D21)</f>
        <v>-196.24199999999996</v>
      </c>
      <c r="E22" s="11">
        <f t="shared" si="8"/>
        <v>-128.96900000000002</v>
      </c>
      <c r="F22" s="11">
        <f t="shared" si="8"/>
        <v>-21.749000000000031</v>
      </c>
      <c r="G22" s="14">
        <f t="shared" si="8"/>
        <v>97.185000000000031</v>
      </c>
      <c r="H22" s="62">
        <f>H25*H23</f>
        <v>276.66700000000003</v>
      </c>
      <c r="I22" s="62">
        <f>I25*I23</f>
        <v>427.96099999999996</v>
      </c>
      <c r="L22" s="11">
        <f t="shared" ref="L22" si="9">L19-SUM(L20:L21)</f>
        <v>-37.934000000000005</v>
      </c>
      <c r="M22" s="11">
        <f t="shared" ref="M22" si="10">M19-SUM(M20:M21)</f>
        <v>-12.168000000000003</v>
      </c>
      <c r="N22" s="11">
        <f t="shared" ref="N22" si="11">N19-SUM(N20:N21)</f>
        <v>-25.580999999999996</v>
      </c>
      <c r="O22" s="11">
        <f t="shared" ref="O22" si="12">O19-SUM(O20:O21)</f>
        <v>5.3800000000000017</v>
      </c>
      <c r="P22" s="11">
        <f t="shared" ref="P22" si="13">P19-SUM(P20:P21)</f>
        <v>10.619999999999965</v>
      </c>
      <c r="Q22" s="11">
        <f t="shared" ref="Q22" si="14">Q19-SUM(Q20:Q21)</f>
        <v>10.894000000000023</v>
      </c>
      <c r="R22" s="11">
        <f t="shared" ref="R22" si="15">R19-SUM(R20:R21)</f>
        <v>22.584000000000003</v>
      </c>
      <c r="S22" s="11">
        <f t="shared" ref="S22" si="16">S19-SUM(S20:S21)</f>
        <v>26.199000000000012</v>
      </c>
      <c r="T22" s="153">
        <f t="shared" ref="T22:U22" si="17">T19-SUM(T20:T21)</f>
        <v>37.654999999999966</v>
      </c>
      <c r="U22" s="14">
        <f t="shared" si="17"/>
        <v>47.025999999999939</v>
      </c>
      <c r="V22" s="11">
        <f>V25*V23</f>
        <v>55.545000000000002</v>
      </c>
      <c r="W22" s="11">
        <f>W25*W23</f>
        <v>84.64</v>
      </c>
      <c r="X22" s="11">
        <f>X25*X23</f>
        <v>96.278000000000006</v>
      </c>
    </row>
    <row r="23" spans="2:24" x14ac:dyDescent="0.25">
      <c r="B23" t="s">
        <v>1</v>
      </c>
      <c r="C23" s="10">
        <v>38.204934000000002</v>
      </c>
      <c r="D23" s="10">
        <v>40.354638000000001</v>
      </c>
      <c r="E23" s="10">
        <v>41.009</v>
      </c>
      <c r="F23" s="10">
        <v>44.131999999999998</v>
      </c>
      <c r="G23" s="15">
        <v>52.936999999999998</v>
      </c>
      <c r="H23" s="41">
        <v>52.9</v>
      </c>
      <c r="I23" s="41">
        <v>52.9</v>
      </c>
      <c r="L23" s="10">
        <v>41.28</v>
      </c>
      <c r="M23" s="10">
        <v>41.411999999999999</v>
      </c>
      <c r="N23" s="10">
        <v>41.814</v>
      </c>
      <c r="O23" s="10">
        <v>51.52</v>
      </c>
      <c r="P23" s="10">
        <v>51.835000000000001</v>
      </c>
      <c r="Q23" s="10">
        <v>51.972000000000001</v>
      </c>
      <c r="R23" s="10">
        <v>52.005000000000003</v>
      </c>
      <c r="S23" s="10">
        <v>53.61</v>
      </c>
      <c r="T23" s="152">
        <v>53.999000000000002</v>
      </c>
      <c r="U23" s="15">
        <v>52.9</v>
      </c>
      <c r="V23" s="10">
        <v>52.9</v>
      </c>
      <c r="W23" s="164">
        <v>52.9</v>
      </c>
      <c r="X23" s="164">
        <v>52.9</v>
      </c>
    </row>
    <row r="24" spans="2:24" s="1" customFormat="1" x14ac:dyDescent="0.25">
      <c r="B24" s="1" t="s">
        <v>20</v>
      </c>
      <c r="C24" s="2">
        <f>C22/C23</f>
        <v>-3.7100705369625833</v>
      </c>
      <c r="D24" s="2">
        <f>D22/D23</f>
        <v>-4.8629354573816261</v>
      </c>
      <c r="E24" s="2">
        <f>E22/E23</f>
        <v>-3.1448950230437225</v>
      </c>
      <c r="F24" s="2">
        <f>F22/F23</f>
        <v>-0.49281700353485069</v>
      </c>
      <c r="G24" s="58">
        <f>G22/G23</f>
        <v>1.8358614957402202</v>
      </c>
      <c r="H24" s="59"/>
      <c r="I24" s="60"/>
      <c r="L24" s="50">
        <f t="shared" ref="L24:S24" si="18">L22/L23</f>
        <v>-0.91894379844961249</v>
      </c>
      <c r="M24" s="50">
        <f t="shared" si="18"/>
        <v>-0.29382787597797749</v>
      </c>
      <c r="N24" s="50">
        <f t="shared" si="18"/>
        <v>-0.61178074329172039</v>
      </c>
      <c r="O24" s="50">
        <f t="shared" si="18"/>
        <v>0.10442546583850934</v>
      </c>
      <c r="P24" s="50">
        <f t="shared" si="18"/>
        <v>0.20488087199768429</v>
      </c>
      <c r="Q24" s="50">
        <f t="shared" si="18"/>
        <v>0.20961286846763685</v>
      </c>
      <c r="R24" s="50">
        <f t="shared" si="18"/>
        <v>0.43426593596769547</v>
      </c>
      <c r="S24" s="50">
        <f t="shared" si="18"/>
        <v>0.48869613878007856</v>
      </c>
      <c r="T24" s="154">
        <f>T22/T23</f>
        <v>0.69732772829126399</v>
      </c>
      <c r="U24" s="49">
        <f>U22/U23</f>
        <v>0.88896030245746582</v>
      </c>
      <c r="V24" s="50"/>
    </row>
    <row r="25" spans="2:24" s="1" customFormat="1" x14ac:dyDescent="0.25">
      <c r="B25" s="9" t="s">
        <v>62</v>
      </c>
      <c r="C25" s="2"/>
      <c r="D25" s="2"/>
      <c r="E25" s="2"/>
      <c r="F25" s="2"/>
      <c r="G25" s="35"/>
      <c r="H25" s="44">
        <v>5.23</v>
      </c>
      <c r="I25" s="45">
        <v>8.09</v>
      </c>
      <c r="L25" s="51"/>
      <c r="M25" s="51"/>
      <c r="N25" s="51">
        <v>-0.25</v>
      </c>
      <c r="O25" s="51">
        <v>-0.17</v>
      </c>
      <c r="P25" s="51">
        <v>0.24</v>
      </c>
      <c r="Q25" s="51">
        <v>0.24</v>
      </c>
      <c r="R25" s="51">
        <v>0.67</v>
      </c>
      <c r="S25" s="51">
        <v>1.25</v>
      </c>
      <c r="T25" s="159">
        <v>0.73</v>
      </c>
      <c r="U25" s="161">
        <v>0.63</v>
      </c>
      <c r="V25" s="50">
        <v>1.05</v>
      </c>
      <c r="W25" s="50">
        <v>1.6</v>
      </c>
      <c r="X25" s="1">
        <v>1.82</v>
      </c>
    </row>
    <row r="26" spans="2:24" s="1" customFormat="1" x14ac:dyDescent="0.25">
      <c r="B26" s="9"/>
      <c r="C26" s="2"/>
      <c r="D26" s="2"/>
      <c r="E26" s="2"/>
      <c r="F26" s="2"/>
      <c r="G26" s="35"/>
      <c r="H26" s="169"/>
      <c r="I26" s="170"/>
      <c r="L26" s="51"/>
      <c r="M26" s="51"/>
      <c r="N26" s="51"/>
      <c r="O26" s="51"/>
      <c r="P26" s="51"/>
      <c r="Q26" s="51"/>
      <c r="R26" s="51"/>
      <c r="S26" s="51"/>
      <c r="T26" s="159"/>
      <c r="U26" s="168"/>
      <c r="V26" s="50"/>
      <c r="W26" s="50"/>
    </row>
    <row r="27" spans="2:24" s="1" customFormat="1" x14ac:dyDescent="0.25">
      <c r="B27" t="s">
        <v>28</v>
      </c>
      <c r="C27" s="3">
        <f>1-C9/C5</f>
        <v>0.31765145956522356</v>
      </c>
      <c r="D27" s="3">
        <f>1-D9/D5</f>
        <v>0.31446108432945974</v>
      </c>
      <c r="E27" s="3">
        <f>1-E9/E5</f>
        <v>0.28835170995571824</v>
      </c>
      <c r="F27" s="3">
        <f>1-F9/F5</f>
        <v>0.38329339616232605</v>
      </c>
      <c r="G27" s="6">
        <f>1-G9/G5</f>
        <v>0.44468779239295642</v>
      </c>
      <c r="H27" s="46"/>
      <c r="I27" s="46"/>
      <c r="L27" s="3">
        <f>1-L9/L5</f>
        <v>0.32098882814357033</v>
      </c>
      <c r="M27" s="3">
        <f>1-M9/M5</f>
        <v>0.3485987761162973</v>
      </c>
      <c r="N27" s="3">
        <f>1-N9/N5</f>
        <v>0.38365341670388564</v>
      </c>
      <c r="O27" s="3">
        <f>1-O9/O5</f>
        <v>0.40744777380294317</v>
      </c>
      <c r="P27" s="3">
        <f>1-P9/P5</f>
        <v>0.37781799877909028</v>
      </c>
      <c r="Q27" s="3">
        <f>1-Q9/Q5</f>
        <v>0.39612851106139702</v>
      </c>
      <c r="R27" s="3">
        <f>1-R9/R5</f>
        <v>0.4480998878866399</v>
      </c>
      <c r="S27" s="3">
        <f>1-S9/S5</f>
        <v>0.4462377448523368</v>
      </c>
      <c r="T27" s="40">
        <f>1-T9/T5</f>
        <v>0.47171394775621323</v>
      </c>
      <c r="U27" s="6">
        <f t="shared" ref="U27" si="19">1-U9/U5</f>
        <v>0.47470451233637634</v>
      </c>
    </row>
    <row r="28" spans="2:24" x14ac:dyDescent="0.25">
      <c r="B28" t="s">
        <v>29</v>
      </c>
      <c r="C28" s="4">
        <f>C22/C5</f>
        <v>-0.29132317608298458</v>
      </c>
      <c r="D28" s="4">
        <f>D22/D5</f>
        <v>-0.49426503256615234</v>
      </c>
      <c r="E28" s="4">
        <f>E22/E5</f>
        <v>-0.34759441882527975</v>
      </c>
      <c r="F28" s="4">
        <f>F22/F5</f>
        <v>-3.3579646864829192E-2</v>
      </c>
      <c r="G28" s="7">
        <f>G22/G5</f>
        <v>9.6224201349525015E-2</v>
      </c>
      <c r="H28" s="47">
        <f>H22/H6</f>
        <v>0.19621773049645391</v>
      </c>
      <c r="I28" s="47">
        <f>I22/I6</f>
        <v>0.26255276073619627</v>
      </c>
      <c r="L28" s="4">
        <f>L22/L5</f>
        <v>-0.36067506536724514</v>
      </c>
      <c r="M28" s="4">
        <f>M22/M5</f>
        <v>-0.11508668388048693</v>
      </c>
      <c r="N28" s="4">
        <f>N22/N5</f>
        <v>-0.15650944954633608</v>
      </c>
      <c r="O28" s="4">
        <f>O22/O5</f>
        <v>2.8055610600640386E-2</v>
      </c>
      <c r="P28" s="4">
        <f>P22/P5</f>
        <v>5.686868795047801E-2</v>
      </c>
      <c r="Q28" s="4">
        <f>Q22/Q5</f>
        <v>5.6415195956583099E-2</v>
      </c>
      <c r="R28" s="4">
        <f>R22/R5</f>
        <v>0.10506091802699095</v>
      </c>
      <c r="S28" s="4">
        <f>S22/S5</f>
        <v>8.7545361589510234E-2</v>
      </c>
      <c r="T28" s="155">
        <f>T22/T5</f>
        <v>0.12441435547713911</v>
      </c>
      <c r="U28" s="7">
        <f t="shared" ref="U28" si="20">U22/U5</f>
        <v>0.14642363403121128</v>
      </c>
    </row>
    <row r="29" spans="2:24" x14ac:dyDescent="0.25">
      <c r="B29" t="s">
        <v>189</v>
      </c>
      <c r="C29" s="4">
        <f>C20/C19</f>
        <v>-0.24427507819727731</v>
      </c>
      <c r="D29" s="4">
        <f>D20/D19</f>
        <v>4.8820961140538608E-3</v>
      </c>
      <c r="E29" s="4">
        <f>E20/E19</f>
        <v>-4.7461324069960002E-2</v>
      </c>
      <c r="F29" s="4">
        <f>F20/F19</f>
        <v>-8.6198526224532888</v>
      </c>
      <c r="G29" s="7">
        <f>G20/G19</f>
        <v>0.3117275730768953</v>
      </c>
      <c r="H29" s="47"/>
      <c r="I29" s="47"/>
      <c r="L29" s="4">
        <f>L20/L19</f>
        <v>7.4089383844769721E-2</v>
      </c>
      <c r="M29" s="4">
        <f>M20/M19</f>
        <v>-0.73982702396143463</v>
      </c>
      <c r="N29" s="4">
        <f>N20/N19</f>
        <v>-0.35982603968469701</v>
      </c>
      <c r="O29" s="4">
        <f>O20/O19</f>
        <v>0.56402060024862366</v>
      </c>
      <c r="P29" s="4">
        <f>P20/P19</f>
        <v>0.14285714285714327</v>
      </c>
      <c r="Q29" s="4">
        <f>Q20/Q19</f>
        <v>0.52534339755123483</v>
      </c>
      <c r="R29" s="4">
        <f>R20/R19</f>
        <v>0.33975671444056366</v>
      </c>
      <c r="S29" s="4">
        <f>S20/S19</f>
        <v>0.26602315493119588</v>
      </c>
      <c r="T29" s="155">
        <f>T20/T19</f>
        <v>0.224330728300632</v>
      </c>
      <c r="U29" s="7">
        <f t="shared" ref="U29" si="21">U20/U19</f>
        <v>0.21850706344562423</v>
      </c>
    </row>
    <row r="30" spans="2:24" x14ac:dyDescent="0.25">
      <c r="B30" t="s">
        <v>30</v>
      </c>
      <c r="C30" s="3"/>
      <c r="D30" s="3">
        <f>D5/C5-1</f>
        <v>-0.1839711930350284</v>
      </c>
      <c r="E30" s="3">
        <f>E5/D5-1</f>
        <v>-6.5497509054548764E-2</v>
      </c>
      <c r="F30" s="40">
        <f>F5/E5-1</f>
        <v>0.74562370463004624</v>
      </c>
      <c r="G30" s="6">
        <f>G5/F5-1</f>
        <v>0.55937926519722581</v>
      </c>
      <c r="H30" s="48">
        <f>H6/G5-1</f>
        <v>0.39606033752976533</v>
      </c>
      <c r="I30" s="48">
        <f>I6/H6-1</f>
        <v>0.15602836879432624</v>
      </c>
      <c r="L30" s="4"/>
      <c r="M30" s="4"/>
      <c r="N30" s="4"/>
      <c r="O30" s="4"/>
      <c r="P30" s="4">
        <f>P5/L5-1</f>
        <v>0.77557404326123125</v>
      </c>
      <c r="Q30" s="4">
        <f>Q5/M5-1</f>
        <v>0.82640524359447287</v>
      </c>
      <c r="R30" s="4">
        <f>R5/N5-1</f>
        <v>0.31517250240139005</v>
      </c>
      <c r="S30" s="4">
        <f>S5/O5-1</f>
        <v>0.56059073226186618</v>
      </c>
      <c r="T30" s="155">
        <f>T5/P5-1</f>
        <v>0.62069334818416455</v>
      </c>
      <c r="U30" s="7">
        <f>U5/Q5-1</f>
        <v>0.66316596238296444</v>
      </c>
      <c r="V30" s="37">
        <f>V6/R5-1</f>
        <v>0.57186652462539711</v>
      </c>
      <c r="W30" s="37">
        <f>W6/S5-1</f>
        <v>0.25147863744812238</v>
      </c>
      <c r="X30" s="37">
        <f>X6/T5-1</f>
        <v>0.27150116633295673</v>
      </c>
    </row>
    <row r="31" spans="2:24" x14ac:dyDescent="0.25">
      <c r="B31" t="s">
        <v>130</v>
      </c>
      <c r="C31" s="4">
        <f>C10/C5</f>
        <v>0.21316660809086033</v>
      </c>
      <c r="D31" s="4">
        <f>D10/D5</f>
        <v>0.18498733118744304</v>
      </c>
      <c r="E31" s="4">
        <f>E10/E5</f>
        <v>0.18466281974918675</v>
      </c>
      <c r="F31" s="4">
        <f>F10/F5</f>
        <v>0.15736223219965292</v>
      </c>
      <c r="G31" s="7">
        <f>G10/G5</f>
        <v>9.4341005064431646E-2</v>
      </c>
      <c r="H31" s="124"/>
      <c r="I31" s="124"/>
      <c r="L31" s="4">
        <f>L10/L5</f>
        <v>0.16772997385310195</v>
      </c>
      <c r="M31" s="4">
        <f>M10/M5</f>
        <v>0.17229899081614314</v>
      </c>
      <c r="N31" s="4">
        <f>N10/N5</f>
        <v>0.17011018862383523</v>
      </c>
      <c r="O31" s="4">
        <f>O10/O5</f>
        <v>0.14219188368915633</v>
      </c>
      <c r="P31" s="4">
        <f>P10/P5</f>
        <v>0.15332590791770642</v>
      </c>
      <c r="Q31" s="4">
        <f>Q10/Q5</f>
        <v>0.12192911591681167</v>
      </c>
      <c r="R31" s="4">
        <f>R10/R5</f>
        <v>0.12101264880606249</v>
      </c>
      <c r="S31" s="4">
        <f>S10/S5</f>
        <v>7.0175966210210453E-2</v>
      </c>
      <c r="T31" s="155">
        <f>T10/T5</f>
        <v>8.1689563798082329E-2</v>
      </c>
      <c r="U31" s="7">
        <f>U10/U5</f>
        <v>7.8866249019192688E-2</v>
      </c>
    </row>
    <row r="32" spans="2:24" x14ac:dyDescent="0.25">
      <c r="B32" t="s">
        <v>224</v>
      </c>
      <c r="C32" s="4">
        <f>C11/C5</f>
        <v>0.20949791285153191</v>
      </c>
      <c r="D32" s="4">
        <f>D11/D5</f>
        <v>0.2939491937799405</v>
      </c>
      <c r="E32" s="4">
        <f>E11/E5</f>
        <v>0.30871647535394425</v>
      </c>
      <c r="F32" s="4">
        <f>F11/F5</f>
        <v>0.18397860685148931</v>
      </c>
      <c r="G32" s="7">
        <f>G11/G5</f>
        <v>0.17854819626034049</v>
      </c>
      <c r="H32" s="124"/>
      <c r="I32" s="124"/>
      <c r="L32" s="4">
        <f>L11/L5</f>
        <v>0.2689612550511053</v>
      </c>
      <c r="M32" s="4">
        <f>M11/M5</f>
        <v>0.25212571763659924</v>
      </c>
      <c r="N32" s="4">
        <f>N11/N5</f>
        <v>0.19435046222934652</v>
      </c>
      <c r="O32" s="4">
        <f>O11/O5</f>
        <v>0.16090779195043858</v>
      </c>
      <c r="P32" s="4">
        <f>P11/P5</f>
        <v>0.1600087819819434</v>
      </c>
      <c r="Q32" s="4">
        <f>Q11/Q5</f>
        <v>0.15880561769823515</v>
      </c>
      <c r="R32" s="4">
        <f>R11/R5</f>
        <v>0.15243695367996984</v>
      </c>
      <c r="S32" s="4">
        <f>S11/S5</f>
        <v>0.19290788673470069</v>
      </c>
      <c r="T32" s="155">
        <f>T11/T5</f>
        <v>0.19549128058732962</v>
      </c>
      <c r="U32" s="7">
        <f>U11/U5</f>
        <v>0.17520643658691512</v>
      </c>
    </row>
    <row r="33" spans="2:24" x14ac:dyDescent="0.25">
      <c r="B33" t="s">
        <v>190</v>
      </c>
      <c r="C33" s="4"/>
      <c r="D33" s="4"/>
      <c r="E33" s="4">
        <f>E3/D3-1</f>
        <v>-6.37148021358247E-2</v>
      </c>
      <c r="F33" s="4">
        <f>F3/E3-1</f>
        <v>0.77394632836332744</v>
      </c>
      <c r="G33" s="7">
        <f>G3/F3-1</f>
        <v>0.55750977543015012</v>
      </c>
      <c r="H33" s="124"/>
      <c r="I33" s="124"/>
      <c r="L33" s="4"/>
      <c r="M33" s="4"/>
      <c r="N33" s="4"/>
      <c r="O33" s="4"/>
      <c r="P33" s="4">
        <f>P3/L3-1</f>
        <v>0.84317122714780735</v>
      </c>
      <c r="Q33" s="4">
        <f>Q3/M3-1</f>
        <v>0.84046362971234934</v>
      </c>
      <c r="R33" s="4">
        <f>R3/N3-1</f>
        <v>0.2968891629412671</v>
      </c>
      <c r="S33" s="4">
        <f>S3/O3-1</f>
        <v>0.56099701966391069</v>
      </c>
      <c r="T33" s="155">
        <f>T3/P3-1</f>
        <v>0.62347519799466244</v>
      </c>
      <c r="U33" s="7">
        <f>U3/Q3-1</f>
        <v>0.66694214876033042</v>
      </c>
    </row>
    <row r="34" spans="2:24" x14ac:dyDescent="0.25">
      <c r="B34" t="s">
        <v>191</v>
      </c>
      <c r="C34" s="4"/>
      <c r="D34" s="4"/>
      <c r="E34" s="4">
        <f>E4/D4-1</f>
        <v>-0.12886597938144329</v>
      </c>
      <c r="F34" s="4">
        <f>F4/E4-1</f>
        <v>-0.33643279797125947</v>
      </c>
      <c r="G34" s="7">
        <f>G4/F4-1</f>
        <v>0.75031847133757967</v>
      </c>
      <c r="H34" s="124"/>
      <c r="I34" s="124"/>
      <c r="L34" s="4"/>
      <c r="M34" s="4"/>
      <c r="N34" s="4"/>
      <c r="O34" s="4"/>
      <c r="P34" s="4">
        <f>P4/L4-1</f>
        <v>-0.65451864335369714</v>
      </c>
      <c r="Q34" s="4">
        <f>Q4/M4-1</f>
        <v>3.8316243928764093E-2</v>
      </c>
      <c r="R34" s="4">
        <f>R4/N4-1</f>
        <v>2.6462264150943393</v>
      </c>
      <c r="S34" s="4">
        <f>S4/O4-1</f>
        <v>0.50957095709570965</v>
      </c>
      <c r="T34" s="155">
        <f>T4/P4-1</f>
        <v>0.30670731707317067</v>
      </c>
      <c r="U34" s="7">
        <f>U4/Q4-1</f>
        <v>0.28794178794178804</v>
      </c>
    </row>
    <row r="35" spans="2:24" x14ac:dyDescent="0.25">
      <c r="B35" t="s">
        <v>33</v>
      </c>
      <c r="C35" s="3"/>
      <c r="D35" s="3">
        <f>-(D22/C22-1)</f>
        <v>-0.38449165038132316</v>
      </c>
      <c r="E35" s="3">
        <f>-(E22/D22-1)</f>
        <v>0.34280633095871405</v>
      </c>
      <c r="F35" s="40">
        <f>F22/E22-1</f>
        <v>-0.83136257550263992</v>
      </c>
      <c r="G35" s="6">
        <f>G22/F22-1</f>
        <v>-5.4684813094854885</v>
      </c>
      <c r="H35" s="61">
        <f>H25/G24-1</f>
        <v>1.8487987858208563</v>
      </c>
      <c r="I35" s="61">
        <f>I25/H25-1</f>
        <v>0.5468451242829826</v>
      </c>
      <c r="L35" s="4"/>
      <c r="M35" s="4"/>
      <c r="N35" s="4"/>
      <c r="O35" s="4"/>
      <c r="P35" s="4">
        <f>P22/L22-1</f>
        <v>-1.2799599304054401</v>
      </c>
      <c r="Q35" s="4">
        <f>Q22/M22-1</f>
        <v>-1.895299145299147</v>
      </c>
      <c r="R35" s="4">
        <f>R22/N22-1</f>
        <v>-1.8828427348422661</v>
      </c>
      <c r="S35" s="4">
        <f>S22/O22-1</f>
        <v>3.8697026022304843</v>
      </c>
      <c r="T35" s="155">
        <f>T22/P22-1</f>
        <v>2.5456685499058462</v>
      </c>
      <c r="U35" s="7">
        <f>U22/Q22-1</f>
        <v>3.3166880851844907</v>
      </c>
      <c r="V35" s="4">
        <f>V25/R24-1</f>
        <v>1.4178732731137087</v>
      </c>
      <c r="W35" s="4">
        <f>W25/S24-1</f>
        <v>2.2740180922935975</v>
      </c>
      <c r="X35" s="4">
        <f>X25/T24-1</f>
        <v>1.6099636170495311</v>
      </c>
    </row>
    <row r="36" spans="2:24" x14ac:dyDescent="0.25">
      <c r="B36" t="s">
        <v>76</v>
      </c>
      <c r="C36" s="53">
        <f>C15/C5</f>
        <v>-2.6081648508166698E-3</v>
      </c>
      <c r="D36" s="53">
        <f>D15/D5</f>
        <v>-1.3210322437650806E-2</v>
      </c>
      <c r="E36" s="53">
        <f>E15/E5</f>
        <v>-9.9452070301024424E-4</v>
      </c>
      <c r="F36" s="53">
        <f>F15/F5</f>
        <v>-4.3647828261930205E-3</v>
      </c>
      <c r="G36" s="54">
        <f>G15/G5</f>
        <v>-1.3564557889473607E-3</v>
      </c>
      <c r="H36" s="53">
        <f>H15/H6</f>
        <v>0</v>
      </c>
      <c r="I36" s="53">
        <f>I15/I6</f>
        <v>0</v>
      </c>
      <c r="L36" s="4"/>
      <c r="M36" s="4"/>
      <c r="N36" s="4"/>
      <c r="O36" s="4"/>
      <c r="P36" s="4"/>
      <c r="Q36" s="4"/>
      <c r="R36" s="4"/>
      <c r="S36" s="4"/>
      <c r="T36" s="155"/>
      <c r="U36" s="7"/>
    </row>
    <row r="37" spans="2:24" x14ac:dyDescent="0.25">
      <c r="B37" t="s">
        <v>77</v>
      </c>
      <c r="C37" s="55">
        <f>-C17/C14</f>
        <v>-0.2594568380213384</v>
      </c>
      <c r="D37" s="55">
        <f>-D17/D14</f>
        <v>-0.1227395852292802</v>
      </c>
      <c r="E37" s="55">
        <f>-E17/E14</f>
        <v>-0.14711206533636437</v>
      </c>
      <c r="F37" s="55">
        <f>-F17/F14</f>
        <v>0.44151565074135141</v>
      </c>
      <c r="G37" s="54">
        <f>-G17/G14</f>
        <v>0.23024997941991598</v>
      </c>
      <c r="H37" s="53">
        <f>-H15/H14</f>
        <v>0</v>
      </c>
      <c r="I37" s="53">
        <f>-I15/I14</f>
        <v>0</v>
      </c>
      <c r="L37" s="4">
        <f>L20/L19</f>
        <v>7.4089383844769721E-2</v>
      </c>
      <c r="M37" s="4">
        <f>M20/M19</f>
        <v>-0.73982702396143463</v>
      </c>
      <c r="N37" s="4">
        <f>N20/N19</f>
        <v>-0.35982603968469701</v>
      </c>
      <c r="O37" s="4">
        <f>O20/O19</f>
        <v>0.56402060024862366</v>
      </c>
      <c r="P37" s="128">
        <f>P20/P19</f>
        <v>0.14285714285714327</v>
      </c>
      <c r="Q37" s="128">
        <f>Q20/Q19</f>
        <v>0.52534339755123483</v>
      </c>
      <c r="R37" s="128">
        <f>R20/R19</f>
        <v>0.33975671444056366</v>
      </c>
      <c r="S37" s="128">
        <f>S20/S19</f>
        <v>0.26602315493119588</v>
      </c>
      <c r="T37" s="156">
        <f>T20/T19</f>
        <v>0.224330728300632</v>
      </c>
      <c r="U37" s="129">
        <f>U20/U19</f>
        <v>0.21850706344562423</v>
      </c>
    </row>
    <row r="40" spans="2:24" s="1" customFormat="1" x14ac:dyDescent="0.25">
      <c r="B40" s="1" t="s">
        <v>37</v>
      </c>
      <c r="C40" s="153">
        <f>C41+C42-C55-C58</f>
        <v>-64.88900000000001</v>
      </c>
      <c r="D40" s="153">
        <f>D41+D42-D55-D58</f>
        <v>-40.658999999999992</v>
      </c>
      <c r="E40" s="153">
        <f>E41+E42-E55-E58</f>
        <v>-79.162999999999982</v>
      </c>
      <c r="F40" s="153">
        <f>F41+F42-F55-F58</f>
        <v>-3.6029999999999802</v>
      </c>
      <c r="G40" s="14">
        <f>G41+G42-G55-G58</f>
        <v>-458.76</v>
      </c>
      <c r="L40" s="153">
        <f t="shared" ref="L40:S40" si="22">L41+L42-L55-L58</f>
        <v>-79.162999999999982</v>
      </c>
      <c r="M40" s="153">
        <f t="shared" si="22"/>
        <v>-47.996000000000009</v>
      </c>
      <c r="N40" s="153">
        <f t="shared" si="22"/>
        <v>-79.058000000000007</v>
      </c>
      <c r="O40" s="153">
        <f t="shared" si="22"/>
        <v>-48.67</v>
      </c>
      <c r="P40" s="153">
        <f t="shared" si="22"/>
        <v>-3.6029999999999802</v>
      </c>
      <c r="Q40" s="153">
        <f t="shared" si="22"/>
        <v>0.69400000000001683</v>
      </c>
      <c r="R40" s="153">
        <f t="shared" si="22"/>
        <v>-9.5110000000000241</v>
      </c>
      <c r="S40" s="153">
        <f t="shared" si="22"/>
        <v>-463.62700000000007</v>
      </c>
      <c r="T40" s="153">
        <f>T41+T42-T55-T58</f>
        <v>-458.76</v>
      </c>
      <c r="U40" s="14">
        <f>U41+U42-U55-U58</f>
        <v>-436.01099999999997</v>
      </c>
    </row>
    <row r="41" spans="2:24" x14ac:dyDescent="0.25">
      <c r="B41" t="s">
        <v>23</v>
      </c>
      <c r="C41" s="10">
        <v>218.29</v>
      </c>
      <c r="D41" s="10">
        <v>149.99299999999999</v>
      </c>
      <c r="E41" s="10">
        <v>149.03700000000001</v>
      </c>
      <c r="F41" s="10">
        <v>164.19200000000001</v>
      </c>
      <c r="G41" s="15">
        <v>274.43700000000001</v>
      </c>
      <c r="L41" s="10">
        <v>149.03700000000001</v>
      </c>
      <c r="M41" s="10">
        <v>136.23400000000001</v>
      </c>
      <c r="N41" s="10">
        <v>87.980999999999995</v>
      </c>
      <c r="O41" s="10">
        <v>115.014</v>
      </c>
      <c r="P41" s="10">
        <f>F41</f>
        <v>164.19200000000001</v>
      </c>
      <c r="Q41" s="10">
        <v>165.14500000000001</v>
      </c>
      <c r="R41" s="10">
        <v>171.261</v>
      </c>
      <c r="S41" s="10">
        <v>275.07</v>
      </c>
      <c r="T41" s="152">
        <f>G41</f>
        <v>274.43700000000001</v>
      </c>
      <c r="U41" s="15">
        <v>280.85300000000001</v>
      </c>
    </row>
    <row r="42" spans="2:24" x14ac:dyDescent="0.25">
      <c r="B42" t="s">
        <v>72</v>
      </c>
      <c r="C42" s="10">
        <v>5.7549999999999999</v>
      </c>
      <c r="D42" s="10">
        <v>2.0790000000000002</v>
      </c>
      <c r="E42" s="10">
        <v>1.24</v>
      </c>
      <c r="F42" s="10">
        <v>1.2410000000000001</v>
      </c>
      <c r="G42" s="15">
        <v>1.2410000000000001</v>
      </c>
      <c r="L42" s="10">
        <v>1.24</v>
      </c>
      <c r="M42" s="10">
        <v>4.9580000000000002</v>
      </c>
      <c r="N42" s="10">
        <v>1.24</v>
      </c>
      <c r="O42" s="10">
        <v>4.9649999999999999</v>
      </c>
      <c r="P42" s="10">
        <f>F42</f>
        <v>1.2410000000000001</v>
      </c>
      <c r="Q42" s="10">
        <v>4.9720000000000004</v>
      </c>
      <c r="R42" s="10">
        <v>1.242</v>
      </c>
      <c r="S42" s="10">
        <v>4.9729999999999999</v>
      </c>
      <c r="T42" s="152">
        <f>G42</f>
        <v>1.2410000000000001</v>
      </c>
      <c r="U42" s="15">
        <v>6.4740000000000002</v>
      </c>
    </row>
    <row r="43" spans="2:24" x14ac:dyDescent="0.25">
      <c r="B43" t="s">
        <v>192</v>
      </c>
      <c r="C43" s="10">
        <f>110.18+125.972</f>
        <v>236.15199999999999</v>
      </c>
      <c r="D43" s="10">
        <f>112.623+62.05</f>
        <v>174.673</v>
      </c>
      <c r="E43" s="10">
        <f>86.503+70.134</f>
        <v>156.637</v>
      </c>
      <c r="F43" s="10">
        <v>156.465</v>
      </c>
      <c r="G43" s="15">
        <v>268.35199999999998</v>
      </c>
      <c r="L43" s="10">
        <f>86.503+70.134</f>
        <v>156.637</v>
      </c>
      <c r="M43" s="10">
        <f>112.953+21.191</f>
        <v>134.14400000000001</v>
      </c>
      <c r="N43" s="10">
        <v>189.25899999999999</v>
      </c>
      <c r="O43" s="10">
        <v>181.64599999999999</v>
      </c>
      <c r="P43" s="10">
        <f>F43</f>
        <v>156.465</v>
      </c>
      <c r="Q43" s="10">
        <v>182.19800000000001</v>
      </c>
      <c r="R43" s="10">
        <v>195.90600000000001</v>
      </c>
      <c r="S43" s="10">
        <v>250.67099999999999</v>
      </c>
      <c r="T43" s="152">
        <f>G43</f>
        <v>268.35199999999998</v>
      </c>
      <c r="U43" s="15">
        <v>285.96800000000002</v>
      </c>
    </row>
    <row r="44" spans="2:24" x14ac:dyDescent="0.25">
      <c r="B44" t="s">
        <v>193</v>
      </c>
      <c r="C44" s="10">
        <v>21.856000000000002</v>
      </c>
      <c r="D44" s="10">
        <v>15.875999999999999</v>
      </c>
      <c r="E44" s="10">
        <v>12.606</v>
      </c>
      <c r="F44" s="10">
        <v>30.83</v>
      </c>
      <c r="G44" s="15">
        <v>31.933</v>
      </c>
      <c r="L44" s="10">
        <v>12.606</v>
      </c>
      <c r="M44" s="10">
        <v>13.252000000000001</v>
      </c>
      <c r="N44" s="10">
        <v>21.181999999999999</v>
      </c>
      <c r="O44" s="10">
        <v>20.763999999999999</v>
      </c>
      <c r="P44" s="10">
        <f>F44</f>
        <v>30.83</v>
      </c>
      <c r="Q44" s="10">
        <v>24.448</v>
      </c>
      <c r="R44" s="10">
        <v>22.495000000000001</v>
      </c>
      <c r="S44" s="10">
        <v>27.489000000000001</v>
      </c>
      <c r="T44" s="152">
        <f>G44</f>
        <v>31.933</v>
      </c>
      <c r="U44" s="15">
        <v>24.766999999999999</v>
      </c>
    </row>
    <row r="45" spans="2:24" x14ac:dyDescent="0.25">
      <c r="B45" t="s">
        <v>194</v>
      </c>
      <c r="C45" s="10">
        <v>39.286999999999999</v>
      </c>
      <c r="D45" s="10">
        <v>34.396000000000001</v>
      </c>
      <c r="E45" s="10">
        <v>14.420999999999999</v>
      </c>
      <c r="F45" s="10">
        <v>4.1950000000000003</v>
      </c>
      <c r="G45" s="15">
        <v>0</v>
      </c>
      <c r="L45" s="10">
        <v>14.420999999999999</v>
      </c>
      <c r="M45" s="10">
        <v>8.5909999999999993</v>
      </c>
      <c r="N45" s="10">
        <v>6.8620000000000001</v>
      </c>
      <c r="O45" s="10">
        <v>6.8150000000000004</v>
      </c>
      <c r="P45" s="10">
        <f>F45</f>
        <v>4.1950000000000003</v>
      </c>
      <c r="Q45" s="10">
        <v>0.69499999999999995</v>
      </c>
      <c r="R45" s="10">
        <v>0.63</v>
      </c>
      <c r="S45" s="10">
        <v>0.56499999999999995</v>
      </c>
      <c r="T45" s="152">
        <f>G45</f>
        <v>0</v>
      </c>
      <c r="U45" s="15"/>
    </row>
    <row r="46" spans="2:24" x14ac:dyDescent="0.25">
      <c r="B46" t="s">
        <v>73</v>
      </c>
      <c r="C46" s="10">
        <v>15.956</v>
      </c>
      <c r="D46" s="10">
        <v>11.692</v>
      </c>
      <c r="E46" s="10">
        <v>8.7309999999999999</v>
      </c>
      <c r="F46" s="10">
        <v>20.984999999999999</v>
      </c>
      <c r="G46" s="15">
        <v>15.172000000000001</v>
      </c>
      <c r="L46" s="10">
        <v>8.7309999999999999</v>
      </c>
      <c r="M46" s="10">
        <v>12.012</v>
      </c>
      <c r="N46" s="10">
        <v>23.259</v>
      </c>
      <c r="O46" s="10">
        <v>17.509</v>
      </c>
      <c r="P46" s="10">
        <f>F46</f>
        <v>20.984999999999999</v>
      </c>
      <c r="Q46" s="10">
        <v>18.978000000000002</v>
      </c>
      <c r="R46" s="10">
        <v>18.957999999999998</v>
      </c>
      <c r="S46" s="10">
        <v>16.597999999999999</v>
      </c>
      <c r="T46" s="152">
        <f>G46</f>
        <v>15.172000000000001</v>
      </c>
      <c r="U46" s="15">
        <v>17.446999999999999</v>
      </c>
    </row>
    <row r="47" spans="2:24" s="1" customFormat="1" x14ac:dyDescent="0.25">
      <c r="B47" s="1" t="s">
        <v>59</v>
      </c>
      <c r="C47" s="11">
        <f t="shared" ref="C47:D47" si="23">SUM(C41:C46)</f>
        <v>537.29600000000005</v>
      </c>
      <c r="D47" s="11">
        <f t="shared" si="23"/>
        <v>388.709</v>
      </c>
      <c r="E47" s="11">
        <f>SUM(E41:E46)</f>
        <v>342.67199999999997</v>
      </c>
      <c r="F47" s="11">
        <f t="shared" ref="F47:G47" si="24">SUM(F41:F46)</f>
        <v>377.90800000000002</v>
      </c>
      <c r="G47" s="14">
        <f t="shared" si="24"/>
        <v>591.13499999999999</v>
      </c>
      <c r="L47" s="11">
        <f t="shared" ref="L47:T47" si="25">SUM(L41:L46)</f>
        <v>342.67199999999997</v>
      </c>
      <c r="M47" s="11">
        <f t="shared" si="25"/>
        <v>309.19100000000003</v>
      </c>
      <c r="N47" s="11">
        <f t="shared" si="25"/>
        <v>329.78300000000002</v>
      </c>
      <c r="O47" s="11">
        <f t="shared" si="25"/>
        <v>346.71300000000002</v>
      </c>
      <c r="P47" s="11">
        <f t="shared" si="25"/>
        <v>377.90800000000002</v>
      </c>
      <c r="Q47" s="11">
        <f t="shared" si="25"/>
        <v>396.43600000000004</v>
      </c>
      <c r="R47" s="11">
        <f t="shared" si="25"/>
        <v>410.49199999999996</v>
      </c>
      <c r="S47" s="11">
        <f t="shared" si="25"/>
        <v>575.36599999999999</v>
      </c>
      <c r="T47" s="153">
        <f t="shared" si="25"/>
        <v>591.13499999999999</v>
      </c>
      <c r="U47" s="14">
        <f t="shared" ref="U47" si="26">SUM(U41:U46)</f>
        <v>615.50900000000013</v>
      </c>
    </row>
    <row r="48" spans="2:24" x14ac:dyDescent="0.25">
      <c r="B48" t="s">
        <v>74</v>
      </c>
      <c r="C48" s="10">
        <v>938.96100000000001</v>
      </c>
      <c r="D48" s="10">
        <v>780.31799999999998</v>
      </c>
      <c r="E48" s="10">
        <v>688.04</v>
      </c>
      <c r="F48" s="10">
        <v>796.65499999999997</v>
      </c>
      <c r="G48" s="15">
        <v>1315.1220000000001</v>
      </c>
      <c r="L48" s="10">
        <v>688.04</v>
      </c>
      <c r="M48" s="10">
        <v>677.58</v>
      </c>
      <c r="N48" s="10">
        <v>838.61199999999997</v>
      </c>
      <c r="O48" s="10">
        <v>815.99</v>
      </c>
      <c r="P48" s="10">
        <f t="shared" ref="P48:P51" si="27">F48</f>
        <v>796.65499999999997</v>
      </c>
      <c r="Q48" s="10">
        <v>786.16800000000001</v>
      </c>
      <c r="R48" s="10">
        <v>784.87300000000005</v>
      </c>
      <c r="S48" s="10">
        <v>1348.001</v>
      </c>
      <c r="T48" s="152">
        <f t="shared" ref="T48:T51" si="28">G48</f>
        <v>1315.1220000000001</v>
      </c>
      <c r="U48" s="15">
        <v>1286.6179999999999</v>
      </c>
    </row>
    <row r="49" spans="2:22" x14ac:dyDescent="0.25">
      <c r="B49" t="s">
        <v>195</v>
      </c>
      <c r="C49" s="10">
        <v>66.936000000000007</v>
      </c>
      <c r="D49" s="10">
        <v>56.468000000000004</v>
      </c>
      <c r="E49" s="10">
        <v>40.734000000000002</v>
      </c>
      <c r="F49" s="10">
        <v>61.08</v>
      </c>
      <c r="G49" s="15">
        <v>106.69799999999999</v>
      </c>
      <c r="L49" s="10">
        <v>40.734000000000002</v>
      </c>
      <c r="M49" s="10">
        <v>44.362000000000002</v>
      </c>
      <c r="N49" s="10">
        <v>53.661000000000001</v>
      </c>
      <c r="O49" s="10">
        <v>57.877000000000002</v>
      </c>
      <c r="P49" s="10">
        <f t="shared" si="27"/>
        <v>61.08</v>
      </c>
      <c r="Q49" s="10">
        <v>82.787000000000006</v>
      </c>
      <c r="R49" s="10">
        <v>92.480999999999995</v>
      </c>
      <c r="S49" s="10">
        <v>99.215000000000003</v>
      </c>
      <c r="T49" s="152">
        <f t="shared" si="28"/>
        <v>106.69799999999999</v>
      </c>
      <c r="U49" s="15">
        <v>128.63900000000001</v>
      </c>
    </row>
    <row r="50" spans="2:22" x14ac:dyDescent="0.25">
      <c r="B50" t="s">
        <v>196</v>
      </c>
      <c r="C50" s="10"/>
      <c r="D50" s="10"/>
      <c r="E50" s="10">
        <v>0</v>
      </c>
      <c r="F50" s="10">
        <v>28.369</v>
      </c>
      <c r="G50" s="15">
        <v>17.37</v>
      </c>
      <c r="L50" s="10">
        <v>0</v>
      </c>
      <c r="M50" s="10">
        <v>0</v>
      </c>
      <c r="N50" s="10">
        <v>30.268999999999998</v>
      </c>
      <c r="O50" s="10">
        <v>30.117000000000001</v>
      </c>
      <c r="P50" s="10">
        <f t="shared" si="27"/>
        <v>28.369</v>
      </c>
      <c r="Q50" s="10">
        <v>27.698</v>
      </c>
      <c r="R50" s="10">
        <v>22.678000000000001</v>
      </c>
      <c r="S50" s="10">
        <v>18.648</v>
      </c>
      <c r="T50" s="152">
        <f t="shared" si="28"/>
        <v>17.37</v>
      </c>
      <c r="U50" s="15">
        <v>16.641999999999999</v>
      </c>
    </row>
    <row r="51" spans="2:22" x14ac:dyDescent="0.25">
      <c r="B51" t="s">
        <v>197</v>
      </c>
      <c r="C51" s="10">
        <v>36.335000000000001</v>
      </c>
      <c r="D51" s="10">
        <v>25.742000000000001</v>
      </c>
      <c r="E51" s="10">
        <v>24.334</v>
      </c>
      <c r="F51" s="10">
        <v>33.643999999999998</v>
      </c>
      <c r="G51" s="15">
        <v>32.448999999999998</v>
      </c>
      <c r="L51" s="10">
        <v>24.334</v>
      </c>
      <c r="M51" s="10">
        <v>22.997</v>
      </c>
      <c r="N51" s="10">
        <v>30.41</v>
      </c>
      <c r="O51" s="10">
        <v>32.363999999999997</v>
      </c>
      <c r="P51" s="10">
        <f t="shared" si="27"/>
        <v>33.643999999999998</v>
      </c>
      <c r="Q51" s="10">
        <v>34.058</v>
      </c>
      <c r="R51" s="10">
        <v>33.64</v>
      </c>
      <c r="S51" s="10">
        <v>30.324999999999999</v>
      </c>
      <c r="T51" s="152">
        <f t="shared" si="28"/>
        <v>32.448999999999998</v>
      </c>
      <c r="U51" s="15">
        <v>30.408000000000001</v>
      </c>
    </row>
    <row r="52" spans="2:22" x14ac:dyDescent="0.25">
      <c r="B52" s="1" t="s">
        <v>25</v>
      </c>
      <c r="C52" s="11">
        <f>SUM(C47:C51)</f>
        <v>1579.528</v>
      </c>
      <c r="D52" s="11">
        <f>SUM(D47:D51)</f>
        <v>1251.2370000000001</v>
      </c>
      <c r="E52" s="11">
        <f>SUM(E47:E51)</f>
        <v>1095.78</v>
      </c>
      <c r="F52" s="11">
        <f>SUM(F47:F51)</f>
        <v>1297.6559999999999</v>
      </c>
      <c r="G52" s="14">
        <f>SUM(G47:G51)</f>
        <v>2062.7739999999999</v>
      </c>
      <c r="L52" s="11">
        <f t="shared" ref="L52:U52" si="29">SUM(L47:L51)</f>
        <v>1095.78</v>
      </c>
      <c r="M52" s="11">
        <f t="shared" si="29"/>
        <v>1054.1300000000001</v>
      </c>
      <c r="N52" s="11">
        <f t="shared" si="29"/>
        <v>1282.7350000000001</v>
      </c>
      <c r="O52" s="11">
        <f t="shared" si="29"/>
        <v>1283.0609999999999</v>
      </c>
      <c r="P52" s="11">
        <f t="shared" si="29"/>
        <v>1297.6559999999999</v>
      </c>
      <c r="Q52" s="11">
        <f t="shared" si="29"/>
        <v>1327.1470000000002</v>
      </c>
      <c r="R52" s="11">
        <f t="shared" si="29"/>
        <v>1344.1640000000002</v>
      </c>
      <c r="S52" s="11">
        <f t="shared" si="29"/>
        <v>2071.5549999999998</v>
      </c>
      <c r="T52" s="153">
        <f t="shared" si="29"/>
        <v>2062.7739999999999</v>
      </c>
      <c r="U52" s="14">
        <f t="shared" si="29"/>
        <v>2077.8160000000003</v>
      </c>
    </row>
    <row r="53" spans="2:22" x14ac:dyDescent="0.25">
      <c r="B53" t="s">
        <v>27</v>
      </c>
      <c r="C53" s="10">
        <v>27.501000000000001</v>
      </c>
      <c r="D53" s="10">
        <v>16.981000000000002</v>
      </c>
      <c r="E53" s="10">
        <v>20.788</v>
      </c>
      <c r="F53" s="10">
        <v>38.945999999999998</v>
      </c>
      <c r="G53" s="15">
        <v>44.930999999999997</v>
      </c>
      <c r="L53" s="10">
        <v>20.788</v>
      </c>
      <c r="M53" s="10">
        <v>23.696000000000002</v>
      </c>
      <c r="N53" s="10">
        <v>30.536999999999999</v>
      </c>
      <c r="O53" s="10">
        <v>31.829000000000001</v>
      </c>
      <c r="P53" s="10">
        <f t="shared" ref="P53:P56" si="30">F53</f>
        <v>38.945999999999998</v>
      </c>
      <c r="Q53" s="10">
        <v>64.775000000000006</v>
      </c>
      <c r="R53" s="10">
        <v>69.822000000000003</v>
      </c>
      <c r="S53" s="10">
        <v>57.183</v>
      </c>
      <c r="T53" s="152">
        <f t="shared" ref="T53:T56" si="31">G53</f>
        <v>44.930999999999997</v>
      </c>
      <c r="U53" s="15">
        <v>51.774000000000001</v>
      </c>
    </row>
    <row r="54" spans="2:22" x14ac:dyDescent="0.25">
      <c r="B54" t="s">
        <v>198</v>
      </c>
      <c r="C54" s="10">
        <f>74+50.186</f>
        <v>124.18600000000001</v>
      </c>
      <c r="D54" s="10">
        <f>52.422+53.194</f>
        <v>105.616</v>
      </c>
      <c r="E54" s="10">
        <v>51.734000000000002</v>
      </c>
      <c r="F54" s="10">
        <v>105.518</v>
      </c>
      <c r="G54" s="15">
        <v>126.59</v>
      </c>
      <c r="L54" s="10">
        <v>51.734000000000002</v>
      </c>
      <c r="M54" s="10">
        <v>55.140999999999998</v>
      </c>
      <c r="N54" s="10">
        <v>109.212</v>
      </c>
      <c r="O54" s="10">
        <v>105.94499999999999</v>
      </c>
      <c r="P54" s="10">
        <f t="shared" si="30"/>
        <v>105.518</v>
      </c>
      <c r="Q54" s="10">
        <v>107.348</v>
      </c>
      <c r="R54" s="10">
        <v>91.875</v>
      </c>
      <c r="S54" s="10">
        <v>119.631</v>
      </c>
      <c r="T54" s="152">
        <f t="shared" si="31"/>
        <v>126.59</v>
      </c>
      <c r="U54" s="15">
        <v>132.19</v>
      </c>
    </row>
    <row r="55" spans="2:22" x14ac:dyDescent="0.25">
      <c r="B55" t="s">
        <v>199</v>
      </c>
      <c r="C55" s="10">
        <v>9.89</v>
      </c>
      <c r="D55" s="10">
        <v>27.797000000000001</v>
      </c>
      <c r="E55" s="10">
        <v>61.555</v>
      </c>
      <c r="F55" s="10">
        <v>0</v>
      </c>
      <c r="G55" s="15">
        <v>103.077</v>
      </c>
      <c r="L55" s="10">
        <v>61.555</v>
      </c>
      <c r="M55" s="10">
        <v>21.190999999999999</v>
      </c>
      <c r="N55" s="10">
        <v>0</v>
      </c>
      <c r="O55" s="10">
        <v>0</v>
      </c>
      <c r="P55" s="10">
        <f t="shared" si="30"/>
        <v>0</v>
      </c>
      <c r="Q55" s="10">
        <v>0</v>
      </c>
      <c r="R55" s="10">
        <v>2.4409999999999998</v>
      </c>
      <c r="S55" s="10">
        <v>102.369</v>
      </c>
      <c r="T55" s="152">
        <f t="shared" si="31"/>
        <v>103.077</v>
      </c>
      <c r="U55" s="15">
        <v>103.009</v>
      </c>
    </row>
    <row r="56" spans="2:22" x14ac:dyDescent="0.25">
      <c r="B56" t="s">
        <v>200</v>
      </c>
      <c r="C56" s="10">
        <v>24.1</v>
      </c>
      <c r="D56" s="10">
        <v>32.784999999999997</v>
      </c>
      <c r="E56" s="10">
        <v>23.864999999999998</v>
      </c>
      <c r="F56" s="10">
        <v>50.323</v>
      </c>
      <c r="G56" s="15">
        <v>55.133000000000003</v>
      </c>
      <c r="L56" s="10">
        <v>23.864999999999998</v>
      </c>
      <c r="M56" s="10">
        <v>25.471</v>
      </c>
      <c r="N56" s="10">
        <v>47.872</v>
      </c>
      <c r="O56" s="10">
        <v>46.628999999999998</v>
      </c>
      <c r="P56" s="10">
        <f t="shared" si="30"/>
        <v>50.323</v>
      </c>
      <c r="Q56" s="10">
        <v>43.22</v>
      </c>
      <c r="R56" s="10">
        <v>42.305</v>
      </c>
      <c r="S56" s="10">
        <v>53.301000000000002</v>
      </c>
      <c r="T56" s="152">
        <f t="shared" si="31"/>
        <v>55.133000000000003</v>
      </c>
      <c r="U56" s="15">
        <v>52.164000000000001</v>
      </c>
    </row>
    <row r="57" spans="2:22" s="1" customFormat="1" x14ac:dyDescent="0.25">
      <c r="B57" s="1" t="s">
        <v>60</v>
      </c>
      <c r="C57" s="11">
        <f>SUM(C53:C56)</f>
        <v>185.67699999999999</v>
      </c>
      <c r="D57" s="11">
        <f>SUM(D53:D56)</f>
        <v>183.179</v>
      </c>
      <c r="E57" s="11">
        <f>SUM(E53:E56)</f>
        <v>157.94200000000001</v>
      </c>
      <c r="F57" s="11">
        <f>SUM(F53:F56)</f>
        <v>194.78700000000001</v>
      </c>
      <c r="G57" s="14">
        <f>SUM(G53:G56)</f>
        <v>329.73099999999999</v>
      </c>
      <c r="L57" s="11">
        <f t="shared" ref="L57:U57" si="32">SUM(L53:L56)</f>
        <v>157.94200000000001</v>
      </c>
      <c r="M57" s="11">
        <f t="shared" si="32"/>
        <v>125.49900000000001</v>
      </c>
      <c r="N57" s="11">
        <f t="shared" si="32"/>
        <v>187.62099999999998</v>
      </c>
      <c r="O57" s="11">
        <f t="shared" si="32"/>
        <v>184.40299999999999</v>
      </c>
      <c r="P57" s="11">
        <f t="shared" si="32"/>
        <v>194.78700000000001</v>
      </c>
      <c r="Q57" s="11">
        <f t="shared" si="32"/>
        <v>215.34299999999999</v>
      </c>
      <c r="R57" s="11">
        <f t="shared" si="32"/>
        <v>206.44300000000001</v>
      </c>
      <c r="S57" s="11">
        <f t="shared" si="32"/>
        <v>332.48399999999998</v>
      </c>
      <c r="T57" s="153">
        <f t="shared" si="32"/>
        <v>329.73099999999999</v>
      </c>
      <c r="U57" s="14">
        <f t="shared" si="32"/>
        <v>339.137</v>
      </c>
      <c r="V57" s="11"/>
    </row>
    <row r="58" spans="2:22" x14ac:dyDescent="0.25">
      <c r="B58" t="s">
        <v>201</v>
      </c>
      <c r="C58" s="10">
        <v>279.04399999999998</v>
      </c>
      <c r="D58" s="10">
        <v>164.934</v>
      </c>
      <c r="E58" s="10">
        <v>167.88499999999999</v>
      </c>
      <c r="F58" s="10">
        <v>169.036</v>
      </c>
      <c r="G58" s="15">
        <v>631.36099999999999</v>
      </c>
      <c r="L58" s="10">
        <v>167.88499999999999</v>
      </c>
      <c r="M58" s="10">
        <v>167.99700000000001</v>
      </c>
      <c r="N58" s="10">
        <v>168.279</v>
      </c>
      <c r="O58" s="10">
        <v>168.649</v>
      </c>
      <c r="P58" s="10">
        <f t="shared" ref="P58:P59" si="33">F58</f>
        <v>169.036</v>
      </c>
      <c r="Q58" s="10">
        <v>169.423</v>
      </c>
      <c r="R58" s="10">
        <v>179.57300000000001</v>
      </c>
      <c r="S58" s="10">
        <v>641.30100000000004</v>
      </c>
      <c r="T58" s="152">
        <f t="shared" ref="T58:T59" si="34">G58</f>
        <v>631.36099999999999</v>
      </c>
      <c r="U58" s="15">
        <v>620.32899999999995</v>
      </c>
    </row>
    <row r="59" spans="2:22" x14ac:dyDescent="0.25">
      <c r="B59" t="s">
        <v>202</v>
      </c>
      <c r="C59" s="10">
        <v>98.397000000000006</v>
      </c>
      <c r="D59" s="10">
        <v>79.792000000000002</v>
      </c>
      <c r="E59" s="10">
        <v>68.183999999999997</v>
      </c>
      <c r="F59" s="10">
        <v>67.843000000000004</v>
      </c>
      <c r="G59" s="15">
        <v>64.984999999999999</v>
      </c>
      <c r="L59" s="10">
        <v>68.183999999999997</v>
      </c>
      <c r="M59" s="10">
        <v>70.891999999999996</v>
      </c>
      <c r="N59" s="10">
        <v>85.188000000000002</v>
      </c>
      <c r="O59" s="10">
        <v>82.91</v>
      </c>
      <c r="P59" s="10">
        <f t="shared" si="33"/>
        <v>67.843000000000004</v>
      </c>
      <c r="Q59" s="10">
        <v>68.968000000000004</v>
      </c>
      <c r="R59" s="10">
        <v>65.620999999999995</v>
      </c>
      <c r="S59" s="10">
        <v>66.245999999999995</v>
      </c>
      <c r="T59" s="152">
        <f t="shared" si="34"/>
        <v>64.984999999999999</v>
      </c>
      <c r="U59" s="15">
        <v>63.197000000000003</v>
      </c>
    </row>
    <row r="60" spans="2:22" x14ac:dyDescent="0.25">
      <c r="B60" s="1" t="s">
        <v>26</v>
      </c>
      <c r="C60" s="11">
        <f>SUM(C57:C59)</f>
        <v>563.11800000000005</v>
      </c>
      <c r="D60" s="11">
        <f>SUM(D57:D59)</f>
        <v>427.90499999999997</v>
      </c>
      <c r="E60" s="11">
        <f>SUM(E57:E59)</f>
        <v>394.01099999999997</v>
      </c>
      <c r="F60" s="11">
        <f>SUM(F57:F59)</f>
        <v>431.666</v>
      </c>
      <c r="G60" s="14">
        <f>SUM(G57:G59)</f>
        <v>1026.077</v>
      </c>
      <c r="L60" s="11">
        <f t="shared" ref="L60:U60" si="35">SUM(L57:L59)</f>
        <v>394.01099999999997</v>
      </c>
      <c r="M60" s="11">
        <f t="shared" si="35"/>
        <v>364.38800000000003</v>
      </c>
      <c r="N60" s="11">
        <f t="shared" si="35"/>
        <v>441.08799999999997</v>
      </c>
      <c r="O60" s="11">
        <f t="shared" si="35"/>
        <v>435.96199999999999</v>
      </c>
      <c r="P60" s="11">
        <f t="shared" si="35"/>
        <v>431.666</v>
      </c>
      <c r="Q60" s="11">
        <f t="shared" si="35"/>
        <v>453.73399999999998</v>
      </c>
      <c r="R60" s="11">
        <f t="shared" si="35"/>
        <v>451.637</v>
      </c>
      <c r="S60" s="11">
        <f t="shared" si="35"/>
        <v>1040.0310000000002</v>
      </c>
      <c r="T60" s="153">
        <f t="shared" si="35"/>
        <v>1026.077</v>
      </c>
      <c r="U60" s="14">
        <f t="shared" si="35"/>
        <v>1022.6629999999999</v>
      </c>
    </row>
    <row r="61" spans="2:22" x14ac:dyDescent="0.25">
      <c r="B61" t="s">
        <v>75</v>
      </c>
      <c r="C61" s="10">
        <f>C52-C60</f>
        <v>1016.41</v>
      </c>
      <c r="D61" s="10">
        <f>D52-D60</f>
        <v>823.33200000000011</v>
      </c>
      <c r="E61" s="10">
        <f>E52-E60</f>
        <v>701.76900000000001</v>
      </c>
      <c r="F61" s="10">
        <f>F52-F60</f>
        <v>865.99</v>
      </c>
      <c r="G61" s="15">
        <f>G52-G60</f>
        <v>1036.6969999999999</v>
      </c>
      <c r="L61" s="10">
        <f t="shared" ref="L61:U61" si="36">L52-L60</f>
        <v>701.76900000000001</v>
      </c>
      <c r="M61" s="10">
        <f t="shared" si="36"/>
        <v>689.74200000000008</v>
      </c>
      <c r="N61" s="10">
        <f t="shared" si="36"/>
        <v>841.64700000000016</v>
      </c>
      <c r="O61" s="10">
        <f t="shared" si="36"/>
        <v>847.09899999999993</v>
      </c>
      <c r="P61" s="10">
        <f t="shared" si="36"/>
        <v>865.99</v>
      </c>
      <c r="Q61" s="10">
        <f t="shared" si="36"/>
        <v>873.41300000000024</v>
      </c>
      <c r="R61" s="10">
        <f t="shared" si="36"/>
        <v>892.52700000000027</v>
      </c>
      <c r="S61" s="10">
        <f t="shared" si="36"/>
        <v>1031.5239999999997</v>
      </c>
      <c r="T61" s="152">
        <f t="shared" si="36"/>
        <v>1036.6969999999999</v>
      </c>
      <c r="U61" s="15">
        <f t="shared" si="36"/>
        <v>1055.1530000000002</v>
      </c>
    </row>
    <row r="63" spans="2:22" s="1" customFormat="1" x14ac:dyDescent="0.25">
      <c r="B63" s="1" t="s">
        <v>221</v>
      </c>
      <c r="C63" s="56"/>
      <c r="D63" s="56"/>
      <c r="E63" s="56"/>
      <c r="F63" s="56"/>
      <c r="G63" s="57"/>
      <c r="P63" s="131">
        <f>P58/L58-1</f>
        <v>6.8558834916758737E-3</v>
      </c>
      <c r="Q63" s="131">
        <f>Q58/M58-1</f>
        <v>8.4882468139311218E-3</v>
      </c>
      <c r="R63" s="131">
        <f>R58/N58-1</f>
        <v>6.7114732081840378E-2</v>
      </c>
      <c r="S63" s="131">
        <f>S58/O58-1</f>
        <v>2.8025781356545254</v>
      </c>
      <c r="T63" s="131">
        <f>T58/P58-1</f>
        <v>2.7350682694810571</v>
      </c>
      <c r="U63" s="130">
        <f>U58/Q58-1</f>
        <v>2.6614214126771452</v>
      </c>
    </row>
    <row r="81" spans="7:21" s="9" customFormat="1" x14ac:dyDescent="0.25">
      <c r="G81" s="42"/>
      <c r="T81" s="157"/>
      <c r="U81" s="42"/>
    </row>
    <row r="82" spans="7:21" s="1" customFormat="1" x14ac:dyDescent="0.25">
      <c r="G82" s="16"/>
      <c r="T82" s="158"/>
      <c r="U82"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5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W46" sqref="W46"/>
    </sheetView>
  </sheetViews>
  <sheetFormatPr defaultRowHeight="15" x14ac:dyDescent="0.25"/>
  <sheetData>
    <row r="1" spans="1:1" x14ac:dyDescent="0.25">
      <c r="A1" s="8" t="s">
        <v>36</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R24"/>
  <sheetViews>
    <sheetView workbookViewId="0">
      <pane xSplit="1" ySplit="1" topLeftCell="H2" activePane="bottomRight" state="frozen"/>
      <selection pane="topRight" activeCell="B1" sqref="B1"/>
      <selection pane="bottomLeft" activeCell="A2" sqref="A2"/>
      <selection pane="bottomRight" activeCell="P15" sqref="P15"/>
    </sheetView>
  </sheetViews>
  <sheetFormatPr defaultRowHeight="15" x14ac:dyDescent="0.25"/>
  <cols>
    <col min="1" max="1" width="19.5703125" bestFit="1" customWidth="1"/>
  </cols>
  <sheetData>
    <row r="1" spans="1:18" x14ac:dyDescent="0.25">
      <c r="A1" t="s">
        <v>203</v>
      </c>
      <c r="B1">
        <v>2020</v>
      </c>
      <c r="C1">
        <v>2021</v>
      </c>
      <c r="D1">
        <v>2022</v>
      </c>
      <c r="E1">
        <v>2023</v>
      </c>
      <c r="F1">
        <v>2024</v>
      </c>
      <c r="I1" t="s">
        <v>10</v>
      </c>
      <c r="J1" t="s">
        <v>11</v>
      </c>
      <c r="K1" t="s">
        <v>6</v>
      </c>
      <c r="L1" t="s">
        <v>7</v>
      </c>
      <c r="M1" t="s">
        <v>8</v>
      </c>
      <c r="N1" t="s">
        <v>9</v>
      </c>
      <c r="O1" t="s">
        <v>34</v>
      </c>
      <c r="P1" t="s">
        <v>38</v>
      </c>
      <c r="Q1" t="s">
        <v>39</v>
      </c>
      <c r="R1" t="s">
        <v>61</v>
      </c>
    </row>
    <row r="2" spans="1:18" x14ac:dyDescent="0.25">
      <c r="A2" s="127" t="s">
        <v>179</v>
      </c>
    </row>
    <row r="3" spans="1:18" x14ac:dyDescent="0.25">
      <c r="A3" t="s">
        <v>204</v>
      </c>
      <c r="B3" s="10"/>
      <c r="C3" s="10">
        <v>102.151</v>
      </c>
      <c r="D3" s="10">
        <v>146.87100000000001</v>
      </c>
      <c r="E3" s="10">
        <v>237.20500000000001</v>
      </c>
      <c r="I3" s="10">
        <v>27.882000000000001</v>
      </c>
      <c r="J3" s="10"/>
      <c r="K3" s="10"/>
      <c r="L3" s="10"/>
      <c r="M3" s="10">
        <v>41.784999999999997</v>
      </c>
      <c r="N3" s="10">
        <v>47.686999999999998</v>
      </c>
      <c r="O3" s="10">
        <v>50.375999999999998</v>
      </c>
      <c r="P3" s="10">
        <v>70.716999999999999</v>
      </c>
      <c r="Q3" s="10">
        <v>68.424999999999997</v>
      </c>
      <c r="R3" s="10">
        <v>63.941000000000003</v>
      </c>
    </row>
    <row r="4" spans="1:18" x14ac:dyDescent="0.25">
      <c r="A4" t="s">
        <v>205</v>
      </c>
      <c r="B4" s="10"/>
      <c r="C4" s="10">
        <v>18.141999999999999</v>
      </c>
      <c r="D4" s="10">
        <v>64.230999999999995</v>
      </c>
      <c r="E4" s="10">
        <v>122.235</v>
      </c>
      <c r="I4" s="10">
        <v>4.9139999999999997</v>
      </c>
      <c r="J4" s="10"/>
      <c r="K4" s="10"/>
      <c r="L4" s="10"/>
      <c r="M4" s="10">
        <v>19.07</v>
      </c>
      <c r="N4" s="10">
        <v>22.024000000000001</v>
      </c>
      <c r="O4" s="10">
        <v>22.585000000000001</v>
      </c>
      <c r="P4" s="10">
        <v>38.994</v>
      </c>
      <c r="Q4" s="10">
        <v>38.631999999999998</v>
      </c>
      <c r="R4" s="10">
        <v>47.780999999999999</v>
      </c>
    </row>
    <row r="5" spans="1:18" x14ac:dyDescent="0.25">
      <c r="A5" t="s">
        <v>206</v>
      </c>
      <c r="B5" s="10"/>
      <c r="C5" s="10">
        <v>84.394999999999996</v>
      </c>
      <c r="D5" s="10">
        <v>110.375</v>
      </c>
      <c r="E5" s="10">
        <v>135.375</v>
      </c>
      <c r="I5" s="10">
        <v>21.948</v>
      </c>
      <c r="J5" s="10"/>
      <c r="K5" s="10"/>
      <c r="L5" s="10"/>
      <c r="M5" s="10">
        <v>30.574999999999999</v>
      </c>
      <c r="N5" s="10">
        <v>30.762</v>
      </c>
      <c r="O5" s="10">
        <v>31.856000000000002</v>
      </c>
      <c r="P5" s="10">
        <v>34.685000000000002</v>
      </c>
      <c r="Q5" s="10">
        <v>38.072000000000003</v>
      </c>
      <c r="R5" s="10">
        <v>37.932000000000002</v>
      </c>
    </row>
    <row r="6" spans="1:18" x14ac:dyDescent="0.25">
      <c r="A6" t="s">
        <v>207</v>
      </c>
      <c r="B6" s="10"/>
      <c r="C6" s="10">
        <v>80.914000000000001</v>
      </c>
      <c r="D6" s="10">
        <v>129.578</v>
      </c>
      <c r="E6" s="10">
        <v>230.21700000000001</v>
      </c>
      <c r="I6" s="10">
        <v>22.501000000000001</v>
      </c>
      <c r="J6" s="10"/>
      <c r="K6" s="10"/>
      <c r="L6" s="10"/>
      <c r="M6" s="10">
        <v>33.481999999999999</v>
      </c>
      <c r="N6" s="10">
        <v>31.25</v>
      </c>
      <c r="O6" s="10">
        <v>39.295000000000002</v>
      </c>
      <c r="P6" s="10">
        <v>78.929000000000002</v>
      </c>
      <c r="Q6" s="10">
        <v>80.742999999999995</v>
      </c>
      <c r="R6" s="10">
        <v>80.381</v>
      </c>
    </row>
    <row r="7" spans="1:18" x14ac:dyDescent="0.25">
      <c r="A7" t="s">
        <v>208</v>
      </c>
      <c r="B7" s="10"/>
      <c r="C7" s="10">
        <v>75.966999999999999</v>
      </c>
      <c r="D7" s="10">
        <v>190.34899999999999</v>
      </c>
      <c r="E7" s="10">
        <v>273.96100000000001</v>
      </c>
      <c r="I7" s="10">
        <v>23.183</v>
      </c>
      <c r="J7" s="10"/>
      <c r="K7" s="10"/>
      <c r="L7" s="10"/>
      <c r="M7" s="10">
        <v>60.194000000000003</v>
      </c>
      <c r="N7" s="10">
        <v>59.457000000000001</v>
      </c>
      <c r="O7" s="10">
        <v>66.210999999999999</v>
      </c>
      <c r="P7" s="10">
        <v>73.650000000000006</v>
      </c>
      <c r="Q7" s="10">
        <v>74.643000000000001</v>
      </c>
      <c r="R7" s="10">
        <v>88.650999999999996</v>
      </c>
    </row>
    <row r="8" spans="1:18" x14ac:dyDescent="0.25">
      <c r="A8" s="1" t="s">
        <v>209</v>
      </c>
      <c r="B8" s="11">
        <f>SUM(B3:B7)</f>
        <v>0</v>
      </c>
      <c r="C8" s="11">
        <f>SUM(C3:C7)</f>
        <v>361.56899999999996</v>
      </c>
      <c r="D8" s="11">
        <f>SUM(D3:D7)</f>
        <v>641.404</v>
      </c>
      <c r="E8" s="11">
        <f>SUM(E3:E7)</f>
        <v>998.99300000000005</v>
      </c>
      <c r="I8" s="11">
        <f t="shared" ref="I8:P8" si="0">SUM(I3:I7)</f>
        <v>100.428</v>
      </c>
      <c r="J8" s="11">
        <f t="shared" si="0"/>
        <v>0</v>
      </c>
      <c r="K8" s="11">
        <f t="shared" si="0"/>
        <v>0</v>
      </c>
      <c r="L8" s="11">
        <f t="shared" si="0"/>
        <v>0</v>
      </c>
      <c r="M8" s="11">
        <f t="shared" si="0"/>
        <v>185.10599999999999</v>
      </c>
      <c r="N8" s="11">
        <f t="shared" ref="N8" si="1">SUM(N3:N7)</f>
        <v>191.18</v>
      </c>
      <c r="O8" s="11">
        <f t="shared" si="0"/>
        <v>210.32300000000004</v>
      </c>
      <c r="P8" s="11">
        <f t="shared" si="0"/>
        <v>296.97500000000002</v>
      </c>
      <c r="Q8" s="11">
        <f>SUM(Q3:Q7)</f>
        <v>300.51499999999999</v>
      </c>
      <c r="R8" s="11">
        <f>SUM(R3:R7)</f>
        <v>318.68599999999998</v>
      </c>
    </row>
    <row r="9" spans="1:18" s="1" customFormat="1" x14ac:dyDescent="0.25">
      <c r="A9"/>
      <c r="B9"/>
      <c r="C9"/>
      <c r="D9"/>
      <c r="E9"/>
      <c r="I9"/>
      <c r="J9"/>
      <c r="K9"/>
      <c r="L9"/>
      <c r="M9"/>
      <c r="N9"/>
      <c r="O9"/>
      <c r="P9"/>
      <c r="Q9"/>
      <c r="R9"/>
    </row>
    <row r="10" spans="1:18" x14ac:dyDescent="0.25">
      <c r="A10" t="s">
        <v>210</v>
      </c>
      <c r="D10" s="3">
        <f t="shared" ref="D10:E14" si="2">D3/C3-1</f>
        <v>0.4377832816125149</v>
      </c>
      <c r="E10" s="3">
        <f t="shared" si="2"/>
        <v>0.61505675048171526</v>
      </c>
      <c r="I10" s="3"/>
      <c r="J10" s="3"/>
      <c r="K10" s="3"/>
      <c r="L10" s="3"/>
      <c r="M10" s="3">
        <f t="shared" ref="M10:P10" si="3">M3/I3-1</f>
        <v>0.49863711354996032</v>
      </c>
      <c r="N10" s="3" t="e">
        <f t="shared" si="3"/>
        <v>#DIV/0!</v>
      </c>
      <c r="O10" s="3" t="e">
        <f t="shared" si="3"/>
        <v>#DIV/0!</v>
      </c>
      <c r="P10" s="3" t="e">
        <f t="shared" si="3"/>
        <v>#DIV/0!</v>
      </c>
      <c r="Q10" s="3">
        <f>Q3/M3-1</f>
        <v>0.63754935981811656</v>
      </c>
      <c r="R10" s="3">
        <f>R3/N3-1</f>
        <v>0.34084761045987388</v>
      </c>
    </row>
    <row r="11" spans="1:18" x14ac:dyDescent="0.25">
      <c r="A11" t="s">
        <v>211</v>
      </c>
      <c r="D11" s="3">
        <f t="shared" si="2"/>
        <v>2.5404586043435122</v>
      </c>
      <c r="E11" s="3">
        <f t="shared" si="2"/>
        <v>0.90305304292319932</v>
      </c>
      <c r="I11" s="3"/>
      <c r="J11" s="3"/>
      <c r="K11" s="3"/>
      <c r="L11" s="3"/>
      <c r="M11" s="3">
        <f t="shared" ref="M11:P11" si="4">M4/I4-1</f>
        <v>2.880748880748881</v>
      </c>
      <c r="N11" s="3" t="e">
        <f t="shared" si="4"/>
        <v>#DIV/0!</v>
      </c>
      <c r="O11" s="3" t="e">
        <f t="shared" si="4"/>
        <v>#DIV/0!</v>
      </c>
      <c r="P11" s="3" t="e">
        <f t="shared" si="4"/>
        <v>#DIV/0!</v>
      </c>
      <c r="Q11" s="3">
        <f>Q4/M4-1</f>
        <v>1.0257996853696905</v>
      </c>
      <c r="R11" s="3">
        <f>R4/N4-1</f>
        <v>1.1694969124591355</v>
      </c>
    </row>
    <row r="12" spans="1:18" x14ac:dyDescent="0.25">
      <c r="A12" t="s">
        <v>212</v>
      </c>
      <c r="D12" s="3">
        <f t="shared" si="2"/>
        <v>0.3078381420700278</v>
      </c>
      <c r="E12" s="3">
        <f t="shared" si="2"/>
        <v>0.22650056625141568</v>
      </c>
      <c r="I12" s="3"/>
      <c r="J12" s="3"/>
      <c r="K12" s="3"/>
      <c r="L12" s="3"/>
      <c r="M12" s="3">
        <f t="shared" ref="M12:P12" si="5">M5/I5-1</f>
        <v>0.39306542737379258</v>
      </c>
      <c r="N12" s="3" t="e">
        <f t="shared" si="5"/>
        <v>#DIV/0!</v>
      </c>
      <c r="O12" s="3" t="e">
        <f t="shared" si="5"/>
        <v>#DIV/0!</v>
      </c>
      <c r="P12" s="3" t="e">
        <f t="shared" si="5"/>
        <v>#DIV/0!</v>
      </c>
      <c r="Q12" s="3">
        <f>Q5/M5-1</f>
        <v>0.24520032706459527</v>
      </c>
      <c r="R12" s="3">
        <f>R5/N5-1</f>
        <v>0.23307977374683064</v>
      </c>
    </row>
    <row r="13" spans="1:18" x14ac:dyDescent="0.25">
      <c r="A13" t="s">
        <v>213</v>
      </c>
      <c r="D13" s="3">
        <f t="shared" si="2"/>
        <v>0.6014286773611488</v>
      </c>
      <c r="E13" s="3">
        <f t="shared" si="2"/>
        <v>0.77666733550448375</v>
      </c>
      <c r="I13" s="3"/>
      <c r="J13" s="3"/>
      <c r="K13" s="3"/>
      <c r="L13" s="3"/>
      <c r="M13" s="3">
        <f t="shared" ref="M13:P13" si="6">M6/I6-1</f>
        <v>0.48802275454424238</v>
      </c>
      <c r="N13" s="3" t="e">
        <f t="shared" si="6"/>
        <v>#DIV/0!</v>
      </c>
      <c r="O13" s="3" t="e">
        <f t="shared" si="6"/>
        <v>#DIV/0!</v>
      </c>
      <c r="P13" s="3" t="e">
        <f t="shared" si="6"/>
        <v>#DIV/0!</v>
      </c>
      <c r="Q13" s="3">
        <f>Q6/M6-1</f>
        <v>1.4115345558807717</v>
      </c>
      <c r="R13" s="3">
        <f>R6/N6-1</f>
        <v>1.5721919999999998</v>
      </c>
    </row>
    <row r="14" spans="1:18" x14ac:dyDescent="0.25">
      <c r="A14" t="s">
        <v>214</v>
      </c>
      <c r="D14" s="3">
        <f t="shared" si="2"/>
        <v>1.5056800979372622</v>
      </c>
      <c r="E14" s="3">
        <f t="shared" si="2"/>
        <v>0.4392563134032752</v>
      </c>
      <c r="I14" s="3"/>
      <c r="J14" s="3"/>
      <c r="K14" s="3"/>
      <c r="L14" s="3"/>
      <c r="M14" s="3">
        <f t="shared" ref="M14:P14" si="7">M7/I7-1</f>
        <v>1.5964715524306605</v>
      </c>
      <c r="N14" s="3" t="e">
        <f t="shared" si="7"/>
        <v>#DIV/0!</v>
      </c>
      <c r="O14" s="3" t="e">
        <f t="shared" si="7"/>
        <v>#DIV/0!</v>
      </c>
      <c r="P14" s="3" t="e">
        <f t="shared" si="7"/>
        <v>#DIV/0!</v>
      </c>
      <c r="Q14" s="3">
        <f>Q7/M7-1</f>
        <v>0.24004053560155492</v>
      </c>
      <c r="R14" s="3">
        <f>R7/N7-1</f>
        <v>0.49101030997191231</v>
      </c>
    </row>
    <row r="16" spans="1:18" x14ac:dyDescent="0.25">
      <c r="A16" s="127" t="s">
        <v>215</v>
      </c>
    </row>
    <row r="17" spans="1:18" x14ac:dyDescent="0.25">
      <c r="A17" t="s">
        <v>216</v>
      </c>
      <c r="B17" s="10"/>
      <c r="C17" s="10">
        <v>148.17099999999999</v>
      </c>
      <c r="D17" s="10">
        <v>242.364</v>
      </c>
      <c r="E17" s="10">
        <v>329.47300000000001</v>
      </c>
      <c r="I17" s="10">
        <v>39.715000000000003</v>
      </c>
      <c r="M17" s="10">
        <v>69.698999999999998</v>
      </c>
      <c r="N17" s="10">
        <v>66.643000000000001</v>
      </c>
      <c r="O17" s="10">
        <v>68.007000000000005</v>
      </c>
      <c r="P17" s="10">
        <v>97.286000000000001</v>
      </c>
      <c r="Q17" s="10">
        <v>97.537000000000006</v>
      </c>
      <c r="R17" s="10">
        <v>102.352</v>
      </c>
    </row>
    <row r="18" spans="1:18" x14ac:dyDescent="0.25">
      <c r="A18" t="s">
        <v>217</v>
      </c>
      <c r="B18" s="10"/>
      <c r="C18" s="10">
        <v>40.97</v>
      </c>
      <c r="D18" s="10">
        <v>51.256</v>
      </c>
      <c r="E18" s="10">
        <v>78.715999999999994</v>
      </c>
      <c r="I18" s="10">
        <v>11.502000000000001</v>
      </c>
      <c r="M18" s="10">
        <v>14.773999999999999</v>
      </c>
      <c r="N18" s="10">
        <v>16.652000000000001</v>
      </c>
      <c r="O18" s="10">
        <v>16.834</v>
      </c>
      <c r="P18" s="10">
        <v>23.594999999999999</v>
      </c>
      <c r="Q18" s="10">
        <v>21.635000000000002</v>
      </c>
      <c r="R18" s="10">
        <v>21.347999999999999</v>
      </c>
    </row>
    <row r="19" spans="1:18" x14ac:dyDescent="0.25">
      <c r="A19" t="s">
        <v>218</v>
      </c>
      <c r="B19" s="10"/>
      <c r="C19" s="10">
        <v>1.8149999999999999</v>
      </c>
      <c r="D19" s="10">
        <v>6.7649999999999997</v>
      </c>
      <c r="E19" s="10">
        <v>9.2970000000000006</v>
      </c>
      <c r="I19" s="10">
        <v>0.51700000000000002</v>
      </c>
      <c r="M19" s="10">
        <v>2.0270000000000001</v>
      </c>
      <c r="N19" s="10">
        <v>2.0049999999999999</v>
      </c>
      <c r="O19" s="10">
        <v>2.1680000000000001</v>
      </c>
      <c r="P19" s="10">
        <v>2.359</v>
      </c>
      <c r="Q19" s="10">
        <v>2.7650000000000001</v>
      </c>
      <c r="R19" s="10">
        <v>2.58</v>
      </c>
    </row>
    <row r="20" spans="1:18" x14ac:dyDescent="0.25">
      <c r="A20" t="s">
        <v>219</v>
      </c>
      <c r="B20" s="10"/>
      <c r="C20" s="10">
        <v>25.556999999999999</v>
      </c>
      <c r="D20" s="10">
        <v>43.728999999999999</v>
      </c>
      <c r="E20" s="10">
        <v>60.548000000000002</v>
      </c>
      <c r="I20" s="10">
        <v>6.4050000000000002</v>
      </c>
      <c r="M20" s="10">
        <v>12.840999999999999</v>
      </c>
      <c r="N20" s="10">
        <v>13.555</v>
      </c>
      <c r="O20" s="10">
        <v>13.958</v>
      </c>
      <c r="P20" s="10">
        <v>17.77</v>
      </c>
      <c r="Q20" s="10">
        <v>15.265000000000001</v>
      </c>
      <c r="R20" s="10">
        <v>17.318000000000001</v>
      </c>
    </row>
    <row r="21" spans="1:18" x14ac:dyDescent="0.25">
      <c r="A21" t="s">
        <v>24</v>
      </c>
      <c r="B21" s="10"/>
      <c r="C21" s="10">
        <v>45.301000000000002</v>
      </c>
      <c r="D21" s="10">
        <v>53.186999999999998</v>
      </c>
      <c r="E21" s="10">
        <v>78.480999999999995</v>
      </c>
      <c r="I21" s="10">
        <v>13.048</v>
      </c>
      <c r="M21" s="10">
        <v>16.155000000000001</v>
      </c>
      <c r="N21" s="10">
        <v>16.603999999999999</v>
      </c>
      <c r="O21" s="10">
        <v>17.297000000000001</v>
      </c>
      <c r="P21" s="10">
        <v>23.228999999999999</v>
      </c>
      <c r="Q21" s="10">
        <v>21.350999999999999</v>
      </c>
      <c r="R21" s="10">
        <v>23.957999999999998</v>
      </c>
    </row>
    <row r="22" spans="1:18" s="1" customFormat="1" x14ac:dyDescent="0.25">
      <c r="A22" s="1" t="s">
        <v>209</v>
      </c>
      <c r="B22" s="11">
        <f>SUM(B17:B21)</f>
        <v>0</v>
      </c>
      <c r="C22" s="11">
        <f t="shared" ref="C22:E22" si="8">SUM(C17:C21)</f>
        <v>261.81399999999996</v>
      </c>
      <c r="D22" s="11">
        <f>SUM(D17:D21)</f>
        <v>397.30099999999999</v>
      </c>
      <c r="E22" s="11">
        <f t="shared" si="8"/>
        <v>556.5150000000001</v>
      </c>
      <c r="I22" s="11">
        <f t="shared" ref="I22:P22" si="9">SUM(I17:I21)</f>
        <v>71.187000000000012</v>
      </c>
      <c r="J22" s="11">
        <f t="shared" si="9"/>
        <v>0</v>
      </c>
      <c r="K22" s="11">
        <f t="shared" si="9"/>
        <v>0</v>
      </c>
      <c r="L22" s="11">
        <f t="shared" si="9"/>
        <v>0</v>
      </c>
      <c r="M22" s="11">
        <f t="shared" si="9"/>
        <v>115.496</v>
      </c>
      <c r="N22" s="11">
        <f t="shared" ref="N22" si="10">SUM(N17:N21)</f>
        <v>115.45899999999999</v>
      </c>
      <c r="O22" s="11">
        <f t="shared" si="9"/>
        <v>118.26400000000001</v>
      </c>
      <c r="P22" s="11">
        <f t="shared" si="9"/>
        <v>164.23899999999998</v>
      </c>
      <c r="Q22" s="11">
        <f>SUM(Q17:Q21)</f>
        <v>158.553</v>
      </c>
      <c r="R22" s="11">
        <f>SUM(R17:R21)</f>
        <v>167.55600000000001</v>
      </c>
    </row>
    <row r="24" spans="1:18" x14ac:dyDescent="0.25">
      <c r="A24" t="s">
        <v>220</v>
      </c>
      <c r="B24" s="3" t="e">
        <f>1-B22/B8</f>
        <v>#DIV/0!</v>
      </c>
      <c r="C24" s="3">
        <f>1-C22/C8</f>
        <v>0.2758947808025578</v>
      </c>
      <c r="D24" s="3">
        <f>1-D22/D8</f>
        <v>0.38057604879296048</v>
      </c>
      <c r="E24" s="3">
        <f>1-E22/E8</f>
        <v>0.44292402449266399</v>
      </c>
      <c r="I24" s="3">
        <f t="shared" ref="I24:P24" si="11">1-I22/I8</f>
        <v>0.29116381885529918</v>
      </c>
      <c r="J24" s="3" t="e">
        <f t="shared" si="11"/>
        <v>#DIV/0!</v>
      </c>
      <c r="K24" s="3" t="e">
        <f t="shared" si="11"/>
        <v>#DIV/0!</v>
      </c>
      <c r="L24" s="3" t="e">
        <f t="shared" si="11"/>
        <v>#DIV/0!</v>
      </c>
      <c r="M24" s="3">
        <f t="shared" si="11"/>
        <v>0.37605480103292166</v>
      </c>
      <c r="N24" s="3">
        <f t="shared" ref="N24" si="12">1-N22/N8</f>
        <v>0.39607176482895712</v>
      </c>
      <c r="O24" s="3">
        <f t="shared" si="11"/>
        <v>0.43770296163519928</v>
      </c>
      <c r="P24" s="3">
        <f t="shared" si="11"/>
        <v>0.44696018183348785</v>
      </c>
      <c r="Q24" s="3">
        <f>1-Q22/Q8</f>
        <v>0.4723957206795002</v>
      </c>
      <c r="R24" s="3">
        <f>1-R22/R8</f>
        <v>0.47422855098749228</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activeCell="S9" sqref="S9"/>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36</v>
      </c>
      <c r="B1" t="s">
        <v>49</v>
      </c>
      <c r="C1" s="17" t="s">
        <v>50</v>
      </c>
    </row>
    <row r="2" spans="1:13" x14ac:dyDescent="0.25">
      <c r="B2" s="12"/>
      <c r="C2" s="18"/>
      <c r="E2" t="s">
        <v>49</v>
      </c>
      <c r="F2" t="s">
        <v>51</v>
      </c>
      <c r="M2" t="s">
        <v>52</v>
      </c>
    </row>
    <row r="3" spans="1:13" x14ac:dyDescent="0.25">
      <c r="B3" s="12"/>
      <c r="C3" s="18"/>
      <c r="E3" s="12">
        <v>45328</v>
      </c>
      <c r="F3" t="s">
        <v>54</v>
      </c>
      <c r="M3" s="12"/>
    </row>
    <row r="4" spans="1:13" x14ac:dyDescent="0.25">
      <c r="B4" s="12"/>
      <c r="C4" s="18"/>
      <c r="E4" s="12">
        <v>45302</v>
      </c>
      <c r="F4" t="s">
        <v>54</v>
      </c>
      <c r="M4" s="12"/>
    </row>
    <row r="5" spans="1:13" x14ac:dyDescent="0.25">
      <c r="B5" s="12"/>
      <c r="C5" s="18"/>
      <c r="M5" s="12"/>
    </row>
    <row r="6" spans="1:13" x14ac:dyDescent="0.25">
      <c r="B6" s="12"/>
      <c r="C6" s="18"/>
      <c r="M6" s="12"/>
    </row>
    <row r="7" spans="1:13" x14ac:dyDescent="0.25">
      <c r="B7" s="12"/>
      <c r="C7" s="18"/>
      <c r="M7" s="12"/>
    </row>
    <row r="8" spans="1:13" x14ac:dyDescent="0.25">
      <c r="B8" s="12"/>
      <c r="C8" s="18"/>
      <c r="M8" s="12"/>
    </row>
    <row r="9" spans="1:13" x14ac:dyDescent="0.25">
      <c r="B9" s="12"/>
      <c r="C9" s="18"/>
      <c r="M9" s="12"/>
    </row>
    <row r="10" spans="1:13" x14ac:dyDescent="0.25">
      <c r="B10" s="12"/>
      <c r="C10" s="18"/>
      <c r="M10" s="12"/>
    </row>
    <row r="11" spans="1:13" x14ac:dyDescent="0.25">
      <c r="B11" s="12"/>
      <c r="C11" s="18"/>
      <c r="M11" s="12"/>
    </row>
    <row r="12" spans="1:13" x14ac:dyDescent="0.25">
      <c r="B12" s="12"/>
      <c r="C12" s="18"/>
      <c r="M12" s="12"/>
    </row>
    <row r="13" spans="1:13" x14ac:dyDescent="0.25">
      <c r="B13" s="12"/>
      <c r="C13" s="18"/>
    </row>
    <row r="14" spans="1:13" x14ac:dyDescent="0.25">
      <c r="B14" s="12"/>
      <c r="C14" s="18"/>
    </row>
    <row r="15" spans="1:13" x14ac:dyDescent="0.25">
      <c r="B15" s="12"/>
      <c r="C15" s="18"/>
    </row>
    <row r="16" spans="1:13" x14ac:dyDescent="0.25">
      <c r="B16" s="12"/>
      <c r="C16" s="18"/>
    </row>
    <row r="17" spans="2:3" x14ac:dyDescent="0.25">
      <c r="B17" s="12"/>
      <c r="C17" s="18"/>
    </row>
    <row r="18" spans="2:3" x14ac:dyDescent="0.25">
      <c r="B18" s="12"/>
      <c r="C18" s="18"/>
    </row>
    <row r="19" spans="2:3" x14ac:dyDescent="0.25">
      <c r="B19" s="12"/>
      <c r="C19" s="18"/>
    </row>
    <row r="20" spans="2:3" x14ac:dyDescent="0.25">
      <c r="B20" s="12"/>
      <c r="C20" s="18"/>
    </row>
    <row r="21" spans="2:3" x14ac:dyDescent="0.25">
      <c r="B21" s="12"/>
      <c r="C21" s="18"/>
    </row>
    <row r="22" spans="2:3" x14ac:dyDescent="0.25">
      <c r="B22" s="12"/>
      <c r="C22" s="18"/>
    </row>
    <row r="23" spans="2:3" x14ac:dyDescent="0.25">
      <c r="B23" s="12"/>
      <c r="C23" s="18"/>
    </row>
    <row r="24" spans="2:3" x14ac:dyDescent="0.25">
      <c r="B24" s="12"/>
      <c r="C24" s="18"/>
    </row>
    <row r="25" spans="2:3" x14ac:dyDescent="0.25">
      <c r="B25" s="12"/>
      <c r="C25" s="18"/>
    </row>
    <row r="26" spans="2:3" x14ac:dyDescent="0.25">
      <c r="B26" s="12"/>
      <c r="C26" s="18"/>
    </row>
    <row r="27" spans="2:3" x14ac:dyDescent="0.25">
      <c r="B27" s="12"/>
      <c r="C27" s="18"/>
    </row>
    <row r="28" spans="2:3" x14ac:dyDescent="0.25">
      <c r="B28" s="12"/>
      <c r="C28" s="18"/>
    </row>
    <row r="29" spans="2:3" x14ac:dyDescent="0.25">
      <c r="B29" s="12"/>
      <c r="C29" s="18"/>
    </row>
    <row r="30" spans="2:3" x14ac:dyDescent="0.25">
      <c r="B30" s="12"/>
      <c r="C30" s="18"/>
    </row>
    <row r="31" spans="2:3" x14ac:dyDescent="0.25">
      <c r="B31" s="12"/>
      <c r="C31" s="18"/>
    </row>
    <row r="32" spans="2:3" x14ac:dyDescent="0.25">
      <c r="B32" s="12"/>
      <c r="C32" s="18"/>
    </row>
    <row r="33" spans="2:3" x14ac:dyDescent="0.25">
      <c r="B33" s="12"/>
      <c r="C33" s="18"/>
    </row>
    <row r="34" spans="2:3" x14ac:dyDescent="0.25">
      <c r="B34" s="12"/>
      <c r="C34" s="18"/>
    </row>
    <row r="35" spans="2:3" x14ac:dyDescent="0.25">
      <c r="B35" s="12"/>
      <c r="C35" s="18"/>
    </row>
    <row r="36" spans="2:3" x14ac:dyDescent="0.25">
      <c r="B36" s="12"/>
      <c r="C36" s="18"/>
    </row>
    <row r="37" spans="2:3" x14ac:dyDescent="0.25">
      <c r="B37" s="12"/>
      <c r="C37" s="18"/>
    </row>
    <row r="38" spans="2:3" x14ac:dyDescent="0.25">
      <c r="B38" s="12"/>
      <c r="C38" s="18"/>
    </row>
    <row r="39" spans="2:3" x14ac:dyDescent="0.25">
      <c r="B39" s="12"/>
      <c r="C39" s="18"/>
    </row>
    <row r="40" spans="2:3" x14ac:dyDescent="0.25">
      <c r="B40" s="12"/>
      <c r="C40" s="18"/>
    </row>
    <row r="41" spans="2:3" x14ac:dyDescent="0.25">
      <c r="B41" s="12"/>
      <c r="C41" s="18"/>
    </row>
    <row r="42" spans="2:3" x14ac:dyDescent="0.25">
      <c r="B42" s="12"/>
      <c r="C42" s="18"/>
    </row>
    <row r="43" spans="2:3" x14ac:dyDescent="0.25">
      <c r="B43" s="12"/>
      <c r="C43" s="18"/>
    </row>
    <row r="44" spans="2:3" x14ac:dyDescent="0.25">
      <c r="B44" s="12"/>
      <c r="C44" s="18"/>
    </row>
    <row r="45" spans="2:3" x14ac:dyDescent="0.25">
      <c r="B45" s="12"/>
      <c r="C45" s="18"/>
    </row>
    <row r="46" spans="2:3" x14ac:dyDescent="0.25">
      <c r="B46" s="12"/>
      <c r="C46" s="18"/>
    </row>
    <row r="47" spans="2:3" x14ac:dyDescent="0.25">
      <c r="B47" s="12"/>
      <c r="C47" s="18"/>
    </row>
    <row r="48" spans="2:3" x14ac:dyDescent="0.25">
      <c r="B48" s="12"/>
      <c r="C48" s="18"/>
    </row>
    <row r="49" spans="2:3" x14ac:dyDescent="0.25">
      <c r="B49" s="12"/>
      <c r="C49" s="18"/>
    </row>
    <row r="50" spans="2:3" x14ac:dyDescent="0.25">
      <c r="B50" s="12"/>
      <c r="C50" s="18"/>
    </row>
    <row r="51" spans="2:3" x14ac:dyDescent="0.25">
      <c r="B51" s="12"/>
      <c r="C51" s="18"/>
    </row>
    <row r="52" spans="2:3" x14ac:dyDescent="0.25">
      <c r="B52" s="12"/>
      <c r="C52" s="18"/>
    </row>
    <row r="53" spans="2:3" x14ac:dyDescent="0.25">
      <c r="B53" s="12"/>
      <c r="C53" s="18"/>
    </row>
    <row r="54" spans="2:3" x14ac:dyDescent="0.25">
      <c r="B54" s="12"/>
      <c r="C54" s="18"/>
    </row>
    <row r="55" spans="2:3" x14ac:dyDescent="0.25">
      <c r="B55" s="12"/>
      <c r="C55" s="18"/>
    </row>
    <row r="56" spans="2:3" x14ac:dyDescent="0.25">
      <c r="B56" s="12"/>
      <c r="C56" s="18"/>
    </row>
    <row r="57" spans="2:3" x14ac:dyDescent="0.25">
      <c r="B57" s="12"/>
      <c r="C57" s="18"/>
    </row>
    <row r="58" spans="2:3" x14ac:dyDescent="0.25">
      <c r="B58" s="12"/>
      <c r="C58" s="18"/>
    </row>
    <row r="59" spans="2:3" x14ac:dyDescent="0.25">
      <c r="B59" s="12"/>
      <c r="C59" s="18"/>
    </row>
    <row r="60" spans="2:3" x14ac:dyDescent="0.25">
      <c r="B60" s="12"/>
      <c r="C60" s="18"/>
    </row>
    <row r="61" spans="2:3" x14ac:dyDescent="0.25">
      <c r="B61" s="12"/>
      <c r="C61" s="18"/>
    </row>
    <row r="62" spans="2:3" x14ac:dyDescent="0.25">
      <c r="B62" s="12"/>
      <c r="C62" s="18"/>
    </row>
    <row r="63" spans="2:3" x14ac:dyDescent="0.25">
      <c r="B63" s="12"/>
      <c r="C63" s="18"/>
    </row>
    <row r="64" spans="2:3" x14ac:dyDescent="0.25">
      <c r="B64" s="12"/>
      <c r="C64" s="18"/>
    </row>
    <row r="65" spans="2:3" x14ac:dyDescent="0.25">
      <c r="B65" s="12"/>
      <c r="C65" s="18"/>
    </row>
    <row r="66" spans="2:3" x14ac:dyDescent="0.25">
      <c r="B66" s="12"/>
      <c r="C66" s="18"/>
    </row>
    <row r="67" spans="2:3" x14ac:dyDescent="0.25">
      <c r="B67" s="12"/>
      <c r="C67" s="18"/>
    </row>
    <row r="68" spans="2:3" x14ac:dyDescent="0.25">
      <c r="B68" s="12"/>
      <c r="C68" s="18"/>
    </row>
    <row r="69" spans="2:3" x14ac:dyDescent="0.25">
      <c r="B69" s="12"/>
      <c r="C69" s="18"/>
    </row>
    <row r="70" spans="2:3" x14ac:dyDescent="0.25">
      <c r="B70" s="12"/>
      <c r="C70" s="18"/>
    </row>
    <row r="71" spans="2:3" x14ac:dyDescent="0.25">
      <c r="B71" s="12"/>
      <c r="C71" s="18"/>
    </row>
    <row r="72" spans="2:3" x14ac:dyDescent="0.25">
      <c r="B72" s="12"/>
      <c r="C72" s="18"/>
    </row>
    <row r="73" spans="2:3" x14ac:dyDescent="0.25">
      <c r="B73" s="12"/>
      <c r="C73" s="18"/>
    </row>
    <row r="74" spans="2:3" x14ac:dyDescent="0.25">
      <c r="B74" s="12"/>
      <c r="C74" s="18"/>
    </row>
    <row r="75" spans="2:3" x14ac:dyDescent="0.25">
      <c r="B75" s="12"/>
      <c r="C75" s="18"/>
    </row>
    <row r="76" spans="2:3" x14ac:dyDescent="0.25">
      <c r="B76" s="12"/>
      <c r="C76" s="18"/>
    </row>
    <row r="77" spans="2:3" x14ac:dyDescent="0.25">
      <c r="B77" s="12"/>
      <c r="C77" s="18"/>
    </row>
    <row r="78" spans="2:3" x14ac:dyDescent="0.25">
      <c r="B78" s="12"/>
      <c r="C78" s="18"/>
    </row>
    <row r="79" spans="2:3" x14ac:dyDescent="0.25">
      <c r="B79" s="12"/>
      <c r="C79" s="18"/>
    </row>
    <row r="80" spans="2:3" x14ac:dyDescent="0.25">
      <c r="B80" s="12"/>
      <c r="C80" s="18"/>
    </row>
    <row r="81" spans="2:3" x14ac:dyDescent="0.25">
      <c r="B81" s="12"/>
      <c r="C81" s="18"/>
    </row>
    <row r="82" spans="2:3" x14ac:dyDescent="0.25">
      <c r="B82" s="12"/>
      <c r="C82" s="18"/>
    </row>
    <row r="83" spans="2:3" x14ac:dyDescent="0.25">
      <c r="B83" s="12"/>
      <c r="C83" s="18"/>
    </row>
    <row r="84" spans="2:3" x14ac:dyDescent="0.25">
      <c r="B84" s="12"/>
      <c r="C84" s="18"/>
    </row>
    <row r="85" spans="2:3" x14ac:dyDescent="0.25">
      <c r="B85" s="12"/>
      <c r="C85" s="18"/>
    </row>
    <row r="86" spans="2:3" x14ac:dyDescent="0.25">
      <c r="B86" s="12"/>
      <c r="C86" s="18"/>
    </row>
    <row r="87" spans="2:3" x14ac:dyDescent="0.25">
      <c r="B87" s="12"/>
      <c r="C87" s="18"/>
    </row>
    <row r="88" spans="2:3" x14ac:dyDescent="0.25">
      <c r="B88" s="12"/>
      <c r="C88" s="18"/>
    </row>
    <row r="89" spans="2:3" x14ac:dyDescent="0.25">
      <c r="B89" s="12"/>
      <c r="C89" s="18"/>
    </row>
    <row r="90" spans="2:3" x14ac:dyDescent="0.25">
      <c r="B90" s="12"/>
      <c r="C90" s="18"/>
    </row>
    <row r="91" spans="2:3" x14ac:dyDescent="0.25">
      <c r="B91" s="12"/>
      <c r="C91" s="18"/>
    </row>
    <row r="92" spans="2:3" x14ac:dyDescent="0.25">
      <c r="B92" s="12"/>
      <c r="C92" s="18"/>
    </row>
    <row r="93" spans="2:3" x14ac:dyDescent="0.25">
      <c r="B93" s="12"/>
      <c r="C93" s="18"/>
    </row>
    <row r="94" spans="2:3" x14ac:dyDescent="0.25">
      <c r="B94" s="12"/>
      <c r="C94" s="18"/>
    </row>
    <row r="95" spans="2:3" x14ac:dyDescent="0.25">
      <c r="B95" s="12"/>
      <c r="C95" s="18"/>
    </row>
    <row r="96" spans="2:3" x14ac:dyDescent="0.25">
      <c r="B96" s="12"/>
      <c r="C96" s="18"/>
    </row>
    <row r="97" spans="2:3" x14ac:dyDescent="0.25">
      <c r="B97" s="12"/>
      <c r="C97" s="18"/>
    </row>
    <row r="98" spans="2:3" x14ac:dyDescent="0.25">
      <c r="B98" s="12"/>
      <c r="C98" s="18"/>
    </row>
    <row r="99" spans="2:3" x14ac:dyDescent="0.25">
      <c r="B99" s="12"/>
      <c r="C99" s="18"/>
    </row>
    <row r="100" spans="2:3" x14ac:dyDescent="0.25">
      <c r="B100" s="12"/>
      <c r="C100" s="18"/>
    </row>
    <row r="101" spans="2:3" x14ac:dyDescent="0.25">
      <c r="B101" s="12"/>
      <c r="C101" s="18"/>
    </row>
    <row r="102" spans="2:3" x14ac:dyDescent="0.25">
      <c r="B102" s="12"/>
      <c r="C102" s="18"/>
    </row>
    <row r="103" spans="2:3" x14ac:dyDescent="0.25">
      <c r="B103" s="12"/>
      <c r="C103" s="18"/>
    </row>
    <row r="104" spans="2:3" x14ac:dyDescent="0.25">
      <c r="B104" s="12"/>
      <c r="C104" s="18"/>
    </row>
    <row r="105" spans="2:3" x14ac:dyDescent="0.25">
      <c r="B105" s="12"/>
      <c r="C105" s="18"/>
    </row>
    <row r="106" spans="2:3" x14ac:dyDescent="0.25">
      <c r="B106" s="12"/>
      <c r="C106" s="18"/>
    </row>
    <row r="107" spans="2:3" x14ac:dyDescent="0.25">
      <c r="B107" s="12"/>
      <c r="C107" s="18"/>
    </row>
    <row r="108" spans="2:3" x14ac:dyDescent="0.25">
      <c r="B108" s="12"/>
      <c r="C108" s="18"/>
    </row>
    <row r="109" spans="2:3" x14ac:dyDescent="0.25">
      <c r="B109" s="12"/>
      <c r="C109" s="18"/>
    </row>
    <row r="110" spans="2:3" x14ac:dyDescent="0.25">
      <c r="B110" s="12"/>
      <c r="C110" s="18"/>
    </row>
    <row r="111" spans="2:3" x14ac:dyDescent="0.25">
      <c r="B111" s="12"/>
      <c r="C111" s="18"/>
    </row>
    <row r="112" spans="2:3" x14ac:dyDescent="0.25">
      <c r="B112" s="12"/>
      <c r="C112" s="18"/>
    </row>
    <row r="113" spans="2:3" x14ac:dyDescent="0.25">
      <c r="B113" s="12"/>
      <c r="C113" s="18"/>
    </row>
    <row r="114" spans="2:3" x14ac:dyDescent="0.25">
      <c r="B114" s="12"/>
      <c r="C114" s="18"/>
    </row>
    <row r="115" spans="2:3" x14ac:dyDescent="0.25">
      <c r="B115" s="12"/>
      <c r="C115" s="18"/>
    </row>
    <row r="116" spans="2:3" x14ac:dyDescent="0.25">
      <c r="B116" s="12"/>
      <c r="C116" s="18"/>
    </row>
    <row r="117" spans="2:3" x14ac:dyDescent="0.25">
      <c r="B117" s="12"/>
      <c r="C117" s="18"/>
    </row>
    <row r="118" spans="2:3" x14ac:dyDescent="0.25">
      <c r="B118" s="12"/>
      <c r="C118" s="18"/>
    </row>
    <row r="119" spans="2:3" x14ac:dyDescent="0.25">
      <c r="B119" s="12"/>
      <c r="C119" s="18"/>
    </row>
    <row r="120" spans="2:3" x14ac:dyDescent="0.25">
      <c r="B120" s="12"/>
      <c r="C120" s="18"/>
    </row>
    <row r="121" spans="2:3" x14ac:dyDescent="0.25">
      <c r="B121" s="12"/>
      <c r="C121" s="18"/>
    </row>
    <row r="122" spans="2:3" x14ac:dyDescent="0.25">
      <c r="B122" s="12"/>
      <c r="C122" s="18"/>
    </row>
    <row r="123" spans="2:3" x14ac:dyDescent="0.25">
      <c r="B123" s="12"/>
      <c r="C123" s="18"/>
    </row>
    <row r="124" spans="2:3" x14ac:dyDescent="0.25">
      <c r="B124" s="12"/>
      <c r="C124" s="18"/>
    </row>
    <row r="125" spans="2:3" x14ac:dyDescent="0.25">
      <c r="B125" s="12"/>
      <c r="C125" s="18"/>
    </row>
    <row r="126" spans="2:3" x14ac:dyDescent="0.25">
      <c r="B126" s="12"/>
      <c r="C126" s="18"/>
    </row>
    <row r="127" spans="2:3" x14ac:dyDescent="0.25">
      <c r="B127" s="12"/>
      <c r="C127" s="18"/>
    </row>
    <row r="128" spans="2:3" x14ac:dyDescent="0.25">
      <c r="B128" s="12"/>
      <c r="C128" s="18"/>
    </row>
    <row r="129" spans="2:3" x14ac:dyDescent="0.25">
      <c r="B129" s="12"/>
      <c r="C129" s="18"/>
    </row>
    <row r="130" spans="2:3" x14ac:dyDescent="0.25">
      <c r="B130" s="12"/>
      <c r="C130" s="18"/>
    </row>
    <row r="131" spans="2:3" x14ac:dyDescent="0.25">
      <c r="B131" s="12"/>
      <c r="C131" s="18"/>
    </row>
    <row r="132" spans="2:3" x14ac:dyDescent="0.25">
      <c r="B132" s="12"/>
      <c r="C132" s="18"/>
    </row>
    <row r="133" spans="2:3" x14ac:dyDescent="0.25">
      <c r="B133" s="12"/>
      <c r="C133" s="18"/>
    </row>
    <row r="134" spans="2:3" x14ac:dyDescent="0.25">
      <c r="B134" s="12"/>
      <c r="C134" s="18"/>
    </row>
    <row r="135" spans="2:3" x14ac:dyDescent="0.25">
      <c r="B135" s="12"/>
      <c r="C135" s="18"/>
    </row>
    <row r="136" spans="2:3" x14ac:dyDescent="0.25">
      <c r="B136" s="12"/>
      <c r="C136" s="18"/>
    </row>
    <row r="137" spans="2:3" x14ac:dyDescent="0.25">
      <c r="B137" s="12"/>
      <c r="C137" s="18"/>
    </row>
    <row r="138" spans="2:3" x14ac:dyDescent="0.25">
      <c r="B138" s="12"/>
      <c r="C138" s="18"/>
    </row>
    <row r="139" spans="2:3" x14ac:dyDescent="0.25">
      <c r="B139" s="12"/>
      <c r="C139" s="18"/>
    </row>
    <row r="140" spans="2:3" x14ac:dyDescent="0.25">
      <c r="B140" s="12"/>
      <c r="C140" s="18"/>
    </row>
    <row r="141" spans="2:3" x14ac:dyDescent="0.25">
      <c r="B141" s="12"/>
      <c r="C141" s="18"/>
    </row>
    <row r="142" spans="2:3" x14ac:dyDescent="0.25">
      <c r="B142" s="12"/>
      <c r="C142" s="18"/>
    </row>
    <row r="143" spans="2:3" x14ac:dyDescent="0.25">
      <c r="B143" s="12"/>
      <c r="C143" s="18"/>
    </row>
    <row r="144" spans="2:3" x14ac:dyDescent="0.25">
      <c r="B144" s="12"/>
      <c r="C144" s="18"/>
    </row>
    <row r="145" spans="2:3" x14ac:dyDescent="0.25">
      <c r="B145" s="12"/>
      <c r="C145" s="18"/>
    </row>
    <row r="146" spans="2:3" x14ac:dyDescent="0.25">
      <c r="B146" s="12"/>
      <c r="C146" s="18"/>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68"/>
  <sheetViews>
    <sheetView topLeftCell="A39" workbookViewId="0">
      <selection activeCell="G71" sqref="G71"/>
    </sheetView>
  </sheetViews>
  <sheetFormatPr defaultRowHeight="15" x14ac:dyDescent="0.25"/>
  <cols>
    <col min="1" max="1" width="5.5703125"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36</v>
      </c>
      <c r="B1" s="1" t="s">
        <v>49</v>
      </c>
      <c r="C1" s="1" t="s">
        <v>0</v>
      </c>
      <c r="D1" s="1" t="s">
        <v>90</v>
      </c>
      <c r="H1" s="141" t="s">
        <v>91</v>
      </c>
      <c r="I1" s="142"/>
      <c r="J1" s="142"/>
      <c r="K1" s="142"/>
      <c r="L1" s="142"/>
      <c r="M1" s="143"/>
    </row>
    <row r="2" spans="1:13" ht="15.75" thickBot="1" x14ac:dyDescent="0.3">
      <c r="D2" t="e">
        <f>C2/C3-1</f>
        <v>#DIV/0!</v>
      </c>
      <c r="H2" s="64"/>
      <c r="I2" s="65"/>
      <c r="J2" s="65"/>
      <c r="K2" s="65"/>
      <c r="L2" s="65"/>
      <c r="M2" s="66"/>
    </row>
    <row r="3" spans="1:13" ht="15.75" thickBot="1" x14ac:dyDescent="0.3">
      <c r="D3" t="e">
        <f t="shared" ref="D3:D66" si="0">C3/C4-1</f>
        <v>#DIV/0!</v>
      </c>
      <c r="H3" s="67" t="s">
        <v>92</v>
      </c>
      <c r="I3" s="68" t="s">
        <v>93</v>
      </c>
      <c r="J3" s="69" t="s">
        <v>94</v>
      </c>
      <c r="K3" s="70" t="s">
        <v>95</v>
      </c>
      <c r="L3" s="70" t="s">
        <v>96</v>
      </c>
      <c r="M3" s="71" t="s">
        <v>97</v>
      </c>
    </row>
    <row r="4" spans="1:13" x14ac:dyDescent="0.25">
      <c r="D4" t="e">
        <f t="shared" si="0"/>
        <v>#DIV/0!</v>
      </c>
      <c r="H4" s="72" t="e">
        <f>$I$19-3*$I$23</f>
        <v>#DIV/0!</v>
      </c>
      <c r="I4" s="73" t="e">
        <f>H4</f>
        <v>#DIV/0!</v>
      </c>
      <c r="J4" s="74">
        <f>COUNTIF(D:D,"&lt;="&amp;H4)</f>
        <v>67</v>
      </c>
      <c r="K4" s="74" t="e">
        <f>"Less than "&amp;TEXT(H4,"0,00%")</f>
        <v>#DIV/0!</v>
      </c>
      <c r="L4" s="75" t="e">
        <f>J4/$I$31</f>
        <v>#DIV/0!</v>
      </c>
      <c r="M4" s="76" t="e">
        <f>L4</f>
        <v>#DIV/0!</v>
      </c>
    </row>
    <row r="5" spans="1:13" x14ac:dyDescent="0.25">
      <c r="D5" t="e">
        <f t="shared" si="0"/>
        <v>#DIV/0!</v>
      </c>
      <c r="H5" s="77" t="e">
        <f>$I$19-2.4*$I$23</f>
        <v>#DIV/0!</v>
      </c>
      <c r="I5" s="78" t="e">
        <f>H5</f>
        <v>#DIV/0!</v>
      </c>
      <c r="J5" s="79">
        <f>COUNTIFS(D:D,"&lt;="&amp;H5,D:D,"&gt;"&amp;H4)</f>
        <v>67</v>
      </c>
      <c r="K5" s="80" t="e">
        <f t="shared" ref="K5:K14" si="1">TEXT(H4,"0,00%")&amp;" to "&amp;TEXT(H5,"0,00%")</f>
        <v>#DIV/0!</v>
      </c>
      <c r="L5" s="81" t="e">
        <f>J5/$I$31</f>
        <v>#DIV/0!</v>
      </c>
      <c r="M5" s="82" t="e">
        <f>M4+L5</f>
        <v>#DIV/0!</v>
      </c>
    </row>
    <row r="6" spans="1:13" x14ac:dyDescent="0.25">
      <c r="D6" t="e">
        <f t="shared" si="0"/>
        <v>#DIV/0!</v>
      </c>
      <c r="H6" s="77" t="e">
        <f>$I$19-1.8*$I$23</f>
        <v>#DIV/0!</v>
      </c>
      <c r="I6" s="78" t="e">
        <f t="shared" ref="I6:I14" si="2">H6</f>
        <v>#DIV/0!</v>
      </c>
      <c r="J6" s="79">
        <f t="shared" ref="J6:J14" si="3">COUNTIFS(D:D,"&lt;="&amp;H6,D:D,"&gt;"&amp;H5)</f>
        <v>67</v>
      </c>
      <c r="K6" s="80" t="e">
        <f t="shared" si="1"/>
        <v>#DIV/0!</v>
      </c>
      <c r="L6" s="81" t="e">
        <f t="shared" ref="L6:L15" si="4">J6/$I$31</f>
        <v>#DIV/0!</v>
      </c>
      <c r="M6" s="82" t="e">
        <f t="shared" ref="M6:M15" si="5">M5+L6</f>
        <v>#DIV/0!</v>
      </c>
    </row>
    <row r="7" spans="1:13" x14ac:dyDescent="0.25">
      <c r="D7" t="e">
        <f t="shared" si="0"/>
        <v>#DIV/0!</v>
      </c>
      <c r="H7" s="77" t="e">
        <f>$I$19-1.2*$I$23</f>
        <v>#DIV/0!</v>
      </c>
      <c r="I7" s="78" t="e">
        <f t="shared" si="2"/>
        <v>#DIV/0!</v>
      </c>
      <c r="J7" s="79">
        <f t="shared" si="3"/>
        <v>67</v>
      </c>
      <c r="K7" s="80" t="e">
        <f t="shared" si="1"/>
        <v>#DIV/0!</v>
      </c>
      <c r="L7" s="81" t="e">
        <f t="shared" si="4"/>
        <v>#DIV/0!</v>
      </c>
      <c r="M7" s="82" t="e">
        <f t="shared" si="5"/>
        <v>#DIV/0!</v>
      </c>
    </row>
    <row r="8" spans="1:13" x14ac:dyDescent="0.25">
      <c r="D8" t="e">
        <f t="shared" si="0"/>
        <v>#DIV/0!</v>
      </c>
      <c r="H8" s="77" t="e">
        <f>$I$19-0.6*$I$23</f>
        <v>#DIV/0!</v>
      </c>
      <c r="I8" s="78" t="e">
        <f t="shared" si="2"/>
        <v>#DIV/0!</v>
      </c>
      <c r="J8" s="79">
        <f t="shared" si="3"/>
        <v>67</v>
      </c>
      <c r="K8" s="80" t="e">
        <f t="shared" si="1"/>
        <v>#DIV/0!</v>
      </c>
      <c r="L8" s="81" t="e">
        <f t="shared" si="4"/>
        <v>#DIV/0!</v>
      </c>
      <c r="M8" s="82" t="e">
        <f t="shared" si="5"/>
        <v>#DIV/0!</v>
      </c>
    </row>
    <row r="9" spans="1:13" x14ac:dyDescent="0.25">
      <c r="D9" t="e">
        <f t="shared" si="0"/>
        <v>#DIV/0!</v>
      </c>
      <c r="H9" s="77" t="e">
        <f>$I$19</f>
        <v>#DIV/0!</v>
      </c>
      <c r="I9" s="78" t="e">
        <f t="shared" si="2"/>
        <v>#DIV/0!</v>
      </c>
      <c r="J9" s="79">
        <f t="shared" si="3"/>
        <v>67</v>
      </c>
      <c r="K9" s="80" t="e">
        <f t="shared" si="1"/>
        <v>#DIV/0!</v>
      </c>
      <c r="L9" s="81" t="e">
        <f t="shared" si="4"/>
        <v>#DIV/0!</v>
      </c>
      <c r="M9" s="82" t="e">
        <f t="shared" si="5"/>
        <v>#DIV/0!</v>
      </c>
    </row>
    <row r="10" spans="1:13" x14ac:dyDescent="0.25">
      <c r="D10" t="e">
        <f t="shared" si="0"/>
        <v>#DIV/0!</v>
      </c>
      <c r="H10" s="77" t="e">
        <f>$I$19+0.6*$I$23</f>
        <v>#DIV/0!</v>
      </c>
      <c r="I10" s="78" t="e">
        <f t="shared" si="2"/>
        <v>#DIV/0!</v>
      </c>
      <c r="J10" s="79">
        <f t="shared" si="3"/>
        <v>67</v>
      </c>
      <c r="K10" s="80" t="e">
        <f t="shared" si="1"/>
        <v>#DIV/0!</v>
      </c>
      <c r="L10" s="81" t="e">
        <f t="shared" si="4"/>
        <v>#DIV/0!</v>
      </c>
      <c r="M10" s="82" t="e">
        <f t="shared" si="5"/>
        <v>#DIV/0!</v>
      </c>
    </row>
    <row r="11" spans="1:13" x14ac:dyDescent="0.25">
      <c r="D11" t="e">
        <f t="shared" si="0"/>
        <v>#DIV/0!</v>
      </c>
      <c r="H11" s="77" t="e">
        <f>$I$19+1.2*$I$23</f>
        <v>#DIV/0!</v>
      </c>
      <c r="I11" s="78" t="e">
        <f t="shared" si="2"/>
        <v>#DIV/0!</v>
      </c>
      <c r="J11" s="79">
        <f t="shared" si="3"/>
        <v>67</v>
      </c>
      <c r="K11" s="80" t="e">
        <f t="shared" si="1"/>
        <v>#DIV/0!</v>
      </c>
      <c r="L11" s="81" t="e">
        <f t="shared" si="4"/>
        <v>#DIV/0!</v>
      </c>
      <c r="M11" s="82" t="e">
        <f t="shared" si="5"/>
        <v>#DIV/0!</v>
      </c>
    </row>
    <row r="12" spans="1:13" x14ac:dyDescent="0.25">
      <c r="D12" t="e">
        <f t="shared" si="0"/>
        <v>#DIV/0!</v>
      </c>
      <c r="H12" s="77" t="e">
        <f>$I$19+1.8*$I$23</f>
        <v>#DIV/0!</v>
      </c>
      <c r="I12" s="78" t="e">
        <f t="shared" si="2"/>
        <v>#DIV/0!</v>
      </c>
      <c r="J12" s="79">
        <f t="shared" si="3"/>
        <v>67</v>
      </c>
      <c r="K12" s="80" t="e">
        <f t="shared" si="1"/>
        <v>#DIV/0!</v>
      </c>
      <c r="L12" s="81" t="e">
        <f t="shared" si="4"/>
        <v>#DIV/0!</v>
      </c>
      <c r="M12" s="82" t="e">
        <f t="shared" si="5"/>
        <v>#DIV/0!</v>
      </c>
    </row>
    <row r="13" spans="1:13" x14ac:dyDescent="0.25">
      <c r="D13" t="e">
        <f t="shared" si="0"/>
        <v>#DIV/0!</v>
      </c>
      <c r="H13" s="77" t="e">
        <f>$I$19+2.4*$I$23</f>
        <v>#DIV/0!</v>
      </c>
      <c r="I13" s="78" t="e">
        <f t="shared" si="2"/>
        <v>#DIV/0!</v>
      </c>
      <c r="J13" s="79">
        <f t="shared" si="3"/>
        <v>67</v>
      </c>
      <c r="K13" s="80" t="e">
        <f t="shared" si="1"/>
        <v>#DIV/0!</v>
      </c>
      <c r="L13" s="81" t="e">
        <f t="shared" si="4"/>
        <v>#DIV/0!</v>
      </c>
      <c r="M13" s="82" t="e">
        <f t="shared" si="5"/>
        <v>#DIV/0!</v>
      </c>
    </row>
    <row r="14" spans="1:13" x14ac:dyDescent="0.25">
      <c r="D14" t="e">
        <f t="shared" si="0"/>
        <v>#DIV/0!</v>
      </c>
      <c r="H14" s="77" t="e">
        <f>$I$19+3*$I$23</f>
        <v>#DIV/0!</v>
      </c>
      <c r="I14" s="78" t="e">
        <f t="shared" si="2"/>
        <v>#DIV/0!</v>
      </c>
      <c r="J14" s="79">
        <f t="shared" si="3"/>
        <v>67</v>
      </c>
      <c r="K14" s="80" t="e">
        <f t="shared" si="1"/>
        <v>#DIV/0!</v>
      </c>
      <c r="L14" s="81" t="e">
        <f t="shared" si="4"/>
        <v>#DIV/0!</v>
      </c>
      <c r="M14" s="82" t="e">
        <f t="shared" si="5"/>
        <v>#DIV/0!</v>
      </c>
    </row>
    <row r="15" spans="1:13" ht="15.75" thickBot="1" x14ac:dyDescent="0.3">
      <c r="D15" t="e">
        <f t="shared" si="0"/>
        <v>#DIV/0!</v>
      </c>
      <c r="H15" s="83"/>
      <c r="I15" s="84" t="s">
        <v>98</v>
      </c>
      <c r="J15" s="84">
        <f>COUNTIF(D:D,"&gt;"&amp;H14)</f>
        <v>67</v>
      </c>
      <c r="K15" s="84" t="e">
        <f>"Greater than "&amp;TEXT(H14,"0,00%")</f>
        <v>#DIV/0!</v>
      </c>
      <c r="L15" s="85" t="e">
        <f t="shared" si="4"/>
        <v>#DIV/0!</v>
      </c>
      <c r="M15" s="85" t="e">
        <f t="shared" si="5"/>
        <v>#DIV/0!</v>
      </c>
    </row>
    <row r="16" spans="1:13" ht="15.75" thickBot="1" x14ac:dyDescent="0.3">
      <c r="D16" t="e">
        <f t="shared" si="0"/>
        <v>#DIV/0!</v>
      </c>
      <c r="H16" s="86"/>
      <c r="M16" s="87"/>
    </row>
    <row r="17" spans="4:13" x14ac:dyDescent="0.25">
      <c r="D17" t="e">
        <f t="shared" si="0"/>
        <v>#DIV/0!</v>
      </c>
      <c r="H17" s="144" t="s">
        <v>129</v>
      </c>
      <c r="I17" s="145"/>
      <c r="M17" s="87"/>
    </row>
    <row r="18" spans="4:13" x14ac:dyDescent="0.25">
      <c r="D18" t="e">
        <f t="shared" si="0"/>
        <v>#DIV/0!</v>
      </c>
      <c r="H18" s="146"/>
      <c r="I18" s="147"/>
      <c r="M18" s="87"/>
    </row>
    <row r="19" spans="4:13" x14ac:dyDescent="0.25">
      <c r="D19" t="e">
        <f t="shared" si="0"/>
        <v>#DIV/0!</v>
      </c>
      <c r="H19" s="88" t="s">
        <v>99</v>
      </c>
      <c r="I19" s="125" t="e">
        <f>AVERAGE(D:D)</f>
        <v>#DIV/0!</v>
      </c>
      <c r="M19" s="87"/>
    </row>
    <row r="20" spans="4:13" x14ac:dyDescent="0.25">
      <c r="D20" t="e">
        <f t="shared" si="0"/>
        <v>#DIV/0!</v>
      </c>
      <c r="H20" s="88" t="s">
        <v>100</v>
      </c>
      <c r="I20" s="125" t="e">
        <f>_xlfn.STDEV.S(D:D)/SQRT(COUNT(D:D))</f>
        <v>#DIV/0!</v>
      </c>
      <c r="M20" s="87"/>
    </row>
    <row r="21" spans="4:13" x14ac:dyDescent="0.25">
      <c r="D21" t="e">
        <f t="shared" si="0"/>
        <v>#DIV/0!</v>
      </c>
      <c r="H21" s="88" t="s">
        <v>101</v>
      </c>
      <c r="I21" s="125" t="e">
        <f>MEDIAN(D:D)</f>
        <v>#DIV/0!</v>
      </c>
      <c r="M21" s="87"/>
    </row>
    <row r="22" spans="4:13" x14ac:dyDescent="0.25">
      <c r="D22" t="e">
        <f t="shared" si="0"/>
        <v>#DIV/0!</v>
      </c>
      <c r="H22" s="88" t="s">
        <v>102</v>
      </c>
      <c r="I22" s="125" t="e">
        <f>MODE(D:D)</f>
        <v>#DIV/0!</v>
      </c>
      <c r="M22" s="87"/>
    </row>
    <row r="23" spans="4:13" x14ac:dyDescent="0.25">
      <c r="D23" t="e">
        <f t="shared" si="0"/>
        <v>#DIV/0!</v>
      </c>
      <c r="H23" s="88" t="s">
        <v>103</v>
      </c>
      <c r="I23" s="125" t="e">
        <f>_xlfn.STDEV.S(D:D)</f>
        <v>#DIV/0!</v>
      </c>
      <c r="M23" s="87"/>
    </row>
    <row r="24" spans="4:13" x14ac:dyDescent="0.25">
      <c r="D24" t="e">
        <f t="shared" si="0"/>
        <v>#DIV/0!</v>
      </c>
      <c r="H24" s="88" t="s">
        <v>104</v>
      </c>
      <c r="I24" s="125" t="e">
        <f>_xlfn.VAR.S(D:D)</f>
        <v>#DIV/0!</v>
      </c>
      <c r="M24" s="87"/>
    </row>
    <row r="25" spans="4:13" x14ac:dyDescent="0.25">
      <c r="D25" t="e">
        <f t="shared" si="0"/>
        <v>#DIV/0!</v>
      </c>
      <c r="H25" s="88" t="s">
        <v>105</v>
      </c>
      <c r="I25" s="126" t="e">
        <f>KURT(D:D)</f>
        <v>#DIV/0!</v>
      </c>
      <c r="M25" s="87"/>
    </row>
    <row r="26" spans="4:13" x14ac:dyDescent="0.25">
      <c r="D26" t="e">
        <f t="shared" si="0"/>
        <v>#DIV/0!</v>
      </c>
      <c r="H26" s="88" t="s">
        <v>106</v>
      </c>
      <c r="I26" s="126" t="e">
        <f>SKEW(D:D)</f>
        <v>#DIV/0!</v>
      </c>
      <c r="M26" s="87"/>
    </row>
    <row r="27" spans="4:13" x14ac:dyDescent="0.25">
      <c r="D27" t="e">
        <f t="shared" si="0"/>
        <v>#DIV/0!</v>
      </c>
      <c r="H27" s="88" t="s">
        <v>95</v>
      </c>
      <c r="I27" s="125" t="e">
        <f>I29-I28</f>
        <v>#DIV/0!</v>
      </c>
      <c r="M27" s="87"/>
    </row>
    <row r="28" spans="4:13" x14ac:dyDescent="0.25">
      <c r="D28" t="e">
        <f t="shared" si="0"/>
        <v>#DIV/0!</v>
      </c>
      <c r="H28" s="88" t="s">
        <v>107</v>
      </c>
      <c r="I28" s="125" t="e">
        <f>MIN(D:D)</f>
        <v>#DIV/0!</v>
      </c>
      <c r="M28" s="87"/>
    </row>
    <row r="29" spans="4:13" x14ac:dyDescent="0.25">
      <c r="D29" t="e">
        <f t="shared" si="0"/>
        <v>#DIV/0!</v>
      </c>
      <c r="H29" s="88" t="s">
        <v>108</v>
      </c>
      <c r="I29" s="125" t="e">
        <f>MAX(D:D)</f>
        <v>#DIV/0!</v>
      </c>
      <c r="M29" s="87"/>
    </row>
    <row r="30" spans="4:13" x14ac:dyDescent="0.25">
      <c r="D30" t="e">
        <f t="shared" si="0"/>
        <v>#DIV/0!</v>
      </c>
      <c r="H30" s="88" t="s">
        <v>109</v>
      </c>
      <c r="I30" s="126" t="e">
        <f>SUM(D:D)</f>
        <v>#DIV/0!</v>
      </c>
      <c r="M30" s="87"/>
    </row>
    <row r="31" spans="4:13" ht="15.75" thickBot="1" x14ac:dyDescent="0.3">
      <c r="D31" t="e">
        <f t="shared" si="0"/>
        <v>#DIV/0!</v>
      </c>
      <c r="H31" s="89" t="s">
        <v>110</v>
      </c>
      <c r="I31" s="66">
        <f>COUNT(D:D)</f>
        <v>0</v>
      </c>
      <c r="M31" s="87"/>
    </row>
    <row r="32" spans="4:13" ht="15.75" thickBot="1" x14ac:dyDescent="0.3">
      <c r="D32" t="e">
        <f t="shared" si="0"/>
        <v>#DIV/0!</v>
      </c>
      <c r="H32" s="91"/>
      <c r="M32" s="87"/>
    </row>
    <row r="33" spans="4:13" x14ac:dyDescent="0.25">
      <c r="D33" t="e">
        <f t="shared" si="0"/>
        <v>#DIV/0!</v>
      </c>
      <c r="H33" s="92"/>
      <c r="I33" s="93" t="s">
        <v>111</v>
      </c>
      <c r="J33" s="93" t="s">
        <v>110</v>
      </c>
      <c r="K33" s="93" t="s">
        <v>112</v>
      </c>
      <c r="L33" s="94" t="s">
        <v>113</v>
      </c>
      <c r="M33" s="87"/>
    </row>
    <row r="34" spans="4:13" x14ac:dyDescent="0.25">
      <c r="D34" t="e">
        <f t="shared" si="0"/>
        <v>#DIV/0!</v>
      </c>
      <c r="H34" s="95" t="s">
        <v>114</v>
      </c>
      <c r="I34" s="81" t="e">
        <f>AVERAGEIF(D:D,"&gt;0")</f>
        <v>#DIV/0!</v>
      </c>
      <c r="J34" s="79">
        <f>COUNTIF(D:D,"&gt;0")</f>
        <v>0</v>
      </c>
      <c r="K34" s="81" t="e">
        <f>J34/$I$31</f>
        <v>#DIV/0!</v>
      </c>
      <c r="L34" s="82" t="e">
        <f>K34*I34</f>
        <v>#DIV/0!</v>
      </c>
      <c r="M34" s="87"/>
    </row>
    <row r="35" spans="4:13" x14ac:dyDescent="0.25">
      <c r="D35" t="e">
        <f t="shared" si="0"/>
        <v>#DIV/0!</v>
      </c>
      <c r="H35" s="95" t="s">
        <v>115</v>
      </c>
      <c r="I35" s="81" t="e">
        <f>AVERAGEIF(D:D,"&lt;0")</f>
        <v>#DIV/0!</v>
      </c>
      <c r="J35" s="79">
        <f>COUNTIF(D:D,"&lt;0")</f>
        <v>0</v>
      </c>
      <c r="K35" s="81" t="e">
        <f>J35/$I$31</f>
        <v>#DIV/0!</v>
      </c>
      <c r="L35" s="82" t="e">
        <f t="shared" ref="L35:L36" si="6">K35*I35</f>
        <v>#DIV/0!</v>
      </c>
      <c r="M35" s="87"/>
    </row>
    <row r="36" spans="4:13" ht="15.75" thickBot="1" x14ac:dyDescent="0.3">
      <c r="D36" t="e">
        <f t="shared" si="0"/>
        <v>#DIV/0!</v>
      </c>
      <c r="H36" s="96" t="s">
        <v>116</v>
      </c>
      <c r="I36" s="84">
        <v>0</v>
      </c>
      <c r="J36" s="84">
        <f>COUNTIF(D:D,"0")</f>
        <v>0</v>
      </c>
      <c r="K36" s="97" t="e">
        <f>J36/$I$31</f>
        <v>#DIV/0!</v>
      </c>
      <c r="L36" s="85" t="e">
        <f t="shared" si="6"/>
        <v>#DIV/0!</v>
      </c>
      <c r="M36" s="87"/>
    </row>
    <row r="37" spans="4:13" ht="15.75" thickBot="1" x14ac:dyDescent="0.3">
      <c r="D37" t="e">
        <f t="shared" si="0"/>
        <v>#DIV/0!</v>
      </c>
      <c r="H37" s="91"/>
      <c r="I37" s="98"/>
      <c r="J37" s="98"/>
      <c r="K37" s="98"/>
      <c r="L37" s="98"/>
      <c r="M37" s="87"/>
    </row>
    <row r="38" spans="4:13" x14ac:dyDescent="0.25">
      <c r="D38" t="e">
        <f t="shared" si="0"/>
        <v>#DIV/0!</v>
      </c>
      <c r="H38" s="72" t="s">
        <v>117</v>
      </c>
      <c r="I38" s="93" t="s">
        <v>118</v>
      </c>
      <c r="J38" s="93" t="s">
        <v>119</v>
      </c>
      <c r="K38" s="93" t="s">
        <v>120</v>
      </c>
      <c r="L38" s="93" t="s">
        <v>121</v>
      </c>
      <c r="M38" s="94" t="s">
        <v>122</v>
      </c>
    </row>
    <row r="39" spans="4:13" x14ac:dyDescent="0.25">
      <c r="D39" t="e">
        <f t="shared" si="0"/>
        <v>#DIV/0!</v>
      </c>
      <c r="H39" s="99">
        <v>1</v>
      </c>
      <c r="I39" s="81" t="e">
        <f>$I$19+($H39*$I$23)</f>
        <v>#DIV/0!</v>
      </c>
      <c r="J39" s="81" t="e">
        <f>$I$19-($H39*$I$23)</f>
        <v>#DIV/0!</v>
      </c>
      <c r="K39" s="79">
        <f>COUNTIFS(D:D,"&lt;"&amp;I39,D:D,"&gt;"&amp;J39)</f>
        <v>67</v>
      </c>
      <c r="L39" s="81" t="e">
        <f>K39/$I$31</f>
        <v>#DIV/0!</v>
      </c>
      <c r="M39" s="82">
        <v>0.68269999999999997</v>
      </c>
    </row>
    <row r="40" spans="4:13" x14ac:dyDescent="0.25">
      <c r="D40" t="e">
        <f t="shared" si="0"/>
        <v>#DIV/0!</v>
      </c>
      <c r="H40" s="99">
        <v>2</v>
      </c>
      <c r="I40" s="81" t="e">
        <f>$I$19+($H40*$I$23)</f>
        <v>#DIV/0!</v>
      </c>
      <c r="J40" s="81" t="e">
        <f>$I$19-($H40*$I$23)</f>
        <v>#DIV/0!</v>
      </c>
      <c r="K40" s="79">
        <f>COUNTIFS(D:D,"&lt;"&amp;I40,D:D,"&gt;"&amp;J40)</f>
        <v>67</v>
      </c>
      <c r="L40" s="81" t="e">
        <f>K40/$I$31</f>
        <v>#DIV/0!</v>
      </c>
      <c r="M40" s="82">
        <v>0.95450000000000002</v>
      </c>
    </row>
    <row r="41" spans="4:13" x14ac:dyDescent="0.25">
      <c r="D41" t="e">
        <f t="shared" si="0"/>
        <v>#DIV/0!</v>
      </c>
      <c r="H41" s="99">
        <v>3</v>
      </c>
      <c r="I41" s="81" t="e">
        <f>$I$19+($H41*$I$23)</f>
        <v>#DIV/0!</v>
      </c>
      <c r="J41" s="81" t="e">
        <f>$I$19-($H41*$I$23)</f>
        <v>#DIV/0!</v>
      </c>
      <c r="K41" s="79">
        <f>COUNTIFS(D:D,"&lt;"&amp;I41,D:D,"&gt;"&amp;J41)</f>
        <v>67</v>
      </c>
      <c r="L41" s="81" t="e">
        <f>K41/$I$31</f>
        <v>#DIV/0!</v>
      </c>
      <c r="M41" s="100">
        <v>0.99729999999999996</v>
      </c>
    </row>
    <row r="42" spans="4:13" ht="15.75" thickBot="1" x14ac:dyDescent="0.3">
      <c r="D42" t="e">
        <f t="shared" si="0"/>
        <v>#DIV/0!</v>
      </c>
      <c r="H42" s="77"/>
      <c r="M42" s="100"/>
    </row>
    <row r="43" spans="4:13" ht="15.75" thickBot="1" x14ac:dyDescent="0.3">
      <c r="D43" t="e">
        <f t="shared" si="0"/>
        <v>#DIV/0!</v>
      </c>
      <c r="H43" s="148" t="s">
        <v>123</v>
      </c>
      <c r="I43" s="149"/>
      <c r="J43" s="149"/>
      <c r="K43" s="149"/>
      <c r="L43" s="149"/>
      <c r="M43" s="150"/>
    </row>
    <row r="44" spans="4:13" x14ac:dyDescent="0.25">
      <c r="D44" t="e">
        <f t="shared" si="0"/>
        <v>#DIV/0!</v>
      </c>
      <c r="H44" s="101">
        <v>0.01</v>
      </c>
      <c r="I44" s="102" t="e">
        <f t="shared" ref="I44:I58" si="7">_xlfn.PERCENTILE.INC(D:D,H44)</f>
        <v>#DIV/0!</v>
      </c>
      <c r="J44" s="103">
        <v>0.2</v>
      </c>
      <c r="K44" s="102" t="e">
        <f t="shared" ref="K44:K56" si="8">_xlfn.PERCENTILE.INC(D:D,J44)</f>
        <v>#DIV/0!</v>
      </c>
      <c r="L44" s="103">
        <v>0.85</v>
      </c>
      <c r="M44" s="104" t="e">
        <f t="shared" ref="M44:M58" si="9">_xlfn.PERCENTILE.INC(D:D,L44)</f>
        <v>#DIV/0!</v>
      </c>
    </row>
    <row r="45" spans="4:13" x14ac:dyDescent="0.25">
      <c r="D45" t="e">
        <f t="shared" si="0"/>
        <v>#DIV/0!</v>
      </c>
      <c r="H45" s="105">
        <v>0.02</v>
      </c>
      <c r="I45" s="106" t="e">
        <f t="shared" si="7"/>
        <v>#DIV/0!</v>
      </c>
      <c r="J45" s="107">
        <v>0.25</v>
      </c>
      <c r="K45" s="106" t="e">
        <f t="shared" si="8"/>
        <v>#DIV/0!</v>
      </c>
      <c r="L45" s="107">
        <v>0.86</v>
      </c>
      <c r="M45" s="108" t="e">
        <f t="shared" si="9"/>
        <v>#DIV/0!</v>
      </c>
    </row>
    <row r="46" spans="4:13" x14ac:dyDescent="0.25">
      <c r="D46" t="e">
        <f t="shared" si="0"/>
        <v>#DIV/0!</v>
      </c>
      <c r="H46" s="105">
        <v>0.03</v>
      </c>
      <c r="I46" s="106" t="e">
        <f t="shared" si="7"/>
        <v>#DIV/0!</v>
      </c>
      <c r="J46" s="107">
        <v>0.3</v>
      </c>
      <c r="K46" s="106" t="e">
        <f t="shared" si="8"/>
        <v>#DIV/0!</v>
      </c>
      <c r="L46" s="107">
        <v>0.87</v>
      </c>
      <c r="M46" s="108" t="e">
        <f t="shared" si="9"/>
        <v>#DIV/0!</v>
      </c>
    </row>
    <row r="47" spans="4:13" x14ac:dyDescent="0.25">
      <c r="D47" t="e">
        <f t="shared" si="0"/>
        <v>#DIV/0!</v>
      </c>
      <c r="H47" s="105">
        <v>0.04</v>
      </c>
      <c r="I47" s="106" t="e">
        <f t="shared" si="7"/>
        <v>#DIV/0!</v>
      </c>
      <c r="J47" s="107">
        <v>0.35</v>
      </c>
      <c r="K47" s="106" t="e">
        <f t="shared" si="8"/>
        <v>#DIV/0!</v>
      </c>
      <c r="L47" s="107">
        <v>0.88</v>
      </c>
      <c r="M47" s="108" t="e">
        <f t="shared" si="9"/>
        <v>#DIV/0!</v>
      </c>
    </row>
    <row r="48" spans="4:13" x14ac:dyDescent="0.25">
      <c r="D48" t="e">
        <f t="shared" si="0"/>
        <v>#DIV/0!</v>
      </c>
      <c r="H48" s="105">
        <v>0.05</v>
      </c>
      <c r="I48" s="106" t="e">
        <f t="shared" si="7"/>
        <v>#DIV/0!</v>
      </c>
      <c r="J48" s="107">
        <v>0.4</v>
      </c>
      <c r="K48" s="106" t="e">
        <f t="shared" si="8"/>
        <v>#DIV/0!</v>
      </c>
      <c r="L48" s="107">
        <v>0.89</v>
      </c>
      <c r="M48" s="108" t="e">
        <f t="shared" si="9"/>
        <v>#DIV/0!</v>
      </c>
    </row>
    <row r="49" spans="4:13" x14ac:dyDescent="0.25">
      <c r="D49" t="e">
        <f t="shared" si="0"/>
        <v>#DIV/0!</v>
      </c>
      <c r="H49" s="105">
        <v>0.06</v>
      </c>
      <c r="I49" s="106" t="e">
        <f t="shared" si="7"/>
        <v>#DIV/0!</v>
      </c>
      <c r="J49" s="107">
        <v>0.45</v>
      </c>
      <c r="K49" s="106" t="e">
        <f t="shared" si="8"/>
        <v>#DIV/0!</v>
      </c>
      <c r="L49" s="107">
        <v>0.9</v>
      </c>
      <c r="M49" s="108" t="e">
        <f t="shared" si="9"/>
        <v>#DIV/0!</v>
      </c>
    </row>
    <row r="50" spans="4:13" x14ac:dyDescent="0.25">
      <c r="D50" t="e">
        <f t="shared" si="0"/>
        <v>#DIV/0!</v>
      </c>
      <c r="H50" s="105">
        <v>7.0000000000000007E-2</v>
      </c>
      <c r="I50" s="106" t="e">
        <f t="shared" si="7"/>
        <v>#DIV/0!</v>
      </c>
      <c r="J50" s="107">
        <v>0.5</v>
      </c>
      <c r="K50" s="106" t="e">
        <f t="shared" si="8"/>
        <v>#DIV/0!</v>
      </c>
      <c r="L50" s="107">
        <v>0.91</v>
      </c>
      <c r="M50" s="108" t="e">
        <f t="shared" si="9"/>
        <v>#DIV/0!</v>
      </c>
    </row>
    <row r="51" spans="4:13" x14ac:dyDescent="0.25">
      <c r="D51" t="e">
        <f t="shared" si="0"/>
        <v>#DIV/0!</v>
      </c>
      <c r="H51" s="105">
        <v>0.08</v>
      </c>
      <c r="I51" s="106" t="e">
        <f t="shared" si="7"/>
        <v>#DIV/0!</v>
      </c>
      <c r="J51" s="107">
        <v>0.55000000000000004</v>
      </c>
      <c r="K51" s="106" t="e">
        <f t="shared" si="8"/>
        <v>#DIV/0!</v>
      </c>
      <c r="L51" s="107">
        <v>0.92</v>
      </c>
      <c r="M51" s="108" t="e">
        <f t="shared" si="9"/>
        <v>#DIV/0!</v>
      </c>
    </row>
    <row r="52" spans="4:13" x14ac:dyDescent="0.25">
      <c r="D52" t="e">
        <f t="shared" si="0"/>
        <v>#DIV/0!</v>
      </c>
      <c r="H52" s="105">
        <v>0.09</v>
      </c>
      <c r="I52" s="106" t="e">
        <f t="shared" si="7"/>
        <v>#DIV/0!</v>
      </c>
      <c r="J52" s="107">
        <v>0.6</v>
      </c>
      <c r="K52" s="106" t="e">
        <f t="shared" si="8"/>
        <v>#DIV/0!</v>
      </c>
      <c r="L52" s="107">
        <v>0.93</v>
      </c>
      <c r="M52" s="108" t="e">
        <f t="shared" si="9"/>
        <v>#DIV/0!</v>
      </c>
    </row>
    <row r="53" spans="4:13" x14ac:dyDescent="0.25">
      <c r="D53" t="e">
        <f t="shared" si="0"/>
        <v>#DIV/0!</v>
      </c>
      <c r="H53" s="105">
        <v>0.1</v>
      </c>
      <c r="I53" s="106" t="e">
        <f t="shared" si="7"/>
        <v>#DIV/0!</v>
      </c>
      <c r="J53" s="107">
        <v>0.65</v>
      </c>
      <c r="K53" s="106" t="e">
        <f t="shared" si="8"/>
        <v>#DIV/0!</v>
      </c>
      <c r="L53" s="107">
        <v>0.94</v>
      </c>
      <c r="M53" s="108" t="e">
        <f t="shared" si="9"/>
        <v>#DIV/0!</v>
      </c>
    </row>
    <row r="54" spans="4:13" x14ac:dyDescent="0.25">
      <c r="D54" t="e">
        <f t="shared" si="0"/>
        <v>#DIV/0!</v>
      </c>
      <c r="H54" s="105">
        <v>0.11</v>
      </c>
      <c r="I54" s="106" t="e">
        <f t="shared" si="7"/>
        <v>#DIV/0!</v>
      </c>
      <c r="J54" s="107">
        <v>0.7</v>
      </c>
      <c r="K54" s="106" t="e">
        <f t="shared" si="8"/>
        <v>#DIV/0!</v>
      </c>
      <c r="L54" s="107">
        <v>0.95</v>
      </c>
      <c r="M54" s="108" t="e">
        <f t="shared" si="9"/>
        <v>#DIV/0!</v>
      </c>
    </row>
    <row r="55" spans="4:13" x14ac:dyDescent="0.25">
      <c r="D55" t="e">
        <f t="shared" si="0"/>
        <v>#DIV/0!</v>
      </c>
      <c r="H55" s="105">
        <v>0.12</v>
      </c>
      <c r="I55" s="106" t="e">
        <f t="shared" si="7"/>
        <v>#DIV/0!</v>
      </c>
      <c r="J55" s="107">
        <v>0.75</v>
      </c>
      <c r="K55" s="106" t="e">
        <f t="shared" si="8"/>
        <v>#DIV/0!</v>
      </c>
      <c r="L55" s="107">
        <v>0.96</v>
      </c>
      <c r="M55" s="108" t="e">
        <f t="shared" si="9"/>
        <v>#DIV/0!</v>
      </c>
    </row>
    <row r="56" spans="4:13" x14ac:dyDescent="0.25">
      <c r="D56" t="e">
        <f t="shared" si="0"/>
        <v>#DIV/0!</v>
      </c>
      <c r="H56" s="105">
        <v>0.13</v>
      </c>
      <c r="I56" s="106" t="e">
        <f t="shared" si="7"/>
        <v>#DIV/0!</v>
      </c>
      <c r="J56" s="107">
        <v>0.8</v>
      </c>
      <c r="K56" s="106" t="e">
        <f t="shared" si="8"/>
        <v>#DIV/0!</v>
      </c>
      <c r="L56" s="107">
        <v>0.97</v>
      </c>
      <c r="M56" s="108" t="e">
        <f t="shared" si="9"/>
        <v>#DIV/0!</v>
      </c>
    </row>
    <row r="57" spans="4:13" x14ac:dyDescent="0.25">
      <c r="D57" t="e">
        <f t="shared" si="0"/>
        <v>#DIV/0!</v>
      </c>
      <c r="H57" s="105">
        <v>0.14000000000000001</v>
      </c>
      <c r="I57" s="106" t="e">
        <f t="shared" si="7"/>
        <v>#DIV/0!</v>
      </c>
      <c r="J57" s="107"/>
      <c r="K57" s="106"/>
      <c r="L57" s="107">
        <v>0.98</v>
      </c>
      <c r="M57" s="108" t="e">
        <f t="shared" si="9"/>
        <v>#DIV/0!</v>
      </c>
    </row>
    <row r="58" spans="4:13" ht="15.75" thickBot="1" x14ac:dyDescent="0.3">
      <c r="D58" t="e">
        <f t="shared" si="0"/>
        <v>#DIV/0!</v>
      </c>
      <c r="H58" s="109">
        <v>0.15</v>
      </c>
      <c r="I58" s="110" t="e">
        <f t="shared" si="7"/>
        <v>#DIV/0!</v>
      </c>
      <c r="J58" s="111"/>
      <c r="K58" s="90"/>
      <c r="L58" s="112">
        <v>0.99</v>
      </c>
      <c r="M58" s="113" t="e">
        <f t="shared" si="9"/>
        <v>#DIV/0!</v>
      </c>
    </row>
    <row r="59" spans="4:13" ht="15.75" thickBot="1" x14ac:dyDescent="0.3">
      <c r="D59" t="e">
        <f t="shared" si="0"/>
        <v>#DIV/0!</v>
      </c>
    </row>
    <row r="60" spans="4:13" x14ac:dyDescent="0.25">
      <c r="D60" t="e">
        <f t="shared" si="0"/>
        <v>#DIV/0!</v>
      </c>
      <c r="H60" s="114" t="s">
        <v>124</v>
      </c>
      <c r="I60" s="115"/>
    </row>
    <row r="61" spans="4:13" ht="15.75" thickBot="1" x14ac:dyDescent="0.3">
      <c r="D61" t="e">
        <f t="shared" si="0"/>
        <v>#DIV/0!</v>
      </c>
      <c r="H61" s="116" t="s">
        <v>125</v>
      </c>
      <c r="I61" s="117"/>
    </row>
    <row r="62" spans="4:13" ht="15.75" thickBot="1" x14ac:dyDescent="0.3">
      <c r="D62" t="e">
        <f t="shared" si="0"/>
        <v>#DIV/0!</v>
      </c>
      <c r="H62" s="118"/>
    </row>
    <row r="63" spans="4:13" x14ac:dyDescent="0.25">
      <c r="D63" t="e">
        <f t="shared" si="0"/>
        <v>#DIV/0!</v>
      </c>
      <c r="H63" s="114" t="s">
        <v>126</v>
      </c>
      <c r="I63" s="119"/>
    </row>
    <row r="64" spans="4:13" x14ac:dyDescent="0.25">
      <c r="D64" t="e">
        <f t="shared" si="0"/>
        <v>#DIV/0!</v>
      </c>
      <c r="H64" s="120" t="s">
        <v>127</v>
      </c>
      <c r="I64" s="121">
        <f>I63*(1-I60)</f>
        <v>0</v>
      </c>
    </row>
    <row r="65" spans="4:9" ht="15.75" thickBot="1" x14ac:dyDescent="0.3">
      <c r="D65" t="e">
        <f t="shared" si="0"/>
        <v>#DIV/0!</v>
      </c>
      <c r="H65" s="116" t="s">
        <v>128</v>
      </c>
      <c r="I65" s="122">
        <f>I63*(1+I61)</f>
        <v>0</v>
      </c>
    </row>
    <row r="66" spans="4:9" x14ac:dyDescent="0.25">
      <c r="D66" t="e">
        <f t="shared" si="0"/>
        <v>#DIV/0!</v>
      </c>
    </row>
    <row r="67" spans="4:9" x14ac:dyDescent="0.25">
      <c r="D67" t="e">
        <f t="shared" ref="D67:D68" si="10">C67/C68-1</f>
        <v>#DIV/0!</v>
      </c>
    </row>
    <row r="68" spans="4:9" x14ac:dyDescent="0.25">
      <c r="D68" t="e">
        <f t="shared" si="10"/>
        <v>#DIV/0!</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2024-05-06T12:26:21Z</dcterms:modified>
</cp:coreProperties>
</file>