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02AD75B8-7E1B-451B-8FCE-751F18AD7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Model!$B$5</definedName>
    <definedName name="_xlchart.v1.1" hidden="1">Model!$B$6</definedName>
    <definedName name="_xlchart.v1.2" hidden="1">Model!$L$2:$X$2</definedName>
    <definedName name="_xlchart.v1.3" hidden="1">Model!$L$5:$X$5</definedName>
    <definedName name="_xlchart.v1.4" hidden="1">Model!$L$6:$X$6</definedName>
    <definedName name="_xlchart.v1.5" hidden="1">Model!$B$22</definedName>
    <definedName name="_xlchart.v1.6" hidden="1">Model!$B$23</definedName>
    <definedName name="_xlchart.v1.7" hidden="1">Model!$L$22:$X$22</definedName>
    <definedName name="_xlchart.v1.8" hidden="1">Model!$L$23:$X$23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2" l="1"/>
  <c r="E61" i="2"/>
  <c r="F61" i="2"/>
  <c r="G61" i="2"/>
  <c r="C35" i="1"/>
  <c r="C34" i="1"/>
  <c r="C33" i="1"/>
  <c r="C32" i="1"/>
  <c r="C31" i="1"/>
  <c r="C30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I20" i="2" l="1"/>
  <c r="H20" i="2"/>
  <c r="I19" i="2"/>
  <c r="H19" i="2"/>
  <c r="I14" i="2"/>
  <c r="H14" i="2"/>
  <c r="I13" i="2"/>
  <c r="H13" i="2"/>
  <c r="I12" i="2"/>
  <c r="H12" i="2"/>
  <c r="H16" i="2"/>
  <c r="I11" i="2"/>
  <c r="H11" i="2"/>
  <c r="I33" i="2"/>
  <c r="H33" i="2"/>
  <c r="G31" i="2"/>
  <c r="F31" i="2"/>
  <c r="D31" i="2"/>
  <c r="D32" i="2"/>
  <c r="C36" i="2"/>
  <c r="D36" i="2"/>
  <c r="E36" i="2"/>
  <c r="F36" i="2"/>
  <c r="G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8" i="2" s="1"/>
  <c r="M20" i="2" s="1"/>
  <c r="N11" i="2"/>
  <c r="N16" i="2" s="1"/>
  <c r="N18" i="2" s="1"/>
  <c r="N20" i="2" s="1"/>
  <c r="O11" i="2"/>
  <c r="O16" i="2" s="1"/>
  <c r="O18" i="2" s="1"/>
  <c r="O20" i="2" s="1"/>
  <c r="P11" i="2"/>
  <c r="P16" i="2" s="1"/>
  <c r="P18" i="2" s="1"/>
  <c r="P20" i="2" s="1"/>
  <c r="Q11" i="2"/>
  <c r="Q16" i="2" s="1"/>
  <c r="Q18" i="2" s="1"/>
  <c r="Q20" i="2" s="1"/>
  <c r="R11" i="2"/>
  <c r="R16" i="2" s="1"/>
  <c r="R18" i="2" s="1"/>
  <c r="R20" i="2" s="1"/>
  <c r="S11" i="2"/>
  <c r="S16" i="2" s="1"/>
  <c r="S18" i="2" s="1"/>
  <c r="S20" i="2" s="1"/>
  <c r="T11" i="2"/>
  <c r="T16" i="2" s="1"/>
  <c r="T18" i="2" s="1"/>
  <c r="T20" i="2" s="1"/>
  <c r="U11" i="2"/>
  <c r="U16" i="2" s="1"/>
  <c r="U18" i="2" s="1"/>
  <c r="U20" i="2" s="1"/>
  <c r="V11" i="2"/>
  <c r="V16" i="2" s="1"/>
  <c r="V18" i="2" s="1"/>
  <c r="V20" i="2" s="1"/>
  <c r="W11" i="2"/>
  <c r="W16" i="2" s="1"/>
  <c r="W18" i="2" s="1"/>
  <c r="W20" i="2" s="1"/>
  <c r="X11" i="2"/>
  <c r="X16" i="2" s="1"/>
  <c r="X18" i="2" s="1"/>
  <c r="X20" i="2" s="1"/>
  <c r="Y11" i="2"/>
  <c r="Y16" i="2" s="1"/>
  <c r="Y18" i="2" s="1"/>
  <c r="Y20" i="2" s="1"/>
  <c r="L11" i="2"/>
  <c r="L16" i="2" s="1"/>
  <c r="L18" i="2" s="1"/>
  <c r="L20" i="2" s="1"/>
  <c r="D11" i="2"/>
  <c r="E11" i="2"/>
  <c r="F11" i="2"/>
  <c r="G11" i="2"/>
  <c r="I16" i="2"/>
  <c r="I18" i="2" s="1"/>
  <c r="C11" i="2"/>
  <c r="M36" i="2"/>
  <c r="N36" i="2"/>
  <c r="O36" i="2"/>
  <c r="P36" i="2"/>
  <c r="Q36" i="2"/>
  <c r="R36" i="2"/>
  <c r="S36" i="2"/>
  <c r="T36" i="2"/>
  <c r="U36" i="2"/>
  <c r="V36" i="2"/>
  <c r="W36" i="2"/>
  <c r="L36" i="2"/>
  <c r="W30" i="2"/>
  <c r="V30" i="2"/>
  <c r="U30" i="2"/>
  <c r="T30" i="2"/>
  <c r="S30" i="2"/>
  <c r="R30" i="2"/>
  <c r="Q30" i="2"/>
  <c r="P30" i="2"/>
  <c r="O30" i="2"/>
  <c r="N30" i="2"/>
  <c r="M30" i="2"/>
  <c r="L30" i="2"/>
  <c r="W29" i="2"/>
  <c r="V29" i="2"/>
  <c r="U29" i="2"/>
  <c r="T29" i="2"/>
  <c r="S29" i="2"/>
  <c r="R29" i="2"/>
  <c r="Q29" i="2"/>
  <c r="P29" i="2"/>
  <c r="O29" i="2"/>
  <c r="N29" i="2"/>
  <c r="M29" i="2"/>
  <c r="L29" i="2"/>
  <c r="H18" i="2" l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T24" i="2"/>
  <c r="U24" i="2"/>
  <c r="V24" i="2"/>
  <c r="W24" i="2"/>
  <c r="P27" i="2"/>
  <c r="Q27" i="2"/>
  <c r="R27" i="2"/>
  <c r="S27" i="2"/>
  <c r="T27" i="2"/>
  <c r="U27" i="2"/>
  <c r="V27" i="2"/>
  <c r="W27" i="2"/>
  <c r="X27" i="2"/>
  <c r="Y27" i="2"/>
  <c r="L28" i="2"/>
  <c r="M28" i="2"/>
  <c r="N28" i="2"/>
  <c r="O28" i="2"/>
  <c r="P28" i="2"/>
  <c r="Q28" i="2"/>
  <c r="R28" i="2"/>
  <c r="S28" i="2"/>
  <c r="T28" i="2"/>
  <c r="U28" i="2"/>
  <c r="V28" i="2"/>
  <c r="W28" i="2"/>
  <c r="L43" i="2"/>
  <c r="L50" i="2" s="1"/>
  <c r="M43" i="2"/>
  <c r="M50" i="2" s="1"/>
  <c r="N43" i="2"/>
  <c r="N50" i="2" s="1"/>
  <c r="O43" i="2"/>
  <c r="O50" i="2" s="1"/>
  <c r="P43" i="2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P50" i="2"/>
  <c r="L56" i="2"/>
  <c r="L60" i="2" s="1"/>
  <c r="M56" i="2"/>
  <c r="M60" i="2" s="1"/>
  <c r="N56" i="2"/>
  <c r="N60" i="2" s="1"/>
  <c r="O56" i="2"/>
  <c r="O60" i="2" s="1"/>
  <c r="P56" i="2"/>
  <c r="P60" i="2" s="1"/>
  <c r="Q56" i="2"/>
  <c r="Q60" i="2" s="1"/>
  <c r="R56" i="2"/>
  <c r="R60" i="2" s="1"/>
  <c r="S56" i="2"/>
  <c r="S60" i="2" s="1"/>
  <c r="T56" i="2"/>
  <c r="T60" i="2" s="1"/>
  <c r="U56" i="2"/>
  <c r="U60" i="2" s="1"/>
  <c r="V56" i="2"/>
  <c r="V60" i="2" s="1"/>
  <c r="W56" i="2"/>
  <c r="W60" i="2" s="1"/>
  <c r="C43" i="2"/>
  <c r="C50" i="2" s="1"/>
  <c r="D43" i="2"/>
  <c r="D50" i="2" s="1"/>
  <c r="E43" i="2"/>
  <c r="E50" i="2" s="1"/>
  <c r="I25" i="2"/>
  <c r="H25" i="2"/>
  <c r="I27" i="2"/>
  <c r="E32" i="2"/>
  <c r="F32" i="2"/>
  <c r="G32" i="2"/>
  <c r="E31" i="2"/>
  <c r="G16" i="2" l="1"/>
  <c r="G18" i="2" s="1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L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X33" i="2"/>
  <c r="T33" i="2"/>
  <c r="P25" i="2"/>
  <c r="S25" i="2"/>
  <c r="S33" i="2"/>
  <c r="W33" i="2"/>
  <c r="W25" i="2"/>
  <c r="V33" i="2"/>
  <c r="V25" i="2"/>
  <c r="U25" i="2"/>
  <c r="U33" i="2"/>
  <c r="R33" i="2"/>
  <c r="R25" i="2"/>
  <c r="Q33" i="2"/>
  <c r="Q25" i="2"/>
  <c r="C24" i="2"/>
  <c r="H27" i="2"/>
  <c r="F24" i="2"/>
  <c r="F28" i="2"/>
  <c r="E24" i="2"/>
  <c r="D24" i="2"/>
  <c r="G24" i="2"/>
  <c r="G27" i="2"/>
  <c r="G56" i="2"/>
  <c r="G60" i="2" s="1"/>
  <c r="G43" i="2"/>
  <c r="G50" i="2" s="1"/>
  <c r="E27" i="2"/>
  <c r="F27" i="2"/>
  <c r="D27" i="2"/>
  <c r="D56" i="2"/>
  <c r="D60" i="2" s="1"/>
  <c r="E56" i="2"/>
  <c r="F43" i="2"/>
  <c r="F50" i="2" s="1"/>
  <c r="D20" i="2" l="1"/>
  <c r="D26" i="2"/>
  <c r="E20" i="2"/>
  <c r="E26" i="2"/>
  <c r="F20" i="2"/>
  <c r="F26" i="2"/>
  <c r="C20" i="2"/>
  <c r="C26" i="2"/>
  <c r="G20" i="2"/>
  <c r="G26" i="2"/>
  <c r="P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6" i="2"/>
  <c r="F60" i="2" s="1"/>
  <c r="E60" i="2"/>
  <c r="C56" i="2"/>
  <c r="C60" i="2" s="1"/>
  <c r="C22" i="2" l="1"/>
  <c r="E22" i="2"/>
  <c r="D25" i="2"/>
  <c r="G33" i="2"/>
  <c r="G22" i="2"/>
  <c r="G25" i="2"/>
  <c r="C25" i="2" l="1"/>
  <c r="D33" i="2"/>
  <c r="E25" i="2"/>
  <c r="F33" i="2"/>
  <c r="F22" i="2"/>
  <c r="E33" i="2"/>
  <c r="D22" i="2"/>
  <c r="F25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<sst xmlns="http://schemas.openxmlformats.org/spreadsheetml/2006/main" count="226" uniqueCount="211">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</sst>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9" fontId="0" fillId="0" borderId="0" xfId="0" applyNumberFormat="1" applyBorder="1"/>
    <xf numFmtId="3" fontId="5" fillId="0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11260</c:v>
                </c:pt>
                <c:pt idx="6">
                  <c:v>12780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0.14064023143448479</c:v>
                </c:pt>
                <c:pt idx="6">
                  <c:v>0.13499111900532856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1488.9920000000006</c:v>
                </c:pt>
                <c:pt idx="6">
                  <c:v>1692.9760000000003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-1.3865169437795366E-2</c:v>
                </c:pt>
                <c:pt idx="2">
                  <c:v>-0.83932419376192091</c:v>
                </c:pt>
                <c:pt idx="3">
                  <c:v>0.37691122600247629</c:v>
                </c:pt>
                <c:pt idx="4">
                  <c:v>0.36662844330058375</c:v>
                </c:pt>
                <c:pt idx="5">
                  <c:v>0.14291569310601226</c:v>
                </c:pt>
                <c:pt idx="6">
                  <c:v>0.1564719810576165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Model!$L$28:$V$28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Model!$L$30:$W$30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C36" sqref="C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52</v>
      </c>
      <c r="F2" s="61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45405</v>
      </c>
      <c r="E3" s="5" t="s">
        <v>155</v>
      </c>
      <c r="F3" s="28" t="s">
        <v>156</v>
      </c>
      <c r="H3" t="s">
        <v>175</v>
      </c>
      <c r="I3" s="10"/>
      <c r="J3" s="39"/>
      <c r="L3" s="5" t="s">
        <v>135</v>
      </c>
      <c r="M3" t="s">
        <v>136</v>
      </c>
      <c r="N3" s="38"/>
    </row>
    <row r="4" spans="2:14" x14ac:dyDescent="0.25">
      <c r="B4" s="5"/>
      <c r="C4" s="21">
        <v>0.75555555555555554</v>
      </c>
      <c r="E4" s="5" t="s">
        <v>157</v>
      </c>
      <c r="F4" s="28" t="s">
        <v>158</v>
      </c>
      <c r="H4" t="s">
        <v>176</v>
      </c>
      <c r="I4" s="10">
        <v>3512</v>
      </c>
      <c r="J4" s="39"/>
      <c r="L4" s="5" t="s">
        <v>137</v>
      </c>
      <c r="M4" t="s">
        <v>138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8563</v>
      </c>
      <c r="J5" s="39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2914.25</v>
      </c>
      <c r="E6" s="5" t="s">
        <v>161</v>
      </c>
      <c r="F6" s="28" t="s">
        <v>162</v>
      </c>
      <c r="H6" t="s">
        <v>178</v>
      </c>
      <c r="I6" s="10"/>
      <c r="J6" s="39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v>27.71</v>
      </c>
      <c r="E7" s="5" t="s">
        <v>163</v>
      </c>
      <c r="F7" s="28" t="s">
        <v>164</v>
      </c>
      <c r="H7" t="s">
        <v>179</v>
      </c>
      <c r="I7" s="10">
        <v>7166</v>
      </c>
      <c r="J7" s="39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80753.867500000008</v>
      </c>
      <c r="E8" s="5" t="s">
        <v>165</v>
      </c>
      <c r="F8" s="28" t="s">
        <v>166</v>
      </c>
      <c r="H8" t="s">
        <v>180</v>
      </c>
      <c r="I8" s="10">
        <v>67166</v>
      </c>
      <c r="J8" s="39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Model!G37+Model!G42</f>
        <v>1295.4470000000001</v>
      </c>
      <c r="E9" s="5" t="s">
        <v>167</v>
      </c>
      <c r="F9" s="28" t="s">
        <v>168</v>
      </c>
      <c r="H9" t="s">
        <v>181</v>
      </c>
      <c r="I9" s="10">
        <v>799</v>
      </c>
      <c r="J9" s="39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0</f>
        <v>0</v>
      </c>
      <c r="E10" s="5" t="s">
        <v>169</v>
      </c>
      <c r="F10" s="28" t="s">
        <v>170</v>
      </c>
      <c r="H10" t="s">
        <v>182</v>
      </c>
      <c r="I10" s="10">
        <v>29075</v>
      </c>
      <c r="J10" s="39"/>
      <c r="L10" s="5" t="s">
        <v>149</v>
      </c>
      <c r="M10" t="s">
        <v>150</v>
      </c>
      <c r="N10" s="13"/>
    </row>
    <row r="11" spans="2:14" x14ac:dyDescent="0.25">
      <c r="B11" s="5" t="s">
        <v>40</v>
      </c>
      <c r="C11" s="15">
        <f>C9-C10</f>
        <v>1295.4470000000001</v>
      </c>
      <c r="E11" s="5" t="s">
        <v>171</v>
      </c>
      <c r="F11" s="28" t="s">
        <v>172</v>
      </c>
      <c r="H11" t="s">
        <v>183</v>
      </c>
      <c r="I11" s="10">
        <v>2069</v>
      </c>
      <c r="J11" s="39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79458.420500000007</v>
      </c>
      <c r="E12" s="5" t="s">
        <v>173</v>
      </c>
      <c r="F12" s="28" t="s">
        <v>174</v>
      </c>
      <c r="H12" t="s">
        <v>184</v>
      </c>
      <c r="I12" s="10">
        <v>1906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51</v>
      </c>
      <c r="C13" s="36">
        <f>C6/Model!G22</f>
        <v>65.721035095386668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C6/Model!H23</f>
        <v>57.502959747434886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C6/Model!I23</f>
        <v>49.722743559119607</v>
      </c>
    </row>
    <row r="16" spans="2:14" x14ac:dyDescent="0.25">
      <c r="B16" s="5" t="s">
        <v>47</v>
      </c>
      <c r="C16" s="6">
        <f>Model!H23/Model!G22-1</f>
        <v>0.14291569310601226</v>
      </c>
    </row>
    <row r="17" spans="2:14" x14ac:dyDescent="0.25">
      <c r="B17" s="5" t="s">
        <v>48</v>
      </c>
      <c r="C17" s="6">
        <f>Model!I23/Model!H23-1</f>
        <v>0.1564719810576165</v>
      </c>
      <c r="E17" s="33" t="s">
        <v>58</v>
      </c>
      <c r="L17" s="125"/>
      <c r="M17" s="126"/>
      <c r="N17" s="127"/>
    </row>
    <row r="18" spans="2:14" x14ac:dyDescent="0.25">
      <c r="B18" s="5" t="s">
        <v>72</v>
      </c>
      <c r="C18" s="53">
        <f>C14/(C16*100)</f>
        <v>4.0235581200155703</v>
      </c>
      <c r="L18" s="128"/>
      <c r="M18" s="129"/>
      <c r="N18" s="130"/>
    </row>
    <row r="19" spans="2:14" x14ac:dyDescent="0.25">
      <c r="B19" s="5" t="s">
        <v>73</v>
      </c>
      <c r="C19" s="53">
        <f>C15/(C17*100)</f>
        <v>3.1777410385576044</v>
      </c>
      <c r="L19" s="128"/>
      <c r="M19" s="129"/>
      <c r="N19" s="130"/>
    </row>
    <row r="20" spans="2:14" x14ac:dyDescent="0.25">
      <c r="B20" s="5" t="s">
        <v>80</v>
      </c>
      <c r="C20" s="6">
        <f>Model!H6/Model!G5-1</f>
        <v>0.14064023143448479</v>
      </c>
      <c r="L20" s="128"/>
      <c r="M20" s="129"/>
      <c r="N20" s="130"/>
    </row>
    <row r="21" spans="2:14" x14ac:dyDescent="0.25">
      <c r="B21" s="5" t="s">
        <v>81</v>
      </c>
      <c r="C21" s="6">
        <f>Model!I6/Model!H6-1</f>
        <v>0.13499111900532856</v>
      </c>
      <c r="L21" s="128"/>
      <c r="M21" s="129"/>
      <c r="N21" s="130"/>
    </row>
    <row r="22" spans="2:14" x14ac:dyDescent="0.25">
      <c r="B22" s="5" t="s">
        <v>74</v>
      </c>
      <c r="C22" s="15">
        <f>Model!G16+Model!G13</f>
        <v>1877.2069999999983</v>
      </c>
      <c r="L22" s="128"/>
      <c r="M22" s="129"/>
      <c r="N22" s="130"/>
    </row>
    <row r="23" spans="2:14" x14ac:dyDescent="0.25">
      <c r="B23" s="5" t="s">
        <v>19</v>
      </c>
      <c r="C23" s="15">
        <f>Model!G18</f>
        <v>1620.5059999999983</v>
      </c>
      <c r="L23" s="128"/>
      <c r="M23" s="129"/>
      <c r="N23" s="130"/>
    </row>
    <row r="24" spans="2:14" x14ac:dyDescent="0.25">
      <c r="B24" s="5" t="s">
        <v>32</v>
      </c>
      <c r="C24" s="7">
        <f>Model!G24</f>
        <v>0.26197163209510377</v>
      </c>
      <c r="L24" s="128"/>
      <c r="M24" s="129"/>
      <c r="N24" s="130"/>
    </row>
    <row r="25" spans="2:14" x14ac:dyDescent="0.25">
      <c r="B25" s="5" t="s">
        <v>33</v>
      </c>
      <c r="C25" s="7">
        <f>Model!G25</f>
        <v>0.12447130160320716</v>
      </c>
      <c r="L25" s="128"/>
      <c r="M25" s="129"/>
      <c r="N25" s="130"/>
    </row>
    <row r="26" spans="2:14" x14ac:dyDescent="0.25">
      <c r="B26" s="5" t="s">
        <v>75</v>
      </c>
      <c r="C26" s="36">
        <f>C12/C23</f>
        <v>49.033092441496727</v>
      </c>
      <c r="L26" s="128"/>
      <c r="M26" s="129"/>
      <c r="N26" s="130"/>
    </row>
    <row r="27" spans="2:14" x14ac:dyDescent="0.25">
      <c r="B27" s="5" t="s">
        <v>82</v>
      </c>
      <c r="C27" s="121">
        <v>0</v>
      </c>
      <c r="E27" t="s">
        <v>76</v>
      </c>
      <c r="L27" s="128"/>
      <c r="M27" s="129"/>
      <c r="N27" s="130"/>
    </row>
    <row r="28" spans="2:14" x14ac:dyDescent="0.25">
      <c r="B28" s="5" t="s">
        <v>83</v>
      </c>
      <c r="C28" s="36">
        <v>0</v>
      </c>
      <c r="L28" s="131"/>
      <c r="M28" s="132"/>
      <c r="N28" s="133"/>
    </row>
    <row r="29" spans="2:14" x14ac:dyDescent="0.25">
      <c r="B29" s="5" t="s">
        <v>84</v>
      </c>
      <c r="C29" s="36">
        <f>Model!G43/Model!G56</f>
        <v>1.5725535476046089</v>
      </c>
    </row>
    <row r="30" spans="2:14" x14ac:dyDescent="0.25">
      <c r="B30" s="5" t="s">
        <v>85</v>
      </c>
      <c r="C30" s="36">
        <f>(Model!G37+Model!G42)/Model!G56</f>
        <v>1.2569528198908431</v>
      </c>
    </row>
    <row r="31" spans="2:14" x14ac:dyDescent="0.25">
      <c r="B31" s="5" t="s">
        <v>86</v>
      </c>
      <c r="C31" s="6">
        <f>(Model!G43-Model!G56)/Model!G50</f>
        <v>7.3354232442547948E-2</v>
      </c>
    </row>
    <row r="32" spans="2:14" x14ac:dyDescent="0.25">
      <c r="B32" s="5" t="s">
        <v>87</v>
      </c>
      <c r="C32" s="36">
        <f>(Model!G50-Model!G60)/C7</f>
        <v>110.50909418982322</v>
      </c>
    </row>
    <row r="33" spans="2:3" x14ac:dyDescent="0.25">
      <c r="B33" s="5" t="s">
        <v>88</v>
      </c>
      <c r="C33" s="36">
        <f>Model!G5/Model!G50</f>
        <v>1.227151264450804</v>
      </c>
    </row>
    <row r="34" spans="2:3" x14ac:dyDescent="0.25">
      <c r="B34" s="5" t="s">
        <v>89</v>
      </c>
      <c r="C34" s="39">
        <f>Model!G20/Model!G50</f>
        <v>0.15274511515021305</v>
      </c>
    </row>
    <row r="35" spans="2:3" x14ac:dyDescent="0.25">
      <c r="B35" s="5" t="s">
        <v>90</v>
      </c>
      <c r="C35" s="39">
        <f>Model!G20/Model!G61</f>
        <v>0.40125863470366235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2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65" sqref="E65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41</v>
      </c>
    </row>
    <row r="2" spans="1:25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71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s="13" t="s">
        <v>44</v>
      </c>
      <c r="X2" t="s">
        <v>67</v>
      </c>
      <c r="Y2" t="s">
        <v>70</v>
      </c>
    </row>
    <row r="3" spans="1:25" x14ac:dyDescent="0.25">
      <c r="B3" s="9" t="s">
        <v>185</v>
      </c>
      <c r="C3" s="144">
        <v>5561.0360000000001</v>
      </c>
      <c r="D3" s="144">
        <v>5920.5450000000001</v>
      </c>
      <c r="E3" s="144">
        <v>7457.1689999999999</v>
      </c>
      <c r="F3" s="144">
        <v>8558.0010000000002</v>
      </c>
      <c r="G3" s="15">
        <v>9804.1239999999998</v>
      </c>
    </row>
    <row r="4" spans="1:25" x14ac:dyDescent="0.25">
      <c r="B4" s="9" t="s">
        <v>186</v>
      </c>
      <c r="C4" s="144">
        <v>25.332999999999998</v>
      </c>
      <c r="D4" s="144">
        <v>64.088999999999999</v>
      </c>
      <c r="E4" s="144">
        <v>89.891999999999996</v>
      </c>
      <c r="F4" s="144">
        <v>76.650999999999996</v>
      </c>
      <c r="G4" s="15">
        <v>67.525000000000006</v>
      </c>
    </row>
    <row r="5" spans="1:25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4">
        <f>SUM(G3:G4)</f>
        <v>9871.6489999999994</v>
      </c>
      <c r="H5" s="44">
        <v>11260</v>
      </c>
      <c r="I5" s="44">
        <v>12780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  <c r="X5" s="11"/>
    </row>
    <row r="6" spans="1:25" x14ac:dyDescent="0.25">
      <c r="B6" s="9" t="s">
        <v>69</v>
      </c>
      <c r="C6" s="10"/>
      <c r="D6" s="10"/>
      <c r="E6" s="10"/>
      <c r="F6" s="10"/>
      <c r="G6" s="15"/>
      <c r="H6" s="43">
        <v>11260</v>
      </c>
      <c r="I6" s="43">
        <v>12780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15"/>
      <c r="X6" s="10"/>
      <c r="Y6" s="41"/>
    </row>
    <row r="7" spans="1:25" x14ac:dyDescent="0.25">
      <c r="B7" s="9" t="s">
        <v>187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5">
        <v>2912.5639999999999</v>
      </c>
      <c r="H7" s="147"/>
      <c r="I7" s="147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188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5">
        <v>2440.982</v>
      </c>
      <c r="H8" s="147"/>
      <c r="I8" s="147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189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5">
        <v>503.26400000000001</v>
      </c>
      <c r="H9" s="147"/>
      <c r="I9" s="147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190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5">
        <v>1428.7470000000001</v>
      </c>
      <c r="H10" s="147"/>
      <c r="I10" s="147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63</v>
      </c>
      <c r="C11" s="11">
        <f>SUM(C7:C10)</f>
        <v>4443.8789999999999</v>
      </c>
      <c r="D11" s="11">
        <f t="shared" ref="D11:I11" si="0">SUM(D7:D10)</f>
        <v>4944.3060000000005</v>
      </c>
      <c r="E11" s="11">
        <f t="shared" si="0"/>
        <v>5840.0519999999997</v>
      </c>
      <c r="F11" s="11">
        <f t="shared" si="0"/>
        <v>6572.5329999999994</v>
      </c>
      <c r="G11" s="14">
        <f t="shared" si="0"/>
        <v>7285.5570000000007</v>
      </c>
      <c r="H11" s="11">
        <f>H6*(1-H24)</f>
        <v>8332.4</v>
      </c>
      <c r="I11" s="11">
        <f>I6*(1-I24)</f>
        <v>9457.2000000000007</v>
      </c>
      <c r="L11" s="11">
        <f t="shared" ref="L11" si="1">SUM(L7:L10)</f>
        <v>0</v>
      </c>
      <c r="M11" s="11">
        <f t="shared" ref="M11" si="2">SUM(M7:M10)</f>
        <v>0</v>
      </c>
      <c r="N11" s="11">
        <f t="shared" ref="N11" si="3">SUM(N7:N10)</f>
        <v>0</v>
      </c>
      <c r="O11" s="11">
        <f t="shared" ref="O11" si="4">SUM(O7:O10)</f>
        <v>0</v>
      </c>
      <c r="P11" s="11">
        <f t="shared" ref="P11" si="5">SUM(P7:P10)</f>
        <v>0</v>
      </c>
      <c r="Q11" s="11">
        <f t="shared" ref="Q11" si="6">SUM(Q7:Q10)</f>
        <v>0</v>
      </c>
      <c r="R11" s="11">
        <f t="shared" ref="R11" si="7">SUM(R7:R10)</f>
        <v>0</v>
      </c>
      <c r="S11" s="11">
        <f t="shared" ref="S11" si="8">SUM(S7:S10)</f>
        <v>0</v>
      </c>
      <c r="T11" s="11">
        <f t="shared" ref="T11" si="9">SUM(T7:T10)</f>
        <v>0</v>
      </c>
      <c r="U11" s="11">
        <f t="shared" ref="U11" si="10">SUM(U7:U10)</f>
        <v>0</v>
      </c>
      <c r="V11" s="11">
        <f t="shared" ref="V11" si="11">SUM(V7:V10)</f>
        <v>0</v>
      </c>
      <c r="W11" s="14">
        <f t="shared" ref="W11" si="12">SUM(W7:W10)</f>
        <v>0</v>
      </c>
      <c r="X11" s="11">
        <f t="shared" ref="X11" si="13">SUM(X7:X10)</f>
        <v>0</v>
      </c>
      <c r="Y11" s="11">
        <f t="shared" ref="Y11" si="14">SUM(Y7:Y10)</f>
        <v>0</v>
      </c>
    </row>
    <row r="12" spans="1:25" x14ac:dyDescent="0.25">
      <c r="B12" t="s">
        <v>133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5">
        <v>633.58399999999995</v>
      </c>
      <c r="H12" s="41">
        <f>H5*H28</f>
        <v>675.6</v>
      </c>
      <c r="I12" s="41">
        <f>I5*I28</f>
        <v>766.8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5">
        <v>319.39400000000001</v>
      </c>
      <c r="H13" s="41">
        <f>H6*H29</f>
        <v>337.8</v>
      </c>
      <c r="I13" s="41">
        <f>I6*I29</f>
        <v>383.4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191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5">
        <v>36.930999999999997</v>
      </c>
      <c r="H14" s="41">
        <f>H7*H30</f>
        <v>0</v>
      </c>
      <c r="I14" s="41">
        <f>I7*I30</f>
        <v>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192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5">
        <v>38.369999999999997</v>
      </c>
      <c r="H15" s="41">
        <v>25</v>
      </c>
      <c r="I15" s="41">
        <v>25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C5-SUM(C11:C15)</f>
        <v>443.95799999999963</v>
      </c>
      <c r="D16" s="11">
        <f t="shared" ref="D16:I16" si="15">D5-SUM(D11:D15)</f>
        <v>289.41099999999915</v>
      </c>
      <c r="E16" s="11">
        <f t="shared" si="15"/>
        <v>804.9429999999993</v>
      </c>
      <c r="F16" s="11">
        <f t="shared" si="15"/>
        <v>1160.4030000000002</v>
      </c>
      <c r="G16" s="14">
        <f t="shared" si="15"/>
        <v>1557.8129999999983</v>
      </c>
      <c r="H16" s="11">
        <f>H5-SUM(H11:H15)</f>
        <v>1889.2000000000007</v>
      </c>
      <c r="I16" s="11">
        <f t="shared" si="15"/>
        <v>2147.6000000000004</v>
      </c>
      <c r="J16" s="11"/>
      <c r="K16" s="11"/>
      <c r="L16" s="11">
        <f t="shared" ref="L16" si="16">L5-SUM(L11:L15)</f>
        <v>0</v>
      </c>
      <c r="M16" s="11">
        <f t="shared" ref="M16" si="17">M5-SUM(M11:M15)</f>
        <v>0</v>
      </c>
      <c r="N16" s="11">
        <f t="shared" ref="N16" si="18">N5-SUM(N11:N15)</f>
        <v>0</v>
      </c>
      <c r="O16" s="11">
        <f t="shared" ref="O16" si="19">O5-SUM(O11:O15)</f>
        <v>0</v>
      </c>
      <c r="P16" s="11">
        <f t="shared" ref="P16" si="20">P5-SUM(P11:P15)</f>
        <v>0</v>
      </c>
      <c r="Q16" s="11">
        <f t="shared" ref="Q16" si="21">Q5-SUM(Q11:Q15)</f>
        <v>0</v>
      </c>
      <c r="R16" s="11">
        <f t="shared" ref="R16" si="22">R5-SUM(R11:R15)</f>
        <v>0</v>
      </c>
      <c r="S16" s="11">
        <f t="shared" ref="S16" si="23">S5-SUM(S11:S15)</f>
        <v>0</v>
      </c>
      <c r="T16" s="11">
        <f t="shared" ref="T16" si="24">T5-SUM(T11:T15)</f>
        <v>0</v>
      </c>
      <c r="U16" s="11">
        <f t="shared" ref="U16" si="25">U5-SUM(U11:U15)</f>
        <v>0</v>
      </c>
      <c r="V16" s="11">
        <f t="shared" ref="V16" si="26">V5-SUM(V11:V15)</f>
        <v>0</v>
      </c>
      <c r="W16" s="14">
        <f t="shared" ref="W16" si="27">W5-SUM(W11:W15)</f>
        <v>0</v>
      </c>
      <c r="X16" s="11">
        <f t="shared" ref="X16" si="28">X5-SUM(X11:X15)</f>
        <v>0</v>
      </c>
      <c r="Y16" s="11">
        <f t="shared" ref="Y16" si="29">Y5-SUM(Y11:Y15)</f>
        <v>0</v>
      </c>
    </row>
    <row r="17" spans="2:25" x14ac:dyDescent="0.25">
      <c r="B17" t="s">
        <v>193</v>
      </c>
      <c r="C17" s="10">
        <v>14.327</v>
      </c>
      <c r="D17" s="10">
        <v>3.617</v>
      </c>
      <c r="E17" s="10">
        <v>7.82</v>
      </c>
      <c r="F17" s="10">
        <v>21.128</v>
      </c>
      <c r="G17" s="15">
        <v>62.692999999999998</v>
      </c>
      <c r="H17" s="41">
        <v>70</v>
      </c>
      <c r="I17" s="41">
        <v>80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s="1" customFormat="1" x14ac:dyDescent="0.25">
      <c r="B18" s="1" t="s">
        <v>19</v>
      </c>
      <c r="C18" s="11">
        <f>C16+SUM(C17:C17)</f>
        <v>458.28499999999963</v>
      </c>
      <c r="D18" s="11">
        <f>D16+SUM(D17:D17)</f>
        <v>293.02799999999917</v>
      </c>
      <c r="E18" s="11">
        <f>E16+SUM(E17:E17)</f>
        <v>812.76299999999935</v>
      </c>
      <c r="F18" s="11">
        <f>F16+SUM(F17:F17)</f>
        <v>1181.5310000000002</v>
      </c>
      <c r="G18" s="14">
        <f>G16+SUM(G17:G17)</f>
        <v>1620.5059999999983</v>
      </c>
      <c r="H18" s="11">
        <f>H16+SUM(H17:H17)</f>
        <v>1959.2000000000007</v>
      </c>
      <c r="I18" s="11">
        <f>I16+SUM(I17:I17)</f>
        <v>2227.6000000000004</v>
      </c>
      <c r="L18" s="11">
        <f>L16+SUM(L17:L17)</f>
        <v>0</v>
      </c>
      <c r="M18" s="11">
        <f>M16+SUM(M17:M17)</f>
        <v>0</v>
      </c>
      <c r="N18" s="11">
        <f>N16+SUM(N17:N17)</f>
        <v>0</v>
      </c>
      <c r="O18" s="11">
        <f>O16+SUM(O17:O17)</f>
        <v>0</v>
      </c>
      <c r="P18" s="11">
        <f>P16+SUM(P17:P17)</f>
        <v>0</v>
      </c>
      <c r="Q18" s="11">
        <f>Q16+SUM(Q17:Q17)</f>
        <v>0</v>
      </c>
      <c r="R18" s="11">
        <f>R16+SUM(R17:R17)</f>
        <v>0</v>
      </c>
      <c r="S18" s="11">
        <f>S16+SUM(S17:S17)</f>
        <v>0</v>
      </c>
      <c r="T18" s="11">
        <f>T16+SUM(T17:T17)</f>
        <v>0</v>
      </c>
      <c r="U18" s="11">
        <f>U16+SUM(U17:U17)</f>
        <v>0</v>
      </c>
      <c r="V18" s="11">
        <f>V16+SUM(V17:V17)</f>
        <v>0</v>
      </c>
      <c r="W18" s="14">
        <f>W16+SUM(W17:W17)</f>
        <v>0</v>
      </c>
      <c r="X18" s="11">
        <f>X16+SUM(X17:X17)</f>
        <v>0</v>
      </c>
      <c r="Y18" s="11">
        <f>Y16+SUM(Y17:Y17)</f>
        <v>0</v>
      </c>
    </row>
    <row r="19" spans="2:25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5">
        <v>-391.76900000000001</v>
      </c>
      <c r="H19" s="41">
        <f>H18*0.24</f>
        <v>470.20800000000014</v>
      </c>
      <c r="I19" s="41">
        <f>I18*0.24</f>
        <v>534.62400000000002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21</v>
      </c>
      <c r="C20" s="145">
        <f>C18+SUM(C19:C19)</f>
        <v>350.15799999999962</v>
      </c>
      <c r="D20" s="145">
        <f>D18+SUM(D19:D19)</f>
        <v>355.01299999999918</v>
      </c>
      <c r="E20" s="145">
        <f>E18+SUM(E19:E19)</f>
        <v>652.98399999999936</v>
      </c>
      <c r="F20" s="145">
        <f>F18+SUM(F19:F19)</f>
        <v>899.10100000000011</v>
      </c>
      <c r="G20" s="14">
        <f>G18+SUM(G19:G19)</f>
        <v>1228.7369999999983</v>
      </c>
      <c r="H20" s="60">
        <f>H18-H19</f>
        <v>1488.9920000000006</v>
      </c>
      <c r="I20" s="60">
        <f>I18-I19</f>
        <v>1692.9760000000003</v>
      </c>
      <c r="L20" s="11">
        <f>L18-SUM(L19:L19)</f>
        <v>0</v>
      </c>
      <c r="M20" s="11">
        <f>M18-SUM(M19:M19)</f>
        <v>0</v>
      </c>
      <c r="N20" s="11">
        <f>N18-SUM(N19:N19)</f>
        <v>0</v>
      </c>
      <c r="O20" s="11">
        <f>O18-SUM(O19:O19)</f>
        <v>0</v>
      </c>
      <c r="P20" s="11">
        <f>P18-SUM(P19:P19)</f>
        <v>0</v>
      </c>
      <c r="Q20" s="11">
        <f>Q18-SUM(Q19:Q19)</f>
        <v>0</v>
      </c>
      <c r="R20" s="11">
        <f>R18-SUM(R19:R19)</f>
        <v>0</v>
      </c>
      <c r="S20" s="11">
        <f>S18-SUM(S19:S19)</f>
        <v>0</v>
      </c>
      <c r="T20" s="11">
        <f>T18-SUM(T19:T19)</f>
        <v>0</v>
      </c>
      <c r="U20" s="11">
        <f>U18-SUM(U19:U19)</f>
        <v>0</v>
      </c>
      <c r="V20" s="11">
        <f>V18-SUM(V19:V19)</f>
        <v>0</v>
      </c>
      <c r="W20" s="14">
        <f>W18-SUM(W19:W19)</f>
        <v>0</v>
      </c>
      <c r="X20" s="11">
        <f>X18-SUM(X19:X19)</f>
        <v>0</v>
      </c>
      <c r="Y20" s="11">
        <f>Y18-SUM(Y19:Y19)</f>
        <v>0</v>
      </c>
    </row>
    <row r="21" spans="2:25" x14ac:dyDescent="0.25">
      <c r="B21" t="s">
        <v>1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15">
        <v>27.71</v>
      </c>
      <c r="H21" s="41">
        <v>27.5</v>
      </c>
      <c r="I21" s="41">
        <v>27.2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  <c r="X21" s="10"/>
      <c r="Y21" s="10"/>
    </row>
    <row r="22" spans="2:25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56">
        <f>G20/G21</f>
        <v>44.342728256946884</v>
      </c>
      <c r="H22" s="57"/>
      <c r="I22" s="5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50"/>
      <c r="X22" s="51"/>
      <c r="Y22" s="51"/>
    </row>
    <row r="23" spans="2:25" s="1" customFormat="1" x14ac:dyDescent="0.25">
      <c r="B23" s="9" t="s">
        <v>68</v>
      </c>
      <c r="C23" s="2"/>
      <c r="D23" s="2"/>
      <c r="E23" s="2"/>
      <c r="F23" s="2"/>
      <c r="G23" s="35"/>
      <c r="H23" s="45">
        <v>50.68</v>
      </c>
      <c r="I23" s="46">
        <v>58.61</v>
      </c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0"/>
      <c r="X23" s="51"/>
      <c r="Y23" s="51"/>
    </row>
    <row r="24" spans="2:25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6">
        <f>1-G11/G5</f>
        <v>0.26197163209510377</v>
      </c>
      <c r="H24" s="47">
        <v>0.26</v>
      </c>
      <c r="I24" s="47">
        <v>0.26</v>
      </c>
      <c r="L24" s="3" t="e">
        <f>1-L11/L5</f>
        <v>#DIV/0!</v>
      </c>
      <c r="M24" s="3" t="e">
        <f>1-M11/M5</f>
        <v>#DIV/0!</v>
      </c>
      <c r="N24" s="3" t="e">
        <f>1-N11/N5</f>
        <v>#DIV/0!</v>
      </c>
      <c r="O24" s="3" t="e">
        <f>1-O11/O5</f>
        <v>#DIV/0!</v>
      </c>
      <c r="P24" s="3" t="e">
        <f>1-P11/P5</f>
        <v>#DIV/0!</v>
      </c>
      <c r="Q24" s="3" t="e">
        <f>1-Q11/Q5</f>
        <v>#DIV/0!</v>
      </c>
      <c r="R24" s="3" t="e">
        <f>1-R11/R5</f>
        <v>#DIV/0!</v>
      </c>
      <c r="S24" s="3" t="e">
        <f>1-S11/S5</f>
        <v>#DIV/0!</v>
      </c>
      <c r="T24" s="3" t="e">
        <f>1-T11/T5</f>
        <v>#DIV/0!</v>
      </c>
      <c r="U24" s="3" t="e">
        <f>1-U11/U5</f>
        <v>#DIV/0!</v>
      </c>
      <c r="V24" s="3" t="e">
        <f>1-V11/V5</f>
        <v>#DIV/0!</v>
      </c>
      <c r="W24" s="6" t="e">
        <f>1-W11/W5</f>
        <v>#DIV/0!</v>
      </c>
    </row>
    <row r="25" spans="2:25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7">
        <f>G20/G5</f>
        <v>0.12447130160320716</v>
      </c>
      <c r="H25" s="48">
        <f>H20/H6</f>
        <v>0.13223730017761995</v>
      </c>
      <c r="I25" s="48">
        <f>I20/I6</f>
        <v>0.13247073552425667</v>
      </c>
      <c r="L25" s="4" t="e">
        <f>L20/L5</f>
        <v>#DIV/0!</v>
      </c>
      <c r="M25" s="4" t="e">
        <f>M20/M5</f>
        <v>#DIV/0!</v>
      </c>
      <c r="N25" s="4" t="e">
        <f>N20/N5</f>
        <v>#DIV/0!</v>
      </c>
      <c r="O25" s="4" t="e">
        <f>O20/O5</f>
        <v>#DIV/0!</v>
      </c>
      <c r="P25" s="4" t="e">
        <f>P20/P5</f>
        <v>#DIV/0!</v>
      </c>
      <c r="Q25" s="4" t="e">
        <f>Q20/Q5</f>
        <v>#DIV/0!</v>
      </c>
      <c r="R25" s="4" t="e">
        <f>R20/R5</f>
        <v>#DIV/0!</v>
      </c>
      <c r="S25" s="4" t="e">
        <f>S20/S5</f>
        <v>#DIV/0!</v>
      </c>
      <c r="T25" s="4" t="e">
        <f>T20/T5</f>
        <v>#DIV/0!</v>
      </c>
      <c r="U25" s="4" t="e">
        <f>U20/U5</f>
        <v>#DIV/0!</v>
      </c>
      <c r="V25" s="4" t="e">
        <f>V20/V5</f>
        <v>#DIV/0!</v>
      </c>
      <c r="W25" s="7" t="e">
        <f>W20/W5</f>
        <v>#DIV/0!</v>
      </c>
    </row>
    <row r="26" spans="2:25" x14ac:dyDescent="0.25">
      <c r="B26" t="s">
        <v>206</v>
      </c>
      <c r="C26" s="146">
        <f>-C19/C18</f>
        <v>0.23593833531536071</v>
      </c>
      <c r="D26" s="146">
        <f>-D19/D18</f>
        <v>-0.21153268629619074</v>
      </c>
      <c r="E26" s="146">
        <f>-E19/E18</f>
        <v>0.1965874430799632</v>
      </c>
      <c r="F26" s="146">
        <f>-F19/F18</f>
        <v>0.23903731683722218</v>
      </c>
      <c r="G26" s="7">
        <f>-G19/G18</f>
        <v>0.24175720423127123</v>
      </c>
      <c r="H26" s="48"/>
      <c r="I26" s="4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/>
    </row>
    <row r="27" spans="2:25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40">
        <f>F5/E5-1</f>
        <v>0.14410788517543449</v>
      </c>
      <c r="G27" s="6">
        <f>G5/F5-1</f>
        <v>0.14325962412845361</v>
      </c>
      <c r="H27" s="49">
        <f>H6/G5-1</f>
        <v>0.14064023143448479</v>
      </c>
      <c r="I27" s="49">
        <f>I6/H6-1</f>
        <v>0.13499111900532856</v>
      </c>
      <c r="L27" s="4"/>
      <c r="M27" s="4"/>
      <c r="N27" s="4"/>
      <c r="O27" s="4"/>
      <c r="P27" s="4" t="e">
        <f>P5/L5-1</f>
        <v>#DIV/0!</v>
      </c>
      <c r="Q27" s="4" t="e">
        <f>Q5/M5-1</f>
        <v>#DIV/0!</v>
      </c>
      <c r="R27" s="4" t="e">
        <f>R5/N5-1</f>
        <v>#DIV/0!</v>
      </c>
      <c r="S27" s="4" t="e">
        <f>S5/O5-1</f>
        <v>#DIV/0!</v>
      </c>
      <c r="T27" s="4" t="e">
        <f>T5/P5-1</f>
        <v>#DIV/0!</v>
      </c>
      <c r="U27" s="4" t="e">
        <f>U5/Q5-1</f>
        <v>#DIV/0!</v>
      </c>
      <c r="V27" s="4" t="e">
        <f>V5/R5-1</f>
        <v>#DIV/0!</v>
      </c>
      <c r="W27" s="7" t="e">
        <f>W5/S5-1</f>
        <v>#DIV/0!</v>
      </c>
      <c r="X27" s="37" t="e">
        <f>X6/T5-1</f>
        <v>#DIV/0!</v>
      </c>
      <c r="Y27" s="37" t="e">
        <f>Y6/U5-1</f>
        <v>#DIV/0!</v>
      </c>
    </row>
    <row r="28" spans="2:25" x14ac:dyDescent="0.25">
      <c r="B28" t="s">
        <v>132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7">
        <f>G12/G5</f>
        <v>6.4182184759608046E-2</v>
      </c>
      <c r="H28" s="122">
        <v>0.06</v>
      </c>
      <c r="I28" s="122">
        <v>0.06</v>
      </c>
      <c r="L28" s="4" t="e">
        <f>L12/L5</f>
        <v>#DIV/0!</v>
      </c>
      <c r="M28" s="4" t="e">
        <f>M12/M5</f>
        <v>#DIV/0!</v>
      </c>
      <c r="N28" s="4" t="e">
        <f>N12/N5</f>
        <v>#DIV/0!</v>
      </c>
      <c r="O28" s="4" t="e">
        <f>O12/O5</f>
        <v>#DIV/0!</v>
      </c>
      <c r="P28" s="4" t="e">
        <f>P12/P5</f>
        <v>#DIV/0!</v>
      </c>
      <c r="Q28" s="4" t="e">
        <f>Q12/Q5</f>
        <v>#DIV/0!</v>
      </c>
      <c r="R28" s="4" t="e">
        <f>R12/R5</f>
        <v>#DIV/0!</v>
      </c>
      <c r="S28" s="4" t="e">
        <f>S12/S5</f>
        <v>#DIV/0!</v>
      </c>
      <c r="T28" s="4" t="e">
        <f>T12/T5</f>
        <v>#DIV/0!</v>
      </c>
      <c r="U28" s="4" t="e">
        <f>U12/U5</f>
        <v>#DIV/0!</v>
      </c>
      <c r="V28" s="4" t="e">
        <f>V12/V5</f>
        <v>#DIV/0!</v>
      </c>
      <c r="W28" s="7" t="e">
        <f>W12/W5</f>
        <v>#DIV/0!</v>
      </c>
      <c r="X28" s="4"/>
    </row>
    <row r="29" spans="2:25" x14ac:dyDescent="0.25">
      <c r="B29" t="s">
        <v>207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7">
        <f>G13/G5</f>
        <v>3.2354675495451672E-2</v>
      </c>
      <c r="H29" s="122">
        <v>0.03</v>
      </c>
      <c r="I29" s="122">
        <v>0.03</v>
      </c>
      <c r="L29" s="4" t="e">
        <f>L13/L5</f>
        <v>#DIV/0!</v>
      </c>
      <c r="M29" s="4" t="e">
        <f>M13/M5</f>
        <v>#DIV/0!</v>
      </c>
      <c r="N29" s="4" t="e">
        <f>N13/N5</f>
        <v>#DIV/0!</v>
      </c>
      <c r="O29" s="4" t="e">
        <f>O13/O5</f>
        <v>#DIV/0!</v>
      </c>
      <c r="P29" s="4" t="e">
        <f>P13/P5</f>
        <v>#DIV/0!</v>
      </c>
      <c r="Q29" s="4" t="e">
        <f>Q13/Q5</f>
        <v>#DIV/0!</v>
      </c>
      <c r="R29" s="4" t="e">
        <f>R13/R5</f>
        <v>#DIV/0!</v>
      </c>
      <c r="S29" s="4" t="e">
        <f>S13/S5</f>
        <v>#DIV/0!</v>
      </c>
      <c r="T29" s="4" t="e">
        <f>T13/T5</f>
        <v>#DIV/0!</v>
      </c>
      <c r="U29" s="4" t="e">
        <f>U13/U5</f>
        <v>#DIV/0!</v>
      </c>
      <c r="V29" s="4" t="e">
        <f>V13/V5</f>
        <v>#DIV/0!</v>
      </c>
      <c r="W29" s="7" t="e">
        <f>W13/W5</f>
        <v>#DIV/0!</v>
      </c>
      <c r="X29" s="4"/>
    </row>
    <row r="30" spans="2:25" x14ac:dyDescent="0.25">
      <c r="B30" t="s">
        <v>208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7">
        <f>G14/G5</f>
        <v>3.7411176187483975E-3</v>
      </c>
      <c r="H30" s="122">
        <v>3.7411176187483975E-3</v>
      </c>
      <c r="I30" s="122">
        <v>3.7411176187483975E-3</v>
      </c>
      <c r="L30" s="4" t="e">
        <f>L15/L5</f>
        <v>#DIV/0!</v>
      </c>
      <c r="M30" s="4" t="e">
        <f>M15/M5</f>
        <v>#DIV/0!</v>
      </c>
      <c r="N30" s="4" t="e">
        <f>N15/N5</f>
        <v>#DIV/0!</v>
      </c>
      <c r="O30" s="4" t="e">
        <f>O15/O5</f>
        <v>#DIV/0!</v>
      </c>
      <c r="P30" s="4" t="e">
        <f>P15/P5</f>
        <v>#DIV/0!</v>
      </c>
      <c r="Q30" s="4" t="e">
        <f>Q15/Q5</f>
        <v>#DIV/0!</v>
      </c>
      <c r="R30" s="4" t="e">
        <f>R15/R5</f>
        <v>#DIV/0!</v>
      </c>
      <c r="S30" s="4" t="e">
        <f>S15/S5</f>
        <v>#DIV/0!</v>
      </c>
      <c r="T30" s="4" t="e">
        <f>T15/T5</f>
        <v>#DIV/0!</v>
      </c>
      <c r="U30" s="4" t="e">
        <f>U15/U5</f>
        <v>#DIV/0!</v>
      </c>
      <c r="V30" s="4" t="e">
        <f>V15/V5</f>
        <v>#DIV/0!</v>
      </c>
      <c r="W30" s="7" t="e">
        <f>W15/W5</f>
        <v>#DIV/0!</v>
      </c>
      <c r="X30" s="4"/>
    </row>
    <row r="31" spans="2:25" x14ac:dyDescent="0.25">
      <c r="B31" t="s">
        <v>209</v>
      </c>
      <c r="C31" s="4"/>
      <c r="D31" s="4">
        <f>D3/C3-1</f>
        <v>6.4647846192687819E-2</v>
      </c>
      <c r="E31" s="4">
        <f>E3/D3-1</f>
        <v>0.25954097131260712</v>
      </c>
      <c r="F31" s="4">
        <f>F3/E3-1</f>
        <v>0.14762063190468133</v>
      </c>
      <c r="G31" s="7">
        <f>G3/F3-1</f>
        <v>0.14560912063459663</v>
      </c>
      <c r="H31" s="122"/>
      <c r="I31" s="12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/>
      <c r="X31" s="4"/>
    </row>
    <row r="32" spans="2:25" x14ac:dyDescent="0.25">
      <c r="B32" t="s">
        <v>210</v>
      </c>
      <c r="C32" s="4"/>
      <c r="D32" s="4">
        <f>D4/C4-1</f>
        <v>1.5298622350294084</v>
      </c>
      <c r="E32" s="4">
        <f>E4/D4-1</f>
        <v>0.4026119926976548</v>
      </c>
      <c r="F32" s="4">
        <f>F4/E4-1</f>
        <v>-0.14729898099942151</v>
      </c>
      <c r="G32" s="7">
        <f>G4/F4-1</f>
        <v>-0.11905911207942477</v>
      </c>
      <c r="H32" s="122"/>
      <c r="I32" s="12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4" x14ac:dyDescent="0.25">
      <c r="B33" t="s">
        <v>38</v>
      </c>
      <c r="C33" s="3"/>
      <c r="D33" s="3">
        <f>-(D20/C20-1)</f>
        <v>-1.3865169437795366E-2</v>
      </c>
      <c r="E33" s="3">
        <f>-(E20/D20-1)</f>
        <v>-0.83932419376192091</v>
      </c>
      <c r="F33" s="40">
        <f>F20/E20-1</f>
        <v>0.37691122600247629</v>
      </c>
      <c r="G33" s="6">
        <f>G20/F20-1</f>
        <v>0.36662844330058375</v>
      </c>
      <c r="H33" s="59">
        <f>H23/G22-1</f>
        <v>0.14291569310601226</v>
      </c>
      <c r="I33" s="59">
        <f>I23/H23-1</f>
        <v>0.1564719810576165</v>
      </c>
      <c r="L33" s="4"/>
      <c r="M33" s="4"/>
      <c r="N33" s="4"/>
      <c r="O33" s="4"/>
      <c r="P33" s="4" t="e">
        <f t="shared" ref="P33:X33" si="30">P20/L20-1</f>
        <v>#DIV/0!</v>
      </c>
      <c r="Q33" s="4" t="e">
        <f t="shared" si="30"/>
        <v>#DIV/0!</v>
      </c>
      <c r="R33" s="4" t="e">
        <f t="shared" si="30"/>
        <v>#DIV/0!</v>
      </c>
      <c r="S33" s="4" t="e">
        <f t="shared" si="30"/>
        <v>#DIV/0!</v>
      </c>
      <c r="T33" s="4" t="e">
        <f t="shared" si="30"/>
        <v>#DIV/0!</v>
      </c>
      <c r="U33" s="4" t="e">
        <f>U20/Q20-1</f>
        <v>#DIV/0!</v>
      </c>
      <c r="V33" s="4" t="e">
        <f t="shared" si="30"/>
        <v>#DIV/0!</v>
      </c>
      <c r="W33" s="7" t="e">
        <f t="shared" si="30"/>
        <v>#DIV/0!</v>
      </c>
      <c r="X33" s="4" t="e">
        <f t="shared" si="30"/>
        <v>#DIV/0!</v>
      </c>
    </row>
    <row r="36" spans="2:24" s="1" customFormat="1" x14ac:dyDescent="0.25">
      <c r="B36" s="1" t="s">
        <v>42</v>
      </c>
      <c r="C36" s="145">
        <f>C37+C42</f>
        <v>0</v>
      </c>
      <c r="D36" s="145">
        <f>D37+D42</f>
        <v>951.60299999999995</v>
      </c>
      <c r="E36" s="145">
        <f>E37+E42</f>
        <v>1076.319</v>
      </c>
      <c r="F36" s="145">
        <f>F37+F42</f>
        <v>899.13599999999997</v>
      </c>
      <c r="G36" s="14">
        <f>G37+G42</f>
        <v>1295.4470000000001</v>
      </c>
      <c r="L36" s="11">
        <f>L37+L39-L51-L52-L58</f>
        <v>0</v>
      </c>
      <c r="M36" s="11">
        <f>M37+M39-M51-M52-M58</f>
        <v>0</v>
      </c>
      <c r="N36" s="11">
        <f>N37+N39-N51-N52-N58</f>
        <v>0</v>
      </c>
      <c r="O36" s="11">
        <f>O37+O39-O51-O52-O58</f>
        <v>0</v>
      </c>
      <c r="P36" s="11">
        <f>P37+P39-P51-P52-P58</f>
        <v>0</v>
      </c>
      <c r="Q36" s="11">
        <f>Q37+Q39-Q51-Q52-Q58</f>
        <v>0</v>
      </c>
      <c r="R36" s="11">
        <f>R37+R39-R51-R52-R58</f>
        <v>0</v>
      </c>
      <c r="S36" s="11">
        <f>S37+S39-S51-S52-S58</f>
        <v>0</v>
      </c>
      <c r="T36" s="11">
        <f>T37+T39-T51-T52-T58</f>
        <v>0</v>
      </c>
      <c r="U36" s="11">
        <f>U37+U39-U51-U52-U58</f>
        <v>0</v>
      </c>
      <c r="V36" s="11">
        <f>V37+V39-V51-V52-V58</f>
        <v>0</v>
      </c>
      <c r="W36" s="14">
        <f>W37+W39-W51-W52-W58</f>
        <v>0</v>
      </c>
    </row>
    <row r="37" spans="2:24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5">
        <v>560.60900000000004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5"/>
    </row>
    <row r="38" spans="2:24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5">
        <v>115.535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5"/>
    </row>
    <row r="39" spans="2:24" x14ac:dyDescent="0.25">
      <c r="B39" t="s">
        <v>194</v>
      </c>
      <c r="C39" s="10"/>
      <c r="D39" s="10">
        <v>26.445</v>
      </c>
      <c r="E39" s="10">
        <v>32.826000000000001</v>
      </c>
      <c r="F39" s="10">
        <v>35.667999999999999</v>
      </c>
      <c r="G39" s="15">
        <v>39.308999999999997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5"/>
    </row>
    <row r="40" spans="2:24" x14ac:dyDescent="0.25">
      <c r="B40" t="s">
        <v>78</v>
      </c>
      <c r="C40" s="10"/>
      <c r="D40" s="10">
        <v>54.905999999999999</v>
      </c>
      <c r="E40" s="10">
        <v>78.756</v>
      </c>
      <c r="F40" s="10">
        <v>86.412000000000006</v>
      </c>
      <c r="G40" s="15">
        <v>117.462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</row>
    <row r="41" spans="2:24" x14ac:dyDescent="0.25">
      <c r="B41" t="s">
        <v>195</v>
      </c>
      <c r="C41" s="10"/>
      <c r="D41" s="10">
        <v>282.78300000000002</v>
      </c>
      <c r="E41" s="10">
        <v>94.063999999999993</v>
      </c>
      <c r="F41" s="10">
        <v>47.741</v>
      </c>
      <c r="G41" s="15">
        <v>52.96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196</v>
      </c>
      <c r="C42" s="10"/>
      <c r="D42" s="10">
        <v>343.61599999999999</v>
      </c>
      <c r="E42" s="10">
        <v>260.94499999999999</v>
      </c>
      <c r="F42" s="10">
        <v>515.13599999999997</v>
      </c>
      <c r="G42" s="15">
        <v>734.83799999999997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s="1" customFormat="1" x14ac:dyDescent="0.25">
      <c r="B43" s="1" t="s">
        <v>64</v>
      </c>
      <c r="C43" s="11">
        <f t="shared" ref="C43:D43" si="31">SUM(C37:C42)</f>
        <v>0</v>
      </c>
      <c r="D43" s="11">
        <f t="shared" si="31"/>
        <v>1420.2370000000001</v>
      </c>
      <c r="E43" s="11">
        <f>SUM(E37:E42)</f>
        <v>1381.5640000000001</v>
      </c>
      <c r="F43" s="11">
        <f t="shared" ref="F43:G43" si="32">SUM(F37:F42)</f>
        <v>1175.837</v>
      </c>
      <c r="G43" s="14">
        <f t="shared" si="32"/>
        <v>1620.713</v>
      </c>
      <c r="L43" s="11">
        <f t="shared" ref="L43:W43" si="33">SUM(L37:L42)</f>
        <v>0</v>
      </c>
      <c r="M43" s="11">
        <f t="shared" si="33"/>
        <v>0</v>
      </c>
      <c r="N43" s="11">
        <f t="shared" si="33"/>
        <v>0</v>
      </c>
      <c r="O43" s="11">
        <f t="shared" si="33"/>
        <v>0</v>
      </c>
      <c r="P43" s="11">
        <f t="shared" si="33"/>
        <v>0</v>
      </c>
      <c r="Q43" s="11">
        <f t="shared" si="33"/>
        <v>0</v>
      </c>
      <c r="R43" s="11">
        <f t="shared" si="33"/>
        <v>0</v>
      </c>
      <c r="S43" s="11">
        <f t="shared" si="33"/>
        <v>0</v>
      </c>
      <c r="T43" s="11">
        <f t="shared" si="33"/>
        <v>0</v>
      </c>
      <c r="U43" s="11">
        <f t="shared" si="33"/>
        <v>0</v>
      </c>
      <c r="V43" s="11">
        <f t="shared" si="33"/>
        <v>0</v>
      </c>
      <c r="W43" s="14">
        <f t="shared" si="33"/>
        <v>0</v>
      </c>
    </row>
    <row r="44" spans="2:24" x14ac:dyDescent="0.25">
      <c r="B44" t="s">
        <v>197</v>
      </c>
      <c r="C44" s="10"/>
      <c r="D44" s="10">
        <v>1584.3109999999999</v>
      </c>
      <c r="E44" s="10">
        <v>1769.278</v>
      </c>
      <c r="F44" s="10">
        <v>1951.1469999999999</v>
      </c>
      <c r="G44" s="15">
        <v>2170.038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198</v>
      </c>
      <c r="C45" s="10"/>
      <c r="D45" s="10">
        <v>102.328</v>
      </c>
      <c r="E45" s="10">
        <v>274.31099999999998</v>
      </c>
      <c r="F45" s="10">
        <v>388.05500000000001</v>
      </c>
      <c r="G45" s="15">
        <v>564.48800000000006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77</v>
      </c>
      <c r="C46" s="10"/>
      <c r="D46" s="10">
        <v>27.849</v>
      </c>
      <c r="E46" s="10">
        <v>30.856000000000002</v>
      </c>
      <c r="F46" s="10">
        <v>24.966000000000001</v>
      </c>
      <c r="G46" s="15">
        <v>25.553999999999998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x14ac:dyDescent="0.25">
      <c r="B47" t="s">
        <v>66</v>
      </c>
      <c r="C47" s="10"/>
      <c r="D47" s="10">
        <v>2767.1849999999999</v>
      </c>
      <c r="E47" s="10">
        <v>3118.2939999999999</v>
      </c>
      <c r="F47" s="10">
        <v>3302.402</v>
      </c>
      <c r="G47" s="15">
        <v>3578.5479999999998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5"/>
    </row>
    <row r="48" spans="2:24" s="1" customFormat="1" x14ac:dyDescent="0.25">
      <c r="B48" t="s">
        <v>199</v>
      </c>
      <c r="C48" s="10"/>
      <c r="D48" s="10">
        <v>59.046999999999997</v>
      </c>
      <c r="E48" s="10">
        <v>56.716000000000001</v>
      </c>
      <c r="F48" s="10">
        <v>63.158000000000001</v>
      </c>
      <c r="G48" s="15">
        <v>63.082000000000001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5">
        <v>21.939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4">
        <f>SUM(G43:G49)</f>
        <v>8044.362000000001</v>
      </c>
      <c r="L50" s="11">
        <f t="shared" ref="L50:W50" si="34">SUM(L43:L49)</f>
        <v>0</v>
      </c>
      <c r="M50" s="11">
        <f t="shared" si="34"/>
        <v>0</v>
      </c>
      <c r="N50" s="11">
        <f t="shared" si="34"/>
        <v>0</v>
      </c>
      <c r="O50" s="11">
        <f t="shared" si="34"/>
        <v>0</v>
      </c>
      <c r="P50" s="11">
        <f t="shared" si="34"/>
        <v>0</v>
      </c>
      <c r="Q50" s="11">
        <f t="shared" si="34"/>
        <v>0</v>
      </c>
      <c r="R50" s="11">
        <f t="shared" si="34"/>
        <v>0</v>
      </c>
      <c r="S50" s="11">
        <f t="shared" si="34"/>
        <v>0</v>
      </c>
      <c r="T50" s="11">
        <f t="shared" si="34"/>
        <v>0</v>
      </c>
      <c r="U50" s="11">
        <f t="shared" si="34"/>
        <v>0</v>
      </c>
      <c r="V50" s="11">
        <f t="shared" si="34"/>
        <v>0</v>
      </c>
      <c r="W50" s="14">
        <f t="shared" si="34"/>
        <v>0</v>
      </c>
    </row>
    <row r="51" spans="2:25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5">
        <v>197.64599999999999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x14ac:dyDescent="0.25">
      <c r="B52" t="s">
        <v>200</v>
      </c>
      <c r="C52" s="10"/>
      <c r="D52" s="10">
        <v>203.054</v>
      </c>
      <c r="E52" s="10">
        <v>162.405</v>
      </c>
      <c r="F52" s="10">
        <v>170.45599999999999</v>
      </c>
      <c r="G52" s="15">
        <v>227.53700000000001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x14ac:dyDescent="0.25">
      <c r="B53" t="s">
        <v>201</v>
      </c>
      <c r="C53" s="10"/>
      <c r="D53" s="10">
        <v>164.649</v>
      </c>
      <c r="E53" s="10">
        <v>173.05199999999999</v>
      </c>
      <c r="F53" s="10">
        <v>147.53899999999999</v>
      </c>
      <c r="G53" s="15">
        <v>147.68799999999999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t="s">
        <v>202</v>
      </c>
      <c r="C54" s="10"/>
      <c r="D54" s="10">
        <v>127.75</v>
      </c>
      <c r="E54" s="10">
        <v>156.351</v>
      </c>
      <c r="F54" s="10">
        <v>183.071</v>
      </c>
      <c r="G54" s="15">
        <v>209.68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5"/>
    </row>
    <row r="55" spans="2:25" x14ac:dyDescent="0.25">
      <c r="B55" t="s">
        <v>203</v>
      </c>
      <c r="C55" s="10"/>
      <c r="D55" s="10">
        <v>204.756</v>
      </c>
      <c r="E55" s="10">
        <v>218.71299999999999</v>
      </c>
      <c r="F55" s="10">
        <v>236.24799999999999</v>
      </c>
      <c r="G55" s="15">
        <v>248.07400000000001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s="1" customFormat="1" x14ac:dyDescent="0.25">
      <c r="B56" s="1" t="s">
        <v>65</v>
      </c>
      <c r="C56" s="11">
        <f>SUM(C51:C55)</f>
        <v>0</v>
      </c>
      <c r="D56" s="11">
        <f>SUM(D51:D55)</f>
        <v>822.19899999999996</v>
      </c>
      <c r="E56" s="11">
        <f>SUM(E51:E55)</f>
        <v>873.68200000000002</v>
      </c>
      <c r="F56" s="11">
        <f>SUM(F51:F55)</f>
        <v>921.87999999999988</v>
      </c>
      <c r="G56" s="14">
        <f>SUM(G51:G55)</f>
        <v>1030.625</v>
      </c>
      <c r="L56" s="11">
        <f t="shared" ref="L56:W56" si="35">SUM(L51:L55)</f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4">
        <f t="shared" si="35"/>
        <v>0</v>
      </c>
      <c r="X56" s="11"/>
      <c r="Y56" s="11"/>
    </row>
    <row r="57" spans="2:25" x14ac:dyDescent="0.25">
      <c r="B57" t="s">
        <v>204</v>
      </c>
      <c r="C57" s="10"/>
      <c r="D57" s="10">
        <v>2952.2959999999998</v>
      </c>
      <c r="E57" s="10">
        <v>3301.6010000000001</v>
      </c>
      <c r="F57" s="10">
        <v>3495.1619999999998</v>
      </c>
      <c r="G57" s="15">
        <v>3803.5509999999999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205</v>
      </c>
      <c r="C58" s="10"/>
      <c r="D58" s="10">
        <v>149.422</v>
      </c>
      <c r="E58" s="10">
        <v>141.76499999999999</v>
      </c>
      <c r="F58" s="10">
        <v>98.623000000000005</v>
      </c>
      <c r="G58" s="15">
        <v>89.108999999999995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27</v>
      </c>
      <c r="C59" s="10"/>
      <c r="D59" s="10">
        <v>38.844000000000001</v>
      </c>
      <c r="E59" s="10">
        <v>38.536000000000001</v>
      </c>
      <c r="F59" s="10">
        <v>43.816000000000003</v>
      </c>
      <c r="G59" s="15">
        <v>58.87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x14ac:dyDescent="0.25">
      <c r="B60" s="1" t="s">
        <v>30</v>
      </c>
      <c r="C60" s="11">
        <f>SUM(C56:C59)</f>
        <v>0</v>
      </c>
      <c r="D60" s="11">
        <f>SUM(D56:D59)</f>
        <v>3962.761</v>
      </c>
      <c r="E60" s="11">
        <f>SUM(E56:E59)</f>
        <v>4355.5840000000007</v>
      </c>
      <c r="F60" s="11">
        <f>SUM(F56:F59)</f>
        <v>4559.4809999999989</v>
      </c>
      <c r="G60" s="14">
        <f>SUM(G56:G59)</f>
        <v>4982.1549999999997</v>
      </c>
      <c r="L60" s="11">
        <f t="shared" ref="L60:W60" si="36">SUM(L56:L59)</f>
        <v>0</v>
      </c>
      <c r="M60" s="11">
        <f t="shared" si="36"/>
        <v>0</v>
      </c>
      <c r="N60" s="11">
        <f t="shared" si="36"/>
        <v>0</v>
      </c>
      <c r="O60" s="11">
        <f t="shared" si="36"/>
        <v>0</v>
      </c>
      <c r="P60" s="11">
        <f t="shared" si="36"/>
        <v>0</v>
      </c>
      <c r="Q60" s="11">
        <f t="shared" si="36"/>
        <v>0</v>
      </c>
      <c r="R60" s="11">
        <f t="shared" si="36"/>
        <v>0</v>
      </c>
      <c r="S60" s="11">
        <f t="shared" si="36"/>
        <v>0</v>
      </c>
      <c r="T60" s="11">
        <f t="shared" si="36"/>
        <v>0</v>
      </c>
      <c r="U60" s="11">
        <f t="shared" si="36"/>
        <v>0</v>
      </c>
      <c r="V60" s="11">
        <f t="shared" si="36"/>
        <v>0</v>
      </c>
      <c r="W60" s="14">
        <f t="shared" si="36"/>
        <v>0</v>
      </c>
    </row>
    <row r="61" spans="2:25" x14ac:dyDescent="0.25">
      <c r="B61" t="s">
        <v>79</v>
      </c>
      <c r="C61" s="10"/>
      <c r="D61" s="144">
        <f>D50-D60</f>
        <v>2020.1349999999998</v>
      </c>
      <c r="E61" s="144">
        <f>E50-E60</f>
        <v>2297.3739999999998</v>
      </c>
      <c r="F61" s="144">
        <f>F50-F60</f>
        <v>2368.023000000001</v>
      </c>
      <c r="G61" s="15">
        <f>G50-G60</f>
        <v>3062.2070000000012</v>
      </c>
    </row>
    <row r="63" spans="2:25" s="1" customFormat="1" x14ac:dyDescent="0.25">
      <c r="C63" s="54"/>
      <c r="D63" s="54"/>
      <c r="E63" s="54"/>
      <c r="F63" s="54"/>
      <c r="G63" s="55"/>
      <c r="W63" s="16"/>
    </row>
    <row r="81" spans="7:23" s="9" customFormat="1" x14ac:dyDescent="0.25">
      <c r="G81" s="42"/>
      <c r="W81" s="42"/>
    </row>
    <row r="82" spans="7:23" s="1" customFormat="1" x14ac:dyDescent="0.25">
      <c r="G82" s="16"/>
      <c r="W8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V35" sqref="V35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45404</v>
      </c>
      <c r="C2" s="18">
        <v>2884.25</v>
      </c>
      <c r="E2" t="s">
        <v>54</v>
      </c>
      <c r="F2" t="s">
        <v>56</v>
      </c>
      <c r="M2" t="s">
        <v>57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59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59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92</v>
      </c>
      <c r="H1" s="134" t="s">
        <v>93</v>
      </c>
      <c r="I1" s="135"/>
      <c r="J1" s="135"/>
      <c r="K1" s="135"/>
      <c r="L1" s="135"/>
      <c r="M1" s="136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65" t="s">
        <v>94</v>
      </c>
      <c r="I3" s="66" t="s">
        <v>95</v>
      </c>
      <c r="J3" s="67" t="s">
        <v>96</v>
      </c>
      <c r="K3" s="68" t="s">
        <v>97</v>
      </c>
      <c r="L3" s="68" t="s">
        <v>98</v>
      </c>
      <c r="M3" s="69" t="s">
        <v>99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70">
        <f>$I$19-3*$I$23</f>
        <v>-0.15385426193937241</v>
      </c>
      <c r="I4" s="71">
        <f>H4</f>
        <v>-0.15385426193937241</v>
      </c>
      <c r="J4" s="72">
        <f>COUNTIF(D:D,"&lt;="&amp;H4)</f>
        <v>8</v>
      </c>
      <c r="K4" s="72" t="str">
        <f>"Less than "&amp;TEXT(H4,"0,00%")</f>
        <v>Less than -15,39%</v>
      </c>
      <c r="L4" s="73">
        <f>J4/$I$31</f>
        <v>8.4033613445378148E-3</v>
      </c>
      <c r="M4" s="74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75">
        <f>$I$19-2.4*$I$23</f>
        <v>-0.12191411129516899</v>
      </c>
      <c r="I5" s="76">
        <f>H5</f>
        <v>-0.12191411129516899</v>
      </c>
      <c r="J5" s="77">
        <f>COUNTIFS(D:D,"&lt;="&amp;H5,D:D,"&gt;"&amp;H4)</f>
        <v>6</v>
      </c>
      <c r="K5" s="78" t="str">
        <f t="shared" ref="K5:K14" si="1">TEXT(H4,"0,00%")&amp;" to "&amp;TEXT(H5,"0,00%")</f>
        <v>-15,39% to -12,19%</v>
      </c>
      <c r="L5" s="79">
        <f>J5/$I$31</f>
        <v>6.3025210084033615E-3</v>
      </c>
      <c r="M5" s="80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75">
        <f>$I$19-1.8*$I$23</f>
        <v>-8.9973960650965593E-2</v>
      </c>
      <c r="I6" s="76">
        <f t="shared" ref="I6:I14" si="2">H6</f>
        <v>-8.9973960650965593E-2</v>
      </c>
      <c r="J6" s="77">
        <f t="shared" ref="J6:J14" si="3">COUNTIFS(D:D,"&lt;="&amp;H6,D:D,"&gt;"&amp;H5)</f>
        <v>18</v>
      </c>
      <c r="K6" s="78" t="str">
        <f t="shared" si="1"/>
        <v>-12,19% to -9,00%</v>
      </c>
      <c r="L6" s="79">
        <f t="shared" ref="L6:L15" si="4">J6/$I$31</f>
        <v>1.8907563025210083E-2</v>
      </c>
      <c r="M6" s="80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75">
        <f>$I$19-1.2*$I$23</f>
        <v>-5.8033810006762179E-2</v>
      </c>
      <c r="I7" s="76">
        <f t="shared" si="2"/>
        <v>-5.8033810006762179E-2</v>
      </c>
      <c r="J7" s="77">
        <f t="shared" si="3"/>
        <v>49</v>
      </c>
      <c r="K7" s="78" t="str">
        <f t="shared" si="1"/>
        <v>-9,00% to -5,80%</v>
      </c>
      <c r="L7" s="79">
        <f t="shared" si="4"/>
        <v>5.1470588235294115E-2</v>
      </c>
      <c r="M7" s="80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75">
        <f>$I$19-0.6*$I$23</f>
        <v>-2.6093659362558769E-2</v>
      </c>
      <c r="I8" s="76">
        <f t="shared" si="2"/>
        <v>-2.6093659362558769E-2</v>
      </c>
      <c r="J8" s="77">
        <f t="shared" si="3"/>
        <v>121</v>
      </c>
      <c r="K8" s="78" t="str">
        <f t="shared" si="1"/>
        <v>-5,80% to -2,61%</v>
      </c>
      <c r="L8" s="79">
        <f t="shared" si="4"/>
        <v>0.12710084033613445</v>
      </c>
      <c r="M8" s="80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75">
        <f>$I$19</f>
        <v>5.8464912816446361E-3</v>
      </c>
      <c r="I9" s="76">
        <f t="shared" si="2"/>
        <v>5.8464912816446361E-3</v>
      </c>
      <c r="J9" s="77">
        <f t="shared" si="3"/>
        <v>284</v>
      </c>
      <c r="K9" s="78" t="str">
        <f t="shared" si="1"/>
        <v>-2,61% to 0,58%</v>
      </c>
      <c r="L9" s="79">
        <f t="shared" si="4"/>
        <v>0.29831932773109243</v>
      </c>
      <c r="M9" s="80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75">
        <f>$I$19+0.6*$I$23</f>
        <v>3.778664192584804E-2</v>
      </c>
      <c r="I10" s="76">
        <f t="shared" si="2"/>
        <v>3.778664192584804E-2</v>
      </c>
      <c r="J10" s="77">
        <f t="shared" si="3"/>
        <v>264</v>
      </c>
      <c r="K10" s="78" t="str">
        <f t="shared" si="1"/>
        <v>0,58% to 3,78%</v>
      </c>
      <c r="L10" s="79">
        <f t="shared" si="4"/>
        <v>0.27731092436974791</v>
      </c>
      <c r="M10" s="80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75">
        <f>$I$19+1.2*$I$23</f>
        <v>6.9726792570051446E-2</v>
      </c>
      <c r="I11" s="76">
        <f t="shared" si="2"/>
        <v>6.9726792570051446E-2</v>
      </c>
      <c r="J11" s="77">
        <f t="shared" si="3"/>
        <v>117</v>
      </c>
      <c r="K11" s="78" t="str">
        <f t="shared" si="1"/>
        <v>3,78% to 6,97%</v>
      </c>
      <c r="L11" s="79">
        <f t="shared" si="4"/>
        <v>0.12289915966386554</v>
      </c>
      <c r="M11" s="80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75">
        <f>$I$19+1.8*$I$23</f>
        <v>0.10166694321425486</v>
      </c>
      <c r="I12" s="76">
        <f t="shared" si="2"/>
        <v>0.10166694321425486</v>
      </c>
      <c r="J12" s="77">
        <f t="shared" si="3"/>
        <v>56</v>
      </c>
      <c r="K12" s="78" t="str">
        <f t="shared" si="1"/>
        <v>6,97% to 10,17%</v>
      </c>
      <c r="L12" s="79">
        <f t="shared" si="4"/>
        <v>5.8823529411764705E-2</v>
      </c>
      <c r="M12" s="80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75">
        <f>$I$19+2.4*$I$23</f>
        <v>0.13360709385845826</v>
      </c>
      <c r="I13" s="76">
        <f t="shared" si="2"/>
        <v>0.13360709385845826</v>
      </c>
      <c r="J13" s="77">
        <f t="shared" si="3"/>
        <v>14</v>
      </c>
      <c r="K13" s="78" t="str">
        <f t="shared" si="1"/>
        <v>10,17% to 13,36%</v>
      </c>
      <c r="L13" s="79">
        <f t="shared" si="4"/>
        <v>1.4705882352941176E-2</v>
      </c>
      <c r="M13" s="80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75">
        <f>$I$19+3*$I$23</f>
        <v>0.16554724450266167</v>
      </c>
      <c r="I14" s="76">
        <f t="shared" si="2"/>
        <v>0.16554724450266167</v>
      </c>
      <c r="J14" s="77">
        <f t="shared" si="3"/>
        <v>7</v>
      </c>
      <c r="K14" s="78" t="str">
        <f t="shared" si="1"/>
        <v>13,36% to 16,55%</v>
      </c>
      <c r="L14" s="79">
        <f t="shared" si="4"/>
        <v>7.3529411764705881E-3</v>
      </c>
      <c r="M14" s="80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81"/>
      <c r="I15" s="82" t="s">
        <v>100</v>
      </c>
      <c r="J15" s="82">
        <f>COUNTIF(D:D,"&gt;"&amp;H14)</f>
        <v>8</v>
      </c>
      <c r="K15" s="82" t="str">
        <f>"Greater than "&amp;TEXT(H14,"0,00%")</f>
        <v>Greater than 16,55%</v>
      </c>
      <c r="L15" s="83">
        <f t="shared" si="4"/>
        <v>8.4033613445378148E-3</v>
      </c>
      <c r="M15" s="83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84"/>
      <c r="M16" s="85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37" t="s">
        <v>131</v>
      </c>
      <c r="I17" s="138"/>
      <c r="M17" s="85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39"/>
      <c r="I18" s="140"/>
      <c r="M18" s="85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86" t="s">
        <v>101</v>
      </c>
      <c r="I19" s="123">
        <f>AVERAGE(D:D)</f>
        <v>5.8464912816446361E-3</v>
      </c>
      <c r="M19" s="85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86" t="s">
        <v>102</v>
      </c>
      <c r="I20" s="123">
        <f>_xlfn.STDEV.S(D:D)/SQRT(COUNT(D:D))</f>
        <v>1.725310381532476E-3</v>
      </c>
      <c r="M20" s="85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86" t="s">
        <v>103</v>
      </c>
      <c r="I21" s="123">
        <f>MEDIAN(D:D)</f>
        <v>4.5528952995110838E-3</v>
      </c>
      <c r="M21" s="85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86" t="s">
        <v>104</v>
      </c>
      <c r="I22" s="123" t="e">
        <f>MODE(D:D)</f>
        <v>#N/A</v>
      </c>
      <c r="M22" s="85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86" t="s">
        <v>105</v>
      </c>
      <c r="I23" s="123">
        <f>_xlfn.STDEV.S(D:D)</f>
        <v>5.323358440700568E-2</v>
      </c>
      <c r="M23" s="85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86" t="s">
        <v>106</v>
      </c>
      <c r="I24" s="123">
        <f>_xlfn.VAR.S(D:D)</f>
        <v>2.8338145088177983E-3</v>
      </c>
      <c r="M24" s="85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86" t="s">
        <v>107</v>
      </c>
      <c r="I25" s="124">
        <f>KURT(D:D)</f>
        <v>3.5788006055415194</v>
      </c>
      <c r="M25" s="85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86" t="s">
        <v>108</v>
      </c>
      <c r="I26" s="124">
        <f>SKEW(D:D)</f>
        <v>0.39195460808708005</v>
      </c>
      <c r="M26" s="85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86" t="s">
        <v>97</v>
      </c>
      <c r="I27" s="123">
        <f>I29-I28</f>
        <v>0.47953268469771826</v>
      </c>
      <c r="M27" s="85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86" t="s">
        <v>109</v>
      </c>
      <c r="I28" s="123">
        <f>MIN(D:D)</f>
        <v>-0.19214003354155562</v>
      </c>
      <c r="M28" s="85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86" t="s">
        <v>110</v>
      </c>
      <c r="I29" s="123">
        <f>MAX(D:D)</f>
        <v>0.28739265115616264</v>
      </c>
      <c r="M29" s="85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86" t="s">
        <v>111</v>
      </c>
      <c r="I30" s="124">
        <f>SUM(D:D)</f>
        <v>5.565859700125694</v>
      </c>
      <c r="M30" s="85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87" t="s">
        <v>112</v>
      </c>
      <c r="I31" s="64">
        <f>COUNT(D:D)</f>
        <v>952</v>
      </c>
      <c r="M31" s="85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89"/>
      <c r="M32" s="85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90"/>
      <c r="I33" s="91" t="s">
        <v>113</v>
      </c>
      <c r="J33" s="91" t="s">
        <v>112</v>
      </c>
      <c r="K33" s="91" t="s">
        <v>114</v>
      </c>
      <c r="L33" s="92" t="s">
        <v>115</v>
      </c>
      <c r="M33" s="85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93" t="s">
        <v>116</v>
      </c>
      <c r="I34" s="79">
        <f>AVERAGEIF(D:D,"&gt;0")</f>
        <v>3.9781459557057579E-2</v>
      </c>
      <c r="J34" s="77">
        <f>COUNTIF(D:D,"&gt;0")</f>
        <v>524</v>
      </c>
      <c r="K34" s="79">
        <f>J34/$I$31</f>
        <v>0.55042016806722693</v>
      </c>
      <c r="L34" s="80">
        <f>K34*I34</f>
        <v>2.1896517655355222E-2</v>
      </c>
      <c r="M34" s="85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93" t="s">
        <v>117</v>
      </c>
      <c r="I35" s="79">
        <f>AVERAGEIF(D:D,"&lt;0")</f>
        <v>-3.5700058663019882E-2</v>
      </c>
      <c r="J35" s="77">
        <f>COUNTIF(D:D,"&lt;0")</f>
        <v>428</v>
      </c>
      <c r="K35" s="79">
        <f>J35/$I$31</f>
        <v>0.44957983193277312</v>
      </c>
      <c r="L35" s="80">
        <f t="shared" ref="L35:L36" si="6">K35*I35</f>
        <v>-1.605002637371062E-2</v>
      </c>
      <c r="M35" s="85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94" t="s">
        <v>118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89"/>
      <c r="I37" s="96"/>
      <c r="J37" s="96"/>
      <c r="K37" s="96"/>
      <c r="L37" s="96"/>
      <c r="M37" s="85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70" t="s">
        <v>119</v>
      </c>
      <c r="I38" s="91" t="s">
        <v>120</v>
      </c>
      <c r="J38" s="91" t="s">
        <v>121</v>
      </c>
      <c r="K38" s="91" t="s">
        <v>122</v>
      </c>
      <c r="L38" s="91" t="s">
        <v>123</v>
      </c>
      <c r="M38" s="92" t="s">
        <v>124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97">
        <v>1</v>
      </c>
      <c r="I39" s="79">
        <f>$I$19+($H39*$I$23)</f>
        <v>5.9080075688650313E-2</v>
      </c>
      <c r="J39" s="79">
        <f>$I$19-($H39*$I$23)</f>
        <v>-4.7387093125361046E-2</v>
      </c>
      <c r="K39" s="77">
        <f>COUNTIFS(D:D,"&lt;"&amp;I39,D:D,"&gt;"&amp;J39)</f>
        <v>719</v>
      </c>
      <c r="L39" s="79">
        <f>K39/$I$31</f>
        <v>0.75525210084033612</v>
      </c>
      <c r="M39" s="80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97">
        <v>2</v>
      </c>
      <c r="I40" s="79">
        <f>$I$19+($H40*$I$23)</f>
        <v>0.11231366009565599</v>
      </c>
      <c r="J40" s="79">
        <f>$I$19-($H40*$I$23)</f>
        <v>-0.10062067753236673</v>
      </c>
      <c r="K40" s="77">
        <f>COUNTIFS(D:D,"&lt;"&amp;I40,D:D,"&gt;"&amp;J40)</f>
        <v>902</v>
      </c>
      <c r="L40" s="79">
        <f>K40/$I$31</f>
        <v>0.94747899159663862</v>
      </c>
      <c r="M40" s="80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97">
        <v>3</v>
      </c>
      <c r="I41" s="79">
        <f>$I$19+($H41*$I$23)</f>
        <v>0.16554724450266167</v>
      </c>
      <c r="J41" s="79">
        <f>$I$19-($H41*$I$23)</f>
        <v>-0.15385426193937241</v>
      </c>
      <c r="K41" s="77">
        <f>COUNTIFS(D:D,"&lt;"&amp;I41,D:D,"&gt;"&amp;J41)</f>
        <v>936</v>
      </c>
      <c r="L41" s="79">
        <f>K41/$I$31</f>
        <v>0.98319327731092432</v>
      </c>
      <c r="M41" s="98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75"/>
      <c r="M42" s="98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41" t="s">
        <v>125</v>
      </c>
      <c r="I43" s="142"/>
      <c r="J43" s="142"/>
      <c r="K43" s="142"/>
      <c r="L43" s="142"/>
      <c r="M43" s="143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99">
        <v>0.01</v>
      </c>
      <c r="I44" s="100">
        <f t="shared" ref="I44:I58" si="7">_xlfn.PERCENTILE.INC(D:D,H44)</f>
        <v>-0.13963534475987524</v>
      </c>
      <c r="J44" s="101">
        <v>0.2</v>
      </c>
      <c r="K44" s="100">
        <f t="shared" ref="K44:K56" si="8">_xlfn.PERCENTILE.INC(D:D,J44)</f>
        <v>-2.8722440581477743E-2</v>
      </c>
      <c r="L44" s="101">
        <v>0.85</v>
      </c>
      <c r="M44" s="102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103">
        <v>0.02</v>
      </c>
      <c r="I45" s="104">
        <f t="shared" si="7"/>
        <v>-0.10522464130612222</v>
      </c>
      <c r="J45" s="105">
        <v>0.25</v>
      </c>
      <c r="K45" s="104">
        <f t="shared" si="8"/>
        <v>-2.0557541725992945E-2</v>
      </c>
      <c r="L45" s="105">
        <v>0.86</v>
      </c>
      <c r="M45" s="106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103">
        <v>0.03</v>
      </c>
      <c r="I46" s="104">
        <f t="shared" si="7"/>
        <v>-9.6625091400779795E-2</v>
      </c>
      <c r="J46" s="105">
        <v>0.3</v>
      </c>
      <c r="K46" s="104">
        <f t="shared" si="8"/>
        <v>-1.5533828667659143E-2</v>
      </c>
      <c r="L46" s="105">
        <v>0.87</v>
      </c>
      <c r="M46" s="106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103">
        <v>0.04</v>
      </c>
      <c r="I47" s="104">
        <f t="shared" si="7"/>
        <v>-8.5930019564668378E-2</v>
      </c>
      <c r="J47" s="105">
        <v>0.35</v>
      </c>
      <c r="K47" s="104">
        <f t="shared" si="8"/>
        <v>-9.4758190687603498E-3</v>
      </c>
      <c r="L47" s="105">
        <v>0.88</v>
      </c>
      <c r="M47" s="106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103">
        <v>0.05</v>
      </c>
      <c r="I48" s="104">
        <f t="shared" si="7"/>
        <v>-7.8230516010701176E-2</v>
      </c>
      <c r="J48" s="105">
        <v>0.4</v>
      </c>
      <c r="K48" s="104">
        <f t="shared" si="8"/>
        <v>-4.3668915405717691E-3</v>
      </c>
      <c r="L48" s="105">
        <v>0.89</v>
      </c>
      <c r="M48" s="106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103">
        <v>0.06</v>
      </c>
      <c r="I49" s="104">
        <f t="shared" si="7"/>
        <v>-7.1378516151194879E-2</v>
      </c>
      <c r="J49" s="105">
        <v>0.45</v>
      </c>
      <c r="K49" s="104">
        <f t="shared" si="8"/>
        <v>1.4840507812594804E-4</v>
      </c>
      <c r="L49" s="105">
        <v>0.9</v>
      </c>
      <c r="M49" s="106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103">
        <v>7.0000000000000007E-2</v>
      </c>
      <c r="I50" s="104">
        <f t="shared" si="7"/>
        <v>-6.5322318607939633E-2</v>
      </c>
      <c r="J50" s="105">
        <v>0.5</v>
      </c>
      <c r="K50" s="104">
        <f t="shared" si="8"/>
        <v>4.5528952995110838E-3</v>
      </c>
      <c r="L50" s="105">
        <v>0.91</v>
      </c>
      <c r="M50" s="106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103">
        <v>0.08</v>
      </c>
      <c r="I51" s="104">
        <f t="shared" si="7"/>
        <v>-6.1252198961418688E-2</v>
      </c>
      <c r="J51" s="105">
        <v>0.55000000000000004</v>
      </c>
      <c r="K51" s="104">
        <f t="shared" si="8"/>
        <v>9.0881251140893533E-3</v>
      </c>
      <c r="L51" s="105">
        <v>0.92</v>
      </c>
      <c r="M51" s="106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103">
        <v>0.09</v>
      </c>
      <c r="I52" s="104">
        <f t="shared" si="7"/>
        <v>-5.6392062385112129E-2</v>
      </c>
      <c r="J52" s="105">
        <v>0.6</v>
      </c>
      <c r="K52" s="104">
        <f t="shared" si="8"/>
        <v>1.4411330052331283E-2</v>
      </c>
      <c r="L52" s="105">
        <v>0.93</v>
      </c>
      <c r="M52" s="106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103">
        <v>0.1</v>
      </c>
      <c r="I53" s="104">
        <f t="shared" si="7"/>
        <v>-5.4231114739760222E-2</v>
      </c>
      <c r="J53" s="105">
        <v>0.65</v>
      </c>
      <c r="K53" s="104">
        <f t="shared" si="8"/>
        <v>1.9780711991497345E-2</v>
      </c>
      <c r="L53" s="105">
        <v>0.94</v>
      </c>
      <c r="M53" s="106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103">
        <v>0.11</v>
      </c>
      <c r="I54" s="104">
        <f t="shared" si="7"/>
        <v>-5.1629087686152222E-2</v>
      </c>
      <c r="J54" s="105">
        <v>0.7</v>
      </c>
      <c r="K54" s="104">
        <f t="shared" si="8"/>
        <v>2.5381474811995649E-2</v>
      </c>
      <c r="L54" s="105">
        <v>0.95</v>
      </c>
      <c r="M54" s="106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103">
        <v>0.12</v>
      </c>
      <c r="I55" s="104">
        <f t="shared" si="7"/>
        <v>-4.7994043994764861E-2</v>
      </c>
      <c r="J55" s="105">
        <v>0.75</v>
      </c>
      <c r="K55" s="104">
        <f t="shared" si="8"/>
        <v>3.2891903112417853E-2</v>
      </c>
      <c r="L55" s="105">
        <v>0.96</v>
      </c>
      <c r="M55" s="106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103">
        <v>0.13</v>
      </c>
      <c r="I56" s="104">
        <f t="shared" si="7"/>
        <v>-4.3488148296210047E-2</v>
      </c>
      <c r="J56" s="105">
        <v>0.8</v>
      </c>
      <c r="K56" s="104">
        <f t="shared" si="8"/>
        <v>3.9562115273830398E-2</v>
      </c>
      <c r="L56" s="105">
        <v>0.97</v>
      </c>
      <c r="M56" s="106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103">
        <v>0.14000000000000001</v>
      </c>
      <c r="I57" s="104">
        <f t="shared" si="7"/>
        <v>-4.0877342937211791E-2</v>
      </c>
      <c r="J57" s="105"/>
      <c r="K57" s="104"/>
      <c r="L57" s="105">
        <v>0.98</v>
      </c>
      <c r="M57" s="106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107">
        <v>0.15</v>
      </c>
      <c r="I58" s="108">
        <f t="shared" si="7"/>
        <v>-3.9013993813855397E-2</v>
      </c>
      <c r="J58" s="109"/>
      <c r="K58" s="88"/>
      <c r="L58" s="110">
        <v>0.99</v>
      </c>
      <c r="M58" s="111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12" t="s">
        <v>126</v>
      </c>
      <c r="I60" s="113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14" t="s">
        <v>127</v>
      </c>
      <c r="I61" s="115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16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12" t="s">
        <v>128</v>
      </c>
      <c r="I63" s="117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18" t="s">
        <v>129</v>
      </c>
      <c r="I64" s="119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14" t="s">
        <v>130</v>
      </c>
      <c r="I65" s="120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2024-04-23T16:52:00Z</dcterms:modified>
</cp:coreProperties>
</file>