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1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2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simon\Documents\models\Business - Technology Services\"/>
    </mc:Choice>
  </mc:AlternateContent>
  <xr:revisionPtr revIDLastSave="0" documentId="13_ncr:1_{4F3AE2F8-3929-46EE-BB45-175F622F08C0}" xr6:coauthVersionLast="47" xr6:coauthVersionMax="47" xr10:uidLastSave="{00000000-0000-0000-0000-000000000000}"/>
  <bookViews>
    <workbookView xWindow="-120" yWindow="-120" windowWidth="29040" windowHeight="15720" activeTab="4" xr2:uid="{00000000-000D-0000-FFFF-FFFF00000000}"/>
  </bookViews>
  <sheets>
    <sheet name="Main" sheetId="1" r:id="rId1"/>
    <sheet name="Model" sheetId="2" r:id="rId2"/>
    <sheet name="Model-graph" sheetId="3" r:id="rId3"/>
    <sheet name="Catalysts" sheetId="4" r:id="rId4"/>
    <sheet name="DoR" sheetId="5" r:id="rId5"/>
  </sheets>
  <definedNames>
    <definedName name="_xlnm._FilterDatabase" localSheetId="4" hidden="1">DoR!$A$1:$C$1</definedName>
    <definedName name="_xlchart.v1.0" hidden="1">Model!$A$3</definedName>
    <definedName name="_xlchart.v1.1" hidden="1">Model!$A$4</definedName>
    <definedName name="_xlchart.v1.2" hidden="1">Model!$K$2:$W$2</definedName>
    <definedName name="_xlchart.v1.3" hidden="1">Model!$K$3:$W$3</definedName>
    <definedName name="_xlchart.v1.4" hidden="1">Model!$K$4:$W$4</definedName>
    <definedName name="_xlchart.v1.5" hidden="1">Model!$A$17</definedName>
    <definedName name="_xlchart.v1.6" hidden="1">Model!$A$18</definedName>
    <definedName name="_xlchart.v1.7" hidden="1">Model!$K$17:$W$17</definedName>
    <definedName name="_xlchart.v1.8" hidden="1">Model!$K$18:$W$18</definedName>
    <definedName name="_xlchart.v1.9" hidden="1">Model!$K$2:$W$2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83" i="5" l="1"/>
  <c r="C184" i="5"/>
  <c r="C185" i="5"/>
  <c r="C186" i="5"/>
  <c r="C187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3" i="5"/>
  <c r="C2" i="5"/>
  <c r="C35" i="1"/>
  <c r="C34" i="1"/>
  <c r="C30" i="1"/>
  <c r="C29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J10" i="1"/>
  <c r="J9" i="1"/>
  <c r="J8" i="1"/>
  <c r="J7" i="1"/>
  <c r="J6" i="1"/>
  <c r="J5" i="1"/>
  <c r="J4" i="1"/>
  <c r="J3" i="1"/>
  <c r="C8" i="1"/>
  <c r="C12" i="1" s="1"/>
  <c r="C11" i="1"/>
  <c r="C10" i="1"/>
  <c r="C9" i="1"/>
  <c r="V53" i="2"/>
  <c r="U53" i="2"/>
  <c r="T53" i="2"/>
  <c r="S53" i="2"/>
  <c r="F53" i="2"/>
  <c r="L24" i="2"/>
  <c r="M24" i="2"/>
  <c r="N24" i="2"/>
  <c r="O24" i="2"/>
  <c r="P24" i="2"/>
  <c r="Q24" i="2"/>
  <c r="R24" i="2"/>
  <c r="S24" i="2"/>
  <c r="T24" i="2"/>
  <c r="U24" i="2"/>
  <c r="V24" i="2"/>
  <c r="K24" i="2"/>
  <c r="E22" i="2"/>
  <c r="D22" i="2"/>
  <c r="C22" i="2"/>
  <c r="B22" i="2"/>
  <c r="F22" i="2"/>
  <c r="T22" i="2"/>
  <c r="S22" i="2"/>
  <c r="Q22" i="2"/>
  <c r="P22" i="2"/>
  <c r="O22" i="2"/>
  <c r="M22" i="2"/>
  <c r="L22" i="2"/>
  <c r="K22" i="2"/>
  <c r="U22" i="2"/>
  <c r="U23" i="2"/>
  <c r="N16" i="2"/>
  <c r="N14" i="2"/>
  <c r="N13" i="2"/>
  <c r="N11" i="2"/>
  <c r="N8" i="2"/>
  <c r="N7" i="2"/>
  <c r="N6" i="2"/>
  <c r="N5" i="2"/>
  <c r="N3" i="2"/>
  <c r="K10" i="2"/>
  <c r="O37" i="2"/>
  <c r="O30" i="2"/>
  <c r="O29" i="2" s="1"/>
  <c r="L10" i="2"/>
  <c r="P37" i="2"/>
  <c r="P30" i="2"/>
  <c r="P29" i="2" s="1"/>
  <c r="M10" i="2"/>
  <c r="Q37" i="2"/>
  <c r="Q30" i="2"/>
  <c r="Q29" i="2" s="1"/>
  <c r="R14" i="2"/>
  <c r="R13" i="2"/>
  <c r="R11" i="2"/>
  <c r="R8" i="2"/>
  <c r="R7" i="2"/>
  <c r="R22" i="2" s="1"/>
  <c r="R6" i="2"/>
  <c r="R5" i="2"/>
  <c r="R3" i="2"/>
  <c r="R16" i="2"/>
  <c r="V16" i="2"/>
  <c r="V14" i="2"/>
  <c r="V13" i="2"/>
  <c r="V11" i="2"/>
  <c r="V8" i="2"/>
  <c r="V7" i="2"/>
  <c r="V22" i="2" s="1"/>
  <c r="V6" i="2"/>
  <c r="V5" i="2"/>
  <c r="V3" i="2"/>
  <c r="O10" i="2"/>
  <c r="S10" i="2"/>
  <c r="S37" i="2"/>
  <c r="S30" i="2"/>
  <c r="S29" i="2" s="1"/>
  <c r="P10" i="2"/>
  <c r="T10" i="2"/>
  <c r="Q21" i="2"/>
  <c r="Q10" i="2"/>
  <c r="U10" i="2"/>
  <c r="N49" i="2"/>
  <c r="N48" i="2"/>
  <c r="N47" i="2"/>
  <c r="N46" i="2"/>
  <c r="N45" i="2"/>
  <c r="N43" i="2"/>
  <c r="N42" i="2"/>
  <c r="N41" i="2"/>
  <c r="N40" i="2"/>
  <c r="N39" i="2"/>
  <c r="N36" i="2"/>
  <c r="N35" i="2"/>
  <c r="N33" i="2"/>
  <c r="N32" i="2"/>
  <c r="N31" i="2"/>
  <c r="R49" i="2"/>
  <c r="R48" i="2"/>
  <c r="R47" i="2"/>
  <c r="R46" i="2"/>
  <c r="R45" i="2"/>
  <c r="R43" i="2"/>
  <c r="R42" i="2"/>
  <c r="R41" i="2"/>
  <c r="R40" i="2"/>
  <c r="R39" i="2"/>
  <c r="R37" i="2"/>
  <c r="R36" i="2"/>
  <c r="R35" i="2"/>
  <c r="R33" i="2"/>
  <c r="R32" i="2"/>
  <c r="R31" i="2"/>
  <c r="R30" i="2"/>
  <c r="V49" i="2"/>
  <c r="V48" i="2"/>
  <c r="V47" i="2"/>
  <c r="V46" i="2"/>
  <c r="V45" i="2"/>
  <c r="V43" i="2"/>
  <c r="V42" i="2"/>
  <c r="V41" i="2"/>
  <c r="V40" i="2"/>
  <c r="V39" i="2"/>
  <c r="V37" i="2"/>
  <c r="V36" i="2"/>
  <c r="V35" i="2"/>
  <c r="V33" i="2"/>
  <c r="V32" i="2"/>
  <c r="V31" i="2"/>
  <c r="V30" i="2"/>
  <c r="B35" i="2"/>
  <c r="B30" i="2"/>
  <c r="B29" i="2" s="1"/>
  <c r="H25" i="2"/>
  <c r="C37" i="2"/>
  <c r="C30" i="2"/>
  <c r="D37" i="2"/>
  <c r="N37" i="2" s="1"/>
  <c r="D30" i="2"/>
  <c r="D29" i="2" s="1"/>
  <c r="L9" i="2"/>
  <c r="M9" i="2"/>
  <c r="O9" i="2"/>
  <c r="P9" i="2"/>
  <c r="Q9" i="2"/>
  <c r="S9" i="2"/>
  <c r="T9" i="2"/>
  <c r="U9" i="2"/>
  <c r="W9" i="2"/>
  <c r="X9" i="2"/>
  <c r="K9" i="2"/>
  <c r="L29" i="2"/>
  <c r="M29" i="2"/>
  <c r="T29" i="2"/>
  <c r="U29" i="2"/>
  <c r="K29" i="2"/>
  <c r="C29" i="2"/>
  <c r="E29" i="2"/>
  <c r="F29" i="2"/>
  <c r="B11" i="2"/>
  <c r="B10" i="2"/>
  <c r="C11" i="2"/>
  <c r="C10" i="2"/>
  <c r="D10" i="2"/>
  <c r="E10" i="2"/>
  <c r="F10" i="2"/>
  <c r="V10" i="2" s="1"/>
  <c r="C9" i="2"/>
  <c r="D9" i="2"/>
  <c r="E9" i="2"/>
  <c r="F9" i="2"/>
  <c r="G9" i="2"/>
  <c r="G12" i="2" s="1"/>
  <c r="H9" i="2"/>
  <c r="H12" i="2" s="1"/>
  <c r="B9" i="2"/>
  <c r="N10" i="2" l="1"/>
  <c r="N22" i="2"/>
  <c r="R10" i="2"/>
  <c r="N30" i="2"/>
  <c r="F12" i="2"/>
  <c r="F15" i="2" s="1"/>
  <c r="F26" i="2" s="1"/>
  <c r="N9" i="2"/>
  <c r="R9" i="2"/>
  <c r="V9" i="2"/>
  <c r="N29" i="2"/>
  <c r="R29" i="2"/>
  <c r="V29" i="2"/>
  <c r="B12" i="2"/>
  <c r="B15" i="2" s="1"/>
  <c r="B17" i="2" s="1"/>
  <c r="D12" i="2"/>
  <c r="D15" i="2" s="1"/>
  <c r="D26" i="2" s="1"/>
  <c r="C12" i="2"/>
  <c r="C15" i="2" s="1"/>
  <c r="C26" i="2" s="1"/>
  <c r="E12" i="2"/>
  <c r="E15" i="2" s="1"/>
  <c r="E26" i="2" s="1"/>
  <c r="H65" i="5"/>
  <c r="H64" i="5"/>
  <c r="I41" i="5" l="1"/>
  <c r="H41" i="5"/>
  <c r="I40" i="5"/>
  <c r="H40" i="5"/>
  <c r="I39" i="5"/>
  <c r="H39" i="5"/>
  <c r="I34" i="5"/>
  <c r="J34" i="5" s="1"/>
  <c r="G4" i="5"/>
  <c r="H4" i="5"/>
  <c r="J12" i="5"/>
  <c r="J11" i="5"/>
  <c r="J10" i="5"/>
  <c r="J5" i="5"/>
  <c r="J4" i="5"/>
  <c r="G14" i="5"/>
  <c r="H14" i="5" s="1"/>
  <c r="G13" i="5"/>
  <c r="J13" i="5" s="1"/>
  <c r="G12" i="5"/>
  <c r="G11" i="5"/>
  <c r="G10" i="5"/>
  <c r="G9" i="5"/>
  <c r="G8" i="5"/>
  <c r="G7" i="5"/>
  <c r="G6" i="5"/>
  <c r="J7" i="5" s="1"/>
  <c r="G5" i="5"/>
  <c r="H35" i="5"/>
  <c r="I36" i="5"/>
  <c r="L58" i="5"/>
  <c r="L51" i="5" l="1"/>
  <c r="I10" i="5"/>
  <c r="K10" i="5" s="1"/>
  <c r="H47" i="5"/>
  <c r="H55" i="5"/>
  <c r="J48" i="5"/>
  <c r="J56" i="5"/>
  <c r="I11" i="5"/>
  <c r="K11" i="5" s="1"/>
  <c r="H48" i="5"/>
  <c r="H56" i="5"/>
  <c r="J49" i="5"/>
  <c r="L44" i="5"/>
  <c r="L52" i="5"/>
  <c r="H49" i="5"/>
  <c r="H57" i="5"/>
  <c r="J50" i="5"/>
  <c r="L45" i="5"/>
  <c r="L53" i="5"/>
  <c r="J41" i="5"/>
  <c r="K41" i="5" s="1"/>
  <c r="H50" i="5"/>
  <c r="H58" i="5"/>
  <c r="J51" i="5"/>
  <c r="L46" i="5"/>
  <c r="L54" i="5"/>
  <c r="I5" i="5"/>
  <c r="K5" i="5" s="1"/>
  <c r="H51" i="5"/>
  <c r="J44" i="5"/>
  <c r="J52" i="5"/>
  <c r="L47" i="5"/>
  <c r="L55" i="5"/>
  <c r="I12" i="5"/>
  <c r="K12" i="5" s="1"/>
  <c r="I7" i="5"/>
  <c r="K7" i="5" s="1"/>
  <c r="H44" i="5"/>
  <c r="H52" i="5"/>
  <c r="J45" i="5"/>
  <c r="J53" i="5"/>
  <c r="L48" i="5"/>
  <c r="L56" i="5"/>
  <c r="H45" i="5"/>
  <c r="H53" i="5"/>
  <c r="J46" i="5"/>
  <c r="J54" i="5"/>
  <c r="L49" i="5"/>
  <c r="L57" i="5"/>
  <c r="I8" i="5"/>
  <c r="K8" i="5" s="1"/>
  <c r="I9" i="5"/>
  <c r="K9" i="5" s="1"/>
  <c r="H46" i="5"/>
  <c r="H54" i="5"/>
  <c r="J47" i="5"/>
  <c r="J55" i="5"/>
  <c r="L50" i="5"/>
  <c r="J40" i="5"/>
  <c r="K40" i="5" s="1"/>
  <c r="J36" i="5"/>
  <c r="K36" i="5" s="1"/>
  <c r="I14" i="5"/>
  <c r="K14" i="5" s="1"/>
  <c r="I13" i="5"/>
  <c r="K13" i="5" s="1"/>
  <c r="I35" i="5"/>
  <c r="J35" i="5" s="1"/>
  <c r="K35" i="5" s="1"/>
  <c r="J6" i="5"/>
  <c r="J14" i="5"/>
  <c r="I15" i="5"/>
  <c r="K15" i="5" s="1"/>
  <c r="I6" i="5"/>
  <c r="K6" i="5" s="1"/>
  <c r="J15" i="5"/>
  <c r="J8" i="5"/>
  <c r="J9" i="5"/>
  <c r="I4" i="5"/>
  <c r="K4" i="5" s="1"/>
  <c r="L4" i="5" s="1"/>
  <c r="H34" i="5"/>
  <c r="K34" i="5" s="1"/>
  <c r="H5" i="5"/>
  <c r="H9" i="5"/>
  <c r="H13" i="5"/>
  <c r="H8" i="5"/>
  <c r="H12" i="5"/>
  <c r="H7" i="5"/>
  <c r="H11" i="5"/>
  <c r="H6" i="5"/>
  <c r="H10" i="5"/>
  <c r="L5" i="5" l="1"/>
  <c r="L6" i="5" s="1"/>
  <c r="L7" i="5" s="1"/>
  <c r="L8" i="5" s="1"/>
  <c r="L9" i="5" s="1"/>
  <c r="L10" i="5" s="1"/>
  <c r="L11" i="5" s="1"/>
  <c r="L12" i="5" s="1"/>
  <c r="L13" i="5" s="1"/>
  <c r="L14" i="5" s="1"/>
  <c r="L15" i="5" s="1"/>
  <c r="B23" i="2" l="1"/>
  <c r="C23" i="2"/>
  <c r="D23" i="2"/>
  <c r="F23" i="2"/>
  <c r="K12" i="2"/>
  <c r="K15" i="2" s="1"/>
  <c r="L12" i="2"/>
  <c r="L15" i="2" s="1"/>
  <c r="L26" i="2" s="1"/>
  <c r="M12" i="2"/>
  <c r="M15" i="2" s="1"/>
  <c r="M26" i="2" s="1"/>
  <c r="N12" i="2"/>
  <c r="N15" i="2" s="1"/>
  <c r="N26" i="2" s="1"/>
  <c r="O12" i="2"/>
  <c r="O15" i="2" s="1"/>
  <c r="P12" i="2"/>
  <c r="P15" i="2" s="1"/>
  <c r="Q12" i="2"/>
  <c r="Q15" i="2" s="1"/>
  <c r="R12" i="2"/>
  <c r="R15" i="2" s="1"/>
  <c r="S12" i="2"/>
  <c r="S15" i="2" s="1"/>
  <c r="T12" i="2"/>
  <c r="T15" i="2" s="1"/>
  <c r="U12" i="2"/>
  <c r="U15" i="2" s="1"/>
  <c r="U26" i="2" s="1"/>
  <c r="V12" i="2"/>
  <c r="V15" i="2" s="1"/>
  <c r="W15" i="2"/>
  <c r="K19" i="2"/>
  <c r="L19" i="2"/>
  <c r="M19" i="2"/>
  <c r="N19" i="2"/>
  <c r="O19" i="2"/>
  <c r="P19" i="2"/>
  <c r="Q19" i="2"/>
  <c r="R19" i="2"/>
  <c r="S19" i="2"/>
  <c r="T19" i="2"/>
  <c r="U19" i="2"/>
  <c r="V19" i="2"/>
  <c r="O21" i="2"/>
  <c r="P21" i="2"/>
  <c r="R21" i="2"/>
  <c r="S21" i="2"/>
  <c r="T21" i="2"/>
  <c r="U21" i="2"/>
  <c r="V21" i="2"/>
  <c r="W21" i="2"/>
  <c r="X21" i="2"/>
  <c r="K23" i="2"/>
  <c r="L23" i="2"/>
  <c r="M23" i="2"/>
  <c r="N23" i="2"/>
  <c r="O23" i="2"/>
  <c r="P23" i="2"/>
  <c r="Q23" i="2"/>
  <c r="R23" i="2"/>
  <c r="S23" i="2"/>
  <c r="T23" i="2"/>
  <c r="V23" i="2"/>
  <c r="K34" i="2"/>
  <c r="K38" i="2" s="1"/>
  <c r="L34" i="2"/>
  <c r="L38" i="2" s="1"/>
  <c r="M34" i="2"/>
  <c r="M38" i="2" s="1"/>
  <c r="N34" i="2"/>
  <c r="N38" i="2" s="1"/>
  <c r="N51" i="2" s="1"/>
  <c r="O34" i="2"/>
  <c r="O38" i="2" s="1"/>
  <c r="P34" i="2"/>
  <c r="P38" i="2" s="1"/>
  <c r="P51" i="2" s="1"/>
  <c r="Q34" i="2"/>
  <c r="Q38" i="2" s="1"/>
  <c r="Q51" i="2" s="1"/>
  <c r="R34" i="2"/>
  <c r="R38" i="2" s="1"/>
  <c r="S34" i="2"/>
  <c r="S38" i="2" s="1"/>
  <c r="T34" i="2"/>
  <c r="T38" i="2" s="1"/>
  <c r="U34" i="2"/>
  <c r="U38" i="2" s="1"/>
  <c r="V34" i="2"/>
  <c r="V38" i="2" s="1"/>
  <c r="V51" i="2" s="1"/>
  <c r="K44" i="2"/>
  <c r="K50" i="2" s="1"/>
  <c r="L44" i="2"/>
  <c r="L50" i="2" s="1"/>
  <c r="M44" i="2"/>
  <c r="M50" i="2" s="1"/>
  <c r="N44" i="2"/>
  <c r="N50" i="2" s="1"/>
  <c r="O44" i="2"/>
  <c r="O50" i="2" s="1"/>
  <c r="P44" i="2"/>
  <c r="P50" i="2" s="1"/>
  <c r="Q44" i="2"/>
  <c r="Q50" i="2" s="1"/>
  <c r="R44" i="2"/>
  <c r="R50" i="2" s="1"/>
  <c r="S44" i="2"/>
  <c r="S50" i="2" s="1"/>
  <c r="T44" i="2"/>
  <c r="T50" i="2" s="1"/>
  <c r="U44" i="2"/>
  <c r="U50" i="2" s="1"/>
  <c r="V44" i="2"/>
  <c r="V50" i="2" s="1"/>
  <c r="B34" i="2"/>
  <c r="B38" i="2" s="1"/>
  <c r="C34" i="2"/>
  <c r="C38" i="2" s="1"/>
  <c r="D34" i="2"/>
  <c r="D38" i="2" s="1"/>
  <c r="H20" i="2"/>
  <c r="G20" i="2"/>
  <c r="H21" i="2"/>
  <c r="T17" i="2" l="1"/>
  <c r="X25" i="2" s="1"/>
  <c r="T26" i="2"/>
  <c r="S17" i="2"/>
  <c r="W25" i="2" s="1"/>
  <c r="S26" i="2"/>
  <c r="R17" i="2"/>
  <c r="R26" i="2"/>
  <c r="Q17" i="2"/>
  <c r="Q26" i="2"/>
  <c r="V17" i="2"/>
  <c r="V26" i="2"/>
  <c r="K17" i="2"/>
  <c r="K26" i="2"/>
  <c r="P17" i="2"/>
  <c r="P26" i="2"/>
  <c r="O17" i="2"/>
  <c r="O26" i="2"/>
  <c r="U25" i="2"/>
  <c r="U17" i="2"/>
  <c r="U51" i="2"/>
  <c r="T51" i="2"/>
  <c r="S51" i="2"/>
  <c r="N20" i="2"/>
  <c r="N17" i="2"/>
  <c r="O51" i="2"/>
  <c r="L20" i="2"/>
  <c r="L17" i="2"/>
  <c r="M20" i="2"/>
  <c r="M17" i="2"/>
  <c r="R51" i="2"/>
  <c r="K20" i="2"/>
  <c r="O25" i="2"/>
  <c r="S20" i="2"/>
  <c r="S25" i="2"/>
  <c r="O20" i="2"/>
  <c r="R20" i="2"/>
  <c r="R25" i="2"/>
  <c r="V25" i="2"/>
  <c r="V20" i="2"/>
  <c r="U20" i="2"/>
  <c r="T20" i="2"/>
  <c r="T25" i="2"/>
  <c r="Q25" i="2"/>
  <c r="Q20" i="2"/>
  <c r="P25" i="2"/>
  <c r="P20" i="2"/>
  <c r="B19" i="2"/>
  <c r="G21" i="2"/>
  <c r="E19" i="2"/>
  <c r="E23" i="2"/>
  <c r="D19" i="2"/>
  <c r="C19" i="2"/>
  <c r="F19" i="2"/>
  <c r="F21" i="2"/>
  <c r="F44" i="2"/>
  <c r="F50" i="2" s="1"/>
  <c r="F34" i="2"/>
  <c r="F38" i="2" s="1"/>
  <c r="D21" i="2"/>
  <c r="E21" i="2"/>
  <c r="C21" i="2"/>
  <c r="C44" i="2"/>
  <c r="C50" i="2" s="1"/>
  <c r="C51" i="2" s="1"/>
  <c r="D44" i="2"/>
  <c r="E34" i="2"/>
  <c r="E38" i="2" s="1"/>
  <c r="F51" i="2" l="1"/>
  <c r="C17" i="2"/>
  <c r="E17" i="2"/>
  <c r="D17" i="2"/>
  <c r="E44" i="2"/>
  <c r="E50" i="2" s="1"/>
  <c r="E51" i="2" s="1"/>
  <c r="D50" i="2"/>
  <c r="D51" i="2" s="1"/>
  <c r="B44" i="2"/>
  <c r="B50" i="2" s="1"/>
  <c r="B51" i="2" s="1"/>
  <c r="F25" i="2" l="1"/>
  <c r="F17" i="2"/>
  <c r="G25" i="2" s="1"/>
  <c r="E25" i="2"/>
  <c r="F20" i="2"/>
  <c r="E20" i="2"/>
  <c r="D25" i="2"/>
  <c r="D20" i="2"/>
  <c r="B20" i="2"/>
  <c r="C25" i="2"/>
  <c r="C20" i="2"/>
  <c r="J39" i="5" l="1"/>
  <c r="K39" i="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Simon Burghardt</author>
  </authors>
  <commentList>
    <comment ref="B27" authorId="0" shapeId="0" xr:uid="{A5B32E2F-CDF3-403E-88D7-CEB78829D2A2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=Total Debt / Shareholders Equity
D/E of 2 is considered dangerous (especially when Ops is contracting)
D/E &lt; 1 is good</t>
        </r>
      </text>
    </comment>
    <comment ref="B28" authorId="0" shapeId="0" xr:uid="{FFD5C37B-7B31-413D-8D3F-45EE45D589E3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EBIT (before Interest &amp; D&amp;A) / Interest Expense
ICR of 2 is generally minimum
also Check Credit Rating</t>
        </r>
      </text>
    </comment>
    <comment ref="B29" authorId="0" shapeId="0" xr:uid="{8FE8E5BF-13D8-402B-8070-E0ABB2E991B1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Current Assets / Current Liabilities
Current Assets: Cash + Marketable Sec. + Inventory + AR + Other Rec
Current Liabilities: Short Term Debt + AP + Accrued Expense + Def. Revenue</t>
        </r>
      </text>
    </comment>
    <comment ref="B30" authorId="0" shapeId="0" xr:uid="{54D69E42-35D3-490C-A497-78ABDAACCE20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Cash + Marketable Securities + AR / Current Liabilities or
= Cash + Marketable Securities + AR / AP</t>
        </r>
      </text>
    </comment>
    <comment ref="B31" authorId="0" shapeId="0" xr:uid="{7DEC5B2C-4977-4F57-B24A-CA4FF2DFF0ED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Working Capital = Current Assets - Current Liabilities
&gt;30% very good
15% - 30% satisfactory
0% - 15% unsatisfactory
&lt; 0% critical</t>
        </r>
      </text>
    </comment>
    <comment ref="B32" authorId="0" shapeId="0" xr:uid="{C7CF7851-5FDA-4DD7-9531-B44B5A8A2A9C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BVPS = Stockholders Equity $ - Preffered Stock $ / Average Shares Outstanding
Book Value (Share Capital + Retained Earnings) = Total Assets - Total Liabilities</t>
        </r>
      </text>
    </comment>
    <comment ref="B33" authorId="0" shapeId="0" xr:uid="{A803D22A-1FAC-4EE7-83A6-8FC274E0C949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Net Sales / Average Total Assets
Average Total Assets = (Assets at start of year + Assets end of year) / 2</t>
        </r>
      </text>
    </comment>
    <comment ref="B34" authorId="0" shapeId="0" xr:uid="{BE9EE88E-4163-4D0A-BE61-4D10937BAFB7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Net Income / Total Assets</t>
        </r>
      </text>
    </comment>
    <comment ref="B35" authorId="0" shapeId="0" xr:uid="{4A245704-8FBD-412D-8ACC-9F438C60C482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Net Income / Shareholders Equity $</t>
        </r>
      </text>
    </comment>
    <comment ref="B36" authorId="0" shapeId="0" xr:uid="{07083824-5D79-40A7-83E6-23D30EAF9E8E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Last Annual Free Cash Flow per Share / Current Market Stock Price
P/FCFPS = Current Market Stock Price / Annualized Free Cash Flow per Share
P/E </t>
        </r>
      </text>
    </comment>
  </commentList>
</comments>
</file>

<file path=xl/sharedStrings.xml><?xml version="1.0" encoding="utf-8"?>
<sst xmlns="http://schemas.openxmlformats.org/spreadsheetml/2006/main" count="215" uniqueCount="199">
  <si>
    <t>Price</t>
  </si>
  <si>
    <t>Shares</t>
  </si>
  <si>
    <t>MC</t>
  </si>
  <si>
    <t>CASH</t>
  </si>
  <si>
    <t>DEBT</t>
  </si>
  <si>
    <t>EV</t>
  </si>
  <si>
    <t>Q222</t>
  </si>
  <si>
    <t>Q322</t>
  </si>
  <si>
    <t>Q422</t>
  </si>
  <si>
    <t>Q123</t>
  </si>
  <si>
    <t>Q221</t>
  </si>
  <si>
    <t>Q321</t>
  </si>
  <si>
    <t>Q421</t>
  </si>
  <si>
    <t>Q122</t>
  </si>
  <si>
    <t>FY21</t>
  </si>
  <si>
    <t>FY22</t>
  </si>
  <si>
    <t>FY23</t>
  </si>
  <si>
    <t>Revenue</t>
  </si>
  <si>
    <t>FY20</t>
  </si>
  <si>
    <t>EBITDA</t>
  </si>
  <si>
    <t>Net Income</t>
  </si>
  <si>
    <t>EPS</t>
  </si>
  <si>
    <t>Operational Income</t>
  </si>
  <si>
    <t>Cash</t>
  </si>
  <si>
    <t>AR</t>
  </si>
  <si>
    <t>Other</t>
  </si>
  <si>
    <t>Total Assets</t>
  </si>
  <si>
    <t>Total Liablities</t>
  </si>
  <si>
    <t>AP</t>
  </si>
  <si>
    <t>Gross Margin</t>
  </si>
  <si>
    <t>Net Margin</t>
  </si>
  <si>
    <t>Revenue y/y</t>
  </si>
  <si>
    <t>FY24</t>
  </si>
  <si>
    <t>Q121</t>
  </si>
  <si>
    <t>FY19</t>
  </si>
  <si>
    <t>Net Income y/y</t>
  </si>
  <si>
    <t>Q223</t>
  </si>
  <si>
    <t>Net CASH</t>
  </si>
  <si>
    <t>Main</t>
  </si>
  <si>
    <t>Net Cash</t>
  </si>
  <si>
    <t>Q323</t>
  </si>
  <si>
    <t>Q423</t>
  </si>
  <si>
    <t>Last Update</t>
  </si>
  <si>
    <t>Management</t>
  </si>
  <si>
    <t>EG1</t>
  </si>
  <si>
    <t>EG2</t>
  </si>
  <si>
    <t>PE1</t>
  </si>
  <si>
    <t>PE2</t>
  </si>
  <si>
    <t>PE0</t>
  </si>
  <si>
    <t>Shareholders</t>
  </si>
  <si>
    <t>% Out</t>
  </si>
  <si>
    <t>Date</t>
  </si>
  <si>
    <t>Close</t>
  </si>
  <si>
    <t>Event</t>
  </si>
  <si>
    <t>Earnings</t>
  </si>
  <si>
    <t>Driving business factors:</t>
  </si>
  <si>
    <t>xxx</t>
  </si>
  <si>
    <t>Insiders</t>
  </si>
  <si>
    <t>Comment</t>
  </si>
  <si>
    <t>Role</t>
  </si>
  <si>
    <t>COGS</t>
  </si>
  <si>
    <t>Sales &amp; Marketing</t>
  </si>
  <si>
    <t>Current Assets</t>
  </si>
  <si>
    <t>Total Current Liabilities</t>
  </si>
  <si>
    <t>Operating Lease</t>
  </si>
  <si>
    <t>Q124</t>
  </si>
  <si>
    <t>EPS exp.</t>
  </si>
  <si>
    <t>Rev. Exp.</t>
  </si>
  <si>
    <t>Sales &amp; Marketing / REV</t>
  </si>
  <si>
    <t>Q224</t>
  </si>
  <si>
    <t>FY25</t>
  </si>
  <si>
    <t>PEG1</t>
  </si>
  <si>
    <t>PEG2</t>
  </si>
  <si>
    <t>EBIT</t>
  </si>
  <si>
    <t>EV/EBITDA</t>
  </si>
  <si>
    <t>R&amp;D</t>
  </si>
  <si>
    <t>NI Noncontrolling Interest</t>
  </si>
  <si>
    <t>Notes</t>
  </si>
  <si>
    <t>Prepaid Expense</t>
  </si>
  <si>
    <t>PP&amp;E</t>
  </si>
  <si>
    <t>Equity</t>
  </si>
  <si>
    <t>RG1</t>
  </si>
  <si>
    <t>RG2</t>
  </si>
  <si>
    <t>Debt to Equity Ratio</t>
  </si>
  <si>
    <t>Interest Coverage Ratio</t>
  </si>
  <si>
    <t>Current Ratio</t>
  </si>
  <si>
    <t>Quick Ratio</t>
  </si>
  <si>
    <t>WC over Total Assets</t>
  </si>
  <si>
    <t>Book Value per Share</t>
  </si>
  <si>
    <t>Sales to Assets Ratio</t>
  </si>
  <si>
    <t>Returns on Assets</t>
  </si>
  <si>
    <t>ROE</t>
  </si>
  <si>
    <t>FCF Yield</t>
  </si>
  <si>
    <t>PLTR</t>
  </si>
  <si>
    <t>w/w</t>
  </si>
  <si>
    <t>Column1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</si>
  <si>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</si>
  <si>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</si>
  <si>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</si>
  <si>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</si>
  <si>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</si>
  <si>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</si>
  <si>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</si>
  <si>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</si>
  <si>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</si>
  <si>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</si>
  <si>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</si>
  <si>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</si>
  <si>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</si>
  <si>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Intervals</t>
  </si>
  <si>
    <t>Bin</t>
  </si>
  <si>
    <t>Frequency</t>
  </si>
  <si>
    <t>Probability</t>
  </si>
  <si>
    <t>Cumulative Percentage</t>
  </si>
  <si>
    <t>More</t>
  </si>
  <si>
    <t>Average Returns</t>
  </si>
  <si>
    <t>Frequency %</t>
  </si>
  <si>
    <t>Frequency Adjusted Return</t>
  </si>
  <si>
    <t>Positive Data Points</t>
  </si>
  <si>
    <t>Negative Data Points</t>
  </si>
  <si>
    <t>Zero</t>
  </si>
  <si>
    <t>Std Dev</t>
  </si>
  <si>
    <t>Upper Bound</t>
  </si>
  <si>
    <t>Lower Bound</t>
  </si>
  <si>
    <t>Actual Count</t>
  </si>
  <si>
    <t>Actual % Count</t>
  </si>
  <si>
    <t>Normal % Count</t>
  </si>
  <si>
    <t>Percentiles</t>
  </si>
  <si>
    <t>Stop %</t>
  </si>
  <si>
    <t>Target %</t>
  </si>
  <si>
    <t>Current Price</t>
  </si>
  <si>
    <t>Stop Price</t>
  </si>
  <si>
    <t>Target Price</t>
  </si>
  <si>
    <t>(should use monthly)</t>
  </si>
  <si>
    <t>Close to Close Weekly returns</t>
  </si>
  <si>
    <t>Vanguard Group Inc</t>
  </si>
  <si>
    <t>9.18%</t>
  </si>
  <si>
    <t>Blackrock Inc.</t>
  </si>
  <si>
    <t>5.33%</t>
  </si>
  <si>
    <t>Renaissance Technologies, LLC</t>
  </si>
  <si>
    <t>2.07%</t>
  </si>
  <si>
    <t>State Street Corporation</t>
  </si>
  <si>
    <t>1.89%</t>
  </si>
  <si>
    <t>Geode Capital Management, LLC</t>
  </si>
  <si>
    <t>1.33%</t>
  </si>
  <si>
    <t>Jane Street Group, LLC</t>
  </si>
  <si>
    <t>1.04%</t>
  </si>
  <si>
    <t>Morgan Stanley</t>
  </si>
  <si>
    <t>1.03%</t>
  </si>
  <si>
    <t>Shaw D.E. &amp; Co., Inc.</t>
  </si>
  <si>
    <t>0.98%</t>
  </si>
  <si>
    <t>Sumitomo Mitsui Trust Holdings, Inc.</t>
  </si>
  <si>
    <t>0.60%</t>
  </si>
  <si>
    <t>Legal &amp; General Group PLC</t>
  </si>
  <si>
    <t>0.56%</t>
  </si>
  <si>
    <t>COHEN STEPHEN ANDREW</t>
  </si>
  <si>
    <t>GLAZER DAVID ALAN</t>
  </si>
  <si>
    <t>KARP ALEXANDER C.</t>
  </si>
  <si>
    <t>MOORE ALEXANDER D</t>
  </si>
  <si>
    <t>PLANISHEK HEATHER A</t>
  </si>
  <si>
    <t>SANKAR SHYAM</t>
  </si>
  <si>
    <t>SCHIFF ALEXANDRA W</t>
  </si>
  <si>
    <t>TAYLOR RYAN DOUGLAS J.D.</t>
  </si>
  <si>
    <t>Mr. Peter Andreas Thiel</t>
  </si>
  <si>
    <t>Co-Founder &amp; Chairman</t>
  </si>
  <si>
    <t>Dr. Alexander C. Karp</t>
  </si>
  <si>
    <t>Co-Founder, CEO &amp; Director</t>
  </si>
  <si>
    <t>Mr. Stephen Andrew Cohen</t>
  </si>
  <si>
    <t>Co-Founder, President, Secretary &amp; Director</t>
  </si>
  <si>
    <t>Mr. David A. Glazer</t>
  </si>
  <si>
    <t>CFO &amp; Treasurer</t>
  </si>
  <si>
    <t>Mr. Shyam Sankar</t>
  </si>
  <si>
    <t>CTO &amp; Executive VP</t>
  </si>
  <si>
    <t>Mr. Ryan D. Taylor</t>
  </si>
  <si>
    <t>Chief Revenue Officer &amp; Chief Legal Officer</t>
  </si>
  <si>
    <t>Mr. Joseph Lonsdale</t>
  </si>
  <si>
    <t>Co-Founder</t>
  </si>
  <si>
    <t>Ms. Heather Planishek</t>
  </si>
  <si>
    <t>Chief Accounting Officer</t>
  </si>
  <si>
    <t>Mr. Rodney Nelson</t>
  </si>
  <si>
    <t>Head of Investor Relations</t>
  </si>
  <si>
    <t>Mr. David B. MacNaughton</t>
  </si>
  <si>
    <t>President of Palantir Canada</t>
  </si>
  <si>
    <t>Peter Thiel</t>
  </si>
  <si>
    <t>Products: Gotham (CIA), Metropolis (Finance), Apollo (SaaS continous delivery), Froundry (health)</t>
  </si>
  <si>
    <t>G&amp;A</t>
  </si>
  <si>
    <t>Interest net</t>
  </si>
  <si>
    <t>Provisions</t>
  </si>
  <si>
    <t>Marketable Securities</t>
  </si>
  <si>
    <t>Operating Lease right of use</t>
  </si>
  <si>
    <t>AL</t>
  </si>
  <si>
    <t>Deffered Revenue</t>
  </si>
  <si>
    <t>Customer deposits</t>
  </si>
  <si>
    <t>Operating lease</t>
  </si>
  <si>
    <t>Debt</t>
  </si>
  <si>
    <t>Interest Rate MS</t>
  </si>
  <si>
    <t>R&amp;D / REV</t>
  </si>
  <si>
    <t>Net Margin + R&amp;D</t>
  </si>
  <si>
    <t>G&amp;A / REV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</si>
</sst>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%"/>
    <numFmt numFmtId="166" formatCode="#,##0.000"/>
    <numFmt numFmtId="167" formatCode="0.000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3F3F76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C99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9" fillId="8" borderId="9" applyNumberFormat="0" applyAlignment="0" applyProtection="0"/>
  </cellStyleXfs>
  <cellXfs count="146">
    <xf numFmtId="0" fontId="0" fillId="0" borderId="0" xfId="0"/>
    <xf numFmtId="0" fontId="2" fillId="0" borderId="0" xfId="0" applyFont="1"/>
    <xf numFmtId="2" fontId="2" fillId="0" borderId="0" xfId="0" applyNumberFormat="1" applyFont="1"/>
    <xf numFmtId="9" fontId="0" fillId="0" borderId="0" xfId="1" applyFont="1"/>
    <xf numFmtId="9" fontId="0" fillId="0" borderId="0" xfId="0" applyNumberFormat="1"/>
    <xf numFmtId="0" fontId="0" fillId="0" borderId="1" xfId="0" applyBorder="1"/>
    <xf numFmtId="9" fontId="0" fillId="0" borderId="2" xfId="1" applyFont="1" applyBorder="1"/>
    <xf numFmtId="9" fontId="0" fillId="0" borderId="2" xfId="0" applyNumberFormat="1" applyBorder="1"/>
    <xf numFmtId="0" fontId="4" fillId="0" borderId="0" xfId="2"/>
    <xf numFmtId="0" fontId="5" fillId="0" borderId="0" xfId="0" applyFont="1"/>
    <xf numFmtId="3" fontId="0" fillId="0" borderId="0" xfId="0" applyNumberFormat="1"/>
    <xf numFmtId="3" fontId="2" fillId="0" borderId="0" xfId="0" applyNumberFormat="1" applyFont="1"/>
    <xf numFmtId="14" fontId="0" fillId="0" borderId="0" xfId="0" applyNumberFormat="1"/>
    <xf numFmtId="0" fontId="0" fillId="0" borderId="2" xfId="0" applyBorder="1"/>
    <xf numFmtId="3" fontId="2" fillId="0" borderId="2" xfId="0" applyNumberFormat="1" applyFont="1" applyBorder="1"/>
    <xf numFmtId="3" fontId="0" fillId="0" borderId="2" xfId="0" applyNumberFormat="1" applyBorder="1"/>
    <xf numFmtId="0" fontId="2" fillId="0" borderId="2" xfId="0" applyFont="1" applyBorder="1"/>
    <xf numFmtId="49" fontId="0" fillId="0" borderId="0" xfId="0" applyNumberFormat="1"/>
    <xf numFmtId="2" fontId="0" fillId="0" borderId="0" xfId="0" applyNumberFormat="1"/>
    <xf numFmtId="0" fontId="0" fillId="0" borderId="4" xfId="0" applyBorder="1"/>
    <xf numFmtId="14" fontId="0" fillId="0" borderId="2" xfId="0" applyNumberFormat="1" applyBorder="1"/>
    <xf numFmtId="20" fontId="0" fillId="0" borderId="2" xfId="0" applyNumberFormat="1" applyBorder="1"/>
    <xf numFmtId="0" fontId="0" fillId="0" borderId="5" xfId="0" applyBorder="1"/>
    <xf numFmtId="0" fontId="0" fillId="0" borderId="6" xfId="0" applyBorder="1"/>
    <xf numFmtId="0" fontId="0" fillId="3" borderId="3" xfId="0" applyFill="1" applyBorder="1"/>
    <xf numFmtId="0" fontId="0" fillId="0" borderId="7" xfId="0" applyBorder="1"/>
    <xf numFmtId="0" fontId="0" fillId="3" borderId="7" xfId="0" applyFill="1" applyBorder="1"/>
    <xf numFmtId="0" fontId="0" fillId="3" borderId="4" xfId="0" applyFill="1" applyBorder="1"/>
    <xf numFmtId="0" fontId="0" fillId="0" borderId="0" xfId="0" applyAlignment="1">
      <alignment horizontal="right"/>
    </xf>
    <xf numFmtId="0" fontId="0" fillId="0" borderId="8" xfId="0" applyBorder="1"/>
    <xf numFmtId="0" fontId="0" fillId="2" borderId="3" xfId="0" applyFill="1" applyBorder="1"/>
    <xf numFmtId="0" fontId="0" fillId="2" borderId="7" xfId="0" applyFill="1" applyBorder="1"/>
    <xf numFmtId="0" fontId="0" fillId="2" borderId="4" xfId="0" applyFill="1" applyBorder="1"/>
    <xf numFmtId="0" fontId="0" fillId="4" borderId="0" xfId="0" applyFill="1"/>
    <xf numFmtId="0" fontId="0" fillId="5" borderId="3" xfId="0" applyFill="1" applyBorder="1"/>
    <xf numFmtId="2" fontId="2" fillId="0" borderId="2" xfId="0" applyNumberFormat="1" applyFont="1" applyBorder="1"/>
    <xf numFmtId="164" fontId="0" fillId="0" borderId="2" xfId="0" applyNumberFormat="1" applyBorder="1"/>
    <xf numFmtId="9" fontId="0" fillId="6" borderId="0" xfId="0" applyNumberFormat="1" applyFill="1"/>
    <xf numFmtId="0" fontId="0" fillId="0" borderId="2" xfId="0" applyBorder="1" applyAlignment="1">
      <alignment wrapText="1"/>
    </xf>
    <xf numFmtId="165" fontId="0" fillId="0" borderId="2" xfId="1" applyNumberFormat="1" applyFont="1" applyBorder="1"/>
    <xf numFmtId="9" fontId="0" fillId="0" borderId="0" xfId="1" applyFont="1" applyBorder="1"/>
    <xf numFmtId="3" fontId="5" fillId="0" borderId="0" xfId="0" applyNumberFormat="1" applyFont="1"/>
    <xf numFmtId="0" fontId="5" fillId="0" borderId="2" xfId="0" applyFont="1" applyBorder="1"/>
    <xf numFmtId="3" fontId="5" fillId="6" borderId="0" xfId="0" applyNumberFormat="1" applyFont="1" applyFill="1"/>
    <xf numFmtId="2" fontId="6" fillId="6" borderId="0" xfId="0" applyNumberFormat="1" applyFont="1" applyFill="1"/>
    <xf numFmtId="0" fontId="6" fillId="6" borderId="0" xfId="0" applyFont="1" applyFill="1"/>
    <xf numFmtId="9" fontId="5" fillId="6" borderId="0" xfId="1" applyFont="1" applyFill="1"/>
    <xf numFmtId="9" fontId="5" fillId="6" borderId="0" xfId="0" applyNumberFormat="1" applyFont="1" applyFill="1"/>
    <xf numFmtId="9" fontId="5" fillId="6" borderId="0" xfId="1" applyFont="1" applyFill="1" applyBorder="1"/>
    <xf numFmtId="9" fontId="5" fillId="6" borderId="1" xfId="1" applyFont="1" applyFill="1" applyBorder="1"/>
    <xf numFmtId="166" fontId="0" fillId="0" borderId="2" xfId="0" applyNumberFormat="1" applyBorder="1"/>
    <xf numFmtId="2" fontId="2" fillId="0" borderId="2" xfId="0" applyNumberFormat="1" applyFont="1" applyBorder="1" applyAlignment="1">
      <alignment horizontal="right"/>
    </xf>
    <xf numFmtId="2" fontId="2" fillId="0" borderId="0" xfId="0" applyNumberFormat="1" applyFont="1" applyAlignment="1">
      <alignment horizontal="right"/>
    </xf>
    <xf numFmtId="2" fontId="5" fillId="0" borderId="0" xfId="0" applyNumberFormat="1" applyFont="1"/>
    <xf numFmtId="2" fontId="0" fillId="0" borderId="2" xfId="0" applyNumberFormat="1" applyBorder="1"/>
    <xf numFmtId="10" fontId="2" fillId="0" borderId="0" xfId="1" applyNumberFormat="1" applyFont="1"/>
    <xf numFmtId="10" fontId="2" fillId="0" borderId="2" xfId="1" applyNumberFormat="1" applyFont="1" applyBorder="1"/>
    <xf numFmtId="2" fontId="2" fillId="3" borderId="2" xfId="0" applyNumberFormat="1" applyFont="1" applyFill="1" applyBorder="1"/>
    <xf numFmtId="2" fontId="6" fillId="3" borderId="0" xfId="0" applyNumberFormat="1" applyFont="1" applyFill="1"/>
    <xf numFmtId="0" fontId="6" fillId="3" borderId="0" xfId="0" applyFont="1" applyFill="1"/>
    <xf numFmtId="9" fontId="5" fillId="0" borderId="0" xfId="1" applyFont="1" applyBorder="1"/>
    <xf numFmtId="3" fontId="6" fillId="6" borderId="0" xfId="0" applyNumberFormat="1" applyFont="1" applyFill="1"/>
    <xf numFmtId="0" fontId="0" fillId="3" borderId="7" xfId="0" applyFill="1" applyBorder="1" applyAlignment="1">
      <alignment horizontal="right"/>
    </xf>
    <xf numFmtId="0" fontId="11" fillId="10" borderId="15" xfId="0" applyFont="1" applyFill="1" applyBorder="1"/>
    <xf numFmtId="0" fontId="11" fillId="10" borderId="11" xfId="0" applyFont="1" applyFill="1" applyBorder="1"/>
    <xf numFmtId="0" fontId="11" fillId="10" borderId="16" xfId="0" applyFont="1" applyFill="1" applyBorder="1"/>
    <xf numFmtId="0" fontId="11" fillId="10" borderId="17" xfId="0" applyFont="1" applyFill="1" applyBorder="1"/>
    <xf numFmtId="0" fontId="12" fillId="10" borderId="10" xfId="0" applyFont="1" applyFill="1" applyBorder="1" applyAlignment="1">
      <alignment horizontal="center"/>
    </xf>
    <xf numFmtId="0" fontId="11" fillId="10" borderId="18" xfId="0" applyFont="1" applyFill="1" applyBorder="1"/>
    <xf numFmtId="0" fontId="11" fillId="10" borderId="19" xfId="0" applyFont="1" applyFill="1" applyBorder="1"/>
    <xf numFmtId="167" fontId="11" fillId="10" borderId="20" xfId="0" applyNumberFormat="1" applyFont="1" applyFill="1" applyBorder="1"/>
    <xf numFmtId="167" fontId="11" fillId="10" borderId="21" xfId="0" applyNumberFormat="1" applyFont="1" applyFill="1" applyBorder="1"/>
    <xf numFmtId="0" fontId="11" fillId="10" borderId="21" xfId="0" applyFont="1" applyFill="1" applyBorder="1"/>
    <xf numFmtId="10" fontId="11" fillId="10" borderId="21" xfId="0" applyNumberFormat="1" applyFont="1" applyFill="1" applyBorder="1"/>
    <xf numFmtId="10" fontId="11" fillId="10" borderId="22" xfId="0" applyNumberFormat="1" applyFont="1" applyFill="1" applyBorder="1"/>
    <xf numFmtId="167" fontId="11" fillId="10" borderId="23" xfId="0" applyNumberFormat="1" applyFont="1" applyFill="1" applyBorder="1"/>
    <xf numFmtId="167" fontId="11" fillId="10" borderId="24" xfId="0" applyNumberFormat="1" applyFont="1" applyFill="1" applyBorder="1"/>
    <xf numFmtId="0" fontId="11" fillId="10" borderId="24" xfId="0" applyFont="1" applyFill="1" applyBorder="1"/>
    <xf numFmtId="0" fontId="11" fillId="10" borderId="24" xfId="0" quotePrefix="1" applyFont="1" applyFill="1" applyBorder="1"/>
    <xf numFmtId="10" fontId="11" fillId="10" borderId="24" xfId="0" applyNumberFormat="1" applyFont="1" applyFill="1" applyBorder="1"/>
    <xf numFmtId="10" fontId="11" fillId="10" borderId="25" xfId="0" applyNumberFormat="1" applyFont="1" applyFill="1" applyBorder="1"/>
    <xf numFmtId="0" fontId="11" fillId="10" borderId="26" xfId="0" applyFont="1" applyFill="1" applyBorder="1"/>
    <xf numFmtId="0" fontId="11" fillId="10" borderId="27" xfId="0" applyFont="1" applyFill="1" applyBorder="1"/>
    <xf numFmtId="10" fontId="11" fillId="10" borderId="27" xfId="0" applyNumberFormat="1" applyFont="1" applyFill="1" applyBorder="1"/>
    <xf numFmtId="10" fontId="11" fillId="10" borderId="28" xfId="0" applyNumberFormat="1" applyFont="1" applyFill="1" applyBorder="1"/>
    <xf numFmtId="0" fontId="12" fillId="10" borderId="29" xfId="0" applyFont="1" applyFill="1" applyBorder="1" applyAlignment="1">
      <alignment horizontal="center"/>
    </xf>
    <xf numFmtId="0" fontId="13" fillId="10" borderId="21" xfId="0" applyFont="1" applyFill="1" applyBorder="1"/>
    <xf numFmtId="0" fontId="13" fillId="10" borderId="22" xfId="0" applyFont="1" applyFill="1" applyBorder="1"/>
    <xf numFmtId="0" fontId="11" fillId="10" borderId="30" xfId="0" applyFont="1" applyFill="1" applyBorder="1"/>
    <xf numFmtId="0" fontId="11" fillId="10" borderId="0" xfId="0" applyFont="1" applyFill="1"/>
    <xf numFmtId="10" fontId="11" fillId="10" borderId="33" xfId="0" applyNumberFormat="1" applyFont="1" applyFill="1" applyBorder="1"/>
    <xf numFmtId="9" fontId="13" fillId="10" borderId="34" xfId="0" applyNumberFormat="1" applyFont="1" applyFill="1" applyBorder="1"/>
    <xf numFmtId="10" fontId="0" fillId="10" borderId="36" xfId="0" applyNumberFormat="1" applyFill="1" applyBorder="1" applyAlignment="1">
      <alignment horizontal="centerContinuous"/>
    </xf>
    <xf numFmtId="9" fontId="13" fillId="10" borderId="37" xfId="0" applyNumberFormat="1" applyFont="1" applyFill="1" applyBorder="1"/>
    <xf numFmtId="10" fontId="0" fillId="10" borderId="35" xfId="0" applyNumberFormat="1" applyFill="1" applyBorder="1" applyAlignment="1">
      <alignment horizontal="centerContinuous"/>
    </xf>
    <xf numFmtId="9" fontId="13" fillId="10" borderId="31" xfId="0" applyNumberFormat="1" applyFont="1" applyFill="1" applyBorder="1"/>
    <xf numFmtId="10" fontId="0" fillId="10" borderId="2" xfId="0" applyNumberFormat="1" applyFill="1" applyBorder="1" applyAlignment="1">
      <alignment horizontal="centerContinuous"/>
    </xf>
    <xf numFmtId="9" fontId="13" fillId="10" borderId="1" xfId="0" applyNumberFormat="1" applyFont="1" applyFill="1" applyBorder="1"/>
    <xf numFmtId="10" fontId="0" fillId="10" borderId="30" xfId="0" applyNumberFormat="1" applyFill="1" applyBorder="1" applyAlignment="1">
      <alignment horizontal="centerContinuous"/>
    </xf>
    <xf numFmtId="9" fontId="13" fillId="10" borderId="15" xfId="0" applyNumberFormat="1" applyFont="1" applyFill="1" applyBorder="1"/>
    <xf numFmtId="10" fontId="0" fillId="10" borderId="38" xfId="0" applyNumberFormat="1" applyFill="1" applyBorder="1" applyAlignment="1">
      <alignment horizontal="centerContinuous"/>
    </xf>
    <xf numFmtId="0" fontId="11" fillId="10" borderId="39" xfId="0" applyFont="1" applyFill="1" applyBorder="1"/>
    <xf numFmtId="0" fontId="0" fillId="10" borderId="38" xfId="0" applyFill="1" applyBorder="1"/>
    <xf numFmtId="9" fontId="13" fillId="10" borderId="39" xfId="0" applyNumberFormat="1" applyFont="1" applyFill="1" applyBorder="1"/>
    <xf numFmtId="10" fontId="0" fillId="10" borderId="16" xfId="0" applyNumberFormat="1" applyFill="1" applyBorder="1" applyAlignment="1">
      <alignment horizontal="centerContinuous"/>
    </xf>
    <xf numFmtId="0" fontId="13" fillId="0" borderId="20" xfId="0" applyFont="1" applyBorder="1"/>
    <xf numFmtId="9" fontId="9" fillId="8" borderId="22" xfId="3" applyNumberFormat="1" applyBorder="1"/>
    <xf numFmtId="0" fontId="13" fillId="0" borderId="26" xfId="0" applyFont="1" applyBorder="1"/>
    <xf numFmtId="9" fontId="9" fillId="8" borderId="28" xfId="3" applyNumberFormat="1" applyBorder="1"/>
    <xf numFmtId="0" fontId="11" fillId="0" borderId="0" xfId="0" applyFont="1"/>
    <xf numFmtId="2" fontId="9" fillId="8" borderId="22" xfId="3" applyNumberFormat="1" applyBorder="1"/>
    <xf numFmtId="0" fontId="13" fillId="0" borderId="23" xfId="0" applyFont="1" applyBorder="1"/>
    <xf numFmtId="2" fontId="0" fillId="0" borderId="25" xfId="0" applyNumberFormat="1" applyBorder="1"/>
    <xf numFmtId="2" fontId="0" fillId="0" borderId="28" xfId="0" applyNumberFormat="1" applyBorder="1"/>
    <xf numFmtId="167" fontId="13" fillId="10" borderId="23" xfId="0" applyNumberFormat="1" applyFont="1" applyFill="1" applyBorder="1"/>
    <xf numFmtId="1" fontId="11" fillId="10" borderId="23" xfId="0" applyNumberFormat="1" applyFont="1" applyFill="1" applyBorder="1"/>
    <xf numFmtId="167" fontId="11" fillId="10" borderId="32" xfId="0" applyNumberFormat="1" applyFont="1" applyFill="1" applyBorder="1"/>
    <xf numFmtId="167" fontId="11" fillId="10" borderId="40" xfId="0" applyNumberFormat="1" applyFont="1" applyFill="1" applyBorder="1"/>
    <xf numFmtId="167" fontId="13" fillId="10" borderId="32" xfId="0" applyNumberFormat="1" applyFont="1" applyFill="1" applyBorder="1"/>
    <xf numFmtId="167" fontId="11" fillId="10" borderId="41" xfId="0" applyNumberFormat="1" applyFont="1" applyFill="1" applyBorder="1"/>
    <xf numFmtId="167" fontId="11" fillId="10" borderId="15" xfId="0" applyNumberFormat="1" applyFont="1" applyFill="1" applyBorder="1"/>
    <xf numFmtId="167" fontId="11" fillId="10" borderId="31" xfId="0" applyNumberFormat="1" applyFont="1" applyFill="1" applyBorder="1"/>
    <xf numFmtId="165" fontId="0" fillId="10" borderId="2" xfId="1" applyNumberFormat="1" applyFont="1" applyFill="1" applyBorder="1" applyAlignment="1"/>
    <xf numFmtId="164" fontId="0" fillId="10" borderId="2" xfId="0" applyNumberFormat="1" applyFill="1" applyBorder="1"/>
    <xf numFmtId="10" fontId="2" fillId="0" borderId="0" xfId="1" applyNumberFormat="1" applyFont="1" applyBorder="1"/>
    <xf numFmtId="10" fontId="0" fillId="0" borderId="2" xfId="1" applyNumberFormat="1" applyFont="1" applyBorder="1"/>
    <xf numFmtId="165" fontId="0" fillId="0" borderId="0" xfId="1" applyNumberFormat="1" applyFont="1"/>
    <xf numFmtId="0" fontId="0" fillId="7" borderId="3" xfId="0" applyFill="1" applyBorder="1" applyAlignment="1">
      <alignment horizontal="center" vertical="center" wrapText="1"/>
    </xf>
    <xf numFmtId="0" fontId="0" fillId="7" borderId="7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10" fillId="9" borderId="12" xfId="0" applyFont="1" applyFill="1" applyBorder="1" applyAlignment="1">
      <alignment horizontal="center"/>
    </xf>
    <xf numFmtId="0" fontId="10" fillId="9" borderId="13" xfId="0" applyFont="1" applyFill="1" applyBorder="1" applyAlignment="1">
      <alignment horizontal="center"/>
    </xf>
    <xf numFmtId="0" fontId="10" fillId="9" borderId="14" xfId="0" applyFont="1" applyFill="1" applyBorder="1" applyAlignment="1">
      <alignment horizontal="center"/>
    </xf>
    <xf numFmtId="0" fontId="2" fillId="0" borderId="34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35" xfId="0" applyFont="1" applyBorder="1" applyAlignment="1">
      <alignment horizontal="center"/>
    </xf>
    <xf numFmtId="167" fontId="11" fillId="10" borderId="42" xfId="0" applyNumberFormat="1" applyFont="1" applyFill="1" applyBorder="1" applyAlignment="1">
      <alignment horizontal="center"/>
    </xf>
    <xf numFmtId="167" fontId="11" fillId="10" borderId="44" xfId="0" applyNumberFormat="1" applyFont="1" applyFill="1" applyBorder="1" applyAlignment="1">
      <alignment horizontal="center"/>
    </xf>
    <xf numFmtId="167" fontId="11" fillId="10" borderId="43" xfId="0" applyNumberFormat="1" applyFont="1" applyFill="1" applyBorder="1" applyAlignment="1">
      <alignment horizontal="center"/>
    </xf>
    <xf numFmtId="167" fontId="11" fillId="10" borderId="4" xfId="0" applyNumberFormat="1" applyFont="1" applyFill="1" applyBorder="1" applyAlignment="1">
      <alignment horizontal="center"/>
    </xf>
  </cellXfs>
  <cellStyles count="4">
    <cellStyle name="Hyperlink" xfId="2" builtinId="8"/>
    <cellStyle name="Input" xfId="3" builtinId="20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9B9B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Revenue by Quarter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Model!$A$3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1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309-400E-9279-09DE67BBD1C5}"/>
              </c:ext>
            </c:extLst>
          </c:dPt>
          <c:dPt>
            <c:idx val="12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309-400E-9279-09DE67BBD1C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Model!$K$2:$W$2</c:f>
              <c:strCache>
                <c:ptCount val="13"/>
                <c:pt idx="0">
                  <c:v>Q121</c:v>
                </c:pt>
                <c:pt idx="1">
                  <c:v>Q221</c:v>
                </c:pt>
                <c:pt idx="2">
                  <c:v>Q321</c:v>
                </c:pt>
                <c:pt idx="3">
                  <c:v>Q421</c:v>
                </c:pt>
                <c:pt idx="4">
                  <c:v>Q122</c:v>
                </c:pt>
                <c:pt idx="5">
                  <c:v>Q222</c:v>
                </c:pt>
                <c:pt idx="6">
                  <c:v>Q322</c:v>
                </c:pt>
                <c:pt idx="7">
                  <c:v>Q422</c:v>
                </c:pt>
                <c:pt idx="8">
                  <c:v>Q123</c:v>
                </c:pt>
                <c:pt idx="9">
                  <c:v>Q223</c:v>
                </c:pt>
                <c:pt idx="10">
                  <c:v>Q323</c:v>
                </c:pt>
                <c:pt idx="11">
                  <c:v>Q423</c:v>
                </c:pt>
                <c:pt idx="12">
                  <c:v>Q124</c:v>
                </c:pt>
              </c:strCache>
            </c:strRef>
          </c:cat>
          <c:val>
            <c:numRef>
              <c:f>Model!$K$3:$W$3</c:f>
              <c:numCache>
                <c:formatCode>#,##0</c:formatCode>
                <c:ptCount val="13"/>
                <c:pt idx="0">
                  <c:v>341.23399999999998</c:v>
                </c:pt>
                <c:pt idx="1">
                  <c:v>375.642</c:v>
                </c:pt>
                <c:pt idx="2">
                  <c:v>392.14600000000002</c:v>
                </c:pt>
                <c:pt idx="3">
                  <c:v>432.8669999999999</c:v>
                </c:pt>
                <c:pt idx="4">
                  <c:v>446.35700000000003</c:v>
                </c:pt>
                <c:pt idx="5">
                  <c:v>473.01</c:v>
                </c:pt>
                <c:pt idx="6">
                  <c:v>477.88</c:v>
                </c:pt>
                <c:pt idx="7">
                  <c:v>508.62399999999997</c:v>
                </c:pt>
                <c:pt idx="8">
                  <c:v>525.18600000000004</c:v>
                </c:pt>
                <c:pt idx="9">
                  <c:v>533.31700000000001</c:v>
                </c:pt>
                <c:pt idx="10">
                  <c:v>558.15899999999999</c:v>
                </c:pt>
                <c:pt idx="11">
                  <c:v>608.35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35-459C-BD1A-99CA96EE3A9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Model!$A$21</c:f>
              <c:strCache>
                <c:ptCount val="1"/>
                <c:pt idx="0">
                  <c:v>Revenue y/y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Model!$K$21:$W$21</c:f>
              <c:numCache>
                <c:formatCode>0%</c:formatCode>
                <c:ptCount val="13"/>
                <c:pt idx="4">
                  <c:v>0.30806719142875583</c:v>
                </c:pt>
                <c:pt idx="5">
                  <c:v>0.25920424233711881</c:v>
                </c:pt>
                <c:pt idx="6">
                  <c:v>0.21862775598884077</c:v>
                </c:pt>
                <c:pt idx="7">
                  <c:v>0.17501218619113978</c:v>
                </c:pt>
                <c:pt idx="8">
                  <c:v>0.1766052733574246</c:v>
                </c:pt>
                <c:pt idx="9">
                  <c:v>0.12749624743662924</c:v>
                </c:pt>
                <c:pt idx="10">
                  <c:v>0.16798987193437687</c:v>
                </c:pt>
                <c:pt idx="11">
                  <c:v>0.19607018150932731</c:v>
                </c:pt>
                <c:pt idx="12">
                  <c:v>0.19068291995597741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35-459C-BD1A-99CA96EE3A9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Revenue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Model!$A$3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1CC-452E-9D1B-EA54FE60E683}"/>
              </c:ext>
            </c:extLst>
          </c:dPt>
          <c:dPt>
            <c:idx val="5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FA1-4450-8EE0-3FE2DAE0EFF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Model!$B$2:$G$2</c:f>
              <c:strCache>
                <c:ptCount val="6"/>
                <c:pt idx="0">
                  <c:v>FY19</c:v>
                </c:pt>
                <c:pt idx="1">
                  <c:v>FY20</c:v>
                </c:pt>
                <c:pt idx="2">
                  <c:v>FY21</c:v>
                </c:pt>
                <c:pt idx="3">
                  <c:v>FY22</c:v>
                </c:pt>
                <c:pt idx="4">
                  <c:v>FY23</c:v>
                </c:pt>
                <c:pt idx="5">
                  <c:v>FY24</c:v>
                </c:pt>
              </c:strCache>
            </c:strRef>
          </c:cat>
          <c:val>
            <c:numRef>
              <c:f>Model!$B$3:$G$3</c:f>
              <c:numCache>
                <c:formatCode>#,##0</c:formatCode>
                <c:ptCount val="6"/>
                <c:pt idx="0">
                  <c:v>742.55499999999995</c:v>
                </c:pt>
                <c:pt idx="1">
                  <c:v>1092.673</c:v>
                </c:pt>
                <c:pt idx="2">
                  <c:v>1541.8889999999999</c:v>
                </c:pt>
                <c:pt idx="3">
                  <c:v>1905.8710000000001</c:v>
                </c:pt>
                <c:pt idx="4">
                  <c:v>2225.0120000000002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AA-4069-ADA9-98E4DBB70A3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8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Model!$A$21</c:f>
              <c:strCache>
                <c:ptCount val="1"/>
                <c:pt idx="0">
                  <c:v>Revenue y/y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Model!$B$21:$G$21</c:f>
              <c:numCache>
                <c:formatCode>0%</c:formatCode>
                <c:ptCount val="6"/>
                <c:pt idx="1">
                  <c:v>0.47150446768252863</c:v>
                </c:pt>
                <c:pt idx="2">
                  <c:v>0.41111659206368234</c:v>
                </c:pt>
                <c:pt idx="3">
                  <c:v>0.23606238840798532</c:v>
                </c:pt>
                <c:pt idx="4">
                  <c:v>0.16745152216493153</c:v>
                </c:pt>
                <c:pt idx="5">
                  <c:v>0.21797095925774768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3AA-4069-ADA9-98E4DBB70A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8589456"/>
        <c:axId val="737536608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737536608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48589456"/>
        <c:crosses val="max"/>
        <c:crossBetween val="between"/>
      </c:valAx>
      <c:catAx>
        <c:axId val="748589456"/>
        <c:scaling>
          <c:orientation val="minMax"/>
        </c:scaling>
        <c:delete val="1"/>
        <c:axPos val="b"/>
        <c:majorTickMark val="out"/>
        <c:minorTickMark val="none"/>
        <c:tickLblPos val="nextTo"/>
        <c:crossAx val="7375366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Net Income by Quarter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Model!$A$15</c:f>
              <c:strCache>
                <c:ptCount val="1"/>
                <c:pt idx="0">
                  <c:v>Net Income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0F4-4607-8C78-36F0EE07B767}"/>
              </c:ext>
            </c:extLst>
          </c:dPt>
          <c:dPt>
            <c:idx val="12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0F4-4607-8C78-36F0EE07B7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Model!$K$2:$W$2</c:f>
              <c:strCache>
                <c:ptCount val="13"/>
                <c:pt idx="0">
                  <c:v>Q121</c:v>
                </c:pt>
                <c:pt idx="1">
                  <c:v>Q221</c:v>
                </c:pt>
                <c:pt idx="2">
                  <c:v>Q321</c:v>
                </c:pt>
                <c:pt idx="3">
                  <c:v>Q421</c:v>
                </c:pt>
                <c:pt idx="4">
                  <c:v>Q122</c:v>
                </c:pt>
                <c:pt idx="5">
                  <c:v>Q222</c:v>
                </c:pt>
                <c:pt idx="6">
                  <c:v>Q322</c:v>
                </c:pt>
                <c:pt idx="7">
                  <c:v>Q422</c:v>
                </c:pt>
                <c:pt idx="8">
                  <c:v>Q123</c:v>
                </c:pt>
                <c:pt idx="9">
                  <c:v>Q223</c:v>
                </c:pt>
                <c:pt idx="10">
                  <c:v>Q323</c:v>
                </c:pt>
                <c:pt idx="11">
                  <c:v>Q423</c:v>
                </c:pt>
                <c:pt idx="12">
                  <c:v>Q124</c:v>
                </c:pt>
              </c:strCache>
            </c:strRef>
          </c:cat>
          <c:val>
            <c:numRef>
              <c:f>Model!$K$15:$W$15</c:f>
              <c:numCache>
                <c:formatCode>#,##0</c:formatCode>
                <c:ptCount val="13"/>
                <c:pt idx="0">
                  <c:v>-123.47400000000002</c:v>
                </c:pt>
                <c:pt idx="1">
                  <c:v>-138.57999999999998</c:v>
                </c:pt>
                <c:pt idx="2">
                  <c:v>-102.13700000000004</c:v>
                </c:pt>
                <c:pt idx="3">
                  <c:v>-90.176000000000101</c:v>
                </c:pt>
                <c:pt idx="4">
                  <c:v>-97.332999999999998</c:v>
                </c:pt>
                <c:pt idx="5">
                  <c:v>-179.32900000000001</c:v>
                </c:pt>
                <c:pt idx="6">
                  <c:v>-123.87500000000001</c:v>
                </c:pt>
                <c:pt idx="7">
                  <c:v>44.820000000000057</c:v>
                </c:pt>
                <c:pt idx="8">
                  <c:v>16.802000000000067</c:v>
                </c:pt>
                <c:pt idx="9">
                  <c:v>28.126999999999978</c:v>
                </c:pt>
                <c:pt idx="10">
                  <c:v>71.504999999999981</c:v>
                </c:pt>
                <c:pt idx="11">
                  <c:v>108.49100000000001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4D-43A5-B5F2-F97D61E0D6C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Model!$A$19</c:f>
              <c:strCache>
                <c:ptCount val="1"/>
                <c:pt idx="0">
                  <c:v>Gross Margin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Model!$K$19:$W$19</c:f>
              <c:numCache>
                <c:formatCode>0%</c:formatCode>
                <c:ptCount val="13"/>
                <c:pt idx="0">
                  <c:v>0.78281472537906538</c:v>
                </c:pt>
                <c:pt idx="1">
                  <c:v>0.75794506471587308</c:v>
                </c:pt>
                <c:pt idx="2">
                  <c:v>0.77864366842961552</c:v>
                </c:pt>
                <c:pt idx="3">
                  <c:v>0.79771384744043783</c:v>
                </c:pt>
                <c:pt idx="4">
                  <c:v>0.78850337286073702</c:v>
                </c:pt>
                <c:pt idx="5">
                  <c:v>0.78388617576795416</c:v>
                </c:pt>
                <c:pt idx="6">
                  <c:v>0.77481585335230596</c:v>
                </c:pt>
                <c:pt idx="7">
                  <c:v>0.79491530089024509</c:v>
                </c:pt>
                <c:pt idx="8">
                  <c:v>0.79503452110299966</c:v>
                </c:pt>
                <c:pt idx="9">
                  <c:v>0.79955823647099189</c:v>
                </c:pt>
                <c:pt idx="10">
                  <c:v>0.80664649320354953</c:v>
                </c:pt>
                <c:pt idx="11">
                  <c:v>0.82142023506205308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4D-43A5-B5F2-F97D61E0D6C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Net Income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Model!$A$15</c:f>
              <c:strCache>
                <c:ptCount val="1"/>
                <c:pt idx="0">
                  <c:v>Net Income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Model!$B$2:$G$2</c:f>
              <c:strCache>
                <c:ptCount val="6"/>
                <c:pt idx="0">
                  <c:v>FY19</c:v>
                </c:pt>
                <c:pt idx="1">
                  <c:v>FY20</c:v>
                </c:pt>
                <c:pt idx="2">
                  <c:v>FY21</c:v>
                </c:pt>
                <c:pt idx="3">
                  <c:v>FY22</c:v>
                </c:pt>
                <c:pt idx="4">
                  <c:v>FY23</c:v>
                </c:pt>
                <c:pt idx="5">
                  <c:v>FY24</c:v>
                </c:pt>
              </c:strCache>
            </c:strRef>
          </c:cat>
          <c:val>
            <c:numRef>
              <c:f>Model!$B$15:$G$15</c:f>
              <c:numCache>
                <c:formatCode>#,##0</c:formatCode>
                <c:ptCount val="6"/>
                <c:pt idx="0">
                  <c:v>-579.64599999999996</c:v>
                </c:pt>
                <c:pt idx="1">
                  <c:v>-1166.3910000000001</c:v>
                </c:pt>
                <c:pt idx="2">
                  <c:v>-520.37900000000013</c:v>
                </c:pt>
                <c:pt idx="3">
                  <c:v>-368.48299999999983</c:v>
                </c:pt>
                <c:pt idx="4">
                  <c:v>209.8250000000001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06-4F07-B7B5-190A418C1FD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Model!$A$25</c:f>
              <c:strCache>
                <c:ptCount val="1"/>
                <c:pt idx="0">
                  <c:v>Net Income y/y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Model!$B$25:$G$25</c:f>
              <c:numCache>
                <c:formatCode>0%</c:formatCode>
                <c:ptCount val="6"/>
                <c:pt idx="1">
                  <c:v>-1.0122471301449507</c:v>
                </c:pt>
                <c:pt idx="2">
                  <c:v>0.55385543955671801</c:v>
                </c:pt>
                <c:pt idx="3">
                  <c:v>-0.29189494579912001</c:v>
                </c:pt>
                <c:pt idx="4">
                  <c:v>-1.5694292545382016</c:v>
                </c:pt>
                <c:pt idx="5">
                  <c:v>2.3773724770642186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06-4F07-B7B5-190A418C1FD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COST / REV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Model!$A$6</c:f>
              <c:strCache>
                <c:ptCount val="1"/>
                <c:pt idx="0">
                  <c:v>Sales &amp; Marketing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Model!$K$2:$U$2</c:f>
              <c:strCache>
                <c:ptCount val="11"/>
                <c:pt idx="0">
                  <c:v>Q121</c:v>
                </c:pt>
                <c:pt idx="1">
                  <c:v>Q221</c:v>
                </c:pt>
                <c:pt idx="2">
                  <c:v>Q321</c:v>
                </c:pt>
                <c:pt idx="3">
                  <c:v>Q421</c:v>
                </c:pt>
                <c:pt idx="4">
                  <c:v>Q122</c:v>
                </c:pt>
                <c:pt idx="5">
                  <c:v>Q222</c:v>
                </c:pt>
                <c:pt idx="6">
                  <c:v>Q322</c:v>
                </c:pt>
                <c:pt idx="7">
                  <c:v>Q422</c:v>
                </c:pt>
                <c:pt idx="8">
                  <c:v>Q123</c:v>
                </c:pt>
                <c:pt idx="9">
                  <c:v>Q223</c:v>
                </c:pt>
                <c:pt idx="10">
                  <c:v>Q323</c:v>
                </c:pt>
              </c:strCache>
            </c:strRef>
          </c:cat>
          <c:val>
            <c:numRef>
              <c:f>Model!$K$23:$U$23</c:f>
              <c:numCache>
                <c:formatCode>0%</c:formatCode>
                <c:ptCount val="11"/>
                <c:pt idx="0">
                  <c:v>0.39883774770392172</c:v>
                </c:pt>
                <c:pt idx="1">
                  <c:v>0.4322706193663115</c:v>
                </c:pt>
                <c:pt idx="2">
                  <c:v>0.39129048874653827</c:v>
                </c:pt>
                <c:pt idx="3">
                  <c:v>0.37561883904293919</c:v>
                </c:pt>
                <c:pt idx="4">
                  <c:v>0.35954404210082963</c:v>
                </c:pt>
                <c:pt idx="5">
                  <c:v>0.35702205027377859</c:v>
                </c:pt>
                <c:pt idx="6">
                  <c:v>0.38276973298736083</c:v>
                </c:pt>
                <c:pt idx="7">
                  <c:v>0.37401498946176343</c:v>
                </c:pt>
                <c:pt idx="8">
                  <c:v>0.35624140780599628</c:v>
                </c:pt>
                <c:pt idx="9">
                  <c:v>0.34531620030863447</c:v>
                </c:pt>
                <c:pt idx="10">
                  <c:v>0.31599060482765662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FE-4BEB-944F-3D772460C6A2}"/>
            </c:ext>
          </c:extLst>
        </c:ser>
        <c:ser>
          <c:idx val="0"/>
          <c:order val="1"/>
          <c:tx>
            <c:strRef>
              <c:f>Model!$A$7</c:f>
              <c:strCache>
                <c:ptCount val="1"/>
                <c:pt idx="0">
                  <c:v>R&amp;D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Model!$K$22:$V$22</c:f>
              <c:numCache>
                <c:formatCode>0%</c:formatCode>
                <c:ptCount val="12"/>
                <c:pt idx="0">
                  <c:v>0.28857323713346267</c:v>
                </c:pt>
                <c:pt idx="1">
                  <c:v>0.29422695012804745</c:v>
                </c:pt>
                <c:pt idx="2">
                  <c:v>0.24051246219520281</c:v>
                </c:pt>
                <c:pt idx="3">
                  <c:v>0.19446157826768976</c:v>
                </c:pt>
                <c:pt idx="4">
                  <c:v>0.19849806320949373</c:v>
                </c:pt>
                <c:pt idx="5">
                  <c:v>0.18640409293672439</c:v>
                </c:pt>
                <c:pt idx="6">
                  <c:v>0.21106344689043274</c:v>
                </c:pt>
                <c:pt idx="7">
                  <c:v>0.16130579760294439</c:v>
                </c:pt>
                <c:pt idx="8">
                  <c:v>0.17155826697589041</c:v>
                </c:pt>
                <c:pt idx="9">
                  <c:v>0.18663009054652299</c:v>
                </c:pt>
                <c:pt idx="10">
                  <c:v>0.18938689513203227</c:v>
                </c:pt>
                <c:pt idx="11">
                  <c:v>0.17963836607216246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F3-4811-8BF8-34DBAE979F8A}"/>
            </c:ext>
          </c:extLst>
        </c:ser>
        <c:ser>
          <c:idx val="2"/>
          <c:order val="2"/>
          <c:tx>
            <c:strRef>
              <c:f>Model!$A$8</c:f>
              <c:strCache>
                <c:ptCount val="1"/>
                <c:pt idx="0">
                  <c:v>G&amp;A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Model!$K$24:$V$24</c:f>
              <c:numCache>
                <c:formatCode>0%</c:formatCode>
                <c:ptCount val="12"/>
                <c:pt idx="0">
                  <c:v>0.42952636607137623</c:v>
                </c:pt>
                <c:pt idx="1">
                  <c:v>0.42050942120423174</c:v>
                </c:pt>
                <c:pt idx="2">
                  <c:v>0.3812967619203052</c:v>
                </c:pt>
                <c:pt idx="3">
                  <c:v>0.36380227644981039</c:v>
                </c:pt>
                <c:pt idx="4">
                  <c:v>0.31881879302889837</c:v>
                </c:pt>
                <c:pt idx="5">
                  <c:v>0.32871398067694135</c:v>
                </c:pt>
                <c:pt idx="6">
                  <c:v>0.31112203900560809</c:v>
                </c:pt>
                <c:pt idx="7">
                  <c:v>0.29464201453332917</c:v>
                </c:pt>
                <c:pt idx="8">
                  <c:v>0.25939952702471125</c:v>
                </c:pt>
                <c:pt idx="9">
                  <c:v>0.24872261713014959</c:v>
                </c:pt>
                <c:pt idx="10">
                  <c:v>0.2296352831361673</c:v>
                </c:pt>
                <c:pt idx="11">
                  <c:v>0.20920687104462893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F3-4811-8BF8-34DBAE979F8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12211264"/>
        <c:axId val="675465584"/>
      </c:lineChart>
      <c:catAx>
        <c:axId val="61221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75465584"/>
        <c:crosses val="autoZero"/>
        <c:auto val="1"/>
        <c:lblAlgn val="ctr"/>
        <c:lblOffset val="100"/>
        <c:noMultiLvlLbl val="0"/>
      </c:catAx>
      <c:valAx>
        <c:axId val="67546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221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Stock Price LNW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Catalysts!$B$1</c:f>
              <c:strCache>
                <c:ptCount val="1"/>
                <c:pt idx="0">
                  <c:v>Close</c:v>
                </c:pt>
              </c:strCache>
            </c:strRef>
          </c:tx>
          <c:spPr>
            <a:ln w="28575" cap="rnd">
              <a:solidFill>
                <a:schemeClr val="tx1">
                  <a:lumMod val="85000"/>
                  <a:lumOff val="1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Catalysts!$A$2:$A$10000</c:f>
              <c:numCache>
                <c:formatCode>m/d/yyyy</c:formatCode>
                <c:ptCount val="9999"/>
                <c:pt idx="0">
                  <c:v>44102</c:v>
                </c:pt>
                <c:pt idx="1">
                  <c:v>44109</c:v>
                </c:pt>
                <c:pt idx="2">
                  <c:v>44116</c:v>
                </c:pt>
                <c:pt idx="3">
                  <c:v>44123</c:v>
                </c:pt>
                <c:pt idx="4">
                  <c:v>44130</c:v>
                </c:pt>
                <c:pt idx="5">
                  <c:v>44137</c:v>
                </c:pt>
                <c:pt idx="6">
                  <c:v>44144</c:v>
                </c:pt>
                <c:pt idx="7">
                  <c:v>44151</c:v>
                </c:pt>
                <c:pt idx="8">
                  <c:v>44158</c:v>
                </c:pt>
                <c:pt idx="9">
                  <c:v>44165</c:v>
                </c:pt>
                <c:pt idx="10">
                  <c:v>44172</c:v>
                </c:pt>
                <c:pt idx="11">
                  <c:v>44179</c:v>
                </c:pt>
                <c:pt idx="12">
                  <c:v>44186</c:v>
                </c:pt>
                <c:pt idx="13">
                  <c:v>44193</c:v>
                </c:pt>
                <c:pt idx="14">
                  <c:v>44200</c:v>
                </c:pt>
                <c:pt idx="15">
                  <c:v>44207</c:v>
                </c:pt>
                <c:pt idx="16">
                  <c:v>44214</c:v>
                </c:pt>
                <c:pt idx="17">
                  <c:v>44221</c:v>
                </c:pt>
                <c:pt idx="18">
                  <c:v>44228</c:v>
                </c:pt>
                <c:pt idx="19">
                  <c:v>44235</c:v>
                </c:pt>
                <c:pt idx="20">
                  <c:v>44242</c:v>
                </c:pt>
                <c:pt idx="21">
                  <c:v>44249</c:v>
                </c:pt>
                <c:pt idx="22">
                  <c:v>44256</c:v>
                </c:pt>
                <c:pt idx="23">
                  <c:v>44263</c:v>
                </c:pt>
                <c:pt idx="24">
                  <c:v>44270</c:v>
                </c:pt>
                <c:pt idx="25">
                  <c:v>44277</c:v>
                </c:pt>
                <c:pt idx="26">
                  <c:v>44284</c:v>
                </c:pt>
                <c:pt idx="27">
                  <c:v>44291</c:v>
                </c:pt>
                <c:pt idx="28">
                  <c:v>44298</c:v>
                </c:pt>
                <c:pt idx="29">
                  <c:v>44305</c:v>
                </c:pt>
                <c:pt idx="30">
                  <c:v>44312</c:v>
                </c:pt>
                <c:pt idx="31">
                  <c:v>44319</c:v>
                </c:pt>
                <c:pt idx="32">
                  <c:v>44326</c:v>
                </c:pt>
                <c:pt idx="33">
                  <c:v>44333</c:v>
                </c:pt>
                <c:pt idx="34">
                  <c:v>44340</c:v>
                </c:pt>
                <c:pt idx="35">
                  <c:v>44347</c:v>
                </c:pt>
                <c:pt idx="36">
                  <c:v>44354</c:v>
                </c:pt>
                <c:pt idx="37">
                  <c:v>44361</c:v>
                </c:pt>
                <c:pt idx="38">
                  <c:v>44368</c:v>
                </c:pt>
                <c:pt idx="39">
                  <c:v>44375</c:v>
                </c:pt>
                <c:pt idx="40">
                  <c:v>44382</c:v>
                </c:pt>
                <c:pt idx="41">
                  <c:v>44389</c:v>
                </c:pt>
                <c:pt idx="42">
                  <c:v>44396</c:v>
                </c:pt>
                <c:pt idx="43">
                  <c:v>44403</c:v>
                </c:pt>
                <c:pt idx="44">
                  <c:v>44410</c:v>
                </c:pt>
                <c:pt idx="45">
                  <c:v>44417</c:v>
                </c:pt>
                <c:pt idx="46">
                  <c:v>44424</c:v>
                </c:pt>
                <c:pt idx="47">
                  <c:v>44431</c:v>
                </c:pt>
                <c:pt idx="48">
                  <c:v>44438</c:v>
                </c:pt>
                <c:pt idx="49">
                  <c:v>44445</c:v>
                </c:pt>
                <c:pt idx="50">
                  <c:v>44452</c:v>
                </c:pt>
                <c:pt idx="51">
                  <c:v>44459</c:v>
                </c:pt>
                <c:pt idx="52">
                  <c:v>44466</c:v>
                </c:pt>
                <c:pt idx="53">
                  <c:v>44473</c:v>
                </c:pt>
                <c:pt idx="54">
                  <c:v>44480</c:v>
                </c:pt>
                <c:pt idx="55">
                  <c:v>44487</c:v>
                </c:pt>
                <c:pt idx="56">
                  <c:v>44494</c:v>
                </c:pt>
                <c:pt idx="57">
                  <c:v>44501</c:v>
                </c:pt>
                <c:pt idx="58">
                  <c:v>44508</c:v>
                </c:pt>
                <c:pt idx="59">
                  <c:v>44515</c:v>
                </c:pt>
                <c:pt idx="60">
                  <c:v>44522</c:v>
                </c:pt>
                <c:pt idx="61">
                  <c:v>44529</c:v>
                </c:pt>
                <c:pt idx="62">
                  <c:v>44536</c:v>
                </c:pt>
                <c:pt idx="63">
                  <c:v>44543</c:v>
                </c:pt>
                <c:pt idx="64">
                  <c:v>44550</c:v>
                </c:pt>
                <c:pt idx="65">
                  <c:v>44557</c:v>
                </c:pt>
                <c:pt idx="66">
                  <c:v>44564</c:v>
                </c:pt>
                <c:pt idx="67">
                  <c:v>44571</c:v>
                </c:pt>
                <c:pt idx="68">
                  <c:v>44578</c:v>
                </c:pt>
                <c:pt idx="69">
                  <c:v>44585</c:v>
                </c:pt>
                <c:pt idx="70">
                  <c:v>44592</c:v>
                </c:pt>
                <c:pt idx="71">
                  <c:v>44599</c:v>
                </c:pt>
                <c:pt idx="72">
                  <c:v>44606</c:v>
                </c:pt>
                <c:pt idx="73">
                  <c:v>44613</c:v>
                </c:pt>
                <c:pt idx="74">
                  <c:v>44620</c:v>
                </c:pt>
                <c:pt idx="75">
                  <c:v>44627</c:v>
                </c:pt>
                <c:pt idx="76">
                  <c:v>44634</c:v>
                </c:pt>
                <c:pt idx="77">
                  <c:v>44641</c:v>
                </c:pt>
                <c:pt idx="78">
                  <c:v>44648</c:v>
                </c:pt>
                <c:pt idx="79">
                  <c:v>44655</c:v>
                </c:pt>
                <c:pt idx="80">
                  <c:v>44662</c:v>
                </c:pt>
                <c:pt idx="81">
                  <c:v>44669</c:v>
                </c:pt>
                <c:pt idx="82">
                  <c:v>44676</c:v>
                </c:pt>
                <c:pt idx="83">
                  <c:v>44683</c:v>
                </c:pt>
                <c:pt idx="84">
                  <c:v>44690</c:v>
                </c:pt>
                <c:pt idx="85">
                  <c:v>44697</c:v>
                </c:pt>
                <c:pt idx="86">
                  <c:v>44704</c:v>
                </c:pt>
                <c:pt idx="87">
                  <c:v>44711</c:v>
                </c:pt>
                <c:pt idx="88">
                  <c:v>44718</c:v>
                </c:pt>
                <c:pt idx="89">
                  <c:v>44725</c:v>
                </c:pt>
                <c:pt idx="90">
                  <c:v>44732</c:v>
                </c:pt>
                <c:pt idx="91">
                  <c:v>44739</c:v>
                </c:pt>
                <c:pt idx="92">
                  <c:v>44746</c:v>
                </c:pt>
                <c:pt idx="93">
                  <c:v>44753</c:v>
                </c:pt>
                <c:pt idx="94">
                  <c:v>44760</c:v>
                </c:pt>
                <c:pt idx="95">
                  <c:v>44767</c:v>
                </c:pt>
                <c:pt idx="96">
                  <c:v>44774</c:v>
                </c:pt>
                <c:pt idx="97">
                  <c:v>44781</c:v>
                </c:pt>
                <c:pt idx="98">
                  <c:v>44788</c:v>
                </c:pt>
                <c:pt idx="99">
                  <c:v>44795</c:v>
                </c:pt>
                <c:pt idx="100">
                  <c:v>44802</c:v>
                </c:pt>
                <c:pt idx="101">
                  <c:v>44809</c:v>
                </c:pt>
                <c:pt idx="102">
                  <c:v>44816</c:v>
                </c:pt>
                <c:pt idx="103">
                  <c:v>44823</c:v>
                </c:pt>
                <c:pt idx="104">
                  <c:v>44830</c:v>
                </c:pt>
                <c:pt idx="105">
                  <c:v>44837</c:v>
                </c:pt>
                <c:pt idx="106">
                  <c:v>44844</c:v>
                </c:pt>
                <c:pt idx="107">
                  <c:v>44851</c:v>
                </c:pt>
                <c:pt idx="108">
                  <c:v>44858</c:v>
                </c:pt>
                <c:pt idx="109">
                  <c:v>44865</c:v>
                </c:pt>
                <c:pt idx="110">
                  <c:v>44872</c:v>
                </c:pt>
                <c:pt idx="111">
                  <c:v>44879</c:v>
                </c:pt>
                <c:pt idx="112">
                  <c:v>44886</c:v>
                </c:pt>
                <c:pt idx="113">
                  <c:v>44893</c:v>
                </c:pt>
                <c:pt idx="114">
                  <c:v>44900</c:v>
                </c:pt>
                <c:pt idx="115">
                  <c:v>44907</c:v>
                </c:pt>
                <c:pt idx="116">
                  <c:v>44914</c:v>
                </c:pt>
                <c:pt idx="117">
                  <c:v>44921</c:v>
                </c:pt>
                <c:pt idx="118">
                  <c:v>44928</c:v>
                </c:pt>
                <c:pt idx="119">
                  <c:v>44935</c:v>
                </c:pt>
                <c:pt idx="120">
                  <c:v>44942</c:v>
                </c:pt>
                <c:pt idx="121">
                  <c:v>44949</c:v>
                </c:pt>
                <c:pt idx="122">
                  <c:v>44956</c:v>
                </c:pt>
                <c:pt idx="123">
                  <c:v>44963</c:v>
                </c:pt>
                <c:pt idx="124">
                  <c:v>44970</c:v>
                </c:pt>
                <c:pt idx="125">
                  <c:v>44977</c:v>
                </c:pt>
                <c:pt idx="126">
                  <c:v>44984</c:v>
                </c:pt>
                <c:pt idx="127">
                  <c:v>44991</c:v>
                </c:pt>
                <c:pt idx="128">
                  <c:v>44998</c:v>
                </c:pt>
                <c:pt idx="129">
                  <c:v>45005</c:v>
                </c:pt>
                <c:pt idx="130">
                  <c:v>45012</c:v>
                </c:pt>
                <c:pt idx="131">
                  <c:v>45019</c:v>
                </c:pt>
                <c:pt idx="132">
                  <c:v>45026</c:v>
                </c:pt>
                <c:pt idx="133">
                  <c:v>45033</c:v>
                </c:pt>
                <c:pt idx="134">
                  <c:v>45040</c:v>
                </c:pt>
                <c:pt idx="135">
                  <c:v>45047</c:v>
                </c:pt>
                <c:pt idx="136">
                  <c:v>45054</c:v>
                </c:pt>
                <c:pt idx="137">
                  <c:v>45061</c:v>
                </c:pt>
                <c:pt idx="138">
                  <c:v>45068</c:v>
                </c:pt>
                <c:pt idx="139">
                  <c:v>45075</c:v>
                </c:pt>
                <c:pt idx="140">
                  <c:v>45082</c:v>
                </c:pt>
                <c:pt idx="141">
                  <c:v>45089</c:v>
                </c:pt>
                <c:pt idx="142">
                  <c:v>45096</c:v>
                </c:pt>
                <c:pt idx="143">
                  <c:v>45103</c:v>
                </c:pt>
                <c:pt idx="144">
                  <c:v>45110</c:v>
                </c:pt>
                <c:pt idx="145">
                  <c:v>45117</c:v>
                </c:pt>
                <c:pt idx="146">
                  <c:v>45124</c:v>
                </c:pt>
                <c:pt idx="147">
                  <c:v>45131</c:v>
                </c:pt>
                <c:pt idx="148">
                  <c:v>45138</c:v>
                </c:pt>
                <c:pt idx="149">
                  <c:v>45145</c:v>
                </c:pt>
                <c:pt idx="150">
                  <c:v>45152</c:v>
                </c:pt>
                <c:pt idx="151">
                  <c:v>45159</c:v>
                </c:pt>
                <c:pt idx="152">
                  <c:v>45166</c:v>
                </c:pt>
                <c:pt idx="153">
                  <c:v>45173</c:v>
                </c:pt>
                <c:pt idx="154">
                  <c:v>45180</c:v>
                </c:pt>
                <c:pt idx="155">
                  <c:v>45187</c:v>
                </c:pt>
                <c:pt idx="156">
                  <c:v>45194</c:v>
                </c:pt>
                <c:pt idx="157">
                  <c:v>45201</c:v>
                </c:pt>
                <c:pt idx="158">
                  <c:v>45208</c:v>
                </c:pt>
                <c:pt idx="159">
                  <c:v>45215</c:v>
                </c:pt>
                <c:pt idx="160">
                  <c:v>45222</c:v>
                </c:pt>
                <c:pt idx="161">
                  <c:v>45229</c:v>
                </c:pt>
                <c:pt idx="162">
                  <c:v>45236</c:v>
                </c:pt>
                <c:pt idx="163">
                  <c:v>45243</c:v>
                </c:pt>
                <c:pt idx="164">
                  <c:v>45250</c:v>
                </c:pt>
                <c:pt idx="165">
                  <c:v>45257</c:v>
                </c:pt>
                <c:pt idx="166">
                  <c:v>45264</c:v>
                </c:pt>
                <c:pt idx="167">
                  <c:v>45271</c:v>
                </c:pt>
                <c:pt idx="168">
                  <c:v>45278</c:v>
                </c:pt>
                <c:pt idx="169">
                  <c:v>45285</c:v>
                </c:pt>
                <c:pt idx="170">
                  <c:v>45292</c:v>
                </c:pt>
                <c:pt idx="171">
                  <c:v>45299</c:v>
                </c:pt>
                <c:pt idx="172">
                  <c:v>45306</c:v>
                </c:pt>
                <c:pt idx="173">
                  <c:v>45313</c:v>
                </c:pt>
                <c:pt idx="174">
                  <c:v>45320</c:v>
                </c:pt>
                <c:pt idx="175">
                  <c:v>45327</c:v>
                </c:pt>
                <c:pt idx="176">
                  <c:v>45334</c:v>
                </c:pt>
                <c:pt idx="177">
                  <c:v>45341</c:v>
                </c:pt>
                <c:pt idx="178">
                  <c:v>45348</c:v>
                </c:pt>
                <c:pt idx="179">
                  <c:v>45355</c:v>
                </c:pt>
                <c:pt idx="180">
                  <c:v>45362</c:v>
                </c:pt>
                <c:pt idx="181">
                  <c:v>45369</c:v>
                </c:pt>
                <c:pt idx="182">
                  <c:v>45376</c:v>
                </c:pt>
              </c:numCache>
            </c:numRef>
          </c:cat>
          <c:val>
            <c:numRef>
              <c:f>Catalysts!$B$2:$B$10000</c:f>
              <c:numCache>
                <c:formatCode>0.00</c:formatCode>
                <c:ptCount val="9999"/>
                <c:pt idx="0">
                  <c:v>9.1999999999999993</c:v>
                </c:pt>
                <c:pt idx="1">
                  <c:v>9.9499999999999993</c:v>
                </c:pt>
                <c:pt idx="2">
                  <c:v>9.7100000000000009</c:v>
                </c:pt>
                <c:pt idx="3">
                  <c:v>9.49</c:v>
                </c:pt>
                <c:pt idx="4">
                  <c:v>10.130000000000001</c:v>
                </c:pt>
                <c:pt idx="5">
                  <c:v>13.83</c:v>
                </c:pt>
                <c:pt idx="6">
                  <c:v>15.8</c:v>
                </c:pt>
                <c:pt idx="7">
                  <c:v>18.149999999999999</c:v>
                </c:pt>
                <c:pt idx="8">
                  <c:v>27.66</c:v>
                </c:pt>
                <c:pt idx="9">
                  <c:v>23.85</c:v>
                </c:pt>
                <c:pt idx="10">
                  <c:v>27.200001</c:v>
                </c:pt>
                <c:pt idx="11">
                  <c:v>25.969999000000001</c:v>
                </c:pt>
                <c:pt idx="12">
                  <c:v>27.75</c:v>
                </c:pt>
                <c:pt idx="13">
                  <c:v>23.549999</c:v>
                </c:pt>
                <c:pt idx="14">
                  <c:v>25.200001</c:v>
                </c:pt>
                <c:pt idx="15">
                  <c:v>25.639999</c:v>
                </c:pt>
                <c:pt idx="16">
                  <c:v>32.580002</c:v>
                </c:pt>
                <c:pt idx="17">
                  <c:v>35.18</c:v>
                </c:pt>
                <c:pt idx="18">
                  <c:v>34.049999</c:v>
                </c:pt>
                <c:pt idx="19">
                  <c:v>31.91</c:v>
                </c:pt>
                <c:pt idx="20">
                  <c:v>29</c:v>
                </c:pt>
                <c:pt idx="21">
                  <c:v>23.9</c:v>
                </c:pt>
                <c:pt idx="22">
                  <c:v>23.950001</c:v>
                </c:pt>
                <c:pt idx="23">
                  <c:v>26.92</c:v>
                </c:pt>
                <c:pt idx="24">
                  <c:v>24.32</c:v>
                </c:pt>
                <c:pt idx="25">
                  <c:v>22.58</c:v>
                </c:pt>
                <c:pt idx="26">
                  <c:v>23.07</c:v>
                </c:pt>
                <c:pt idx="27">
                  <c:v>24.040001</c:v>
                </c:pt>
                <c:pt idx="28">
                  <c:v>22.469999000000001</c:v>
                </c:pt>
                <c:pt idx="29">
                  <c:v>23.41</c:v>
                </c:pt>
                <c:pt idx="30">
                  <c:v>23.040001</c:v>
                </c:pt>
                <c:pt idx="31">
                  <c:v>19.75</c:v>
                </c:pt>
                <c:pt idx="32">
                  <c:v>20.079999999999998</c:v>
                </c:pt>
                <c:pt idx="33">
                  <c:v>20.75</c:v>
                </c:pt>
                <c:pt idx="34">
                  <c:v>22.950001</c:v>
                </c:pt>
                <c:pt idx="35">
                  <c:v>24.030000999999999</c:v>
                </c:pt>
                <c:pt idx="36">
                  <c:v>24.67</c:v>
                </c:pt>
                <c:pt idx="37">
                  <c:v>25.370000999999998</c:v>
                </c:pt>
                <c:pt idx="38">
                  <c:v>26.780000999999999</c:v>
                </c:pt>
                <c:pt idx="39">
                  <c:v>24.440000999999999</c:v>
                </c:pt>
                <c:pt idx="40">
                  <c:v>23.290001</c:v>
                </c:pt>
                <c:pt idx="41">
                  <c:v>21.370000999999998</c:v>
                </c:pt>
                <c:pt idx="42">
                  <c:v>21.809999000000001</c:v>
                </c:pt>
                <c:pt idx="43">
                  <c:v>21.709999</c:v>
                </c:pt>
                <c:pt idx="44">
                  <c:v>21.82</c:v>
                </c:pt>
                <c:pt idx="45">
                  <c:v>24.9</c:v>
                </c:pt>
                <c:pt idx="46">
                  <c:v>24.01</c:v>
                </c:pt>
                <c:pt idx="47">
                  <c:v>25.709999</c:v>
                </c:pt>
                <c:pt idx="48">
                  <c:v>26.639999</c:v>
                </c:pt>
                <c:pt idx="49">
                  <c:v>26.280000999999999</c:v>
                </c:pt>
                <c:pt idx="50">
                  <c:v>28.709999</c:v>
                </c:pt>
                <c:pt idx="51">
                  <c:v>28.559999000000001</c:v>
                </c:pt>
                <c:pt idx="52">
                  <c:v>24.33</c:v>
                </c:pt>
                <c:pt idx="53">
                  <c:v>23.5</c:v>
                </c:pt>
                <c:pt idx="54">
                  <c:v>24</c:v>
                </c:pt>
                <c:pt idx="55">
                  <c:v>24.43</c:v>
                </c:pt>
                <c:pt idx="56">
                  <c:v>25.879999000000002</c:v>
                </c:pt>
                <c:pt idx="57">
                  <c:v>26</c:v>
                </c:pt>
                <c:pt idx="58">
                  <c:v>22.83</c:v>
                </c:pt>
                <c:pt idx="59">
                  <c:v>21.41</c:v>
                </c:pt>
                <c:pt idx="60">
                  <c:v>21.030000999999999</c:v>
                </c:pt>
                <c:pt idx="61">
                  <c:v>18.98</c:v>
                </c:pt>
                <c:pt idx="62">
                  <c:v>18.940000999999999</c:v>
                </c:pt>
                <c:pt idx="63">
                  <c:v>19.059999000000001</c:v>
                </c:pt>
                <c:pt idx="64">
                  <c:v>18.93</c:v>
                </c:pt>
                <c:pt idx="65">
                  <c:v>18.209999</c:v>
                </c:pt>
                <c:pt idx="66">
                  <c:v>16.559999000000001</c:v>
                </c:pt>
                <c:pt idx="67">
                  <c:v>16.010000000000002</c:v>
                </c:pt>
                <c:pt idx="68">
                  <c:v>13.53</c:v>
                </c:pt>
                <c:pt idx="69">
                  <c:v>12.71</c:v>
                </c:pt>
                <c:pt idx="70">
                  <c:v>12.94</c:v>
                </c:pt>
                <c:pt idx="71">
                  <c:v>13.13</c:v>
                </c:pt>
                <c:pt idx="72">
                  <c:v>11.02</c:v>
                </c:pt>
                <c:pt idx="73">
                  <c:v>11.47</c:v>
                </c:pt>
                <c:pt idx="74">
                  <c:v>10.96</c:v>
                </c:pt>
                <c:pt idx="75">
                  <c:v>11.39</c:v>
                </c:pt>
                <c:pt idx="76">
                  <c:v>12.82</c:v>
                </c:pt>
                <c:pt idx="77">
                  <c:v>12.97</c:v>
                </c:pt>
                <c:pt idx="78">
                  <c:v>13.83</c:v>
                </c:pt>
                <c:pt idx="79">
                  <c:v>12.7</c:v>
                </c:pt>
                <c:pt idx="80">
                  <c:v>12.42</c:v>
                </c:pt>
                <c:pt idx="81">
                  <c:v>11.96</c:v>
                </c:pt>
                <c:pt idx="82">
                  <c:v>10.4</c:v>
                </c:pt>
                <c:pt idx="83">
                  <c:v>9.48</c:v>
                </c:pt>
                <c:pt idx="84">
                  <c:v>8.34</c:v>
                </c:pt>
                <c:pt idx="85">
                  <c:v>8.08</c:v>
                </c:pt>
                <c:pt idx="86">
                  <c:v>8.85</c:v>
                </c:pt>
                <c:pt idx="87">
                  <c:v>8.94</c:v>
                </c:pt>
                <c:pt idx="88">
                  <c:v>8.26</c:v>
                </c:pt>
                <c:pt idx="89">
                  <c:v>8.24</c:v>
                </c:pt>
                <c:pt idx="90">
                  <c:v>10.19</c:v>
                </c:pt>
                <c:pt idx="91">
                  <c:v>9.27</c:v>
                </c:pt>
                <c:pt idx="92">
                  <c:v>10.17</c:v>
                </c:pt>
                <c:pt idx="93">
                  <c:v>9.0399999999999991</c:v>
                </c:pt>
                <c:pt idx="94">
                  <c:v>9.84</c:v>
                </c:pt>
                <c:pt idx="95">
                  <c:v>10.35</c:v>
                </c:pt>
                <c:pt idx="96">
                  <c:v>11.45</c:v>
                </c:pt>
                <c:pt idx="97">
                  <c:v>9.91</c:v>
                </c:pt>
                <c:pt idx="98">
                  <c:v>8.51</c:v>
                </c:pt>
                <c:pt idx="99">
                  <c:v>7.94</c:v>
                </c:pt>
                <c:pt idx="100">
                  <c:v>7.4</c:v>
                </c:pt>
                <c:pt idx="101">
                  <c:v>7.79</c:v>
                </c:pt>
                <c:pt idx="102">
                  <c:v>7.78</c:v>
                </c:pt>
                <c:pt idx="103">
                  <c:v>7.4</c:v>
                </c:pt>
                <c:pt idx="104">
                  <c:v>8.1300000000000008</c:v>
                </c:pt>
                <c:pt idx="105">
                  <c:v>8.15</c:v>
                </c:pt>
                <c:pt idx="106">
                  <c:v>7.53</c:v>
                </c:pt>
                <c:pt idx="107">
                  <c:v>8.2899999999999991</c:v>
                </c:pt>
                <c:pt idx="108">
                  <c:v>8.64</c:v>
                </c:pt>
                <c:pt idx="109">
                  <c:v>7.93</c:v>
                </c:pt>
                <c:pt idx="110">
                  <c:v>8.41</c:v>
                </c:pt>
                <c:pt idx="111">
                  <c:v>7.39</c:v>
                </c:pt>
                <c:pt idx="112">
                  <c:v>7.28</c:v>
                </c:pt>
                <c:pt idx="113">
                  <c:v>7.66</c:v>
                </c:pt>
                <c:pt idx="114">
                  <c:v>7.11</c:v>
                </c:pt>
                <c:pt idx="115">
                  <c:v>6.9</c:v>
                </c:pt>
                <c:pt idx="116">
                  <c:v>6.29</c:v>
                </c:pt>
                <c:pt idx="117">
                  <c:v>6.42</c:v>
                </c:pt>
                <c:pt idx="118">
                  <c:v>6.4</c:v>
                </c:pt>
                <c:pt idx="119">
                  <c:v>6.96</c:v>
                </c:pt>
                <c:pt idx="120">
                  <c:v>7.02</c:v>
                </c:pt>
                <c:pt idx="121">
                  <c:v>7.55</c:v>
                </c:pt>
                <c:pt idx="122">
                  <c:v>8.41</c:v>
                </c:pt>
                <c:pt idx="123">
                  <c:v>7.51</c:v>
                </c:pt>
                <c:pt idx="124">
                  <c:v>9.1999999999999993</c:v>
                </c:pt>
                <c:pt idx="125">
                  <c:v>8.09</c:v>
                </c:pt>
                <c:pt idx="126">
                  <c:v>8.33</c:v>
                </c:pt>
                <c:pt idx="127">
                  <c:v>7.35</c:v>
                </c:pt>
                <c:pt idx="128">
                  <c:v>7.88</c:v>
                </c:pt>
                <c:pt idx="129">
                  <c:v>8.1999999999999993</c:v>
                </c:pt>
                <c:pt idx="130">
                  <c:v>8.4499999999999993</c:v>
                </c:pt>
                <c:pt idx="131">
                  <c:v>8.09</c:v>
                </c:pt>
                <c:pt idx="132">
                  <c:v>8.81</c:v>
                </c:pt>
                <c:pt idx="133">
                  <c:v>8.18</c:v>
                </c:pt>
                <c:pt idx="134">
                  <c:v>7.75</c:v>
                </c:pt>
                <c:pt idx="135">
                  <c:v>7.41</c:v>
                </c:pt>
                <c:pt idx="136">
                  <c:v>9.5</c:v>
                </c:pt>
                <c:pt idx="137">
                  <c:v>11.71</c:v>
                </c:pt>
                <c:pt idx="138">
                  <c:v>13.65</c:v>
                </c:pt>
                <c:pt idx="139">
                  <c:v>14.52</c:v>
                </c:pt>
                <c:pt idx="140">
                  <c:v>15.02</c:v>
                </c:pt>
                <c:pt idx="141">
                  <c:v>16.299999</c:v>
                </c:pt>
                <c:pt idx="142">
                  <c:v>14.03</c:v>
                </c:pt>
                <c:pt idx="143">
                  <c:v>15.33</c:v>
                </c:pt>
                <c:pt idx="144">
                  <c:v>15.34</c:v>
                </c:pt>
                <c:pt idx="145">
                  <c:v>16.399999999999999</c:v>
                </c:pt>
                <c:pt idx="146">
                  <c:v>16.43</c:v>
                </c:pt>
                <c:pt idx="147">
                  <c:v>17.809999000000001</c:v>
                </c:pt>
                <c:pt idx="148">
                  <c:v>18.200001</c:v>
                </c:pt>
                <c:pt idx="149">
                  <c:v>15.41</c:v>
                </c:pt>
                <c:pt idx="150">
                  <c:v>14.4</c:v>
                </c:pt>
                <c:pt idx="151">
                  <c:v>14.53</c:v>
                </c:pt>
                <c:pt idx="152">
                  <c:v>15.18</c:v>
                </c:pt>
                <c:pt idx="153">
                  <c:v>15.13</c:v>
                </c:pt>
                <c:pt idx="154">
                  <c:v>15.33</c:v>
                </c:pt>
                <c:pt idx="155">
                  <c:v>14.13</c:v>
                </c:pt>
                <c:pt idx="156">
                  <c:v>16</c:v>
                </c:pt>
                <c:pt idx="157">
                  <c:v>16.610001</c:v>
                </c:pt>
                <c:pt idx="158">
                  <c:v>17.360001</c:v>
                </c:pt>
                <c:pt idx="159">
                  <c:v>16.110001</c:v>
                </c:pt>
                <c:pt idx="160">
                  <c:v>15.07</c:v>
                </c:pt>
                <c:pt idx="161">
                  <c:v>18.889999</c:v>
                </c:pt>
                <c:pt idx="162">
                  <c:v>19.670000000000002</c:v>
                </c:pt>
                <c:pt idx="163">
                  <c:v>20.49</c:v>
                </c:pt>
                <c:pt idx="164">
                  <c:v>19.200001</c:v>
                </c:pt>
                <c:pt idx="165">
                  <c:v>20.27</c:v>
                </c:pt>
                <c:pt idx="166">
                  <c:v>17.77</c:v>
                </c:pt>
                <c:pt idx="167">
                  <c:v>18.200001</c:v>
                </c:pt>
                <c:pt idx="168">
                  <c:v>17.41</c:v>
                </c:pt>
                <c:pt idx="169">
                  <c:v>17.170000000000002</c:v>
                </c:pt>
                <c:pt idx="170">
                  <c:v>15.98</c:v>
                </c:pt>
                <c:pt idx="171">
                  <c:v>16.760000000000002</c:v>
                </c:pt>
                <c:pt idx="172">
                  <c:v>16.780000999999999</c:v>
                </c:pt>
                <c:pt idx="173">
                  <c:v>16.350000000000001</c:v>
                </c:pt>
                <c:pt idx="174">
                  <c:v>17.02</c:v>
                </c:pt>
                <c:pt idx="175">
                  <c:v>24.379999000000002</c:v>
                </c:pt>
                <c:pt idx="176">
                  <c:v>24.440000999999999</c:v>
                </c:pt>
                <c:pt idx="177">
                  <c:v>22.969999000000001</c:v>
                </c:pt>
                <c:pt idx="178">
                  <c:v>24.93</c:v>
                </c:pt>
                <c:pt idx="179">
                  <c:v>26.040001</c:v>
                </c:pt>
                <c:pt idx="180">
                  <c:v>23.49</c:v>
                </c:pt>
                <c:pt idx="181">
                  <c:v>24.18</c:v>
                </c:pt>
                <c:pt idx="182">
                  <c:v>24.51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1E-4DBD-9840-358B77AFB1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3983327"/>
        <c:axId val="737522224"/>
      </c:lineChart>
      <c:dateAx>
        <c:axId val="69398332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37522224"/>
        <c:crosses val="autoZero"/>
        <c:auto val="1"/>
        <c:lblOffset val="100"/>
        <c:baseTimeUnit val="days"/>
      </c:dateAx>
      <c:valAx>
        <c:axId val="7375222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93983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Stock Price PLTR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Catalysts!$B$1</c:f>
              <c:strCache>
                <c:ptCount val="1"/>
                <c:pt idx="0">
                  <c:v>Close</c:v>
                </c:pt>
              </c:strCache>
            </c:strRef>
          </c:tx>
          <c:spPr>
            <a:ln w="28575" cap="rnd">
              <a:solidFill>
                <a:schemeClr val="tx1">
                  <a:lumMod val="85000"/>
                  <a:lumOff val="1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Catalysts!$A$2:$A$10000</c:f>
              <c:numCache>
                <c:formatCode>m/d/yyyy</c:formatCode>
                <c:ptCount val="9999"/>
                <c:pt idx="0">
                  <c:v>44102</c:v>
                </c:pt>
                <c:pt idx="1">
                  <c:v>44109</c:v>
                </c:pt>
                <c:pt idx="2">
                  <c:v>44116</c:v>
                </c:pt>
                <c:pt idx="3">
                  <c:v>44123</c:v>
                </c:pt>
                <c:pt idx="4">
                  <c:v>44130</c:v>
                </c:pt>
                <c:pt idx="5">
                  <c:v>44137</c:v>
                </c:pt>
                <c:pt idx="6">
                  <c:v>44144</c:v>
                </c:pt>
                <c:pt idx="7">
                  <c:v>44151</c:v>
                </c:pt>
                <c:pt idx="8">
                  <c:v>44158</c:v>
                </c:pt>
                <c:pt idx="9">
                  <c:v>44165</c:v>
                </c:pt>
                <c:pt idx="10">
                  <c:v>44172</c:v>
                </c:pt>
                <c:pt idx="11">
                  <c:v>44179</c:v>
                </c:pt>
                <c:pt idx="12">
                  <c:v>44186</c:v>
                </c:pt>
                <c:pt idx="13">
                  <c:v>44193</c:v>
                </c:pt>
                <c:pt idx="14">
                  <c:v>44200</c:v>
                </c:pt>
                <c:pt idx="15">
                  <c:v>44207</c:v>
                </c:pt>
                <c:pt idx="16">
                  <c:v>44214</c:v>
                </c:pt>
                <c:pt idx="17">
                  <c:v>44221</c:v>
                </c:pt>
                <c:pt idx="18">
                  <c:v>44228</c:v>
                </c:pt>
                <c:pt idx="19">
                  <c:v>44235</c:v>
                </c:pt>
                <c:pt idx="20">
                  <c:v>44242</c:v>
                </c:pt>
                <c:pt idx="21">
                  <c:v>44249</c:v>
                </c:pt>
                <c:pt idx="22">
                  <c:v>44256</c:v>
                </c:pt>
                <c:pt idx="23">
                  <c:v>44263</c:v>
                </c:pt>
                <c:pt idx="24">
                  <c:v>44270</c:v>
                </c:pt>
                <c:pt idx="25">
                  <c:v>44277</c:v>
                </c:pt>
                <c:pt idx="26">
                  <c:v>44284</c:v>
                </c:pt>
                <c:pt idx="27">
                  <c:v>44291</c:v>
                </c:pt>
                <c:pt idx="28">
                  <c:v>44298</c:v>
                </c:pt>
                <c:pt idx="29">
                  <c:v>44305</c:v>
                </c:pt>
                <c:pt idx="30">
                  <c:v>44312</c:v>
                </c:pt>
                <c:pt idx="31">
                  <c:v>44319</c:v>
                </c:pt>
                <c:pt idx="32">
                  <c:v>44326</c:v>
                </c:pt>
                <c:pt idx="33">
                  <c:v>44333</c:v>
                </c:pt>
                <c:pt idx="34">
                  <c:v>44340</c:v>
                </c:pt>
                <c:pt idx="35">
                  <c:v>44347</c:v>
                </c:pt>
                <c:pt idx="36">
                  <c:v>44354</c:v>
                </c:pt>
                <c:pt idx="37">
                  <c:v>44361</c:v>
                </c:pt>
                <c:pt idx="38">
                  <c:v>44368</c:v>
                </c:pt>
                <c:pt idx="39">
                  <c:v>44375</c:v>
                </c:pt>
                <c:pt idx="40">
                  <c:v>44382</c:v>
                </c:pt>
                <c:pt idx="41">
                  <c:v>44389</c:v>
                </c:pt>
                <c:pt idx="42">
                  <c:v>44396</c:v>
                </c:pt>
                <c:pt idx="43">
                  <c:v>44403</c:v>
                </c:pt>
                <c:pt idx="44">
                  <c:v>44410</c:v>
                </c:pt>
                <c:pt idx="45">
                  <c:v>44417</c:v>
                </c:pt>
                <c:pt idx="46">
                  <c:v>44424</c:v>
                </c:pt>
                <c:pt idx="47">
                  <c:v>44431</c:v>
                </c:pt>
                <c:pt idx="48">
                  <c:v>44438</c:v>
                </c:pt>
                <c:pt idx="49">
                  <c:v>44445</c:v>
                </c:pt>
                <c:pt idx="50">
                  <c:v>44452</c:v>
                </c:pt>
                <c:pt idx="51">
                  <c:v>44459</c:v>
                </c:pt>
                <c:pt idx="52">
                  <c:v>44466</c:v>
                </c:pt>
                <c:pt idx="53">
                  <c:v>44473</c:v>
                </c:pt>
                <c:pt idx="54">
                  <c:v>44480</c:v>
                </c:pt>
                <c:pt idx="55">
                  <c:v>44487</c:v>
                </c:pt>
                <c:pt idx="56">
                  <c:v>44494</c:v>
                </c:pt>
                <c:pt idx="57">
                  <c:v>44501</c:v>
                </c:pt>
                <c:pt idx="58">
                  <c:v>44508</c:v>
                </c:pt>
                <c:pt idx="59">
                  <c:v>44515</c:v>
                </c:pt>
                <c:pt idx="60">
                  <c:v>44522</c:v>
                </c:pt>
                <c:pt idx="61">
                  <c:v>44529</c:v>
                </c:pt>
                <c:pt idx="62">
                  <c:v>44536</c:v>
                </c:pt>
                <c:pt idx="63">
                  <c:v>44543</c:v>
                </c:pt>
                <c:pt idx="64">
                  <c:v>44550</c:v>
                </c:pt>
                <c:pt idx="65">
                  <c:v>44557</c:v>
                </c:pt>
                <c:pt idx="66">
                  <c:v>44564</c:v>
                </c:pt>
                <c:pt idx="67">
                  <c:v>44571</c:v>
                </c:pt>
                <c:pt idx="68">
                  <c:v>44578</c:v>
                </c:pt>
                <c:pt idx="69">
                  <c:v>44585</c:v>
                </c:pt>
                <c:pt idx="70">
                  <c:v>44592</c:v>
                </c:pt>
                <c:pt idx="71">
                  <c:v>44599</c:v>
                </c:pt>
                <c:pt idx="72">
                  <c:v>44606</c:v>
                </c:pt>
                <c:pt idx="73">
                  <c:v>44613</c:v>
                </c:pt>
                <c:pt idx="74">
                  <c:v>44620</c:v>
                </c:pt>
                <c:pt idx="75">
                  <c:v>44627</c:v>
                </c:pt>
                <c:pt idx="76">
                  <c:v>44634</c:v>
                </c:pt>
                <c:pt idx="77">
                  <c:v>44641</c:v>
                </c:pt>
                <c:pt idx="78">
                  <c:v>44648</c:v>
                </c:pt>
                <c:pt idx="79">
                  <c:v>44655</c:v>
                </c:pt>
                <c:pt idx="80">
                  <c:v>44662</c:v>
                </c:pt>
                <c:pt idx="81">
                  <c:v>44669</c:v>
                </c:pt>
                <c:pt idx="82">
                  <c:v>44676</c:v>
                </c:pt>
                <c:pt idx="83">
                  <c:v>44683</c:v>
                </c:pt>
                <c:pt idx="84">
                  <c:v>44690</c:v>
                </c:pt>
                <c:pt idx="85">
                  <c:v>44697</c:v>
                </c:pt>
                <c:pt idx="86">
                  <c:v>44704</c:v>
                </c:pt>
                <c:pt idx="87">
                  <c:v>44711</c:v>
                </c:pt>
                <c:pt idx="88">
                  <c:v>44718</c:v>
                </c:pt>
                <c:pt idx="89">
                  <c:v>44725</c:v>
                </c:pt>
                <c:pt idx="90">
                  <c:v>44732</c:v>
                </c:pt>
                <c:pt idx="91">
                  <c:v>44739</c:v>
                </c:pt>
                <c:pt idx="92">
                  <c:v>44746</c:v>
                </c:pt>
                <c:pt idx="93">
                  <c:v>44753</c:v>
                </c:pt>
                <c:pt idx="94">
                  <c:v>44760</c:v>
                </c:pt>
                <c:pt idx="95">
                  <c:v>44767</c:v>
                </c:pt>
                <c:pt idx="96">
                  <c:v>44774</c:v>
                </c:pt>
                <c:pt idx="97">
                  <c:v>44781</c:v>
                </c:pt>
                <c:pt idx="98">
                  <c:v>44788</c:v>
                </c:pt>
                <c:pt idx="99">
                  <c:v>44795</c:v>
                </c:pt>
                <c:pt idx="100">
                  <c:v>44802</c:v>
                </c:pt>
                <c:pt idx="101">
                  <c:v>44809</c:v>
                </c:pt>
                <c:pt idx="102">
                  <c:v>44816</c:v>
                </c:pt>
                <c:pt idx="103">
                  <c:v>44823</c:v>
                </c:pt>
                <c:pt idx="104">
                  <c:v>44830</c:v>
                </c:pt>
                <c:pt idx="105">
                  <c:v>44837</c:v>
                </c:pt>
                <c:pt idx="106">
                  <c:v>44844</c:v>
                </c:pt>
                <c:pt idx="107">
                  <c:v>44851</c:v>
                </c:pt>
                <c:pt idx="108">
                  <c:v>44858</c:v>
                </c:pt>
                <c:pt idx="109">
                  <c:v>44865</c:v>
                </c:pt>
                <c:pt idx="110">
                  <c:v>44872</c:v>
                </c:pt>
                <c:pt idx="111">
                  <c:v>44879</c:v>
                </c:pt>
                <c:pt idx="112">
                  <c:v>44886</c:v>
                </c:pt>
                <c:pt idx="113">
                  <c:v>44893</c:v>
                </c:pt>
                <c:pt idx="114">
                  <c:v>44900</c:v>
                </c:pt>
                <c:pt idx="115">
                  <c:v>44907</c:v>
                </c:pt>
                <c:pt idx="116">
                  <c:v>44914</c:v>
                </c:pt>
                <c:pt idx="117">
                  <c:v>44921</c:v>
                </c:pt>
                <c:pt idx="118">
                  <c:v>44928</c:v>
                </c:pt>
                <c:pt idx="119">
                  <c:v>44935</c:v>
                </c:pt>
                <c:pt idx="120">
                  <c:v>44942</c:v>
                </c:pt>
                <c:pt idx="121">
                  <c:v>44949</c:v>
                </c:pt>
                <c:pt idx="122">
                  <c:v>44956</c:v>
                </c:pt>
                <c:pt idx="123">
                  <c:v>44963</c:v>
                </c:pt>
                <c:pt idx="124">
                  <c:v>44970</c:v>
                </c:pt>
                <c:pt idx="125">
                  <c:v>44977</c:v>
                </c:pt>
                <c:pt idx="126">
                  <c:v>44984</c:v>
                </c:pt>
                <c:pt idx="127">
                  <c:v>44991</c:v>
                </c:pt>
                <c:pt idx="128">
                  <c:v>44998</c:v>
                </c:pt>
                <c:pt idx="129">
                  <c:v>45005</c:v>
                </c:pt>
                <c:pt idx="130">
                  <c:v>45012</c:v>
                </c:pt>
                <c:pt idx="131">
                  <c:v>45019</c:v>
                </c:pt>
                <c:pt idx="132">
                  <c:v>45026</c:v>
                </c:pt>
                <c:pt idx="133">
                  <c:v>45033</c:v>
                </c:pt>
                <c:pt idx="134">
                  <c:v>45040</c:v>
                </c:pt>
                <c:pt idx="135">
                  <c:v>45047</c:v>
                </c:pt>
                <c:pt idx="136">
                  <c:v>45054</c:v>
                </c:pt>
                <c:pt idx="137">
                  <c:v>45061</c:v>
                </c:pt>
                <c:pt idx="138">
                  <c:v>45068</c:v>
                </c:pt>
                <c:pt idx="139">
                  <c:v>45075</c:v>
                </c:pt>
                <c:pt idx="140">
                  <c:v>45082</c:v>
                </c:pt>
                <c:pt idx="141">
                  <c:v>45089</c:v>
                </c:pt>
                <c:pt idx="142">
                  <c:v>45096</c:v>
                </c:pt>
                <c:pt idx="143">
                  <c:v>45103</c:v>
                </c:pt>
                <c:pt idx="144">
                  <c:v>45110</c:v>
                </c:pt>
                <c:pt idx="145">
                  <c:v>45117</c:v>
                </c:pt>
                <c:pt idx="146">
                  <c:v>45124</c:v>
                </c:pt>
                <c:pt idx="147">
                  <c:v>45131</c:v>
                </c:pt>
                <c:pt idx="148">
                  <c:v>45138</c:v>
                </c:pt>
                <c:pt idx="149">
                  <c:v>45145</c:v>
                </c:pt>
                <c:pt idx="150">
                  <c:v>45152</c:v>
                </c:pt>
                <c:pt idx="151">
                  <c:v>45159</c:v>
                </c:pt>
                <c:pt idx="152">
                  <c:v>45166</c:v>
                </c:pt>
                <c:pt idx="153">
                  <c:v>45173</c:v>
                </c:pt>
                <c:pt idx="154">
                  <c:v>45180</c:v>
                </c:pt>
                <c:pt idx="155">
                  <c:v>45187</c:v>
                </c:pt>
                <c:pt idx="156">
                  <c:v>45194</c:v>
                </c:pt>
                <c:pt idx="157">
                  <c:v>45201</c:v>
                </c:pt>
                <c:pt idx="158">
                  <c:v>45208</c:v>
                </c:pt>
                <c:pt idx="159">
                  <c:v>45215</c:v>
                </c:pt>
                <c:pt idx="160">
                  <c:v>45222</c:v>
                </c:pt>
                <c:pt idx="161">
                  <c:v>45229</c:v>
                </c:pt>
                <c:pt idx="162">
                  <c:v>45236</c:v>
                </c:pt>
                <c:pt idx="163">
                  <c:v>45243</c:v>
                </c:pt>
                <c:pt idx="164">
                  <c:v>45250</c:v>
                </c:pt>
                <c:pt idx="165">
                  <c:v>45257</c:v>
                </c:pt>
                <c:pt idx="166">
                  <c:v>45264</c:v>
                </c:pt>
                <c:pt idx="167">
                  <c:v>45271</c:v>
                </c:pt>
                <c:pt idx="168">
                  <c:v>45278</c:v>
                </c:pt>
                <c:pt idx="169">
                  <c:v>45285</c:v>
                </c:pt>
                <c:pt idx="170">
                  <c:v>45292</c:v>
                </c:pt>
                <c:pt idx="171">
                  <c:v>45299</c:v>
                </c:pt>
                <c:pt idx="172">
                  <c:v>45306</c:v>
                </c:pt>
                <c:pt idx="173">
                  <c:v>45313</c:v>
                </c:pt>
                <c:pt idx="174">
                  <c:v>45320</c:v>
                </c:pt>
                <c:pt idx="175">
                  <c:v>45327</c:v>
                </c:pt>
                <c:pt idx="176">
                  <c:v>45334</c:v>
                </c:pt>
                <c:pt idx="177">
                  <c:v>45341</c:v>
                </c:pt>
                <c:pt idx="178">
                  <c:v>45348</c:v>
                </c:pt>
                <c:pt idx="179">
                  <c:v>45355</c:v>
                </c:pt>
                <c:pt idx="180">
                  <c:v>45362</c:v>
                </c:pt>
                <c:pt idx="181">
                  <c:v>45369</c:v>
                </c:pt>
                <c:pt idx="182">
                  <c:v>45376</c:v>
                </c:pt>
              </c:numCache>
            </c:numRef>
          </c:cat>
          <c:val>
            <c:numRef>
              <c:f>Catalysts!$B$2:$B$10000</c:f>
              <c:numCache>
                <c:formatCode>0.00</c:formatCode>
                <c:ptCount val="9999"/>
                <c:pt idx="0">
                  <c:v>9.1999999999999993</c:v>
                </c:pt>
                <c:pt idx="1">
                  <c:v>9.9499999999999993</c:v>
                </c:pt>
                <c:pt idx="2">
                  <c:v>9.7100000000000009</c:v>
                </c:pt>
                <c:pt idx="3">
                  <c:v>9.49</c:v>
                </c:pt>
                <c:pt idx="4">
                  <c:v>10.130000000000001</c:v>
                </c:pt>
                <c:pt idx="5">
                  <c:v>13.83</c:v>
                </c:pt>
                <c:pt idx="6">
                  <c:v>15.8</c:v>
                </c:pt>
                <c:pt idx="7">
                  <c:v>18.149999999999999</c:v>
                </c:pt>
                <c:pt idx="8">
                  <c:v>27.66</c:v>
                </c:pt>
                <c:pt idx="9">
                  <c:v>23.85</c:v>
                </c:pt>
                <c:pt idx="10">
                  <c:v>27.200001</c:v>
                </c:pt>
                <c:pt idx="11">
                  <c:v>25.969999000000001</c:v>
                </c:pt>
                <c:pt idx="12">
                  <c:v>27.75</c:v>
                </c:pt>
                <c:pt idx="13">
                  <c:v>23.549999</c:v>
                </c:pt>
                <c:pt idx="14">
                  <c:v>25.200001</c:v>
                </c:pt>
                <c:pt idx="15">
                  <c:v>25.639999</c:v>
                </c:pt>
                <c:pt idx="16">
                  <c:v>32.580002</c:v>
                </c:pt>
                <c:pt idx="17">
                  <c:v>35.18</c:v>
                </c:pt>
                <c:pt idx="18">
                  <c:v>34.049999</c:v>
                </c:pt>
                <c:pt idx="19">
                  <c:v>31.91</c:v>
                </c:pt>
                <c:pt idx="20">
                  <c:v>29</c:v>
                </c:pt>
                <c:pt idx="21">
                  <c:v>23.9</c:v>
                </c:pt>
                <c:pt idx="22">
                  <c:v>23.950001</c:v>
                </c:pt>
                <c:pt idx="23">
                  <c:v>26.92</c:v>
                </c:pt>
                <c:pt idx="24">
                  <c:v>24.32</c:v>
                </c:pt>
                <c:pt idx="25">
                  <c:v>22.58</c:v>
                </c:pt>
                <c:pt idx="26">
                  <c:v>23.07</c:v>
                </c:pt>
                <c:pt idx="27">
                  <c:v>24.040001</c:v>
                </c:pt>
                <c:pt idx="28">
                  <c:v>22.469999000000001</c:v>
                </c:pt>
                <c:pt idx="29">
                  <c:v>23.41</c:v>
                </c:pt>
                <c:pt idx="30">
                  <c:v>23.040001</c:v>
                </c:pt>
                <c:pt idx="31">
                  <c:v>19.75</c:v>
                </c:pt>
                <c:pt idx="32">
                  <c:v>20.079999999999998</c:v>
                </c:pt>
                <c:pt idx="33">
                  <c:v>20.75</c:v>
                </c:pt>
                <c:pt idx="34">
                  <c:v>22.950001</c:v>
                </c:pt>
                <c:pt idx="35">
                  <c:v>24.030000999999999</c:v>
                </c:pt>
                <c:pt idx="36">
                  <c:v>24.67</c:v>
                </c:pt>
                <c:pt idx="37">
                  <c:v>25.370000999999998</c:v>
                </c:pt>
                <c:pt idx="38">
                  <c:v>26.780000999999999</c:v>
                </c:pt>
                <c:pt idx="39">
                  <c:v>24.440000999999999</c:v>
                </c:pt>
                <c:pt idx="40">
                  <c:v>23.290001</c:v>
                </c:pt>
                <c:pt idx="41">
                  <c:v>21.370000999999998</c:v>
                </c:pt>
                <c:pt idx="42">
                  <c:v>21.809999000000001</c:v>
                </c:pt>
                <c:pt idx="43">
                  <c:v>21.709999</c:v>
                </c:pt>
                <c:pt idx="44">
                  <c:v>21.82</c:v>
                </c:pt>
                <c:pt idx="45">
                  <c:v>24.9</c:v>
                </c:pt>
                <c:pt idx="46">
                  <c:v>24.01</c:v>
                </c:pt>
                <c:pt idx="47">
                  <c:v>25.709999</c:v>
                </c:pt>
                <c:pt idx="48">
                  <c:v>26.639999</c:v>
                </c:pt>
                <c:pt idx="49">
                  <c:v>26.280000999999999</c:v>
                </c:pt>
                <c:pt idx="50">
                  <c:v>28.709999</c:v>
                </c:pt>
                <c:pt idx="51">
                  <c:v>28.559999000000001</c:v>
                </c:pt>
                <c:pt idx="52">
                  <c:v>24.33</c:v>
                </c:pt>
                <c:pt idx="53">
                  <c:v>23.5</c:v>
                </c:pt>
                <c:pt idx="54">
                  <c:v>24</c:v>
                </c:pt>
                <c:pt idx="55">
                  <c:v>24.43</c:v>
                </c:pt>
                <c:pt idx="56">
                  <c:v>25.879999000000002</c:v>
                </c:pt>
                <c:pt idx="57">
                  <c:v>26</c:v>
                </c:pt>
                <c:pt idx="58">
                  <c:v>22.83</c:v>
                </c:pt>
                <c:pt idx="59">
                  <c:v>21.41</c:v>
                </c:pt>
                <c:pt idx="60">
                  <c:v>21.030000999999999</c:v>
                </c:pt>
                <c:pt idx="61">
                  <c:v>18.98</c:v>
                </c:pt>
                <c:pt idx="62">
                  <c:v>18.940000999999999</c:v>
                </c:pt>
                <c:pt idx="63">
                  <c:v>19.059999000000001</c:v>
                </c:pt>
                <c:pt idx="64">
                  <c:v>18.93</c:v>
                </c:pt>
                <c:pt idx="65">
                  <c:v>18.209999</c:v>
                </c:pt>
                <c:pt idx="66">
                  <c:v>16.559999000000001</c:v>
                </c:pt>
                <c:pt idx="67">
                  <c:v>16.010000000000002</c:v>
                </c:pt>
                <c:pt idx="68">
                  <c:v>13.53</c:v>
                </c:pt>
                <c:pt idx="69">
                  <c:v>12.71</c:v>
                </c:pt>
                <c:pt idx="70">
                  <c:v>12.94</c:v>
                </c:pt>
                <c:pt idx="71">
                  <c:v>13.13</c:v>
                </c:pt>
                <c:pt idx="72">
                  <c:v>11.02</c:v>
                </c:pt>
                <c:pt idx="73">
                  <c:v>11.47</c:v>
                </c:pt>
                <c:pt idx="74">
                  <c:v>10.96</c:v>
                </c:pt>
                <c:pt idx="75">
                  <c:v>11.39</c:v>
                </c:pt>
                <c:pt idx="76">
                  <c:v>12.82</c:v>
                </c:pt>
                <c:pt idx="77">
                  <c:v>12.97</c:v>
                </c:pt>
                <c:pt idx="78">
                  <c:v>13.83</c:v>
                </c:pt>
                <c:pt idx="79">
                  <c:v>12.7</c:v>
                </c:pt>
                <c:pt idx="80">
                  <c:v>12.42</c:v>
                </c:pt>
                <c:pt idx="81">
                  <c:v>11.96</c:v>
                </c:pt>
                <c:pt idx="82">
                  <c:v>10.4</c:v>
                </c:pt>
                <c:pt idx="83">
                  <c:v>9.48</c:v>
                </c:pt>
                <c:pt idx="84">
                  <c:v>8.34</c:v>
                </c:pt>
                <c:pt idx="85">
                  <c:v>8.08</c:v>
                </c:pt>
                <c:pt idx="86">
                  <c:v>8.85</c:v>
                </c:pt>
                <c:pt idx="87">
                  <c:v>8.94</c:v>
                </c:pt>
                <c:pt idx="88">
                  <c:v>8.26</c:v>
                </c:pt>
                <c:pt idx="89">
                  <c:v>8.24</c:v>
                </c:pt>
                <c:pt idx="90">
                  <c:v>10.19</c:v>
                </c:pt>
                <c:pt idx="91">
                  <c:v>9.27</c:v>
                </c:pt>
                <c:pt idx="92">
                  <c:v>10.17</c:v>
                </c:pt>
                <c:pt idx="93">
                  <c:v>9.0399999999999991</c:v>
                </c:pt>
                <c:pt idx="94">
                  <c:v>9.84</c:v>
                </c:pt>
                <c:pt idx="95">
                  <c:v>10.35</c:v>
                </c:pt>
                <c:pt idx="96">
                  <c:v>11.45</c:v>
                </c:pt>
                <c:pt idx="97">
                  <c:v>9.91</c:v>
                </c:pt>
                <c:pt idx="98">
                  <c:v>8.51</c:v>
                </c:pt>
                <c:pt idx="99">
                  <c:v>7.94</c:v>
                </c:pt>
                <c:pt idx="100">
                  <c:v>7.4</c:v>
                </c:pt>
                <c:pt idx="101">
                  <c:v>7.79</c:v>
                </c:pt>
                <c:pt idx="102">
                  <c:v>7.78</c:v>
                </c:pt>
                <c:pt idx="103">
                  <c:v>7.4</c:v>
                </c:pt>
                <c:pt idx="104">
                  <c:v>8.1300000000000008</c:v>
                </c:pt>
                <c:pt idx="105">
                  <c:v>8.15</c:v>
                </c:pt>
                <c:pt idx="106">
                  <c:v>7.53</c:v>
                </c:pt>
                <c:pt idx="107">
                  <c:v>8.2899999999999991</c:v>
                </c:pt>
                <c:pt idx="108">
                  <c:v>8.64</c:v>
                </c:pt>
                <c:pt idx="109">
                  <c:v>7.93</c:v>
                </c:pt>
                <c:pt idx="110">
                  <c:v>8.41</c:v>
                </c:pt>
                <c:pt idx="111">
                  <c:v>7.39</c:v>
                </c:pt>
                <c:pt idx="112">
                  <c:v>7.28</c:v>
                </c:pt>
                <c:pt idx="113">
                  <c:v>7.66</c:v>
                </c:pt>
                <c:pt idx="114">
                  <c:v>7.11</c:v>
                </c:pt>
                <c:pt idx="115">
                  <c:v>6.9</c:v>
                </c:pt>
                <c:pt idx="116">
                  <c:v>6.29</c:v>
                </c:pt>
                <c:pt idx="117">
                  <c:v>6.42</c:v>
                </c:pt>
                <c:pt idx="118">
                  <c:v>6.4</c:v>
                </c:pt>
                <c:pt idx="119">
                  <c:v>6.96</c:v>
                </c:pt>
                <c:pt idx="120">
                  <c:v>7.02</c:v>
                </c:pt>
                <c:pt idx="121">
                  <c:v>7.55</c:v>
                </c:pt>
                <c:pt idx="122">
                  <c:v>8.41</c:v>
                </c:pt>
                <c:pt idx="123">
                  <c:v>7.51</c:v>
                </c:pt>
                <c:pt idx="124">
                  <c:v>9.1999999999999993</c:v>
                </c:pt>
                <c:pt idx="125">
                  <c:v>8.09</c:v>
                </c:pt>
                <c:pt idx="126">
                  <c:v>8.33</c:v>
                </c:pt>
                <c:pt idx="127">
                  <c:v>7.35</c:v>
                </c:pt>
                <c:pt idx="128">
                  <c:v>7.88</c:v>
                </c:pt>
                <c:pt idx="129">
                  <c:v>8.1999999999999993</c:v>
                </c:pt>
                <c:pt idx="130">
                  <c:v>8.4499999999999993</c:v>
                </c:pt>
                <c:pt idx="131">
                  <c:v>8.09</c:v>
                </c:pt>
                <c:pt idx="132">
                  <c:v>8.81</c:v>
                </c:pt>
                <c:pt idx="133">
                  <c:v>8.18</c:v>
                </c:pt>
                <c:pt idx="134">
                  <c:v>7.75</c:v>
                </c:pt>
                <c:pt idx="135">
                  <c:v>7.41</c:v>
                </c:pt>
                <c:pt idx="136">
                  <c:v>9.5</c:v>
                </c:pt>
                <c:pt idx="137">
                  <c:v>11.71</c:v>
                </c:pt>
                <c:pt idx="138">
                  <c:v>13.65</c:v>
                </c:pt>
                <c:pt idx="139">
                  <c:v>14.52</c:v>
                </c:pt>
                <c:pt idx="140">
                  <c:v>15.02</c:v>
                </c:pt>
                <c:pt idx="141">
                  <c:v>16.299999</c:v>
                </c:pt>
                <c:pt idx="142">
                  <c:v>14.03</c:v>
                </c:pt>
                <c:pt idx="143">
                  <c:v>15.33</c:v>
                </c:pt>
                <c:pt idx="144">
                  <c:v>15.34</c:v>
                </c:pt>
                <c:pt idx="145">
                  <c:v>16.399999999999999</c:v>
                </c:pt>
                <c:pt idx="146">
                  <c:v>16.43</c:v>
                </c:pt>
                <c:pt idx="147">
                  <c:v>17.809999000000001</c:v>
                </c:pt>
                <c:pt idx="148">
                  <c:v>18.200001</c:v>
                </c:pt>
                <c:pt idx="149">
                  <c:v>15.41</c:v>
                </c:pt>
                <c:pt idx="150">
                  <c:v>14.4</c:v>
                </c:pt>
                <c:pt idx="151">
                  <c:v>14.53</c:v>
                </c:pt>
                <c:pt idx="152">
                  <c:v>15.18</c:v>
                </c:pt>
                <c:pt idx="153">
                  <c:v>15.13</c:v>
                </c:pt>
                <c:pt idx="154">
                  <c:v>15.33</c:v>
                </c:pt>
                <c:pt idx="155">
                  <c:v>14.13</c:v>
                </c:pt>
                <c:pt idx="156">
                  <c:v>16</c:v>
                </c:pt>
                <c:pt idx="157">
                  <c:v>16.610001</c:v>
                </c:pt>
                <c:pt idx="158">
                  <c:v>17.360001</c:v>
                </c:pt>
                <c:pt idx="159">
                  <c:v>16.110001</c:v>
                </c:pt>
                <c:pt idx="160">
                  <c:v>15.07</c:v>
                </c:pt>
                <c:pt idx="161">
                  <c:v>18.889999</c:v>
                </c:pt>
                <c:pt idx="162">
                  <c:v>19.670000000000002</c:v>
                </c:pt>
                <c:pt idx="163">
                  <c:v>20.49</c:v>
                </c:pt>
                <c:pt idx="164">
                  <c:v>19.200001</c:v>
                </c:pt>
                <c:pt idx="165">
                  <c:v>20.27</c:v>
                </c:pt>
                <c:pt idx="166">
                  <c:v>17.77</c:v>
                </c:pt>
                <c:pt idx="167">
                  <c:v>18.200001</c:v>
                </c:pt>
                <c:pt idx="168">
                  <c:v>17.41</c:v>
                </c:pt>
                <c:pt idx="169">
                  <c:v>17.170000000000002</c:v>
                </c:pt>
                <c:pt idx="170">
                  <c:v>15.98</c:v>
                </c:pt>
                <c:pt idx="171">
                  <c:v>16.760000000000002</c:v>
                </c:pt>
                <c:pt idx="172">
                  <c:v>16.780000999999999</c:v>
                </c:pt>
                <c:pt idx="173">
                  <c:v>16.350000000000001</c:v>
                </c:pt>
                <c:pt idx="174">
                  <c:v>17.02</c:v>
                </c:pt>
                <c:pt idx="175">
                  <c:v>24.379999000000002</c:v>
                </c:pt>
                <c:pt idx="176">
                  <c:v>24.440000999999999</c:v>
                </c:pt>
                <c:pt idx="177">
                  <c:v>22.969999000000001</c:v>
                </c:pt>
                <c:pt idx="178">
                  <c:v>24.93</c:v>
                </c:pt>
                <c:pt idx="179">
                  <c:v>26.040001</c:v>
                </c:pt>
                <c:pt idx="180">
                  <c:v>23.49</c:v>
                </c:pt>
                <c:pt idx="181">
                  <c:v>24.18</c:v>
                </c:pt>
                <c:pt idx="182">
                  <c:v>24.51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52-461C-BC2D-9CAFEE3BC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3983327"/>
        <c:axId val="737522224"/>
      </c:lineChart>
      <c:dateAx>
        <c:axId val="69398332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37522224"/>
        <c:crosses val="autoZero"/>
        <c:auto val="1"/>
        <c:lblOffset val="100"/>
        <c:baseTimeUnit val="days"/>
      </c:dateAx>
      <c:valAx>
        <c:axId val="737522224"/>
        <c:scaling>
          <c:logBase val="10"/>
          <c:orientation val="minMax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93983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DoR!$I$3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DoR!$J$4:$J$15</c:f>
              <c:strCache>
                <c:ptCount val="12"/>
                <c:pt idx="0">
                  <c:v>Less than -30,20%</c:v>
                </c:pt>
                <c:pt idx="1">
                  <c:v>-30,20% to -23,95%</c:v>
                </c:pt>
                <c:pt idx="2">
                  <c:v>-23,95% to -17,70%</c:v>
                </c:pt>
                <c:pt idx="3">
                  <c:v>-17,70% to -11,46%</c:v>
                </c:pt>
                <c:pt idx="4">
                  <c:v>-11,46% to -5,21%</c:v>
                </c:pt>
                <c:pt idx="5">
                  <c:v>-5,21% to 1,03%</c:v>
                </c:pt>
                <c:pt idx="6">
                  <c:v>1,03% to 7,28%</c:v>
                </c:pt>
                <c:pt idx="7">
                  <c:v>7,28% to 13,52%</c:v>
                </c:pt>
                <c:pt idx="8">
                  <c:v>13,52% to 19,77%</c:v>
                </c:pt>
                <c:pt idx="9">
                  <c:v>19,77% to 26,02%</c:v>
                </c:pt>
                <c:pt idx="10">
                  <c:v>26,02% to 32,26%</c:v>
                </c:pt>
                <c:pt idx="11">
                  <c:v>Greater than 32,26%</c:v>
                </c:pt>
              </c:strCache>
            </c:strRef>
          </c:cat>
          <c:val>
            <c:numRef>
              <c:f>DoR!$I$4:$I$15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18</c:v>
                </c:pt>
                <c:pt idx="4">
                  <c:v>34</c:v>
                </c:pt>
                <c:pt idx="5">
                  <c:v>47</c:v>
                </c:pt>
                <c:pt idx="6">
                  <c:v>52</c:v>
                </c:pt>
                <c:pt idx="7">
                  <c:v>21</c:v>
                </c:pt>
                <c:pt idx="8">
                  <c:v>5</c:v>
                </c:pt>
                <c:pt idx="9">
                  <c:v>4</c:v>
                </c:pt>
                <c:pt idx="10">
                  <c:v>2</c:v>
                </c:pt>
                <c:pt idx="1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15-4FF0-B002-4341C4468B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1429205823"/>
        <c:axId val="1429206303"/>
      </c:barChart>
      <c:catAx>
        <c:axId val="1429205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29206303"/>
        <c:crosses val="autoZero"/>
        <c:auto val="1"/>
        <c:lblAlgn val="ctr"/>
        <c:lblOffset val="100"/>
        <c:noMultiLvlLbl val="0"/>
      </c:catAx>
      <c:valAx>
        <c:axId val="1429206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29205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_xlchart.v1.9</cx:f>
      </cx:strDim>
      <cx:numDim type="val">
        <cx:f dir="row">_xlchart.v1.8</cx:f>
      </cx:numDim>
    </cx:data>
    <cx:data id="1">
      <cx:strDim type="cat">
        <cx:f dir="row">_xlchart.v1.9</cx:f>
      </cx:strDim>
      <cx:numDim type="val">
        <cx:f dir="row">_xlchart.v1.7</cx:f>
      </cx:numDim>
    </cx:data>
  </cx:chartData>
  <cx:chart>
    <cx:title pos="t" align="ctr" overlay="0">
      <cx:tx>
        <cx:txData>
          <cx:v>Earning Reportings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Earning Reportings</a:t>
          </a:r>
        </a:p>
      </cx:txPr>
    </cx:title>
    <cx:plotArea>
      <cx:plotAreaRegion>
        <cx:series layoutId="boxWhisker" uniqueId="{006F4749-938E-4621-8334-C74E7B83CC40}">
          <cx:tx>
            <cx:txData>
              <cx:f>_xlchart.v1.6</cx:f>
              <cx:v>EPS exp.</cx:v>
            </cx:txData>
          </cx:tx>
          <cx:spPr>
            <a:ln w="19050">
              <a:solidFill>
                <a:schemeClr val="accent1"/>
              </a:solidFill>
            </a:ln>
          </cx:spPr>
          <cx:dataId val="0"/>
          <cx:layoutPr>
            <cx:visibility meanLine="1" meanMarker="1" nonoutliers="0" outliers="1"/>
            <cx:statistics quartileMethod="exclusive"/>
          </cx:layoutPr>
        </cx:series>
        <cx:series layoutId="boxWhisker" uniqueId="{C8A70830-D21B-405F-8F13-72F0AC678416}">
          <cx:tx>
            <cx:txData>
              <cx:f>_xlchart.v1.5</cx:f>
              <cx:v>EPS</cx:v>
            </cx:txData>
          </cx:tx>
          <cx:dataId val="1"/>
          <cx:layoutPr>
            <cx:visibility meanLine="1" meanMarker="1" nonoutliers="0" outliers="1"/>
            <cx:statistics quartileMethod="inclusive"/>
          </cx:layoutPr>
        </cx:series>
      </cx:plotAreaRegion>
      <cx:axis id="0">
        <cx:catScaling gapWidth="1.5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_xlchart.v1.2</cx:f>
      </cx:strDim>
      <cx:numDim type="val">
        <cx:f dir="row">_xlchart.v1.4</cx:f>
      </cx:numDim>
    </cx:data>
    <cx:data id="1">
      <cx:strDim type="cat">
        <cx:f dir="row">_xlchart.v1.2</cx:f>
      </cx:strDim>
      <cx:numDim type="val">
        <cx:f dir="row">_xlchart.v1.3</cx:f>
      </cx:numDim>
    </cx:data>
  </cx:chartData>
  <cx:chart>
    <cx:title pos="t" align="ctr" overlay="0">
      <cx:tx>
        <cx:txData>
          <cx:v>Revenue Reportings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Revenue Reportings</a:t>
          </a:r>
        </a:p>
      </cx:txPr>
    </cx:title>
    <cx:plotArea>
      <cx:plotAreaRegion>
        <cx:series layoutId="boxWhisker" uniqueId="{006F4749-938E-4621-8334-C74E7B83CC40}">
          <cx:tx>
            <cx:txData>
              <cx:f>_xlchart.v1.1</cx:f>
              <cx:v>Rev. Exp.</cx:v>
            </cx:txData>
          </cx:tx>
          <cx:spPr>
            <a:ln w="19050">
              <a:solidFill>
                <a:schemeClr val="accent1"/>
              </a:solidFill>
            </a:ln>
          </cx:spPr>
          <cx:dataId val="0"/>
          <cx:layoutPr>
            <cx:visibility meanLine="0" meanMarker="0" nonoutliers="0" outliers="1"/>
            <cx:statistics quartileMethod="exclusive"/>
          </cx:layoutPr>
        </cx:series>
        <cx:series layoutId="boxWhisker" uniqueId="{C8A70830-D21B-405F-8F13-72F0AC678416}">
          <cx:tx>
            <cx:txData>
              <cx:f>_xlchart.v1.0</cx:f>
              <cx:v>Revenue</cx:v>
            </cx:txData>
          </cx:tx>
          <cx:dataId val="1"/>
          <cx:layoutPr>
            <cx:visibility meanLine="0" meanMarker="1" nonoutliers="0" outliers="1"/>
            <cx:statistics quartileMethod="inclusive"/>
          </cx:layoutPr>
        </cx:series>
      </cx:plotAreaRegion>
      <cx:axis id="0">
        <cx:catScaling gapWidth="1.39999998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microsoft.com/office/2014/relationships/chartEx" Target="../charts/chartEx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microsoft.com/office/2014/relationships/chartEx" Target="../charts/chartEx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209550</xdr:colOff>
      <xdr:row>1</xdr:row>
      <xdr:rowOff>42862</xdr:rowOff>
    </xdr:from>
    <xdr:to>
      <xdr:col>10</xdr:col>
      <xdr:colOff>590550</xdr:colOff>
      <xdr:row>15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424D5D-26F5-0FED-D6A6-811BC639C6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28575</xdr:colOff>
      <xdr:row>1</xdr:row>
      <xdr:rowOff>38100</xdr:rowOff>
    </xdr:from>
    <xdr:to>
      <xdr:col>20</xdr:col>
      <xdr:colOff>19050</xdr:colOff>
      <xdr:row>15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B8860D4-A5CC-43C6-93F1-A9AA6236FC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219075</xdr:colOff>
      <xdr:row>15</xdr:row>
      <xdr:rowOff>152400</xdr:rowOff>
    </xdr:from>
    <xdr:to>
      <xdr:col>10</xdr:col>
      <xdr:colOff>600075</xdr:colOff>
      <xdr:row>30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A244996-57D9-4900-A31C-F45BDAD554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9525</xdr:colOff>
      <xdr:row>15</xdr:row>
      <xdr:rowOff>133350</xdr:rowOff>
    </xdr:from>
    <xdr:to>
      <xdr:col>20</xdr:col>
      <xdr:colOff>47625</xdr:colOff>
      <xdr:row>30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C3312E1-BE90-420D-A470-4B22F9C074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38100</xdr:colOff>
      <xdr:row>1</xdr:row>
      <xdr:rowOff>52386</xdr:rowOff>
    </xdr:from>
    <xdr:to>
      <xdr:col>27</xdr:col>
      <xdr:colOff>342900</xdr:colOff>
      <xdr:row>17</xdr:row>
      <xdr:rowOff>190499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F6B5C94-7DE1-FBD4-886C-765E7EB854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209550</xdr:colOff>
      <xdr:row>30</xdr:row>
      <xdr:rowOff>47625</xdr:rowOff>
    </xdr:from>
    <xdr:to>
      <xdr:col>10</xdr:col>
      <xdr:colOff>600075</xdr:colOff>
      <xdr:row>47</xdr:row>
      <xdr:rowOff>100013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428B810E-AE25-4EB3-A89D-55D5F6C2B8F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19150" y="5762625"/>
              <a:ext cx="5876925" cy="32908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28575</xdr:colOff>
      <xdr:row>30</xdr:row>
      <xdr:rowOff>47625</xdr:rowOff>
    </xdr:from>
    <xdr:to>
      <xdr:col>20</xdr:col>
      <xdr:colOff>419100</xdr:colOff>
      <xdr:row>47</xdr:row>
      <xdr:rowOff>100013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EB4346DD-A5D1-47B7-8E01-F88C375FB74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34175" y="5762625"/>
              <a:ext cx="5876925" cy="32908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352424</xdr:colOff>
      <xdr:row>48</xdr:row>
      <xdr:rowOff>4762</xdr:rowOff>
    </xdr:from>
    <xdr:to>
      <xdr:col>26</xdr:col>
      <xdr:colOff>38099</xdr:colOff>
      <xdr:row>75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8C129C-DBE3-1F2F-B16B-A26ABC76A9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371475</xdr:colOff>
      <xdr:row>15</xdr:row>
      <xdr:rowOff>66675</xdr:rowOff>
    </xdr:from>
    <xdr:to>
      <xdr:col>26</xdr:col>
      <xdr:colOff>57150</xdr:colOff>
      <xdr:row>42</xdr:row>
      <xdr:rowOff>80963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BEF4A1E-0131-4908-9D8D-9693A2A12E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15</xdr:row>
      <xdr:rowOff>176211</xdr:rowOff>
    </xdr:from>
    <xdr:to>
      <xdr:col>11</xdr:col>
      <xdr:colOff>1381126</xdr:colOff>
      <xdr:row>30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0D2698-8430-E511-3862-E996BF6E72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36"/>
  <sheetViews>
    <sheetView workbookViewId="0">
      <selection activeCell="H20" sqref="H20"/>
    </sheetView>
  </sheetViews>
  <sheetFormatPr defaultColWidth="9.140625" defaultRowHeight="15" x14ac:dyDescent="0.25"/>
  <cols>
    <col min="1" max="1" width="5" customWidth="1"/>
    <col min="2" max="2" width="27.42578125" customWidth="1"/>
    <col min="3" max="3" width="14.140625" customWidth="1"/>
    <col min="4" max="4" width="6.28515625" customWidth="1"/>
    <col min="5" max="5" width="37" customWidth="1"/>
    <col min="7" max="7" width="3.140625" customWidth="1"/>
    <col min="8" max="8" width="26.7109375" customWidth="1"/>
    <col min="9" max="9" width="11.28515625" customWidth="1"/>
    <col min="10" max="10" width="9.140625" customWidth="1"/>
    <col min="11" max="11" width="5.28515625" customWidth="1"/>
    <col min="12" max="12" width="29.140625" customWidth="1"/>
    <col min="13" max="13" width="40.140625" customWidth="1"/>
    <col min="14" max="14" width="34.42578125" customWidth="1"/>
  </cols>
  <sheetData>
    <row r="2" spans="2:14" x14ac:dyDescent="0.25">
      <c r="B2" s="34" t="s">
        <v>93</v>
      </c>
      <c r="C2" s="19"/>
      <c r="E2" s="24" t="s">
        <v>49</v>
      </c>
      <c r="F2" s="62" t="s">
        <v>50</v>
      </c>
      <c r="G2" s="25"/>
      <c r="H2" s="26" t="s">
        <v>57</v>
      </c>
      <c r="I2" s="26" t="s">
        <v>1</v>
      </c>
      <c r="J2" s="27" t="s">
        <v>50</v>
      </c>
      <c r="L2" s="30" t="s">
        <v>43</v>
      </c>
      <c r="M2" s="31" t="s">
        <v>59</v>
      </c>
      <c r="N2" s="32" t="s">
        <v>58</v>
      </c>
    </row>
    <row r="3" spans="2:14" x14ac:dyDescent="0.25">
      <c r="B3" s="5" t="s">
        <v>42</v>
      </c>
      <c r="C3" s="20">
        <v>45377</v>
      </c>
      <c r="E3" s="5" t="s">
        <v>135</v>
      </c>
      <c r="F3" s="28" t="s">
        <v>136</v>
      </c>
      <c r="H3" t="s">
        <v>155</v>
      </c>
      <c r="I3" s="10">
        <v>592</v>
      </c>
      <c r="J3" s="39">
        <f t="shared" ref="J3:J10" si="0">I3/($C$7*100000)</f>
        <v>2.7567631502724634E-6</v>
      </c>
      <c r="L3" s="5" t="s">
        <v>163</v>
      </c>
      <c r="M3" t="s">
        <v>164</v>
      </c>
      <c r="N3" s="38"/>
    </row>
    <row r="4" spans="2:14" x14ac:dyDescent="0.25">
      <c r="B4" s="5"/>
      <c r="C4" s="21">
        <v>0.70486111111111116</v>
      </c>
      <c r="E4" s="5" t="s">
        <v>137</v>
      </c>
      <c r="F4" s="28" t="s">
        <v>138</v>
      </c>
      <c r="H4" t="s">
        <v>156</v>
      </c>
      <c r="I4" s="10">
        <v>4344</v>
      </c>
      <c r="J4" s="39">
        <f t="shared" si="0"/>
        <v>2.0228680954026317E-5</v>
      </c>
      <c r="L4" s="5" t="s">
        <v>165</v>
      </c>
      <c r="M4" t="s">
        <v>166</v>
      </c>
      <c r="N4" s="13"/>
    </row>
    <row r="5" spans="2:14" x14ac:dyDescent="0.25">
      <c r="B5" s="5"/>
      <c r="C5" s="13"/>
      <c r="E5" s="5" t="s">
        <v>139</v>
      </c>
      <c r="F5" s="28" t="s">
        <v>140</v>
      </c>
      <c r="H5" t="s">
        <v>157</v>
      </c>
      <c r="I5" s="10">
        <v>6432260</v>
      </c>
      <c r="J5" s="39">
        <f t="shared" si="0"/>
        <v>2.995306983272222E-2</v>
      </c>
      <c r="L5" s="5" t="s">
        <v>167</v>
      </c>
      <c r="M5" t="s">
        <v>168</v>
      </c>
      <c r="N5" s="13"/>
    </row>
    <row r="6" spans="2:14" x14ac:dyDescent="0.25">
      <c r="B6" s="5" t="s">
        <v>0</v>
      </c>
      <c r="C6" s="13">
        <v>25.28</v>
      </c>
      <c r="E6" s="5" t="s">
        <v>141</v>
      </c>
      <c r="F6" s="28" t="s">
        <v>142</v>
      </c>
      <c r="H6" t="s">
        <v>158</v>
      </c>
      <c r="I6" s="10">
        <v>1635520</v>
      </c>
      <c r="J6" s="39">
        <f t="shared" si="0"/>
        <v>7.6161170059689514E-3</v>
      </c>
      <c r="L6" s="5" t="s">
        <v>169</v>
      </c>
      <c r="M6" t="s">
        <v>170</v>
      </c>
      <c r="N6" s="13"/>
    </row>
    <row r="7" spans="2:14" x14ac:dyDescent="0.25">
      <c r="B7" s="5" t="s">
        <v>1</v>
      </c>
      <c r="C7" s="15">
        <v>2147.4459999999999</v>
      </c>
      <c r="E7" s="5" t="s">
        <v>143</v>
      </c>
      <c r="F7" s="28" t="s">
        <v>144</v>
      </c>
      <c r="H7" t="s">
        <v>159</v>
      </c>
      <c r="I7" s="10">
        <v>670136</v>
      </c>
      <c r="J7" s="39">
        <f t="shared" si="0"/>
        <v>3.1206186325523438E-3</v>
      </c>
      <c r="L7" s="5" t="s">
        <v>171</v>
      </c>
      <c r="M7" t="s">
        <v>172</v>
      </c>
      <c r="N7" s="13"/>
    </row>
    <row r="8" spans="2:14" x14ac:dyDescent="0.25">
      <c r="B8" s="5" t="s">
        <v>2</v>
      </c>
      <c r="C8" s="15">
        <f>C6*C7</f>
        <v>54287.434880000001</v>
      </c>
      <c r="E8" s="5" t="s">
        <v>145</v>
      </c>
      <c r="F8" s="28" t="s">
        <v>146</v>
      </c>
      <c r="H8" t="s">
        <v>160</v>
      </c>
      <c r="I8" s="10">
        <v>1502680</v>
      </c>
      <c r="J8" s="39">
        <f t="shared" si="0"/>
        <v>6.9975217071814614E-3</v>
      </c>
      <c r="L8" s="5" t="s">
        <v>173</v>
      </c>
      <c r="M8" t="s">
        <v>174</v>
      </c>
      <c r="N8" s="13"/>
    </row>
    <row r="9" spans="2:14" x14ac:dyDescent="0.25">
      <c r="B9" s="5" t="s">
        <v>3</v>
      </c>
      <c r="C9" s="15">
        <f>Model!V30+Model!V31</f>
        <v>3674.1790000000001</v>
      </c>
      <c r="E9" s="5" t="s">
        <v>147</v>
      </c>
      <c r="F9" s="28" t="s">
        <v>148</v>
      </c>
      <c r="H9" t="s">
        <v>161</v>
      </c>
      <c r="I9" s="10">
        <v>191783</v>
      </c>
      <c r="J9" s="39">
        <f t="shared" si="0"/>
        <v>8.9307484332551315E-4</v>
      </c>
      <c r="L9" s="5" t="s">
        <v>175</v>
      </c>
      <c r="M9" t="s">
        <v>176</v>
      </c>
      <c r="N9" s="13"/>
    </row>
    <row r="10" spans="2:14" x14ac:dyDescent="0.25">
      <c r="B10" s="5" t="s">
        <v>4</v>
      </c>
      <c r="C10" s="15">
        <f>0</f>
        <v>0</v>
      </c>
      <c r="E10" s="5" t="s">
        <v>149</v>
      </c>
      <c r="F10" s="28" t="s">
        <v>150</v>
      </c>
      <c r="H10" t="s">
        <v>162</v>
      </c>
      <c r="I10" s="10">
        <v>18146</v>
      </c>
      <c r="J10" s="39">
        <f t="shared" si="0"/>
        <v>8.4500378589263706E-5</v>
      </c>
      <c r="L10" s="5" t="s">
        <v>177</v>
      </c>
      <c r="M10" t="s">
        <v>178</v>
      </c>
      <c r="N10" s="13"/>
    </row>
    <row r="11" spans="2:14" x14ac:dyDescent="0.25">
      <c r="B11" s="5" t="s">
        <v>37</v>
      </c>
      <c r="C11" s="15">
        <f>C9-C10</f>
        <v>3674.1790000000001</v>
      </c>
      <c r="E11" s="5" t="s">
        <v>151</v>
      </c>
      <c r="F11" s="28" t="s">
        <v>152</v>
      </c>
      <c r="H11" t="s">
        <v>183</v>
      </c>
      <c r="I11" s="10"/>
      <c r="J11" s="39">
        <v>0.09</v>
      </c>
      <c r="L11" s="5" t="s">
        <v>179</v>
      </c>
      <c r="M11" t="s">
        <v>180</v>
      </c>
      <c r="N11" s="13"/>
    </row>
    <row r="12" spans="2:14" x14ac:dyDescent="0.25">
      <c r="B12" s="5" t="s">
        <v>5</v>
      </c>
      <c r="C12" s="15">
        <f>C8-C9+C10</f>
        <v>50613.255879999997</v>
      </c>
      <c r="E12" s="5" t="s">
        <v>153</v>
      </c>
      <c r="F12" s="28" t="s">
        <v>154</v>
      </c>
      <c r="J12" s="13"/>
      <c r="L12" s="5" t="s">
        <v>181</v>
      </c>
      <c r="M12" t="s">
        <v>182</v>
      </c>
      <c r="N12" s="13"/>
    </row>
    <row r="13" spans="2:14" x14ac:dyDescent="0.25">
      <c r="B13" s="5" t="s">
        <v>48</v>
      </c>
      <c r="C13" s="54">
        <f>C6/Model!F17</f>
        <v>258.72720066722258</v>
      </c>
      <c r="E13" s="5"/>
      <c r="J13" s="13"/>
      <c r="L13" s="5"/>
      <c r="N13" s="13"/>
    </row>
    <row r="14" spans="2:14" x14ac:dyDescent="0.25">
      <c r="B14" s="5" t="s">
        <v>46</v>
      </c>
      <c r="C14" s="54">
        <f>C6/Model!G18</f>
        <v>76.606060606060609</v>
      </c>
      <c r="E14" s="22"/>
      <c r="F14" s="29"/>
      <c r="G14" s="29"/>
      <c r="H14" s="29"/>
      <c r="I14" s="29"/>
      <c r="J14" s="23"/>
      <c r="L14" s="22"/>
      <c r="M14" s="29"/>
      <c r="N14" s="23"/>
    </row>
    <row r="15" spans="2:14" x14ac:dyDescent="0.25">
      <c r="B15" s="5" t="s">
        <v>47</v>
      </c>
      <c r="C15" s="54">
        <f>C6/Model!H18</f>
        <v>63.2</v>
      </c>
    </row>
    <row r="16" spans="2:14" x14ac:dyDescent="0.25">
      <c r="B16" s="5" t="s">
        <v>44</v>
      </c>
      <c r="C16" s="6">
        <f>Model!G18/Model!F17-1</f>
        <v>2.3773724770642186</v>
      </c>
    </row>
    <row r="17" spans="2:14" x14ac:dyDescent="0.25">
      <c r="B17" s="5" t="s">
        <v>45</v>
      </c>
      <c r="C17" s="6">
        <f>Model!H18/Model!G18-1</f>
        <v>0.21212121212121215</v>
      </c>
      <c r="E17" s="33" t="s">
        <v>55</v>
      </c>
      <c r="L17" s="127"/>
      <c r="M17" s="128"/>
      <c r="N17" s="129"/>
    </row>
    <row r="18" spans="2:14" x14ac:dyDescent="0.25">
      <c r="B18" s="5" t="s">
        <v>71</v>
      </c>
      <c r="C18" s="54">
        <f>C14/C16</f>
        <v>32.222994648554305</v>
      </c>
      <c r="L18" s="130"/>
      <c r="M18" s="131"/>
      <c r="N18" s="132"/>
    </row>
    <row r="19" spans="2:14" x14ac:dyDescent="0.25">
      <c r="B19" s="5" t="s">
        <v>72</v>
      </c>
      <c r="C19" s="54">
        <f>C15/C17</f>
        <v>297.94285714285712</v>
      </c>
      <c r="L19" s="130"/>
      <c r="M19" s="131"/>
      <c r="N19" s="132"/>
    </row>
    <row r="20" spans="2:14" x14ac:dyDescent="0.25">
      <c r="B20" s="5" t="s">
        <v>81</v>
      </c>
      <c r="C20" s="6">
        <f>Model!G4/Model!F3-1</f>
        <v>0.21797095925774768</v>
      </c>
      <c r="L20" s="130"/>
      <c r="M20" s="131"/>
      <c r="N20" s="132"/>
    </row>
    <row r="21" spans="2:14" x14ac:dyDescent="0.25">
      <c r="B21" s="5" t="s">
        <v>82</v>
      </c>
      <c r="C21" s="6">
        <f>Model!H4/Model!G4-1</f>
        <v>0.19188191881918826</v>
      </c>
      <c r="L21" s="130"/>
      <c r="M21" s="131"/>
      <c r="N21" s="132"/>
    </row>
    <row r="22" spans="2:14" x14ac:dyDescent="0.25">
      <c r="B22" s="5" t="s">
        <v>73</v>
      </c>
      <c r="C22" s="50">
        <f>Model!F12</f>
        <v>237.09100000000012</v>
      </c>
      <c r="L22" s="130"/>
      <c r="M22" s="131"/>
      <c r="N22" s="132"/>
    </row>
    <row r="23" spans="2:14" x14ac:dyDescent="0.25">
      <c r="B23" s="5" t="s">
        <v>19</v>
      </c>
      <c r="C23" s="15">
        <f>Model!F12</f>
        <v>237.09100000000012</v>
      </c>
      <c r="L23" s="130"/>
      <c r="M23" s="131"/>
      <c r="N23" s="132"/>
    </row>
    <row r="24" spans="2:14" x14ac:dyDescent="0.25">
      <c r="B24" s="5" t="s">
        <v>29</v>
      </c>
      <c r="C24" s="7">
        <f>Model!F19</f>
        <v>0.80624598878567844</v>
      </c>
      <c r="L24" s="130"/>
      <c r="M24" s="131"/>
      <c r="N24" s="132"/>
    </row>
    <row r="25" spans="2:14" x14ac:dyDescent="0.25">
      <c r="B25" s="5" t="s">
        <v>30</v>
      </c>
      <c r="C25" s="7">
        <f>Model!F20</f>
        <v>9.4302862186810721E-2</v>
      </c>
      <c r="L25" s="130"/>
      <c r="M25" s="131"/>
      <c r="N25" s="132"/>
    </row>
    <row r="26" spans="2:14" x14ac:dyDescent="0.25">
      <c r="B26" s="5" t="s">
        <v>74</v>
      </c>
      <c r="C26" s="36">
        <f>Main!C12/Model!F12</f>
        <v>213.47607408125981</v>
      </c>
      <c r="L26" s="130"/>
      <c r="M26" s="131"/>
      <c r="N26" s="132"/>
    </row>
    <row r="27" spans="2:14" x14ac:dyDescent="0.25">
      <c r="B27" s="5" t="s">
        <v>83</v>
      </c>
      <c r="C27" s="13">
        <v>0</v>
      </c>
      <c r="E27" t="s">
        <v>77</v>
      </c>
      <c r="L27" s="130"/>
      <c r="M27" s="131"/>
      <c r="N27" s="132"/>
    </row>
    <row r="28" spans="2:14" x14ac:dyDescent="0.25">
      <c r="B28" s="5" t="s">
        <v>84</v>
      </c>
      <c r="C28" s="13">
        <v>0</v>
      </c>
      <c r="E28" t="s">
        <v>184</v>
      </c>
      <c r="L28" s="133"/>
      <c r="M28" s="134"/>
      <c r="N28" s="135"/>
    </row>
    <row r="29" spans="2:14" x14ac:dyDescent="0.25">
      <c r="B29" s="5" t="s">
        <v>85</v>
      </c>
      <c r="C29" s="15">
        <f>Model!V34-Model!V44</f>
        <v>3392.6000000000004</v>
      </c>
    </row>
    <row r="30" spans="2:14" x14ac:dyDescent="0.25">
      <c r="B30" s="5" t="s">
        <v>86</v>
      </c>
      <c r="C30" s="36">
        <f>(Model!V30+Model!V31+Model!V32)/Model!V39</f>
        <v>333.19278996865205</v>
      </c>
    </row>
    <row r="31" spans="2:14" x14ac:dyDescent="0.25">
      <c r="B31" s="5" t="s">
        <v>87</v>
      </c>
      <c r="C31" s="13"/>
    </row>
    <row r="32" spans="2:14" x14ac:dyDescent="0.25">
      <c r="B32" s="5" t="s">
        <v>88</v>
      </c>
      <c r="C32" s="13"/>
    </row>
    <row r="33" spans="2:3" x14ac:dyDescent="0.25">
      <c r="B33" s="5" t="s">
        <v>89</v>
      </c>
      <c r="C33" s="13"/>
    </row>
    <row r="34" spans="2:3" x14ac:dyDescent="0.25">
      <c r="B34" s="5" t="s">
        <v>90</v>
      </c>
      <c r="C34" s="125">
        <f>Model!F15/Model!F38</f>
        <v>4.6396568212850424E-2</v>
      </c>
    </row>
    <row r="35" spans="2:3" x14ac:dyDescent="0.25">
      <c r="B35" s="5" t="s">
        <v>91</v>
      </c>
      <c r="C35" s="125">
        <f>Model!F15/Model!F51</f>
        <v>5.8923634464253395E-2</v>
      </c>
    </row>
    <row r="36" spans="2:3" x14ac:dyDescent="0.25">
      <c r="B36" s="22" t="s">
        <v>92</v>
      </c>
      <c r="C36" s="23"/>
    </row>
  </sheetData>
  <mergeCells count="1">
    <mergeCell ref="L17:N28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345E9-1C5F-45F5-BD7C-66FA029FFFF4}">
  <dimension ref="A1:X72"/>
  <sheetViews>
    <sheetView zoomScaleNormal="100" workbookViewId="0">
      <pane xSplit="1" ySplit="2" topLeftCell="B33" activePane="bottomRight" state="frozen"/>
      <selection pane="topRight" activeCell="B1" sqref="B1"/>
      <selection pane="bottomLeft" activeCell="A3" sqref="A3"/>
      <selection pane="bottomRight" activeCell="V19" sqref="V19"/>
    </sheetView>
  </sheetViews>
  <sheetFormatPr defaultColWidth="11.42578125" defaultRowHeight="15" x14ac:dyDescent="0.25"/>
  <cols>
    <col min="1" max="1" width="27.28515625" customWidth="1"/>
    <col min="6" max="6" width="11.42578125" style="13"/>
    <col min="22" max="22" width="11.42578125" style="13"/>
  </cols>
  <sheetData>
    <row r="1" spans="1:24" x14ac:dyDescent="0.25">
      <c r="A1" s="8" t="s">
        <v>38</v>
      </c>
    </row>
    <row r="2" spans="1:24" x14ac:dyDescent="0.25">
      <c r="B2" t="s">
        <v>34</v>
      </c>
      <c r="C2" t="s">
        <v>18</v>
      </c>
      <c r="D2" t="s">
        <v>14</v>
      </c>
      <c r="E2" t="s">
        <v>15</v>
      </c>
      <c r="F2" s="13" t="s">
        <v>16</v>
      </c>
      <c r="G2" t="s">
        <v>32</v>
      </c>
      <c r="H2" t="s">
        <v>70</v>
      </c>
      <c r="K2" t="s">
        <v>33</v>
      </c>
      <c r="L2" t="s">
        <v>10</v>
      </c>
      <c r="M2" t="s">
        <v>11</v>
      </c>
      <c r="N2" t="s">
        <v>12</v>
      </c>
      <c r="O2" t="s">
        <v>13</v>
      </c>
      <c r="P2" t="s">
        <v>6</v>
      </c>
      <c r="Q2" t="s">
        <v>7</v>
      </c>
      <c r="R2" t="s">
        <v>8</v>
      </c>
      <c r="S2" t="s">
        <v>9</v>
      </c>
      <c r="T2" t="s">
        <v>36</v>
      </c>
      <c r="U2" t="s">
        <v>40</v>
      </c>
      <c r="V2" s="13" t="s">
        <v>41</v>
      </c>
      <c r="W2" t="s">
        <v>65</v>
      </c>
      <c r="X2" t="s">
        <v>69</v>
      </c>
    </row>
    <row r="3" spans="1:24" s="1" customFormat="1" x14ac:dyDescent="0.25">
      <c r="A3" s="1" t="s">
        <v>17</v>
      </c>
      <c r="B3" s="10">
        <v>742.55499999999995</v>
      </c>
      <c r="C3" s="10">
        <v>1092.673</v>
      </c>
      <c r="D3" s="10">
        <v>1541.8889999999999</v>
      </c>
      <c r="E3" s="10">
        <v>1905.8710000000001</v>
      </c>
      <c r="F3" s="15">
        <v>2225.0120000000002</v>
      </c>
      <c r="G3" s="41"/>
      <c r="H3" s="41"/>
      <c r="K3" s="11">
        <v>341.23399999999998</v>
      </c>
      <c r="L3" s="11">
        <v>375.642</v>
      </c>
      <c r="M3" s="11">
        <v>392.14600000000002</v>
      </c>
      <c r="N3" s="11">
        <f>D3-M3-L3-K3</f>
        <v>432.8669999999999</v>
      </c>
      <c r="O3" s="11">
        <v>446.35700000000003</v>
      </c>
      <c r="P3" s="11">
        <v>473.01</v>
      </c>
      <c r="Q3" s="11">
        <v>477.88</v>
      </c>
      <c r="R3" s="11">
        <f>E3-Q3-P3-O3</f>
        <v>508.62399999999997</v>
      </c>
      <c r="S3" s="11">
        <v>525.18600000000004</v>
      </c>
      <c r="T3" s="11">
        <v>533.31700000000001</v>
      </c>
      <c r="U3" s="11">
        <v>558.15899999999999</v>
      </c>
      <c r="V3" s="14">
        <f>F3-U3-T3-S3</f>
        <v>608.35</v>
      </c>
      <c r="W3" s="11"/>
    </row>
    <row r="4" spans="1:24" x14ac:dyDescent="0.25">
      <c r="A4" s="9" t="s">
        <v>67</v>
      </c>
      <c r="B4" s="10"/>
      <c r="C4" s="10"/>
      <c r="D4" s="10"/>
      <c r="E4" s="10"/>
      <c r="F4" s="15"/>
      <c r="G4" s="43">
        <v>2710</v>
      </c>
      <c r="H4" s="43">
        <v>3230</v>
      </c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15"/>
      <c r="W4" s="10">
        <v>625.33000000000004</v>
      </c>
      <c r="X4" s="41">
        <v>653.37</v>
      </c>
    </row>
    <row r="5" spans="1:24" s="1" customFormat="1" x14ac:dyDescent="0.25">
      <c r="A5" s="1" t="s">
        <v>60</v>
      </c>
      <c r="B5" s="10">
        <v>242.37299999999999</v>
      </c>
      <c r="C5" s="10">
        <v>352.54700000000003</v>
      </c>
      <c r="D5" s="10">
        <v>339.404</v>
      </c>
      <c r="E5" s="10">
        <v>408.54899999999998</v>
      </c>
      <c r="F5" s="15">
        <v>431.10500000000002</v>
      </c>
      <c r="G5" s="41"/>
      <c r="H5" s="41"/>
      <c r="K5" s="11">
        <v>74.111000000000004</v>
      </c>
      <c r="L5" s="11">
        <v>90.926000000000002</v>
      </c>
      <c r="M5" s="11">
        <v>86.804000000000002</v>
      </c>
      <c r="N5" s="11">
        <f>D5-M5-L5-K5</f>
        <v>87.562999999999974</v>
      </c>
      <c r="O5" s="11">
        <v>94.403000000000006</v>
      </c>
      <c r="P5" s="41">
        <v>102.224</v>
      </c>
      <c r="Q5" s="11">
        <v>107.611</v>
      </c>
      <c r="R5" s="11">
        <f>E5-Q5-P5-O5</f>
        <v>104.31099999999999</v>
      </c>
      <c r="S5" s="11">
        <v>107.645</v>
      </c>
      <c r="T5" s="11">
        <v>106.899</v>
      </c>
      <c r="U5" s="11">
        <v>107.922</v>
      </c>
      <c r="V5" s="14">
        <f>F5-U5-T5-S5</f>
        <v>108.639</v>
      </c>
    </row>
    <row r="6" spans="1:24" x14ac:dyDescent="0.25">
      <c r="A6" t="s">
        <v>61</v>
      </c>
      <c r="B6" s="10">
        <v>450.12</v>
      </c>
      <c r="C6" s="10">
        <v>683.70100000000002</v>
      </c>
      <c r="D6" s="10">
        <v>614.51199999999994</v>
      </c>
      <c r="E6" s="10">
        <v>702.51099999999997</v>
      </c>
      <c r="F6" s="15">
        <v>744.99199999999996</v>
      </c>
      <c r="G6" s="41"/>
      <c r="H6" s="41"/>
      <c r="K6" s="10">
        <v>136.09700000000001</v>
      </c>
      <c r="L6" s="10">
        <v>162.37899999999999</v>
      </c>
      <c r="M6" s="10">
        <v>153.44300000000001</v>
      </c>
      <c r="N6" s="10">
        <f>D6-M6-L6-K6</f>
        <v>162.59299999999993</v>
      </c>
      <c r="O6" s="10">
        <v>160.48500000000001</v>
      </c>
      <c r="P6" s="10">
        <v>168.875</v>
      </c>
      <c r="Q6" s="10">
        <v>182.91800000000001</v>
      </c>
      <c r="R6" s="10">
        <f>E6-Q6-P6-O6</f>
        <v>190.23299999999995</v>
      </c>
      <c r="S6" s="10">
        <v>187.09299999999999</v>
      </c>
      <c r="T6" s="10">
        <v>184.16300000000001</v>
      </c>
      <c r="U6" s="10">
        <v>176.37299999999999</v>
      </c>
      <c r="V6" s="15">
        <f>F6-U6-T6-S6</f>
        <v>197.36299999999991</v>
      </c>
    </row>
    <row r="7" spans="1:24" x14ac:dyDescent="0.25">
      <c r="A7" t="s">
        <v>75</v>
      </c>
      <c r="B7" s="10">
        <v>305.56299999999999</v>
      </c>
      <c r="C7" s="10">
        <v>560.66</v>
      </c>
      <c r="D7" s="10">
        <v>387.48700000000002</v>
      </c>
      <c r="E7" s="10">
        <v>359.67899999999997</v>
      </c>
      <c r="F7" s="15">
        <v>404.62400000000002</v>
      </c>
      <c r="G7" s="41"/>
      <c r="H7" s="41"/>
      <c r="K7" s="10">
        <v>98.471000000000004</v>
      </c>
      <c r="L7" s="10">
        <v>110.524</v>
      </c>
      <c r="M7" s="10">
        <v>94.316000000000003</v>
      </c>
      <c r="N7" s="10">
        <f>D7-M7-L7-K7</f>
        <v>84.176000000000045</v>
      </c>
      <c r="O7" s="10">
        <v>88.600999999999999</v>
      </c>
      <c r="P7" s="10">
        <v>88.171000000000006</v>
      </c>
      <c r="Q7" s="10">
        <v>100.863</v>
      </c>
      <c r="R7" s="10">
        <f>E7-Q7-P7-O7</f>
        <v>82.043999999999983</v>
      </c>
      <c r="S7" s="10">
        <v>90.1</v>
      </c>
      <c r="T7" s="10">
        <v>99.533000000000001</v>
      </c>
      <c r="U7" s="10">
        <v>105.708</v>
      </c>
      <c r="V7" s="15">
        <f>F7-U7-T7-S7</f>
        <v>109.28300000000004</v>
      </c>
    </row>
    <row r="8" spans="1:24" x14ac:dyDescent="0.25">
      <c r="A8" t="s">
        <v>185</v>
      </c>
      <c r="B8" s="10">
        <v>320.94299999999998</v>
      </c>
      <c r="C8" s="10">
        <v>669.44399999999996</v>
      </c>
      <c r="D8" s="10">
        <v>611.53200000000004</v>
      </c>
      <c r="E8" s="10">
        <v>596.33299999999997</v>
      </c>
      <c r="F8" s="15">
        <v>524.32500000000005</v>
      </c>
      <c r="G8" s="10"/>
      <c r="H8" s="10"/>
      <c r="K8" s="10">
        <v>146.56899999999999</v>
      </c>
      <c r="L8" s="10">
        <v>157.96100000000001</v>
      </c>
      <c r="M8" s="10">
        <v>149.524</v>
      </c>
      <c r="N8" s="10">
        <f>D8-M8-L8-K8</f>
        <v>157.47800000000004</v>
      </c>
      <c r="O8" s="10">
        <v>142.30699999999999</v>
      </c>
      <c r="P8" s="10">
        <v>155.48500000000001</v>
      </c>
      <c r="Q8" s="10">
        <v>148.679</v>
      </c>
      <c r="R8" s="10">
        <f>E8-Q8-P8-O8</f>
        <v>149.86199999999999</v>
      </c>
      <c r="S8" s="10">
        <v>136.233</v>
      </c>
      <c r="T8" s="10">
        <v>132.648</v>
      </c>
      <c r="U8" s="10">
        <v>128.173</v>
      </c>
      <c r="V8" s="15">
        <f>F8-U8-T8-S8</f>
        <v>127.27100000000002</v>
      </c>
    </row>
    <row r="9" spans="1:24" s="1" customFormat="1" x14ac:dyDescent="0.25">
      <c r="A9" s="1" t="s">
        <v>22</v>
      </c>
      <c r="B9" s="11">
        <f>B3-B5-B6-B7-B8</f>
        <v>-576.44399999999996</v>
      </c>
      <c r="C9" s="11">
        <f t="shared" ref="C9:H9" si="0">C3-C5-C6-C7-C8</f>
        <v>-1173.6790000000001</v>
      </c>
      <c r="D9" s="11">
        <f t="shared" si="0"/>
        <v>-411.04600000000011</v>
      </c>
      <c r="E9" s="11">
        <f t="shared" si="0"/>
        <v>-161.20099999999979</v>
      </c>
      <c r="F9" s="11">
        <f t="shared" si="0"/>
        <v>119.96600000000012</v>
      </c>
      <c r="G9" s="11">
        <f t="shared" si="0"/>
        <v>0</v>
      </c>
      <c r="H9" s="11">
        <f t="shared" si="0"/>
        <v>0</v>
      </c>
      <c r="K9" s="11">
        <f t="shared" ref="K9" si="1">K3-K5-K6-K7-K8</f>
        <v>-114.01400000000001</v>
      </c>
      <c r="L9" s="11">
        <f t="shared" ref="L9" si="2">L3-L5-L6-L7-L8</f>
        <v>-146.148</v>
      </c>
      <c r="M9" s="11">
        <f t="shared" ref="M9" si="3">M3-M5-M6-M7-M8</f>
        <v>-91.941000000000031</v>
      </c>
      <c r="N9" s="11">
        <f t="shared" ref="N9" si="4">N3-N5-N6-N7-N8</f>
        <v>-58.943000000000097</v>
      </c>
      <c r="O9" s="11">
        <f t="shared" ref="O9" si="5">O3-O5-O6-O7-O8</f>
        <v>-39.438999999999993</v>
      </c>
      <c r="P9" s="11">
        <f t="shared" ref="P9" si="6">P3-P5-P6-P7-P8</f>
        <v>-41.745000000000019</v>
      </c>
      <c r="Q9" s="11">
        <f t="shared" ref="Q9" si="7">Q3-Q5-Q6-Q7-Q8</f>
        <v>-62.191000000000003</v>
      </c>
      <c r="R9" s="11">
        <f t="shared" ref="R9" si="8">R3-R5-R6-R7-R8</f>
        <v>-17.825999999999937</v>
      </c>
      <c r="S9" s="11">
        <f t="shared" ref="S9" si="9">S3-S5-S6-S7-S8</f>
        <v>4.1150000000000659</v>
      </c>
      <c r="T9" s="11">
        <f t="shared" ref="T9" si="10">T3-T5-T6-T7-T8</f>
        <v>10.073999999999984</v>
      </c>
      <c r="U9" s="11">
        <f t="shared" ref="U9" si="11">U3-U5-U6-U7-U8</f>
        <v>39.982999999999976</v>
      </c>
      <c r="V9" s="14">
        <f t="shared" ref="V9" si="12">V3-V5-V6-V7-V8</f>
        <v>65.794000000000011</v>
      </c>
      <c r="W9" s="11">
        <f t="shared" ref="W9" si="13">W3-W5-W6-W7-W8</f>
        <v>0</v>
      </c>
      <c r="X9" s="11">
        <f t="shared" ref="X9" si="14">X3-X5-X6-X7-X8</f>
        <v>0</v>
      </c>
    </row>
    <row r="10" spans="1:24" x14ac:dyDescent="0.25">
      <c r="A10" t="s">
        <v>186</v>
      </c>
      <c r="B10" s="10">
        <f>15.09-3.061</f>
        <v>12.029</v>
      </c>
      <c r="C10" s="10">
        <f>4.68-14.139</f>
        <v>-9.4589999999999996</v>
      </c>
      <c r="D10" s="10">
        <f>1.607-3.64</f>
        <v>-2.0330000000000004</v>
      </c>
      <c r="E10" s="10">
        <f>20.309-4.058</f>
        <v>16.251000000000001</v>
      </c>
      <c r="F10" s="15">
        <f>132.572-3.47</f>
        <v>129.102</v>
      </c>
      <c r="G10" s="41"/>
      <c r="H10" s="41"/>
      <c r="K10" s="10">
        <f>0.376-1.84</f>
        <v>-1.464</v>
      </c>
      <c r="L10" s="10">
        <f>0.372-0.59</f>
        <v>-0.21799999999999997</v>
      </c>
      <c r="M10" s="10">
        <f>0.379-0.609</f>
        <v>-0.22999999999999998</v>
      </c>
      <c r="N10" s="10">
        <f>D10-M10-L10-K10</f>
        <v>-0.12100000000000044</v>
      </c>
      <c r="O10" s="10">
        <f>0.547-0.594</f>
        <v>-4.6999999999999931E-2</v>
      </c>
      <c r="P10" s="10">
        <f>1.472-0.67</f>
        <v>0.80199999999999994</v>
      </c>
      <c r="Q10" s="10">
        <f>5.54-1.082</f>
        <v>4.4580000000000002</v>
      </c>
      <c r="R10" s="10">
        <f>E10-Q10-P10-O10</f>
        <v>11.038000000000002</v>
      </c>
      <c r="S10" s="10">
        <f>20.853-1.275</f>
        <v>19.578000000000003</v>
      </c>
      <c r="T10" s="10">
        <f>30.31-1.317</f>
        <v>28.992999999999999</v>
      </c>
      <c r="U10" s="10">
        <f>36.864-0.742</f>
        <v>36.122</v>
      </c>
      <c r="V10" s="15">
        <f t="shared" ref="V10:V11" si="15">F10-U10-T10-S10</f>
        <v>44.409000000000006</v>
      </c>
    </row>
    <row r="11" spans="1:24" x14ac:dyDescent="0.25">
      <c r="A11" t="s">
        <v>25</v>
      </c>
      <c r="B11" s="10">
        <f>-0.003-2.853</f>
        <v>-2.8560000000000003</v>
      </c>
      <c r="C11" s="10">
        <f>0.811+3.3</f>
        <v>4.1109999999999998</v>
      </c>
      <c r="D11" s="10">
        <v>-75.415000000000006</v>
      </c>
      <c r="E11" s="10">
        <v>-216.077</v>
      </c>
      <c r="F11" s="15">
        <v>-11.977</v>
      </c>
      <c r="G11" s="41"/>
      <c r="H11" s="41"/>
      <c r="K11" s="10">
        <v>-4.8940000000000001</v>
      </c>
      <c r="L11" s="10">
        <v>2.125</v>
      </c>
      <c r="M11" s="10">
        <v>-8.5280000000000005</v>
      </c>
      <c r="N11" s="10">
        <f>D11-M11-L11-K11</f>
        <v>-64.117999999999995</v>
      </c>
      <c r="O11" s="10">
        <v>-59.87</v>
      </c>
      <c r="P11" s="10">
        <v>-135.798</v>
      </c>
      <c r="Q11" s="10">
        <v>-65.046000000000006</v>
      </c>
      <c r="R11" s="10">
        <f>E11-Q11-P11-O11</f>
        <v>44.636999999999993</v>
      </c>
      <c r="S11" s="10">
        <v>-2.8610000000000002</v>
      </c>
      <c r="T11" s="10">
        <v>-9.0239999999999991</v>
      </c>
      <c r="U11" s="10">
        <v>3.8639999999999999</v>
      </c>
      <c r="V11" s="15">
        <f t="shared" si="15"/>
        <v>-3.9560000000000017</v>
      </c>
    </row>
    <row r="12" spans="1:24" s="1" customFormat="1" x14ac:dyDescent="0.25">
      <c r="A12" s="1" t="s">
        <v>19</v>
      </c>
      <c r="B12" s="11">
        <f>B9+B10+B11</f>
        <v>-567.27099999999996</v>
      </c>
      <c r="C12" s="11">
        <f t="shared" ref="C12:H12" si="16">C9+C10+C11</f>
        <v>-1179.027</v>
      </c>
      <c r="D12" s="11">
        <f t="shared" si="16"/>
        <v>-488.49400000000014</v>
      </c>
      <c r="E12" s="11">
        <f t="shared" si="16"/>
        <v>-361.02699999999982</v>
      </c>
      <c r="F12" s="11">
        <f>F9+F10+F11</f>
        <v>237.09100000000012</v>
      </c>
      <c r="G12" s="11">
        <f t="shared" si="16"/>
        <v>0</v>
      </c>
      <c r="H12" s="11">
        <f t="shared" si="16"/>
        <v>0</v>
      </c>
      <c r="K12" s="11">
        <f t="shared" ref="K12:V12" si="17">K9+K10+K11</f>
        <v>-120.37200000000001</v>
      </c>
      <c r="L12" s="11">
        <f t="shared" si="17"/>
        <v>-144.24099999999999</v>
      </c>
      <c r="M12" s="11">
        <f t="shared" si="17"/>
        <v>-100.69900000000004</v>
      </c>
      <c r="N12" s="11">
        <f t="shared" si="17"/>
        <v>-123.1820000000001</v>
      </c>
      <c r="O12" s="11">
        <f t="shared" si="17"/>
        <v>-99.355999999999995</v>
      </c>
      <c r="P12" s="11">
        <f t="shared" si="17"/>
        <v>-176.74100000000001</v>
      </c>
      <c r="Q12" s="11">
        <f t="shared" si="17"/>
        <v>-122.77900000000001</v>
      </c>
      <c r="R12" s="11">
        <f t="shared" si="17"/>
        <v>37.849000000000061</v>
      </c>
      <c r="S12" s="11">
        <f t="shared" si="17"/>
        <v>20.832000000000068</v>
      </c>
      <c r="T12" s="11">
        <f t="shared" si="17"/>
        <v>30.042999999999978</v>
      </c>
      <c r="U12" s="11">
        <f t="shared" si="17"/>
        <v>79.96899999999998</v>
      </c>
      <c r="V12" s="14">
        <f t="shared" si="17"/>
        <v>106.24700000000001</v>
      </c>
    </row>
    <row r="13" spans="1:24" x14ac:dyDescent="0.25">
      <c r="A13" t="s">
        <v>187</v>
      </c>
      <c r="B13" s="10">
        <v>12.375</v>
      </c>
      <c r="C13" s="10">
        <v>-12.635999999999999</v>
      </c>
      <c r="D13" s="10">
        <v>31.885000000000002</v>
      </c>
      <c r="E13" s="10">
        <v>10.067</v>
      </c>
      <c r="F13" s="15">
        <v>19.716000000000001</v>
      </c>
      <c r="G13" s="41"/>
      <c r="H13" s="41"/>
      <c r="K13" s="10">
        <v>3.1019999999999999</v>
      </c>
      <c r="L13" s="10">
        <v>-5.6609999999999996</v>
      </c>
      <c r="M13" s="10">
        <v>1.4379999999999999</v>
      </c>
      <c r="N13" s="10">
        <f>D13-M13-L13-K13</f>
        <v>33.006000000000007</v>
      </c>
      <c r="O13" s="10">
        <v>2.0230000000000001</v>
      </c>
      <c r="P13" s="10">
        <v>2.5880000000000001</v>
      </c>
      <c r="Q13" s="10">
        <v>1.0960000000000001</v>
      </c>
      <c r="R13" s="10">
        <f>E13-Q13-P13-O13</f>
        <v>4.3599999999999994</v>
      </c>
      <c r="S13" s="10">
        <v>1.681</v>
      </c>
      <c r="T13" s="10">
        <v>2.1709999999999998</v>
      </c>
      <c r="U13" s="10">
        <v>6.53</v>
      </c>
      <c r="V13" s="15">
        <f t="shared" ref="V13:V14" si="18">F13-U13-T13-S13</f>
        <v>9.3339999999999996</v>
      </c>
    </row>
    <row r="14" spans="1:24" x14ac:dyDescent="0.25">
      <c r="A14" t="s">
        <v>76</v>
      </c>
      <c r="B14" s="10">
        <v>0</v>
      </c>
      <c r="C14" s="10">
        <v>0</v>
      </c>
      <c r="D14" s="10">
        <v>0</v>
      </c>
      <c r="E14" s="10">
        <v>2.6110000000000002</v>
      </c>
      <c r="F14" s="15">
        <v>-7.55</v>
      </c>
      <c r="G14" s="41"/>
      <c r="H14" s="41"/>
      <c r="K14" s="10">
        <v>0</v>
      </c>
      <c r="L14" s="10">
        <v>0</v>
      </c>
      <c r="M14" s="10">
        <v>0</v>
      </c>
      <c r="N14" s="10">
        <f>D14-M14-L14-K14</f>
        <v>0</v>
      </c>
      <c r="O14" s="10">
        <v>0</v>
      </c>
      <c r="P14" s="10">
        <v>0</v>
      </c>
      <c r="Q14" s="10">
        <v>0</v>
      </c>
      <c r="R14" s="10">
        <f>E14-Q14-P14-O14</f>
        <v>2.6110000000000002</v>
      </c>
      <c r="S14" s="10">
        <v>2.3490000000000002</v>
      </c>
      <c r="T14" s="10">
        <v>-0.255</v>
      </c>
      <c r="U14" s="10">
        <v>1.9339999999999999</v>
      </c>
      <c r="V14" s="15">
        <f t="shared" si="18"/>
        <v>-11.577999999999999</v>
      </c>
    </row>
    <row r="15" spans="1:24" s="1" customFormat="1" x14ac:dyDescent="0.25">
      <c r="A15" s="1" t="s">
        <v>20</v>
      </c>
      <c r="B15" s="11">
        <f>B12-B13+B14</f>
        <v>-579.64599999999996</v>
      </c>
      <c r="C15" s="11">
        <f>C12-C13+C14</f>
        <v>-1166.3910000000001</v>
      </c>
      <c r="D15" s="11">
        <f>D12-D13+D14</f>
        <v>-520.37900000000013</v>
      </c>
      <c r="E15" s="11">
        <f>E12-E13+E14</f>
        <v>-368.48299999999983</v>
      </c>
      <c r="F15" s="14">
        <f>F12-F13+F14</f>
        <v>209.8250000000001</v>
      </c>
      <c r="G15" s="61"/>
      <c r="H15" s="61"/>
      <c r="K15" s="11">
        <f>K12-K13-K14</f>
        <v>-123.47400000000002</v>
      </c>
      <c r="L15" s="11">
        <f>L12-L13-L14</f>
        <v>-138.57999999999998</v>
      </c>
      <c r="M15" s="11">
        <f>M12-M13-M14</f>
        <v>-102.13700000000004</v>
      </c>
      <c r="N15" s="11">
        <f t="shared" ref="N15:R15" si="19">N12+N13+N14</f>
        <v>-90.176000000000101</v>
      </c>
      <c r="O15" s="11">
        <f t="shared" si="19"/>
        <v>-97.332999999999998</v>
      </c>
      <c r="P15" s="11">
        <f>P12-P13-P14</f>
        <v>-179.32900000000001</v>
      </c>
      <c r="Q15" s="11">
        <f>Q12-Q13-Q14</f>
        <v>-123.87500000000001</v>
      </c>
      <c r="R15" s="11">
        <f t="shared" si="19"/>
        <v>44.820000000000057</v>
      </c>
      <c r="S15" s="11">
        <f>S12-S13-S14</f>
        <v>16.802000000000067</v>
      </c>
      <c r="T15" s="11">
        <f>T12-T13-T14</f>
        <v>28.126999999999978</v>
      </c>
      <c r="U15" s="11">
        <f>U12-U13-U14</f>
        <v>71.504999999999981</v>
      </c>
      <c r="V15" s="14">
        <f>V12-V13-V14</f>
        <v>108.49100000000001</v>
      </c>
      <c r="W15" s="11">
        <f>W16*W18</f>
        <v>0</v>
      </c>
      <c r="X15" s="11"/>
    </row>
    <row r="16" spans="1:24" x14ac:dyDescent="0.25">
      <c r="A16" t="s">
        <v>1</v>
      </c>
      <c r="B16" s="10">
        <v>576.95856000000003</v>
      </c>
      <c r="C16" s="10">
        <v>977.721</v>
      </c>
      <c r="D16" s="10">
        <v>1923.617</v>
      </c>
      <c r="E16" s="10">
        <v>2063.7930000000001</v>
      </c>
      <c r="F16" s="15">
        <v>2147.4459999999999</v>
      </c>
      <c r="G16" s="41"/>
      <c r="H16" s="41"/>
      <c r="K16" s="10">
        <v>1821.1579999999999</v>
      </c>
      <c r="L16" s="10">
        <v>1894.606</v>
      </c>
      <c r="M16" s="10">
        <v>1964.395</v>
      </c>
      <c r="N16" s="10">
        <f>D16</f>
        <v>1923.617</v>
      </c>
      <c r="O16" s="10">
        <v>2036.307</v>
      </c>
      <c r="P16" s="10">
        <v>2054.799</v>
      </c>
      <c r="Q16" s="10">
        <v>2073.2649999999999</v>
      </c>
      <c r="R16" s="10">
        <f>E16</f>
        <v>2063.7930000000001</v>
      </c>
      <c r="S16" s="10">
        <v>2107.7800000000002</v>
      </c>
      <c r="T16" s="10">
        <v>2131.2240000000002</v>
      </c>
      <c r="U16" s="10">
        <v>2162.5300000000002</v>
      </c>
      <c r="V16" s="15">
        <f>F16</f>
        <v>2147.4459999999999</v>
      </c>
      <c r="W16" s="10"/>
      <c r="X16" s="10"/>
    </row>
    <row r="17" spans="1:24" s="1" customFormat="1" x14ac:dyDescent="0.25">
      <c r="A17" s="1" t="s">
        <v>21</v>
      </c>
      <c r="B17" s="2">
        <f>B15/B16</f>
        <v>-1.0046579428512161</v>
      </c>
      <c r="C17" s="2">
        <f>C15/C16</f>
        <v>-1.1929691599137178</v>
      </c>
      <c r="D17" s="2">
        <f>D15/D16</f>
        <v>-0.27052110685235164</v>
      </c>
      <c r="E17" s="2">
        <f>E15/E16</f>
        <v>-0.17854649182355004</v>
      </c>
      <c r="F17" s="57">
        <f>F15/F16</f>
        <v>9.7709092568567552E-2</v>
      </c>
      <c r="G17" s="58"/>
      <c r="H17" s="59"/>
      <c r="K17" s="2">
        <f t="shared" ref="K17" si="20">K15/K16</f>
        <v>-6.7799718640557283E-2</v>
      </c>
      <c r="L17" s="2">
        <f t="shared" ref="L17" si="21">L15/L16</f>
        <v>-7.3144495478215513E-2</v>
      </c>
      <c r="M17" s="2">
        <f t="shared" ref="M17" si="22">M15/M16</f>
        <v>-5.1994125417749511E-2</v>
      </c>
      <c r="N17" s="2">
        <f t="shared" ref="N17:T17" si="23">N15/N16</f>
        <v>-4.6878354682870917E-2</v>
      </c>
      <c r="O17" s="2">
        <f t="shared" si="23"/>
        <v>-4.7798784760844017E-2</v>
      </c>
      <c r="P17" s="2">
        <f t="shared" si="23"/>
        <v>-8.7273256410967698E-2</v>
      </c>
      <c r="Q17" s="2">
        <f t="shared" si="23"/>
        <v>-5.9748753777254728E-2</v>
      </c>
      <c r="R17" s="2">
        <f t="shared" si="23"/>
        <v>2.1717294321668915E-2</v>
      </c>
      <c r="S17" s="2">
        <f t="shared" si="23"/>
        <v>7.9714201671901557E-3</v>
      </c>
      <c r="T17" s="2">
        <f t="shared" si="23"/>
        <v>1.3197580357578544E-2</v>
      </c>
      <c r="U17" s="2">
        <f>U15/U16</f>
        <v>3.3065437242489108E-2</v>
      </c>
      <c r="V17" s="35">
        <f>V15/V16</f>
        <v>5.0520944414900314E-2</v>
      </c>
      <c r="W17" s="52"/>
      <c r="X17" s="52"/>
    </row>
    <row r="18" spans="1:24" s="1" customFormat="1" x14ac:dyDescent="0.25">
      <c r="A18" s="9" t="s">
        <v>66</v>
      </c>
      <c r="B18" s="2"/>
      <c r="C18" s="2"/>
      <c r="D18" s="2"/>
      <c r="E18" s="2"/>
      <c r="F18" s="35"/>
      <c r="G18" s="44">
        <v>0.33</v>
      </c>
      <c r="H18" s="45">
        <v>0.4</v>
      </c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1"/>
      <c r="W18" s="52">
        <v>0.08</v>
      </c>
      <c r="X18" s="52">
        <v>0.08</v>
      </c>
    </row>
    <row r="19" spans="1:24" s="1" customFormat="1" x14ac:dyDescent="0.25">
      <c r="A19" t="s">
        <v>29</v>
      </c>
      <c r="B19" s="3">
        <f>1-B5/B3</f>
        <v>0.67359589525355024</v>
      </c>
      <c r="C19" s="3">
        <f>1-C5/C3</f>
        <v>0.67735360899372454</v>
      </c>
      <c r="D19" s="3">
        <f>1-D5/D3</f>
        <v>0.77987779924495215</v>
      </c>
      <c r="E19" s="3">
        <f>1-E5/E3</f>
        <v>0.78563659345254744</v>
      </c>
      <c r="F19" s="6">
        <f>1-F5/F3</f>
        <v>0.80624598878567844</v>
      </c>
      <c r="G19" s="46"/>
      <c r="H19" s="46"/>
      <c r="K19" s="3">
        <f t="shared" ref="K19:V19" si="24">1-K5/K3</f>
        <v>0.78281472537906538</v>
      </c>
      <c r="L19" s="3">
        <f t="shared" si="24"/>
        <v>0.75794506471587308</v>
      </c>
      <c r="M19" s="3">
        <f t="shared" si="24"/>
        <v>0.77864366842961552</v>
      </c>
      <c r="N19" s="3">
        <f t="shared" si="24"/>
        <v>0.79771384744043783</v>
      </c>
      <c r="O19" s="3">
        <f t="shared" si="24"/>
        <v>0.78850337286073702</v>
      </c>
      <c r="P19" s="3">
        <f t="shared" si="24"/>
        <v>0.78388617576795416</v>
      </c>
      <c r="Q19" s="3">
        <f t="shared" si="24"/>
        <v>0.77481585335230596</v>
      </c>
      <c r="R19" s="3">
        <f t="shared" si="24"/>
        <v>0.79491530089024509</v>
      </c>
      <c r="S19" s="3">
        <f t="shared" si="24"/>
        <v>0.79503452110299966</v>
      </c>
      <c r="T19" s="3">
        <f t="shared" si="24"/>
        <v>0.79955823647099189</v>
      </c>
      <c r="U19" s="3">
        <f t="shared" si="24"/>
        <v>0.80664649320354953</v>
      </c>
      <c r="V19" s="6">
        <f t="shared" si="24"/>
        <v>0.82142023506205308</v>
      </c>
    </row>
    <row r="20" spans="1:24" x14ac:dyDescent="0.25">
      <c r="A20" t="s">
        <v>30</v>
      </c>
      <c r="B20" s="4">
        <f>B15/B3</f>
        <v>-0.78061019049094005</v>
      </c>
      <c r="C20" s="4">
        <f>C15/C3</f>
        <v>-1.0674657468428341</v>
      </c>
      <c r="D20" s="4">
        <f>D15/D3</f>
        <v>-0.33749446296069313</v>
      </c>
      <c r="E20" s="4">
        <f>E15/E3</f>
        <v>-0.19334099737075586</v>
      </c>
      <c r="F20" s="7">
        <f>F15/F3</f>
        <v>9.4302862186810721E-2</v>
      </c>
      <c r="G20" s="47">
        <f>G15/G4</f>
        <v>0</v>
      </c>
      <c r="H20" s="47">
        <f>H15/H4</f>
        <v>0</v>
      </c>
      <c r="K20" s="4">
        <f t="shared" ref="K20:V20" si="25">K15/K3</f>
        <v>-0.3618455370801269</v>
      </c>
      <c r="L20" s="4">
        <f t="shared" si="25"/>
        <v>-0.36891508404278539</v>
      </c>
      <c r="M20" s="4">
        <f t="shared" si="25"/>
        <v>-0.2604565646468408</v>
      </c>
      <c r="N20" s="4">
        <f t="shared" si="25"/>
        <v>-0.20832264875816386</v>
      </c>
      <c r="O20" s="4">
        <f t="shared" si="25"/>
        <v>-0.21806087952020467</v>
      </c>
      <c r="P20" s="4">
        <f t="shared" si="25"/>
        <v>-0.37912306293735865</v>
      </c>
      <c r="Q20" s="4">
        <f t="shared" si="25"/>
        <v>-0.25921779526240901</v>
      </c>
      <c r="R20" s="4">
        <f t="shared" si="25"/>
        <v>8.8120104438642419E-2</v>
      </c>
      <c r="S20" s="4">
        <f t="shared" si="25"/>
        <v>3.1992475046935878E-2</v>
      </c>
      <c r="T20" s="4">
        <f t="shared" si="25"/>
        <v>5.2739740154542192E-2</v>
      </c>
      <c r="U20" s="4">
        <f t="shared" si="25"/>
        <v>0.12810865721057976</v>
      </c>
      <c r="V20" s="7">
        <f t="shared" si="25"/>
        <v>0.17833648393194709</v>
      </c>
    </row>
    <row r="21" spans="1:24" x14ac:dyDescent="0.25">
      <c r="A21" t="s">
        <v>31</v>
      </c>
      <c r="B21" s="3"/>
      <c r="C21" s="3">
        <f>C3/B3-1</f>
        <v>0.47150446768252863</v>
      </c>
      <c r="D21" s="3">
        <f>D3/C3-1</f>
        <v>0.41111659206368234</v>
      </c>
      <c r="E21" s="40">
        <f>E3/D3-1</f>
        <v>0.23606238840798532</v>
      </c>
      <c r="F21" s="6">
        <f>F3/E3-1</f>
        <v>0.16745152216493153</v>
      </c>
      <c r="G21" s="48">
        <f>G4/F3-1</f>
        <v>0.21797095925774768</v>
      </c>
      <c r="H21" s="48">
        <f>H4/G4-1</f>
        <v>0.19188191881918826</v>
      </c>
      <c r="K21" s="4"/>
      <c r="L21" s="4"/>
      <c r="M21" s="4"/>
      <c r="N21" s="4"/>
      <c r="O21" s="4">
        <f t="shared" ref="O21:V21" si="26">O3/K3-1</f>
        <v>0.30806719142875583</v>
      </c>
      <c r="P21" s="4">
        <f t="shared" si="26"/>
        <v>0.25920424233711881</v>
      </c>
      <c r="Q21" s="4">
        <f t="shared" si="26"/>
        <v>0.21862775598884077</v>
      </c>
      <c r="R21" s="4">
        <f t="shared" si="26"/>
        <v>0.17501218619113978</v>
      </c>
      <c r="S21" s="4">
        <f t="shared" si="26"/>
        <v>0.1766052733574246</v>
      </c>
      <c r="T21" s="4">
        <f t="shared" si="26"/>
        <v>0.12749624743662924</v>
      </c>
      <c r="U21" s="4">
        <f t="shared" si="26"/>
        <v>0.16798987193437687</v>
      </c>
      <c r="V21" s="7">
        <f t="shared" si="26"/>
        <v>0.19607018150932731</v>
      </c>
      <c r="W21" s="37">
        <f>W4/S3-1</f>
        <v>0.19068291995597741</v>
      </c>
      <c r="X21" s="37">
        <f>X4/T3-1</f>
        <v>0.22510626887948448</v>
      </c>
    </row>
    <row r="22" spans="1:24" x14ac:dyDescent="0.25">
      <c r="A22" t="s">
        <v>196</v>
      </c>
      <c r="B22" s="4">
        <f t="shared" ref="B22:E22" si="27">B7/B3</f>
        <v>0.41150217828982366</v>
      </c>
      <c r="C22" s="4">
        <f t="shared" si="27"/>
        <v>0.51310867935786819</v>
      </c>
      <c r="D22" s="4">
        <f t="shared" si="27"/>
        <v>0.25130667642093563</v>
      </c>
      <c r="E22" s="4">
        <f t="shared" si="27"/>
        <v>0.18872158713784928</v>
      </c>
      <c r="F22" s="4">
        <f t="shared" ref="F22" si="28">F7/F3</f>
        <v>0.18185250236852654</v>
      </c>
      <c r="G22" s="48"/>
      <c r="H22" s="48"/>
      <c r="K22" s="4">
        <f t="shared" ref="K22:T22" si="29">K7/K3</f>
        <v>0.28857323713346267</v>
      </c>
      <c r="L22" s="4">
        <f t="shared" si="29"/>
        <v>0.29422695012804745</v>
      </c>
      <c r="M22" s="4">
        <f t="shared" si="29"/>
        <v>0.24051246219520281</v>
      </c>
      <c r="N22" s="4">
        <f t="shared" si="29"/>
        <v>0.19446157826768976</v>
      </c>
      <c r="O22" s="4">
        <f t="shared" si="29"/>
        <v>0.19849806320949373</v>
      </c>
      <c r="P22" s="4">
        <f t="shared" si="29"/>
        <v>0.18640409293672439</v>
      </c>
      <c r="Q22" s="4">
        <f t="shared" si="29"/>
        <v>0.21106344689043274</v>
      </c>
      <c r="R22" s="4">
        <f t="shared" si="29"/>
        <v>0.16130579760294439</v>
      </c>
      <c r="S22" s="4">
        <f t="shared" si="29"/>
        <v>0.17155826697589041</v>
      </c>
      <c r="T22" s="4">
        <f t="shared" si="29"/>
        <v>0.18663009054652299</v>
      </c>
      <c r="U22" s="4">
        <f>U7/U3</f>
        <v>0.18938689513203227</v>
      </c>
      <c r="V22" s="7">
        <f>V7/V3</f>
        <v>0.17963836607216246</v>
      </c>
      <c r="W22" s="4"/>
      <c r="X22" s="4"/>
    </row>
    <row r="23" spans="1:24" x14ac:dyDescent="0.25">
      <c r="A23" t="s">
        <v>68</v>
      </c>
      <c r="B23" s="4">
        <f>B6/B3</f>
        <v>0.6061773201985039</v>
      </c>
      <c r="C23" s="4">
        <f>C6/C3</f>
        <v>0.62571418896595776</v>
      </c>
      <c r="D23" s="4">
        <f>D6/D3</f>
        <v>0.39854490174065704</v>
      </c>
      <c r="E23" s="4">
        <f>E6/E3</f>
        <v>0.36860364631184372</v>
      </c>
      <c r="F23" s="4">
        <f>F6/F3</f>
        <v>0.33482605936507304</v>
      </c>
      <c r="G23" s="49"/>
      <c r="H23" s="48"/>
      <c r="K23" s="4">
        <f t="shared" ref="K23:V23" si="30">K6/K3</f>
        <v>0.39883774770392172</v>
      </c>
      <c r="L23" s="4">
        <f t="shared" si="30"/>
        <v>0.4322706193663115</v>
      </c>
      <c r="M23" s="4">
        <f t="shared" si="30"/>
        <v>0.39129048874653827</v>
      </c>
      <c r="N23" s="4">
        <f t="shared" si="30"/>
        <v>0.37561883904293919</v>
      </c>
      <c r="O23" s="4">
        <f t="shared" si="30"/>
        <v>0.35954404210082963</v>
      </c>
      <c r="P23" s="4">
        <f t="shared" si="30"/>
        <v>0.35702205027377859</v>
      </c>
      <c r="Q23" s="4">
        <f t="shared" si="30"/>
        <v>0.38276973298736083</v>
      </c>
      <c r="R23" s="4">
        <f t="shared" si="30"/>
        <v>0.37401498946176343</v>
      </c>
      <c r="S23" s="4">
        <f t="shared" si="30"/>
        <v>0.35624140780599628</v>
      </c>
      <c r="T23" s="4">
        <f t="shared" si="30"/>
        <v>0.34531620030863447</v>
      </c>
      <c r="U23" s="4">
        <f t="shared" si="30"/>
        <v>0.31599060482765662</v>
      </c>
      <c r="V23" s="7">
        <f t="shared" si="30"/>
        <v>0.32442344045368604</v>
      </c>
      <c r="W23" s="4"/>
    </row>
    <row r="24" spans="1:24" x14ac:dyDescent="0.25">
      <c r="A24" t="s">
        <v>198</v>
      </c>
      <c r="B24" s="4"/>
      <c r="C24" s="4"/>
      <c r="D24" s="4"/>
      <c r="E24" s="4"/>
      <c r="F24" s="4"/>
      <c r="G24" s="48"/>
      <c r="H24" s="48"/>
      <c r="K24" s="4">
        <f>K8/K3</f>
        <v>0.42952636607137623</v>
      </c>
      <c r="L24" s="4">
        <f t="shared" ref="L24:V24" si="31">L8/L3</f>
        <v>0.42050942120423174</v>
      </c>
      <c r="M24" s="4">
        <f t="shared" si="31"/>
        <v>0.3812967619203052</v>
      </c>
      <c r="N24" s="4">
        <f t="shared" si="31"/>
        <v>0.36380227644981039</v>
      </c>
      <c r="O24" s="4">
        <f t="shared" si="31"/>
        <v>0.31881879302889837</v>
      </c>
      <c r="P24" s="4">
        <f t="shared" si="31"/>
        <v>0.32871398067694135</v>
      </c>
      <c r="Q24" s="4">
        <f t="shared" si="31"/>
        <v>0.31112203900560809</v>
      </c>
      <c r="R24" s="4">
        <f t="shared" si="31"/>
        <v>0.29464201453332917</v>
      </c>
      <c r="S24" s="4">
        <f t="shared" si="31"/>
        <v>0.25939952702471125</v>
      </c>
      <c r="T24" s="4">
        <f t="shared" si="31"/>
        <v>0.24872261713014959</v>
      </c>
      <c r="U24" s="4">
        <f t="shared" si="31"/>
        <v>0.2296352831361673</v>
      </c>
      <c r="V24" s="7">
        <f t="shared" si="31"/>
        <v>0.20920687104462893</v>
      </c>
      <c r="W24" s="4"/>
    </row>
    <row r="25" spans="1:24" x14ac:dyDescent="0.25">
      <c r="A25" t="s">
        <v>35</v>
      </c>
      <c r="B25" s="3"/>
      <c r="C25" s="3">
        <f>-(C15/B15-1)</f>
        <v>-1.0122471301449507</v>
      </c>
      <c r="D25" s="3">
        <f>-(D15/C15-1)</f>
        <v>0.55385543955671801</v>
      </c>
      <c r="E25" s="40">
        <f>E15/D15-1</f>
        <v>-0.29189494579912001</v>
      </c>
      <c r="F25" s="6">
        <f>F15/E15-1</f>
        <v>-1.5694292545382016</v>
      </c>
      <c r="G25" s="60">
        <f>G18/F17-1</f>
        <v>2.3773724770642186</v>
      </c>
      <c r="H25" s="60">
        <f>H18/G18-1</f>
        <v>0.21212121212121215</v>
      </c>
      <c r="K25" s="4"/>
      <c r="L25" s="4"/>
      <c r="M25" s="4"/>
      <c r="N25" s="4"/>
      <c r="O25" s="4">
        <f t="shared" ref="O25:V25" si="32">O15/K15-1</f>
        <v>-0.21171258726533537</v>
      </c>
      <c r="P25" s="4">
        <f t="shared" si="32"/>
        <v>0.29404675999422736</v>
      </c>
      <c r="Q25" s="4">
        <f t="shared" si="32"/>
        <v>0.21283178475968523</v>
      </c>
      <c r="R25" s="4">
        <f t="shared" si="32"/>
        <v>-1.4970280340667141</v>
      </c>
      <c r="S25" s="4">
        <f t="shared" si="32"/>
        <v>-1.172623878848901</v>
      </c>
      <c r="T25" s="4">
        <f t="shared" si="32"/>
        <v>-1.1568457973891562</v>
      </c>
      <c r="U25" s="4">
        <f t="shared" si="32"/>
        <v>-1.5772351160443994</v>
      </c>
      <c r="V25" s="7">
        <f t="shared" si="32"/>
        <v>1.4205934850513136</v>
      </c>
      <c r="W25" s="4">
        <f>W18/S17-1</f>
        <v>9.0358528746577402</v>
      </c>
      <c r="X25" s="4">
        <f>X18/T17-1</f>
        <v>5.0617172112205413</v>
      </c>
    </row>
    <row r="26" spans="1:24" x14ac:dyDescent="0.25">
      <c r="A26" t="s">
        <v>197</v>
      </c>
      <c r="B26" s="3"/>
      <c r="C26" s="40">
        <f>(C15+C7)/C3</f>
        <v>-0.55435706748496583</v>
      </c>
      <c r="D26" s="40">
        <f>(D15+D7)/D3</f>
        <v>-8.6187786539757477E-2</v>
      </c>
      <c r="E26" s="40">
        <f>(E15+E7)/E3</f>
        <v>-4.6194102329065604E-3</v>
      </c>
      <c r="F26" s="6">
        <f>(F15+F7)/F3</f>
        <v>0.27615536455533723</v>
      </c>
      <c r="G26" s="60"/>
      <c r="H26" s="60"/>
      <c r="K26" s="40">
        <f t="shared" ref="K26:V26" si="33">(K15+K7)/K3</f>
        <v>-7.3272299946664218E-2</v>
      </c>
      <c r="L26" s="40">
        <f t="shared" si="33"/>
        <v>-7.4688133914737928E-2</v>
      </c>
      <c r="M26" s="40">
        <f t="shared" si="33"/>
        <v>-1.9944102451638013E-2</v>
      </c>
      <c r="N26" s="40">
        <f t="shared" si="33"/>
        <v>-1.3861070490474114E-2</v>
      </c>
      <c r="O26" s="40">
        <f t="shared" si="33"/>
        <v>-1.9562816310710929E-2</v>
      </c>
      <c r="P26" s="40">
        <f t="shared" si="33"/>
        <v>-0.19271897000063423</v>
      </c>
      <c r="Q26" s="40">
        <f t="shared" si="33"/>
        <v>-4.8154348371976262E-2</v>
      </c>
      <c r="R26" s="40">
        <f t="shared" si="33"/>
        <v>0.24942590204158679</v>
      </c>
      <c r="S26" s="40">
        <f t="shared" si="33"/>
        <v>0.2035507420228263</v>
      </c>
      <c r="T26" s="40">
        <f t="shared" si="33"/>
        <v>0.23936983070106518</v>
      </c>
      <c r="U26" s="40">
        <f t="shared" si="33"/>
        <v>0.31749555234261201</v>
      </c>
      <c r="V26" s="6">
        <f t="shared" si="33"/>
        <v>0.35797485000410956</v>
      </c>
      <c r="W26" s="4"/>
      <c r="X26" s="4"/>
    </row>
    <row r="29" spans="1:24" s="1" customFormat="1" x14ac:dyDescent="0.25">
      <c r="A29" s="1" t="s">
        <v>39</v>
      </c>
      <c r="B29" s="11">
        <f>B30+B32-B39-B40-B48</f>
        <v>1003.2130000000001</v>
      </c>
      <c r="C29" s="11">
        <f t="shared" ref="C29:F29" si="34">C30+C32-C39-C40-C48</f>
        <v>1800.8359999999998</v>
      </c>
      <c r="D29" s="11">
        <f t="shared" si="34"/>
        <v>2067.366</v>
      </c>
      <c r="E29" s="11">
        <f t="shared" si="34"/>
        <v>2435.078</v>
      </c>
      <c r="F29" s="11">
        <f t="shared" si="34"/>
        <v>785.50200000000007</v>
      </c>
      <c r="K29" s="11">
        <f t="shared" ref="K29" si="35">K30+K32-K39-K40-K48</f>
        <v>0</v>
      </c>
      <c r="L29" s="11">
        <f t="shared" ref="L29" si="36">L30+L32-L39-L40-L48</f>
        <v>0</v>
      </c>
      <c r="M29" s="11">
        <f t="shared" ref="M29" si="37">M30+M32-M39-M40-M48</f>
        <v>0</v>
      </c>
      <c r="N29" s="11">
        <f t="shared" ref="N29" si="38">N30+N32-N39-N40-N48</f>
        <v>2067.366</v>
      </c>
      <c r="O29" s="11">
        <f t="shared" ref="O29" si="39">O30+O32-O39-O40-O48</f>
        <v>2150.5309999999999</v>
      </c>
      <c r="P29" s="11">
        <f t="shared" ref="P29" si="40">P30+P32-P39-P40-P48</f>
        <v>2025.3030000000001</v>
      </c>
      <c r="Q29" s="11">
        <f t="shared" ref="Q29" si="41">Q30+Q32-Q39-Q40-Q48</f>
        <v>2060.0819999999999</v>
      </c>
      <c r="R29" s="11">
        <f t="shared" ref="R29" si="42">R30+R32-R39-R40-R48</f>
        <v>2435.078</v>
      </c>
      <c r="S29" s="11">
        <f t="shared" ref="S29" si="43">S30+S32-S39-S40-S48</f>
        <v>1145.2479999999998</v>
      </c>
      <c r="T29" s="11">
        <f t="shared" ref="T29" si="44">T30+T32-T39-T40-T48</f>
        <v>1048.3150000000001</v>
      </c>
      <c r="U29" s="11">
        <f t="shared" ref="U29" si="45">U30+U32-U39-U40-U48</f>
        <v>1102.2840000000001</v>
      </c>
      <c r="V29" s="14">
        <f t="shared" ref="V29" si="46">V30+V32-V39-V40-V48</f>
        <v>785.50200000000007</v>
      </c>
    </row>
    <row r="30" spans="1:24" x14ac:dyDescent="0.25">
      <c r="A30" t="s">
        <v>23</v>
      </c>
      <c r="B30" s="10">
        <f>1079.154+52.099</f>
        <v>1131.2529999999999</v>
      </c>
      <c r="C30" s="10">
        <f>2011.323+37.285</f>
        <v>2048.6080000000002</v>
      </c>
      <c r="D30" s="10">
        <f>2290.674+36.628</f>
        <v>2327.3020000000001</v>
      </c>
      <c r="E30" s="10">
        <v>2598.54</v>
      </c>
      <c r="F30" s="15">
        <v>831.04700000000003</v>
      </c>
      <c r="K30" s="10"/>
      <c r="L30" s="10"/>
      <c r="M30" s="10"/>
      <c r="N30" s="10">
        <f>D30</f>
        <v>2327.3020000000001</v>
      </c>
      <c r="O30" s="10">
        <f>2269.411+33.804</f>
        <v>2303.2150000000001</v>
      </c>
      <c r="P30" s="10">
        <f>2358.393+28.125</f>
        <v>2386.518</v>
      </c>
      <c r="Q30" s="10">
        <f>2411.29+20.557</f>
        <v>2431.8469999999998</v>
      </c>
      <c r="R30" s="10">
        <f>E30</f>
        <v>2598.54</v>
      </c>
      <c r="S30" s="10">
        <f>1264.738+11.946</f>
        <v>1276.684</v>
      </c>
      <c r="T30" s="10">
        <v>1055.923</v>
      </c>
      <c r="U30" s="10">
        <v>1040.31</v>
      </c>
      <c r="V30" s="15">
        <f>F30</f>
        <v>831.04700000000003</v>
      </c>
    </row>
    <row r="31" spans="1:24" x14ac:dyDescent="0.25">
      <c r="A31" t="s">
        <v>188</v>
      </c>
      <c r="B31" s="10">
        <v>0</v>
      </c>
      <c r="C31" s="10">
        <v>0</v>
      </c>
      <c r="D31" s="10">
        <v>234.15299999999999</v>
      </c>
      <c r="E31" s="10">
        <v>35.134999999999998</v>
      </c>
      <c r="F31" s="15">
        <v>2843.1320000000001</v>
      </c>
      <c r="G31" s="10"/>
      <c r="K31" s="10"/>
      <c r="L31" s="10"/>
      <c r="M31" s="10"/>
      <c r="N31" s="10">
        <f t="shared" ref="N31:N33" si="47">D31</f>
        <v>234.15299999999999</v>
      </c>
      <c r="O31" s="10">
        <v>256.55399999999997</v>
      </c>
      <c r="P31" s="10">
        <v>265.82600000000002</v>
      </c>
      <c r="Q31" s="10">
        <v>343.26400000000001</v>
      </c>
      <c r="R31" s="10">
        <f t="shared" ref="R31:R33" si="48">E31</f>
        <v>35.134999999999998</v>
      </c>
      <c r="S31" s="10">
        <v>1639.797</v>
      </c>
      <c r="T31" s="10">
        <v>2047.329</v>
      </c>
      <c r="U31" s="10">
        <v>2243.2640000000001</v>
      </c>
      <c r="V31" s="15">
        <f t="shared" ref="V31:V33" si="49">F31</f>
        <v>2843.1320000000001</v>
      </c>
    </row>
    <row r="32" spans="1:24" x14ac:dyDescent="0.25">
      <c r="A32" t="s">
        <v>24</v>
      </c>
      <c r="B32" s="10">
        <v>50.314999999999998</v>
      </c>
      <c r="C32" s="10">
        <v>156.93199999999999</v>
      </c>
      <c r="D32" s="10">
        <v>190.923</v>
      </c>
      <c r="E32" s="10">
        <v>258.346</v>
      </c>
      <c r="F32" s="15">
        <v>364.78399999999999</v>
      </c>
      <c r="K32" s="10"/>
      <c r="L32" s="10"/>
      <c r="M32" s="10"/>
      <c r="N32" s="10">
        <f t="shared" si="47"/>
        <v>190.923</v>
      </c>
      <c r="O32" s="10">
        <v>252.56299999999999</v>
      </c>
      <c r="P32" s="10">
        <v>99.21</v>
      </c>
      <c r="Q32" s="10">
        <v>57.341999999999999</v>
      </c>
      <c r="R32" s="10">
        <f t="shared" si="48"/>
        <v>258.346</v>
      </c>
      <c r="S32" s="10">
        <v>254.041</v>
      </c>
      <c r="T32" s="10">
        <v>375.75599999999997</v>
      </c>
      <c r="U32" s="10">
        <v>430.26900000000001</v>
      </c>
      <c r="V32" s="15">
        <f t="shared" si="49"/>
        <v>364.78399999999999</v>
      </c>
    </row>
    <row r="33" spans="1:24" x14ac:dyDescent="0.25">
      <c r="A33" t="s">
        <v>78</v>
      </c>
      <c r="B33" s="10">
        <v>32.585000000000001</v>
      </c>
      <c r="C33" s="10">
        <v>51.889000000000003</v>
      </c>
      <c r="D33" s="10">
        <v>110.872</v>
      </c>
      <c r="E33" s="10">
        <v>149.55600000000001</v>
      </c>
      <c r="F33" s="15">
        <v>99.655000000000001</v>
      </c>
      <c r="K33" s="10"/>
      <c r="L33" s="10"/>
      <c r="M33" s="10"/>
      <c r="N33" s="10">
        <f t="shared" si="47"/>
        <v>110.872</v>
      </c>
      <c r="O33" s="10">
        <v>115.042</v>
      </c>
      <c r="P33" s="10">
        <v>150.88499999999999</v>
      </c>
      <c r="Q33" s="10">
        <v>114.157</v>
      </c>
      <c r="R33" s="10">
        <f t="shared" si="48"/>
        <v>149.55600000000001</v>
      </c>
      <c r="S33" s="10">
        <v>85.625</v>
      </c>
      <c r="T33" s="10">
        <v>97.906000000000006</v>
      </c>
      <c r="U33" s="10">
        <v>95.554000000000002</v>
      </c>
      <c r="V33" s="15">
        <f t="shared" si="49"/>
        <v>99.655000000000001</v>
      </c>
    </row>
    <row r="34" spans="1:24" s="1" customFormat="1" x14ac:dyDescent="0.25">
      <c r="A34" s="1" t="s">
        <v>62</v>
      </c>
      <c r="B34" s="11">
        <f>SUM(B30:B33)</f>
        <v>1214.153</v>
      </c>
      <c r="C34" s="11">
        <f>SUM(C30:C33)</f>
        <v>2257.4290000000001</v>
      </c>
      <c r="D34" s="11">
        <f>SUM(D30:D33)</f>
        <v>2863.2499999999995</v>
      </c>
      <c r="E34" s="11">
        <f>SUM(E30:E33)</f>
        <v>3041.5770000000002</v>
      </c>
      <c r="F34" s="14">
        <f>SUM(F30:F33)</f>
        <v>4138.6180000000004</v>
      </c>
      <c r="K34" s="11">
        <f t="shared" ref="K34:V34" si="50">SUM(K30:K33)</f>
        <v>0</v>
      </c>
      <c r="L34" s="11">
        <f t="shared" si="50"/>
        <v>0</v>
      </c>
      <c r="M34" s="11">
        <f t="shared" si="50"/>
        <v>0</v>
      </c>
      <c r="N34" s="11">
        <f t="shared" si="50"/>
        <v>2863.2499999999995</v>
      </c>
      <c r="O34" s="11">
        <f t="shared" si="50"/>
        <v>2927.3740000000003</v>
      </c>
      <c r="P34" s="11">
        <f t="shared" si="50"/>
        <v>2902.4390000000003</v>
      </c>
      <c r="Q34" s="11">
        <f t="shared" si="50"/>
        <v>2946.61</v>
      </c>
      <c r="R34" s="11">
        <f t="shared" si="50"/>
        <v>3041.5770000000002</v>
      </c>
      <c r="S34" s="11">
        <f t="shared" si="50"/>
        <v>3256.1469999999999</v>
      </c>
      <c r="T34" s="11">
        <f t="shared" si="50"/>
        <v>3576.9139999999998</v>
      </c>
      <c r="U34" s="11">
        <f t="shared" si="50"/>
        <v>3809.3969999999999</v>
      </c>
      <c r="V34" s="14">
        <f t="shared" si="50"/>
        <v>4138.6180000000004</v>
      </c>
    </row>
    <row r="35" spans="1:24" x14ac:dyDescent="0.25">
      <c r="A35" t="s">
        <v>79</v>
      </c>
      <c r="B35" s="10">
        <f>31.589+270.709</f>
        <v>302.298</v>
      </c>
      <c r="C35" s="10">
        <v>29.541</v>
      </c>
      <c r="D35" s="10">
        <v>31.303999999999998</v>
      </c>
      <c r="E35" s="10">
        <v>69.17</v>
      </c>
      <c r="F35" s="15">
        <v>47.758000000000003</v>
      </c>
      <c r="K35" s="10"/>
      <c r="L35" s="10"/>
      <c r="M35" s="10"/>
      <c r="N35" s="10">
        <f t="shared" ref="N35:N37" si="51">D35</f>
        <v>31.303999999999998</v>
      </c>
      <c r="O35" s="10">
        <v>41.866</v>
      </c>
      <c r="P35" s="10">
        <v>47.643999999999998</v>
      </c>
      <c r="Q35" s="10">
        <v>57.822000000000003</v>
      </c>
      <c r="R35" s="10">
        <f t="shared" ref="R35:R37" si="52">E35</f>
        <v>69.17</v>
      </c>
      <c r="S35" s="10">
        <v>63.115000000000002</v>
      </c>
      <c r="T35" s="10">
        <v>54.097000000000001</v>
      </c>
      <c r="U35" s="10">
        <v>50.133000000000003</v>
      </c>
      <c r="V35" s="15">
        <f t="shared" ref="V35:V37" si="53">F35</f>
        <v>47.758000000000003</v>
      </c>
    </row>
    <row r="36" spans="1:24" x14ac:dyDescent="0.25">
      <c r="A36" t="s">
        <v>189</v>
      </c>
      <c r="B36" s="10"/>
      <c r="C36" s="10">
        <v>217.07499999999999</v>
      </c>
      <c r="D36" s="10">
        <v>216.898</v>
      </c>
      <c r="E36" s="10">
        <v>200.24</v>
      </c>
      <c r="F36" s="15">
        <v>182.863</v>
      </c>
      <c r="K36" s="10"/>
      <c r="L36" s="10"/>
      <c r="M36" s="10"/>
      <c r="N36" s="10">
        <f t="shared" si="51"/>
        <v>216.898</v>
      </c>
      <c r="O36" s="10">
        <v>224.88800000000001</v>
      </c>
      <c r="P36" s="10">
        <v>211.41</v>
      </c>
      <c r="Q36" s="10">
        <v>199.35900000000001</v>
      </c>
      <c r="R36" s="10">
        <f t="shared" si="52"/>
        <v>200.24</v>
      </c>
      <c r="S36" s="10">
        <v>210.01900000000001</v>
      </c>
      <c r="T36" s="10">
        <v>199.661</v>
      </c>
      <c r="U36" s="10">
        <v>190.191</v>
      </c>
      <c r="V36" s="15">
        <f t="shared" si="53"/>
        <v>182.863</v>
      </c>
    </row>
    <row r="37" spans="1:24" x14ac:dyDescent="0.25">
      <c r="A37" t="s">
        <v>25</v>
      </c>
      <c r="B37" s="10">
        <v>77.573999999999998</v>
      </c>
      <c r="C37" s="10">
        <f>79.538+106.921</f>
        <v>186.459</v>
      </c>
      <c r="D37" s="10">
        <f>39.612+96.386</f>
        <v>135.99799999999999</v>
      </c>
      <c r="E37" s="10">
        <v>150.25200000000001</v>
      </c>
      <c r="F37" s="15">
        <v>153.18600000000001</v>
      </c>
      <c r="K37" s="10"/>
      <c r="L37" s="10"/>
      <c r="M37" s="10"/>
      <c r="N37" s="10">
        <f t="shared" si="51"/>
        <v>135.99799999999999</v>
      </c>
      <c r="O37" s="10">
        <f>29.222+95.829</f>
        <v>125.05099999999999</v>
      </c>
      <c r="P37" s="10">
        <f>28.647+92.198</f>
        <v>120.845</v>
      </c>
      <c r="Q37" s="10">
        <f>20.902+94.142</f>
        <v>115.044</v>
      </c>
      <c r="R37" s="10">
        <f t="shared" si="52"/>
        <v>150.25200000000001</v>
      </c>
      <c r="S37" s="10">
        <f>12.095+141.762</f>
        <v>153.857</v>
      </c>
      <c r="T37" s="10">
        <v>149.59200000000001</v>
      </c>
      <c r="U37" s="10">
        <v>143.696</v>
      </c>
      <c r="V37" s="15">
        <f t="shared" si="53"/>
        <v>153.18600000000001</v>
      </c>
    </row>
    <row r="38" spans="1:24" x14ac:dyDescent="0.25">
      <c r="A38" s="1" t="s">
        <v>26</v>
      </c>
      <c r="B38" s="11">
        <f>SUM(B34:B37)</f>
        <v>1594.0250000000001</v>
      </c>
      <c r="C38" s="11">
        <f>SUM(C34:C37)</f>
        <v>2690.5039999999999</v>
      </c>
      <c r="D38" s="11">
        <f>SUM(D34:D37)</f>
        <v>3247.45</v>
      </c>
      <c r="E38" s="11">
        <f>SUM(E34:E37)</f>
        <v>3461.239</v>
      </c>
      <c r="F38" s="14">
        <f>SUM(F34:F37)</f>
        <v>4522.4250000000002</v>
      </c>
      <c r="K38" s="11">
        <f t="shared" ref="K38:V38" si="54">SUM(K34:K37)</f>
        <v>0</v>
      </c>
      <c r="L38" s="11">
        <f t="shared" si="54"/>
        <v>0</v>
      </c>
      <c r="M38" s="11">
        <f t="shared" si="54"/>
        <v>0</v>
      </c>
      <c r="N38" s="11">
        <f t="shared" si="54"/>
        <v>3247.45</v>
      </c>
      <c r="O38" s="11">
        <f t="shared" si="54"/>
        <v>3319.1790000000001</v>
      </c>
      <c r="P38" s="11">
        <f t="shared" si="54"/>
        <v>3282.3379999999997</v>
      </c>
      <c r="Q38" s="11">
        <f t="shared" si="54"/>
        <v>3318.835</v>
      </c>
      <c r="R38" s="11">
        <f t="shared" si="54"/>
        <v>3461.239</v>
      </c>
      <c r="S38" s="11">
        <f t="shared" si="54"/>
        <v>3683.1379999999999</v>
      </c>
      <c r="T38" s="11">
        <f t="shared" si="54"/>
        <v>3980.2640000000001</v>
      </c>
      <c r="U38" s="11">
        <f t="shared" si="54"/>
        <v>4193.4169999999995</v>
      </c>
      <c r="V38" s="14">
        <f t="shared" si="54"/>
        <v>4522.4250000000002</v>
      </c>
    </row>
    <row r="39" spans="1:24" x14ac:dyDescent="0.25">
      <c r="A39" t="s">
        <v>28</v>
      </c>
      <c r="B39" s="10">
        <v>51.734999999999999</v>
      </c>
      <c r="C39" s="10">
        <v>16.358000000000001</v>
      </c>
      <c r="D39" s="10">
        <v>74.906999999999996</v>
      </c>
      <c r="E39" s="10">
        <v>44.787999999999997</v>
      </c>
      <c r="F39" s="15">
        <v>12.122</v>
      </c>
      <c r="K39" s="10"/>
      <c r="L39" s="10"/>
      <c r="M39" s="10"/>
      <c r="N39" s="10">
        <f t="shared" ref="N39:N43" si="55">D39</f>
        <v>74.906999999999996</v>
      </c>
      <c r="O39" s="10">
        <v>27.454000000000001</v>
      </c>
      <c r="P39" s="10">
        <v>56.798000000000002</v>
      </c>
      <c r="Q39" s="10">
        <v>59.506999999999998</v>
      </c>
      <c r="R39" s="10">
        <f t="shared" ref="R39:R43" si="56">E39</f>
        <v>44.787999999999997</v>
      </c>
      <c r="S39" s="10">
        <v>4.53</v>
      </c>
      <c r="T39" s="10">
        <v>4.6130000000000004</v>
      </c>
      <c r="U39" s="10">
        <v>9.4749999999999996</v>
      </c>
      <c r="V39" s="15">
        <f t="shared" ref="V39:V43" si="57">F39</f>
        <v>12.122</v>
      </c>
    </row>
    <row r="40" spans="1:24" x14ac:dyDescent="0.25">
      <c r="A40" t="s">
        <v>190</v>
      </c>
      <c r="B40" s="10">
        <v>126.62</v>
      </c>
      <c r="C40" s="10">
        <v>158.54599999999999</v>
      </c>
      <c r="D40" s="10">
        <v>155.80600000000001</v>
      </c>
      <c r="E40" s="10">
        <v>172.715</v>
      </c>
      <c r="F40" s="15">
        <v>222.99100000000001</v>
      </c>
      <c r="K40" s="10"/>
      <c r="L40" s="10"/>
      <c r="M40" s="10"/>
      <c r="N40" s="10">
        <f t="shared" si="55"/>
        <v>155.80600000000001</v>
      </c>
      <c r="O40" s="10">
        <v>150.17599999999999</v>
      </c>
      <c r="P40" s="10">
        <v>187.56800000000001</v>
      </c>
      <c r="Q40" s="10">
        <v>164.697</v>
      </c>
      <c r="R40" s="10">
        <f t="shared" si="56"/>
        <v>172.715</v>
      </c>
      <c r="S40" s="10">
        <v>174.52500000000001</v>
      </c>
      <c r="T40" s="10">
        <v>184.61699999999999</v>
      </c>
      <c r="U40" s="10">
        <v>174.75299999999999</v>
      </c>
      <c r="V40" s="15">
        <f t="shared" si="57"/>
        <v>222.99100000000001</v>
      </c>
    </row>
    <row r="41" spans="1:24" x14ac:dyDescent="0.25">
      <c r="A41" t="s">
        <v>191</v>
      </c>
      <c r="B41" s="10">
        <v>186.10499999999999</v>
      </c>
      <c r="C41" s="10">
        <v>189.52</v>
      </c>
      <c r="D41" s="10">
        <v>227.816</v>
      </c>
      <c r="E41" s="10">
        <v>183.35</v>
      </c>
      <c r="F41" s="15">
        <v>246.90100000000001</v>
      </c>
      <c r="K41" s="10"/>
      <c r="L41" s="10"/>
      <c r="M41" s="10"/>
      <c r="N41" s="10">
        <f t="shared" si="55"/>
        <v>227.816</v>
      </c>
      <c r="O41" s="10">
        <v>218.52099999999999</v>
      </c>
      <c r="P41" s="10">
        <v>219.441</v>
      </c>
      <c r="Q41" s="10">
        <v>189.77099999999999</v>
      </c>
      <c r="R41" s="10">
        <f t="shared" si="56"/>
        <v>183.35</v>
      </c>
      <c r="S41" s="10">
        <v>229.55099999999999</v>
      </c>
      <c r="T41" s="10">
        <v>260.33499999999998</v>
      </c>
      <c r="U41" s="10">
        <v>223.50700000000001</v>
      </c>
      <c r="V41" s="15">
        <f t="shared" si="57"/>
        <v>246.90100000000001</v>
      </c>
    </row>
    <row r="42" spans="1:24" x14ac:dyDescent="0.25">
      <c r="A42" t="s">
        <v>192</v>
      </c>
      <c r="B42" s="10">
        <v>364.13799999999998</v>
      </c>
      <c r="C42" s="10">
        <v>210.32</v>
      </c>
      <c r="D42" s="10">
        <v>161.60499999999999</v>
      </c>
      <c r="E42" s="10">
        <v>141.989</v>
      </c>
      <c r="F42" s="15">
        <v>209.828</v>
      </c>
      <c r="K42" s="10"/>
      <c r="L42" s="10"/>
      <c r="M42" s="10"/>
      <c r="N42" s="10">
        <f t="shared" si="55"/>
        <v>161.60499999999999</v>
      </c>
      <c r="O42" s="10">
        <v>232.90799999999999</v>
      </c>
      <c r="P42" s="10">
        <v>161.02600000000001</v>
      </c>
      <c r="Q42" s="10">
        <v>234.142</v>
      </c>
      <c r="R42" s="10">
        <f t="shared" si="56"/>
        <v>141.989</v>
      </c>
      <c r="S42" s="10">
        <v>139.74100000000001</v>
      </c>
      <c r="T42" s="10">
        <v>183.964</v>
      </c>
      <c r="U42" s="10">
        <v>228.98599999999999</v>
      </c>
      <c r="V42" s="15">
        <f t="shared" si="57"/>
        <v>209.828</v>
      </c>
    </row>
    <row r="43" spans="1:24" x14ac:dyDescent="0.25">
      <c r="A43" t="s">
        <v>64</v>
      </c>
      <c r="B43" s="10">
        <v>0</v>
      </c>
      <c r="C43" s="10">
        <v>29.079000000000001</v>
      </c>
      <c r="D43" s="10">
        <v>39.927</v>
      </c>
      <c r="E43" s="10">
        <v>45.098999999999997</v>
      </c>
      <c r="F43" s="15">
        <v>54.176000000000002</v>
      </c>
      <c r="K43" s="10"/>
      <c r="L43" s="10"/>
      <c r="M43" s="10"/>
      <c r="N43" s="10">
        <f t="shared" si="55"/>
        <v>39.927</v>
      </c>
      <c r="O43" s="10">
        <v>40.045000000000002</v>
      </c>
      <c r="P43" s="10">
        <v>40.908999999999999</v>
      </c>
      <c r="Q43" s="10">
        <v>40.232999999999997</v>
      </c>
      <c r="R43" s="10">
        <f t="shared" si="56"/>
        <v>45.098999999999997</v>
      </c>
      <c r="S43" s="10">
        <v>53.066000000000003</v>
      </c>
      <c r="T43" s="10">
        <v>51.854999999999997</v>
      </c>
      <c r="U43" s="10">
        <v>52.204000000000001</v>
      </c>
      <c r="V43" s="15">
        <f t="shared" si="57"/>
        <v>54.176000000000002</v>
      </c>
    </row>
    <row r="44" spans="1:24" s="1" customFormat="1" x14ac:dyDescent="0.25">
      <c r="A44" s="1" t="s">
        <v>63</v>
      </c>
      <c r="B44" s="11">
        <f>SUM(B39:B43)</f>
        <v>728.59799999999996</v>
      </c>
      <c r="C44" s="11">
        <f>SUM(C39:C43)</f>
        <v>603.82299999999987</v>
      </c>
      <c r="D44" s="11">
        <f>SUM(D39:D43)</f>
        <v>660.06100000000004</v>
      </c>
      <c r="E44" s="11">
        <f>SUM(E39:E43)</f>
        <v>587.94100000000003</v>
      </c>
      <c r="F44" s="14">
        <f>SUM(F39:F43)</f>
        <v>746.01800000000003</v>
      </c>
      <c r="K44" s="11">
        <f t="shared" ref="K44:V44" si="58">SUM(K39:K43)</f>
        <v>0</v>
      </c>
      <c r="L44" s="11">
        <f t="shared" si="58"/>
        <v>0</v>
      </c>
      <c r="M44" s="11">
        <f t="shared" si="58"/>
        <v>0</v>
      </c>
      <c r="N44" s="11">
        <f t="shared" si="58"/>
        <v>660.06100000000004</v>
      </c>
      <c r="O44" s="11">
        <f t="shared" si="58"/>
        <v>669.10399999999993</v>
      </c>
      <c r="P44" s="11">
        <f t="shared" si="58"/>
        <v>665.74200000000008</v>
      </c>
      <c r="Q44" s="11">
        <f t="shared" si="58"/>
        <v>688.34999999999991</v>
      </c>
      <c r="R44" s="11">
        <f t="shared" si="58"/>
        <v>587.94100000000003</v>
      </c>
      <c r="S44" s="11">
        <f t="shared" si="58"/>
        <v>601.41300000000001</v>
      </c>
      <c r="T44" s="11">
        <f t="shared" si="58"/>
        <v>685.38400000000001</v>
      </c>
      <c r="U44" s="11">
        <f t="shared" si="58"/>
        <v>688.92499999999995</v>
      </c>
      <c r="V44" s="14">
        <f t="shared" si="58"/>
        <v>746.01800000000003</v>
      </c>
      <c r="W44" s="11"/>
      <c r="X44" s="11"/>
    </row>
    <row r="45" spans="1:24" x14ac:dyDescent="0.25">
      <c r="A45" t="s">
        <v>191</v>
      </c>
      <c r="B45" s="10">
        <v>77.03</v>
      </c>
      <c r="C45" s="10">
        <v>50.524999999999999</v>
      </c>
      <c r="D45" s="10">
        <v>40.216999999999999</v>
      </c>
      <c r="E45" s="10">
        <v>9.9649999999999999</v>
      </c>
      <c r="F45" s="15">
        <v>28.047000000000001</v>
      </c>
      <c r="K45" s="10"/>
      <c r="L45" s="10"/>
      <c r="M45" s="10"/>
      <c r="N45" s="10">
        <f t="shared" ref="N45:N49" si="59">D45</f>
        <v>40.216999999999999</v>
      </c>
      <c r="O45" s="10">
        <v>33.244</v>
      </c>
      <c r="P45" s="10">
        <v>34.143000000000001</v>
      </c>
      <c r="Q45" s="10">
        <v>31.382999999999999</v>
      </c>
      <c r="R45" s="10">
        <f t="shared" ref="R45:R49" si="60">E45</f>
        <v>9.9649999999999999</v>
      </c>
      <c r="S45" s="10">
        <v>54.4</v>
      </c>
      <c r="T45" s="10">
        <v>50.408000000000001</v>
      </c>
      <c r="U45" s="10">
        <v>34.880000000000003</v>
      </c>
      <c r="V45" s="15">
        <f t="shared" ref="V45:V49" si="61">F45</f>
        <v>28.047000000000001</v>
      </c>
    </row>
    <row r="46" spans="1:24" x14ac:dyDescent="0.25">
      <c r="A46" t="s">
        <v>192</v>
      </c>
      <c r="B46" s="10">
        <v>167.53800000000001</v>
      </c>
      <c r="C46" s="10">
        <v>81.513000000000005</v>
      </c>
      <c r="D46" s="10">
        <v>33.698999999999998</v>
      </c>
      <c r="E46" s="10">
        <v>3.9359999999999999</v>
      </c>
      <c r="F46" s="15">
        <v>1.4770000000000001</v>
      </c>
      <c r="K46" s="10"/>
      <c r="L46" s="10"/>
      <c r="M46" s="10"/>
      <c r="N46" s="10">
        <f t="shared" si="59"/>
        <v>33.698999999999998</v>
      </c>
      <c r="O46" s="10">
        <v>22.276</v>
      </c>
      <c r="P46" s="10">
        <v>15.412000000000001</v>
      </c>
      <c r="Q46" s="10">
        <v>5.5330000000000004</v>
      </c>
      <c r="R46" s="10">
        <f t="shared" si="60"/>
        <v>3.9359999999999999</v>
      </c>
      <c r="S46" s="10">
        <v>4.1619999999999999</v>
      </c>
      <c r="T46" s="10">
        <v>3.0990000000000002</v>
      </c>
      <c r="U46" s="10">
        <v>2.234</v>
      </c>
      <c r="V46" s="15">
        <f t="shared" si="61"/>
        <v>1.4770000000000001</v>
      </c>
    </row>
    <row r="47" spans="1:24" x14ac:dyDescent="0.25">
      <c r="A47" t="s">
        <v>194</v>
      </c>
      <c r="B47" s="10">
        <v>396.065</v>
      </c>
      <c r="C47" s="10">
        <v>197.99700000000001</v>
      </c>
      <c r="D47" s="10">
        <v>0</v>
      </c>
      <c r="E47" s="10">
        <v>0</v>
      </c>
      <c r="F47" s="15">
        <v>0</v>
      </c>
      <c r="K47" s="10"/>
      <c r="L47" s="10"/>
      <c r="M47" s="10"/>
      <c r="N47" s="10">
        <f t="shared" si="59"/>
        <v>0</v>
      </c>
      <c r="O47" s="10">
        <v>0</v>
      </c>
      <c r="P47" s="10">
        <v>0</v>
      </c>
      <c r="Q47" s="10">
        <v>0</v>
      </c>
      <c r="R47" s="10">
        <f t="shared" si="60"/>
        <v>0</v>
      </c>
      <c r="S47" s="10">
        <v>0</v>
      </c>
      <c r="T47" s="10">
        <v>0</v>
      </c>
      <c r="U47" s="10">
        <v>0</v>
      </c>
      <c r="V47" s="15">
        <f t="shared" si="61"/>
        <v>0</v>
      </c>
    </row>
    <row r="48" spans="1:24" x14ac:dyDescent="0.25">
      <c r="A48" t="s">
        <v>193</v>
      </c>
      <c r="B48" s="10">
        <v>0</v>
      </c>
      <c r="C48" s="10">
        <v>229.8</v>
      </c>
      <c r="D48" s="10">
        <v>220.14599999999999</v>
      </c>
      <c r="E48" s="10">
        <v>204.30500000000001</v>
      </c>
      <c r="F48" s="15">
        <v>175.21600000000001</v>
      </c>
      <c r="K48" s="10"/>
      <c r="L48" s="10"/>
      <c r="M48" s="10"/>
      <c r="N48" s="10">
        <f t="shared" si="59"/>
        <v>220.14599999999999</v>
      </c>
      <c r="O48" s="10">
        <v>227.61699999999999</v>
      </c>
      <c r="P48" s="10">
        <v>216.059</v>
      </c>
      <c r="Q48" s="10">
        <v>204.90299999999999</v>
      </c>
      <c r="R48" s="10">
        <f t="shared" si="60"/>
        <v>204.30500000000001</v>
      </c>
      <c r="S48" s="10">
        <v>206.422</v>
      </c>
      <c r="T48" s="10">
        <v>194.13399999999999</v>
      </c>
      <c r="U48" s="10">
        <v>184.06700000000001</v>
      </c>
      <c r="V48" s="15">
        <f t="shared" si="61"/>
        <v>175.21600000000001</v>
      </c>
    </row>
    <row r="49" spans="1:22" x14ac:dyDescent="0.25">
      <c r="A49" t="s">
        <v>25</v>
      </c>
      <c r="B49" s="10">
        <v>78.204999999999998</v>
      </c>
      <c r="C49" s="10">
        <v>4.3159999999999998</v>
      </c>
      <c r="D49" s="10">
        <v>2.2970000000000002</v>
      </c>
      <c r="E49" s="10">
        <v>12.654999999999999</v>
      </c>
      <c r="F49" s="15">
        <v>10.702</v>
      </c>
      <c r="K49" s="10"/>
      <c r="L49" s="10"/>
      <c r="M49" s="10"/>
      <c r="N49" s="10">
        <f t="shared" si="59"/>
        <v>2.2970000000000002</v>
      </c>
      <c r="O49" s="10">
        <v>2.1920000000000002</v>
      </c>
      <c r="P49" s="10">
        <v>2.1579999999999999</v>
      </c>
      <c r="Q49" s="10">
        <v>2.0510000000000002</v>
      </c>
      <c r="R49" s="10">
        <f t="shared" si="60"/>
        <v>12.654999999999999</v>
      </c>
      <c r="S49" s="10">
        <v>13.548</v>
      </c>
      <c r="T49" s="10">
        <v>12.101000000000001</v>
      </c>
      <c r="U49" s="10">
        <v>11.414</v>
      </c>
      <c r="V49" s="15">
        <f t="shared" si="61"/>
        <v>10.702</v>
      </c>
    </row>
    <row r="50" spans="1:22" x14ac:dyDescent="0.25">
      <c r="A50" s="1" t="s">
        <v>27</v>
      </c>
      <c r="B50" s="11">
        <f>SUM(B44:B49)</f>
        <v>1447.4359999999999</v>
      </c>
      <c r="C50" s="11">
        <f>SUM(C44:C49)</f>
        <v>1167.9739999999999</v>
      </c>
      <c r="D50" s="11">
        <f>SUM(D44:D49)</f>
        <v>956.42</v>
      </c>
      <c r="E50" s="11">
        <f>SUM(E44:E49)</f>
        <v>818.80200000000013</v>
      </c>
      <c r="F50" s="14">
        <f>SUM(F44:F49)</f>
        <v>961.46</v>
      </c>
      <c r="K50" s="11">
        <f t="shared" ref="K50:V50" si="62">SUM(K44:K49)</f>
        <v>0</v>
      </c>
      <c r="L50" s="11">
        <f t="shared" si="62"/>
        <v>0</v>
      </c>
      <c r="M50" s="11">
        <f t="shared" si="62"/>
        <v>0</v>
      </c>
      <c r="N50" s="11">
        <f t="shared" si="62"/>
        <v>956.42</v>
      </c>
      <c r="O50" s="11">
        <f t="shared" si="62"/>
        <v>954.43299999999988</v>
      </c>
      <c r="P50" s="11">
        <f t="shared" si="62"/>
        <v>933.51400000000012</v>
      </c>
      <c r="Q50" s="11">
        <f t="shared" si="62"/>
        <v>932.22</v>
      </c>
      <c r="R50" s="11">
        <f t="shared" si="62"/>
        <v>818.80200000000013</v>
      </c>
      <c r="S50" s="11">
        <f t="shared" si="62"/>
        <v>879.94500000000005</v>
      </c>
      <c r="T50" s="11">
        <f t="shared" si="62"/>
        <v>945.12600000000009</v>
      </c>
      <c r="U50" s="11">
        <f t="shared" si="62"/>
        <v>921.52</v>
      </c>
      <c r="V50" s="14">
        <f t="shared" si="62"/>
        <v>961.46</v>
      </c>
    </row>
    <row r="51" spans="1:22" x14ac:dyDescent="0.25">
      <c r="A51" t="s">
        <v>80</v>
      </c>
      <c r="B51" s="10">
        <f t="shared" ref="B51:E51" si="63">B38-B50</f>
        <v>146.58900000000017</v>
      </c>
      <c r="C51" s="10">
        <f t="shared" si="63"/>
        <v>1522.53</v>
      </c>
      <c r="D51" s="10">
        <f t="shared" si="63"/>
        <v>2291.0299999999997</v>
      </c>
      <c r="E51" s="10">
        <f t="shared" si="63"/>
        <v>2642.4369999999999</v>
      </c>
      <c r="F51" s="15">
        <f>F38-F50</f>
        <v>3560.9650000000001</v>
      </c>
      <c r="N51" s="10">
        <f t="shared" ref="N51:V51" si="64">N38-N50</f>
        <v>2291.0299999999997</v>
      </c>
      <c r="O51" s="10">
        <f t="shared" si="64"/>
        <v>2364.7460000000001</v>
      </c>
      <c r="P51" s="10">
        <f t="shared" si="64"/>
        <v>2348.8239999999996</v>
      </c>
      <c r="Q51" s="10">
        <f t="shared" si="64"/>
        <v>2386.6149999999998</v>
      </c>
      <c r="R51" s="10">
        <f t="shared" si="64"/>
        <v>2642.4369999999999</v>
      </c>
      <c r="S51" s="10">
        <f t="shared" si="64"/>
        <v>2803.1929999999998</v>
      </c>
      <c r="T51" s="10">
        <f t="shared" si="64"/>
        <v>3035.1379999999999</v>
      </c>
      <c r="U51" s="10">
        <f t="shared" si="64"/>
        <v>3271.8969999999995</v>
      </c>
      <c r="V51" s="15">
        <f t="shared" si="64"/>
        <v>3560.9650000000001</v>
      </c>
    </row>
    <row r="52" spans="1:22" x14ac:dyDescent="0.25">
      <c r="R52" s="124"/>
      <c r="S52" s="124"/>
      <c r="T52" s="124"/>
      <c r="U52" s="124"/>
      <c r="V52" s="56"/>
    </row>
    <row r="53" spans="1:22" s="1" customFormat="1" x14ac:dyDescent="0.25">
      <c r="A53" s="1" t="s">
        <v>195</v>
      </c>
      <c r="B53" s="55"/>
      <c r="C53" s="55"/>
      <c r="D53" s="55"/>
      <c r="E53" s="124"/>
      <c r="F53" s="56">
        <f>F10/F31</f>
        <v>4.5408373582373242E-2</v>
      </c>
      <c r="R53" s="124"/>
      <c r="S53" s="124">
        <f t="shared" ref="S53:V53" si="65">S10/S31</f>
        <v>1.193928272828893E-2</v>
      </c>
      <c r="T53" s="124">
        <f t="shared" si="65"/>
        <v>1.4161378068693404E-2</v>
      </c>
      <c r="U53" s="124">
        <f t="shared" si="65"/>
        <v>1.6102429317280533E-2</v>
      </c>
      <c r="V53" s="56">
        <f t="shared" si="65"/>
        <v>1.5619746110979021E-2</v>
      </c>
    </row>
    <row r="71" spans="6:22" s="9" customFormat="1" x14ac:dyDescent="0.25">
      <c r="F71" s="42"/>
      <c r="V71" s="42"/>
    </row>
    <row r="72" spans="6:22" s="1" customFormat="1" x14ac:dyDescent="0.25">
      <c r="F72" s="16"/>
      <c r="V72" s="16"/>
    </row>
  </sheetData>
  <phoneticPr fontId="3" type="noConversion"/>
  <hyperlinks>
    <hyperlink ref="A1" location="Main!A1" display="Main" xr:uid="{A5C06EBA-D952-421E-93A2-3BF49E6344BF}"/>
  </hyperlinks>
  <pageMargins left="0.7" right="0.7" top="0.78740157499999996" bottom="0.78740157499999996" header="0.3" footer="0.3"/>
  <pageSetup paperSize="9" orientation="portrait" r:id="rId1"/>
  <ignoredErrors>
    <ignoredError sqref="B44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E03BE-2423-4BDB-9A98-002F9CED8953}">
  <dimension ref="A1"/>
  <sheetViews>
    <sheetView topLeftCell="B1" workbookViewId="0">
      <selection activeCell="X23" sqref="X2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EC602-D7CA-409B-9962-CCABA92C723B}">
  <dimension ref="A1:L2067"/>
  <sheetViews>
    <sheetView workbookViewId="0">
      <selection activeCell="H9" sqref="H9"/>
    </sheetView>
  </sheetViews>
  <sheetFormatPr defaultRowHeight="15" x14ac:dyDescent="0.25"/>
  <cols>
    <col min="1" max="1" width="11.7109375" customWidth="1"/>
    <col min="2" max="2" width="9.42578125" customWidth="1"/>
    <col min="4" max="4" width="12.140625" customWidth="1"/>
    <col min="5" max="5" width="17.28515625" customWidth="1"/>
    <col min="10" max="10" width="10.140625" bestFit="1" customWidth="1"/>
    <col min="12" max="12" width="12.42578125" customWidth="1"/>
    <col min="19" max="19" width="10.140625" customWidth="1"/>
  </cols>
  <sheetData>
    <row r="1" spans="1:12" x14ac:dyDescent="0.25">
      <c r="A1" t="s">
        <v>51</v>
      </c>
      <c r="B1" s="17" t="s">
        <v>52</v>
      </c>
    </row>
    <row r="2" spans="1:12" x14ac:dyDescent="0.25">
      <c r="A2" s="12">
        <v>44102</v>
      </c>
      <c r="B2" s="18">
        <v>9.1999999999999993</v>
      </c>
      <c r="D2" t="s">
        <v>51</v>
      </c>
      <c r="E2" t="s">
        <v>53</v>
      </c>
      <c r="L2" t="s">
        <v>54</v>
      </c>
    </row>
    <row r="3" spans="1:12" x14ac:dyDescent="0.25">
      <c r="A3" s="12">
        <v>44109</v>
      </c>
      <c r="B3" s="18">
        <v>9.9499999999999993</v>
      </c>
      <c r="D3" s="12">
        <v>45328</v>
      </c>
      <c r="E3" t="s">
        <v>56</v>
      </c>
      <c r="L3" s="12"/>
    </row>
    <row r="4" spans="1:12" x14ac:dyDescent="0.25">
      <c r="A4" s="12">
        <v>44116</v>
      </c>
      <c r="B4" s="18">
        <v>9.7100000000000009</v>
      </c>
      <c r="D4" s="12">
        <v>45302</v>
      </c>
      <c r="E4" t="s">
        <v>56</v>
      </c>
      <c r="L4" s="12"/>
    </row>
    <row r="5" spans="1:12" x14ac:dyDescent="0.25">
      <c r="A5" s="12">
        <v>44123</v>
      </c>
      <c r="B5" s="18">
        <v>9.49</v>
      </c>
      <c r="L5" s="12"/>
    </row>
    <row r="6" spans="1:12" x14ac:dyDescent="0.25">
      <c r="A6" s="12">
        <v>44130</v>
      </c>
      <c r="B6" s="18">
        <v>10.130000000000001</v>
      </c>
      <c r="L6" s="12"/>
    </row>
    <row r="7" spans="1:12" x14ac:dyDescent="0.25">
      <c r="A7" s="12">
        <v>44137</v>
      </c>
      <c r="B7" s="18">
        <v>13.83</v>
      </c>
      <c r="L7" s="12"/>
    </row>
    <row r="8" spans="1:12" x14ac:dyDescent="0.25">
      <c r="A8" s="12">
        <v>44144</v>
      </c>
      <c r="B8" s="18">
        <v>15.8</v>
      </c>
      <c r="L8" s="12"/>
    </row>
    <row r="9" spans="1:12" x14ac:dyDescent="0.25">
      <c r="A9" s="12">
        <v>44151</v>
      </c>
      <c r="B9" s="18">
        <v>18.149999999999999</v>
      </c>
      <c r="L9" s="12"/>
    </row>
    <row r="10" spans="1:12" x14ac:dyDescent="0.25">
      <c r="A10" s="12">
        <v>44158</v>
      </c>
      <c r="B10" s="18">
        <v>27.66</v>
      </c>
      <c r="L10" s="12"/>
    </row>
    <row r="11" spans="1:12" x14ac:dyDescent="0.25">
      <c r="A11" s="12">
        <v>44165</v>
      </c>
      <c r="B11" s="18">
        <v>23.85</v>
      </c>
      <c r="L11" s="12"/>
    </row>
    <row r="12" spans="1:12" x14ac:dyDescent="0.25">
      <c r="A12" s="12">
        <v>44172</v>
      </c>
      <c r="B12" s="18">
        <v>27.200001</v>
      </c>
      <c r="L12" s="12"/>
    </row>
    <row r="13" spans="1:12" x14ac:dyDescent="0.25">
      <c r="A13" s="12">
        <v>44179</v>
      </c>
      <c r="B13" s="18">
        <v>25.969999000000001</v>
      </c>
    </row>
    <row r="14" spans="1:12" x14ac:dyDescent="0.25">
      <c r="A14" s="12">
        <v>44186</v>
      </c>
      <c r="B14" s="18">
        <v>27.75</v>
      </c>
    </row>
    <row r="15" spans="1:12" x14ac:dyDescent="0.25">
      <c r="A15" s="12">
        <v>44193</v>
      </c>
      <c r="B15" s="18">
        <v>23.549999</v>
      </c>
    </row>
    <row r="16" spans="1:12" x14ac:dyDescent="0.25">
      <c r="A16" s="12">
        <v>44200</v>
      </c>
      <c r="B16" s="18">
        <v>25.200001</v>
      </c>
    </row>
    <row r="17" spans="1:2" x14ac:dyDescent="0.25">
      <c r="A17" s="12">
        <v>44207</v>
      </c>
      <c r="B17" s="18">
        <v>25.639999</v>
      </c>
    </row>
    <row r="18" spans="1:2" x14ac:dyDescent="0.25">
      <c r="A18" s="12">
        <v>44214</v>
      </c>
      <c r="B18" s="18">
        <v>32.580002</v>
      </c>
    </row>
    <row r="19" spans="1:2" x14ac:dyDescent="0.25">
      <c r="A19" s="12">
        <v>44221</v>
      </c>
      <c r="B19" s="18">
        <v>35.18</v>
      </c>
    </row>
    <row r="20" spans="1:2" x14ac:dyDescent="0.25">
      <c r="A20" s="12">
        <v>44228</v>
      </c>
      <c r="B20" s="18">
        <v>34.049999</v>
      </c>
    </row>
    <row r="21" spans="1:2" x14ac:dyDescent="0.25">
      <c r="A21" s="12">
        <v>44235</v>
      </c>
      <c r="B21" s="18">
        <v>31.91</v>
      </c>
    </row>
    <row r="22" spans="1:2" x14ac:dyDescent="0.25">
      <c r="A22" s="12">
        <v>44242</v>
      </c>
      <c r="B22" s="18">
        <v>29</v>
      </c>
    </row>
    <row r="23" spans="1:2" x14ac:dyDescent="0.25">
      <c r="A23" s="12">
        <v>44249</v>
      </c>
      <c r="B23" s="18">
        <v>23.9</v>
      </c>
    </row>
    <row r="24" spans="1:2" x14ac:dyDescent="0.25">
      <c r="A24" s="12">
        <v>44256</v>
      </c>
      <c r="B24" s="18">
        <v>23.950001</v>
      </c>
    </row>
    <row r="25" spans="1:2" x14ac:dyDescent="0.25">
      <c r="A25" s="12">
        <v>44263</v>
      </c>
      <c r="B25" s="18">
        <v>26.92</v>
      </c>
    </row>
    <row r="26" spans="1:2" x14ac:dyDescent="0.25">
      <c r="A26" s="12">
        <v>44270</v>
      </c>
      <c r="B26" s="18">
        <v>24.32</v>
      </c>
    </row>
    <row r="27" spans="1:2" x14ac:dyDescent="0.25">
      <c r="A27" s="12">
        <v>44277</v>
      </c>
      <c r="B27" s="18">
        <v>22.58</v>
      </c>
    </row>
    <row r="28" spans="1:2" x14ac:dyDescent="0.25">
      <c r="A28" s="12">
        <v>44284</v>
      </c>
      <c r="B28" s="18">
        <v>23.07</v>
      </c>
    </row>
    <row r="29" spans="1:2" x14ac:dyDescent="0.25">
      <c r="A29" s="12">
        <v>44291</v>
      </c>
      <c r="B29" s="18">
        <v>24.040001</v>
      </c>
    </row>
    <row r="30" spans="1:2" x14ac:dyDescent="0.25">
      <c r="A30" s="12">
        <v>44298</v>
      </c>
      <c r="B30" s="18">
        <v>22.469999000000001</v>
      </c>
    </row>
    <row r="31" spans="1:2" x14ac:dyDescent="0.25">
      <c r="A31" s="12">
        <v>44305</v>
      </c>
      <c r="B31" s="18">
        <v>23.41</v>
      </c>
    </row>
    <row r="32" spans="1:2" x14ac:dyDescent="0.25">
      <c r="A32" s="12">
        <v>44312</v>
      </c>
      <c r="B32" s="18">
        <v>23.040001</v>
      </c>
    </row>
    <row r="33" spans="1:2" x14ac:dyDescent="0.25">
      <c r="A33" s="12">
        <v>44319</v>
      </c>
      <c r="B33" s="18">
        <v>19.75</v>
      </c>
    </row>
    <row r="34" spans="1:2" x14ac:dyDescent="0.25">
      <c r="A34" s="12">
        <v>44326</v>
      </c>
      <c r="B34" s="18">
        <v>20.079999999999998</v>
      </c>
    </row>
    <row r="35" spans="1:2" x14ac:dyDescent="0.25">
      <c r="A35" s="12">
        <v>44333</v>
      </c>
      <c r="B35" s="18">
        <v>20.75</v>
      </c>
    </row>
    <row r="36" spans="1:2" x14ac:dyDescent="0.25">
      <c r="A36" s="12">
        <v>44340</v>
      </c>
      <c r="B36" s="18">
        <v>22.950001</v>
      </c>
    </row>
    <row r="37" spans="1:2" x14ac:dyDescent="0.25">
      <c r="A37" s="12">
        <v>44347</v>
      </c>
      <c r="B37" s="18">
        <v>24.030000999999999</v>
      </c>
    </row>
    <row r="38" spans="1:2" x14ac:dyDescent="0.25">
      <c r="A38" s="12">
        <v>44354</v>
      </c>
      <c r="B38" s="18">
        <v>24.67</v>
      </c>
    </row>
    <row r="39" spans="1:2" x14ac:dyDescent="0.25">
      <c r="A39" s="12">
        <v>44361</v>
      </c>
      <c r="B39" s="18">
        <v>25.370000999999998</v>
      </c>
    </row>
    <row r="40" spans="1:2" x14ac:dyDescent="0.25">
      <c r="A40" s="12">
        <v>44368</v>
      </c>
      <c r="B40" s="18">
        <v>26.780000999999999</v>
      </c>
    </row>
    <row r="41" spans="1:2" x14ac:dyDescent="0.25">
      <c r="A41" s="12">
        <v>44375</v>
      </c>
      <c r="B41" s="18">
        <v>24.440000999999999</v>
      </c>
    </row>
    <row r="42" spans="1:2" x14ac:dyDescent="0.25">
      <c r="A42" s="12">
        <v>44382</v>
      </c>
      <c r="B42" s="18">
        <v>23.290001</v>
      </c>
    </row>
    <row r="43" spans="1:2" x14ac:dyDescent="0.25">
      <c r="A43" s="12">
        <v>44389</v>
      </c>
      <c r="B43" s="18">
        <v>21.370000999999998</v>
      </c>
    </row>
    <row r="44" spans="1:2" x14ac:dyDescent="0.25">
      <c r="A44" s="12">
        <v>44396</v>
      </c>
      <c r="B44" s="18">
        <v>21.809999000000001</v>
      </c>
    </row>
    <row r="45" spans="1:2" x14ac:dyDescent="0.25">
      <c r="A45" s="12">
        <v>44403</v>
      </c>
      <c r="B45" s="18">
        <v>21.709999</v>
      </c>
    </row>
    <row r="46" spans="1:2" x14ac:dyDescent="0.25">
      <c r="A46" s="12">
        <v>44410</v>
      </c>
      <c r="B46" s="18">
        <v>21.82</v>
      </c>
    </row>
    <row r="47" spans="1:2" x14ac:dyDescent="0.25">
      <c r="A47" s="12">
        <v>44417</v>
      </c>
      <c r="B47" s="18">
        <v>24.9</v>
      </c>
    </row>
    <row r="48" spans="1:2" x14ac:dyDescent="0.25">
      <c r="A48" s="12">
        <v>44424</v>
      </c>
      <c r="B48" s="18">
        <v>24.01</v>
      </c>
    </row>
    <row r="49" spans="1:2" x14ac:dyDescent="0.25">
      <c r="A49" s="12">
        <v>44431</v>
      </c>
      <c r="B49" s="18">
        <v>25.709999</v>
      </c>
    </row>
    <row r="50" spans="1:2" x14ac:dyDescent="0.25">
      <c r="A50" s="12">
        <v>44438</v>
      </c>
      <c r="B50" s="18">
        <v>26.639999</v>
      </c>
    </row>
    <row r="51" spans="1:2" x14ac:dyDescent="0.25">
      <c r="A51" s="12">
        <v>44445</v>
      </c>
      <c r="B51" s="18">
        <v>26.280000999999999</v>
      </c>
    </row>
    <row r="52" spans="1:2" x14ac:dyDescent="0.25">
      <c r="A52" s="12">
        <v>44452</v>
      </c>
      <c r="B52" s="18">
        <v>28.709999</v>
      </c>
    </row>
    <row r="53" spans="1:2" x14ac:dyDescent="0.25">
      <c r="A53" s="12">
        <v>44459</v>
      </c>
      <c r="B53" s="18">
        <v>28.559999000000001</v>
      </c>
    </row>
    <row r="54" spans="1:2" x14ac:dyDescent="0.25">
      <c r="A54" s="12">
        <v>44466</v>
      </c>
      <c r="B54" s="18">
        <v>24.33</v>
      </c>
    </row>
    <row r="55" spans="1:2" x14ac:dyDescent="0.25">
      <c r="A55" s="12">
        <v>44473</v>
      </c>
      <c r="B55" s="18">
        <v>23.5</v>
      </c>
    </row>
    <row r="56" spans="1:2" x14ac:dyDescent="0.25">
      <c r="A56" s="12">
        <v>44480</v>
      </c>
      <c r="B56" s="18">
        <v>24</v>
      </c>
    </row>
    <row r="57" spans="1:2" x14ac:dyDescent="0.25">
      <c r="A57" s="12">
        <v>44487</v>
      </c>
      <c r="B57" s="18">
        <v>24.43</v>
      </c>
    </row>
    <row r="58" spans="1:2" x14ac:dyDescent="0.25">
      <c r="A58" s="12">
        <v>44494</v>
      </c>
      <c r="B58" s="18">
        <v>25.879999000000002</v>
      </c>
    </row>
    <row r="59" spans="1:2" x14ac:dyDescent="0.25">
      <c r="A59" s="12">
        <v>44501</v>
      </c>
      <c r="B59" s="18">
        <v>26</v>
      </c>
    </row>
    <row r="60" spans="1:2" x14ac:dyDescent="0.25">
      <c r="A60" s="12">
        <v>44508</v>
      </c>
      <c r="B60" s="18">
        <v>22.83</v>
      </c>
    </row>
    <row r="61" spans="1:2" x14ac:dyDescent="0.25">
      <c r="A61" s="12">
        <v>44515</v>
      </c>
      <c r="B61" s="18">
        <v>21.41</v>
      </c>
    </row>
    <row r="62" spans="1:2" x14ac:dyDescent="0.25">
      <c r="A62" s="12">
        <v>44522</v>
      </c>
      <c r="B62" s="18">
        <v>21.030000999999999</v>
      </c>
    </row>
    <row r="63" spans="1:2" x14ac:dyDescent="0.25">
      <c r="A63" s="12">
        <v>44529</v>
      </c>
      <c r="B63" s="18">
        <v>18.98</v>
      </c>
    </row>
    <row r="64" spans="1:2" x14ac:dyDescent="0.25">
      <c r="A64" s="12">
        <v>44536</v>
      </c>
      <c r="B64" s="18">
        <v>18.940000999999999</v>
      </c>
    </row>
    <row r="65" spans="1:2" x14ac:dyDescent="0.25">
      <c r="A65" s="12">
        <v>44543</v>
      </c>
      <c r="B65" s="18">
        <v>19.059999000000001</v>
      </c>
    </row>
    <row r="66" spans="1:2" x14ac:dyDescent="0.25">
      <c r="A66" s="12">
        <v>44550</v>
      </c>
      <c r="B66" s="18">
        <v>18.93</v>
      </c>
    </row>
    <row r="67" spans="1:2" x14ac:dyDescent="0.25">
      <c r="A67" s="12">
        <v>44557</v>
      </c>
      <c r="B67" s="18">
        <v>18.209999</v>
      </c>
    </row>
    <row r="68" spans="1:2" x14ac:dyDescent="0.25">
      <c r="A68" s="12">
        <v>44564</v>
      </c>
      <c r="B68" s="18">
        <v>16.559999000000001</v>
      </c>
    </row>
    <row r="69" spans="1:2" x14ac:dyDescent="0.25">
      <c r="A69" s="12">
        <v>44571</v>
      </c>
      <c r="B69" s="18">
        <v>16.010000000000002</v>
      </c>
    </row>
    <row r="70" spans="1:2" x14ac:dyDescent="0.25">
      <c r="A70" s="12">
        <v>44578</v>
      </c>
      <c r="B70" s="18">
        <v>13.53</v>
      </c>
    </row>
    <row r="71" spans="1:2" x14ac:dyDescent="0.25">
      <c r="A71" s="12">
        <v>44585</v>
      </c>
      <c r="B71" s="18">
        <v>12.71</v>
      </c>
    </row>
    <row r="72" spans="1:2" x14ac:dyDescent="0.25">
      <c r="A72" s="12">
        <v>44592</v>
      </c>
      <c r="B72" s="18">
        <v>12.94</v>
      </c>
    </row>
    <row r="73" spans="1:2" x14ac:dyDescent="0.25">
      <c r="A73" s="12">
        <v>44599</v>
      </c>
      <c r="B73" s="18">
        <v>13.13</v>
      </c>
    </row>
    <row r="74" spans="1:2" x14ac:dyDescent="0.25">
      <c r="A74" s="12">
        <v>44606</v>
      </c>
      <c r="B74" s="18">
        <v>11.02</v>
      </c>
    </row>
    <row r="75" spans="1:2" x14ac:dyDescent="0.25">
      <c r="A75" s="12">
        <v>44613</v>
      </c>
      <c r="B75" s="18">
        <v>11.47</v>
      </c>
    </row>
    <row r="76" spans="1:2" x14ac:dyDescent="0.25">
      <c r="A76" s="12">
        <v>44620</v>
      </c>
      <c r="B76" s="18">
        <v>10.96</v>
      </c>
    </row>
    <row r="77" spans="1:2" x14ac:dyDescent="0.25">
      <c r="A77" s="12">
        <v>44627</v>
      </c>
      <c r="B77" s="18">
        <v>11.39</v>
      </c>
    </row>
    <row r="78" spans="1:2" x14ac:dyDescent="0.25">
      <c r="A78" s="12">
        <v>44634</v>
      </c>
      <c r="B78" s="18">
        <v>12.82</v>
      </c>
    </row>
    <row r="79" spans="1:2" x14ac:dyDescent="0.25">
      <c r="A79" s="12">
        <v>44641</v>
      </c>
      <c r="B79" s="18">
        <v>12.97</v>
      </c>
    </row>
    <row r="80" spans="1:2" x14ac:dyDescent="0.25">
      <c r="A80" s="12">
        <v>44648</v>
      </c>
      <c r="B80" s="18">
        <v>13.83</v>
      </c>
    </row>
    <row r="81" spans="1:2" x14ac:dyDescent="0.25">
      <c r="A81" s="12">
        <v>44655</v>
      </c>
      <c r="B81" s="18">
        <v>12.7</v>
      </c>
    </row>
    <row r="82" spans="1:2" x14ac:dyDescent="0.25">
      <c r="A82" s="12">
        <v>44662</v>
      </c>
      <c r="B82" s="18">
        <v>12.42</v>
      </c>
    </row>
    <row r="83" spans="1:2" x14ac:dyDescent="0.25">
      <c r="A83" s="12">
        <v>44669</v>
      </c>
      <c r="B83" s="18">
        <v>11.96</v>
      </c>
    </row>
    <row r="84" spans="1:2" x14ac:dyDescent="0.25">
      <c r="A84" s="12">
        <v>44676</v>
      </c>
      <c r="B84" s="18">
        <v>10.4</v>
      </c>
    </row>
    <row r="85" spans="1:2" x14ac:dyDescent="0.25">
      <c r="A85" s="12">
        <v>44683</v>
      </c>
      <c r="B85" s="18">
        <v>9.48</v>
      </c>
    </row>
    <row r="86" spans="1:2" x14ac:dyDescent="0.25">
      <c r="A86" s="12">
        <v>44690</v>
      </c>
      <c r="B86" s="18">
        <v>8.34</v>
      </c>
    </row>
    <row r="87" spans="1:2" x14ac:dyDescent="0.25">
      <c r="A87" s="12">
        <v>44697</v>
      </c>
      <c r="B87" s="18">
        <v>8.08</v>
      </c>
    </row>
    <row r="88" spans="1:2" x14ac:dyDescent="0.25">
      <c r="A88" s="12">
        <v>44704</v>
      </c>
      <c r="B88" s="18">
        <v>8.85</v>
      </c>
    </row>
    <row r="89" spans="1:2" x14ac:dyDescent="0.25">
      <c r="A89" s="12">
        <v>44711</v>
      </c>
      <c r="B89" s="18">
        <v>8.94</v>
      </c>
    </row>
    <row r="90" spans="1:2" x14ac:dyDescent="0.25">
      <c r="A90" s="12">
        <v>44718</v>
      </c>
      <c r="B90" s="18">
        <v>8.26</v>
      </c>
    </row>
    <row r="91" spans="1:2" x14ac:dyDescent="0.25">
      <c r="A91" s="12">
        <v>44725</v>
      </c>
      <c r="B91" s="18">
        <v>8.24</v>
      </c>
    </row>
    <row r="92" spans="1:2" x14ac:dyDescent="0.25">
      <c r="A92" s="12">
        <v>44732</v>
      </c>
      <c r="B92" s="18">
        <v>10.19</v>
      </c>
    </row>
    <row r="93" spans="1:2" x14ac:dyDescent="0.25">
      <c r="A93" s="12">
        <v>44739</v>
      </c>
      <c r="B93" s="18">
        <v>9.27</v>
      </c>
    </row>
    <row r="94" spans="1:2" x14ac:dyDescent="0.25">
      <c r="A94" s="12">
        <v>44746</v>
      </c>
      <c r="B94" s="18">
        <v>10.17</v>
      </c>
    </row>
    <row r="95" spans="1:2" x14ac:dyDescent="0.25">
      <c r="A95" s="12">
        <v>44753</v>
      </c>
      <c r="B95" s="18">
        <v>9.0399999999999991</v>
      </c>
    </row>
    <row r="96" spans="1:2" x14ac:dyDescent="0.25">
      <c r="A96" s="12">
        <v>44760</v>
      </c>
      <c r="B96" s="18">
        <v>9.84</v>
      </c>
    </row>
    <row r="97" spans="1:2" x14ac:dyDescent="0.25">
      <c r="A97" s="12">
        <v>44767</v>
      </c>
      <c r="B97" s="18">
        <v>10.35</v>
      </c>
    </row>
    <row r="98" spans="1:2" x14ac:dyDescent="0.25">
      <c r="A98" s="12">
        <v>44774</v>
      </c>
      <c r="B98" s="18">
        <v>11.45</v>
      </c>
    </row>
    <row r="99" spans="1:2" x14ac:dyDescent="0.25">
      <c r="A99" s="12">
        <v>44781</v>
      </c>
      <c r="B99" s="18">
        <v>9.91</v>
      </c>
    </row>
    <row r="100" spans="1:2" x14ac:dyDescent="0.25">
      <c r="A100" s="12">
        <v>44788</v>
      </c>
      <c r="B100" s="18">
        <v>8.51</v>
      </c>
    </row>
    <row r="101" spans="1:2" x14ac:dyDescent="0.25">
      <c r="A101" s="12">
        <v>44795</v>
      </c>
      <c r="B101" s="18">
        <v>7.94</v>
      </c>
    </row>
    <row r="102" spans="1:2" x14ac:dyDescent="0.25">
      <c r="A102" s="12">
        <v>44802</v>
      </c>
      <c r="B102" s="18">
        <v>7.4</v>
      </c>
    </row>
    <row r="103" spans="1:2" x14ac:dyDescent="0.25">
      <c r="A103" s="12">
        <v>44809</v>
      </c>
      <c r="B103" s="18">
        <v>7.79</v>
      </c>
    </row>
    <row r="104" spans="1:2" x14ac:dyDescent="0.25">
      <c r="A104" s="12">
        <v>44816</v>
      </c>
      <c r="B104" s="18">
        <v>7.78</v>
      </c>
    </row>
    <row r="105" spans="1:2" x14ac:dyDescent="0.25">
      <c r="A105" s="12">
        <v>44823</v>
      </c>
      <c r="B105" s="18">
        <v>7.4</v>
      </c>
    </row>
    <row r="106" spans="1:2" x14ac:dyDescent="0.25">
      <c r="A106" s="12">
        <v>44830</v>
      </c>
      <c r="B106" s="18">
        <v>8.1300000000000008</v>
      </c>
    </row>
    <row r="107" spans="1:2" x14ac:dyDescent="0.25">
      <c r="A107" s="12">
        <v>44837</v>
      </c>
      <c r="B107" s="18">
        <v>8.15</v>
      </c>
    </row>
    <row r="108" spans="1:2" x14ac:dyDescent="0.25">
      <c r="A108" s="12">
        <v>44844</v>
      </c>
      <c r="B108" s="18">
        <v>7.53</v>
      </c>
    </row>
    <row r="109" spans="1:2" x14ac:dyDescent="0.25">
      <c r="A109" s="12">
        <v>44851</v>
      </c>
      <c r="B109" s="18">
        <v>8.2899999999999991</v>
      </c>
    </row>
    <row r="110" spans="1:2" x14ac:dyDescent="0.25">
      <c r="A110" s="12">
        <v>44858</v>
      </c>
      <c r="B110" s="18">
        <v>8.64</v>
      </c>
    </row>
    <row r="111" spans="1:2" x14ac:dyDescent="0.25">
      <c r="A111" s="12">
        <v>44865</v>
      </c>
      <c r="B111" s="18">
        <v>7.93</v>
      </c>
    </row>
    <row r="112" spans="1:2" x14ac:dyDescent="0.25">
      <c r="A112" s="12">
        <v>44872</v>
      </c>
      <c r="B112" s="18">
        <v>8.41</v>
      </c>
    </row>
    <row r="113" spans="1:2" x14ac:dyDescent="0.25">
      <c r="A113" s="12">
        <v>44879</v>
      </c>
      <c r="B113" s="18">
        <v>7.39</v>
      </c>
    </row>
    <row r="114" spans="1:2" x14ac:dyDescent="0.25">
      <c r="A114" s="12">
        <v>44886</v>
      </c>
      <c r="B114" s="18">
        <v>7.28</v>
      </c>
    </row>
    <row r="115" spans="1:2" x14ac:dyDescent="0.25">
      <c r="A115" s="12">
        <v>44893</v>
      </c>
      <c r="B115" s="18">
        <v>7.66</v>
      </c>
    </row>
    <row r="116" spans="1:2" x14ac:dyDescent="0.25">
      <c r="A116" s="12">
        <v>44900</v>
      </c>
      <c r="B116" s="18">
        <v>7.11</v>
      </c>
    </row>
    <row r="117" spans="1:2" x14ac:dyDescent="0.25">
      <c r="A117" s="12">
        <v>44907</v>
      </c>
      <c r="B117" s="18">
        <v>6.9</v>
      </c>
    </row>
    <row r="118" spans="1:2" x14ac:dyDescent="0.25">
      <c r="A118" s="12">
        <v>44914</v>
      </c>
      <c r="B118" s="18">
        <v>6.29</v>
      </c>
    </row>
    <row r="119" spans="1:2" x14ac:dyDescent="0.25">
      <c r="A119" s="12">
        <v>44921</v>
      </c>
      <c r="B119" s="18">
        <v>6.42</v>
      </c>
    </row>
    <row r="120" spans="1:2" x14ac:dyDescent="0.25">
      <c r="A120" s="12">
        <v>44928</v>
      </c>
      <c r="B120" s="18">
        <v>6.4</v>
      </c>
    </row>
    <row r="121" spans="1:2" x14ac:dyDescent="0.25">
      <c r="A121" s="12">
        <v>44935</v>
      </c>
      <c r="B121" s="18">
        <v>6.96</v>
      </c>
    </row>
    <row r="122" spans="1:2" x14ac:dyDescent="0.25">
      <c r="A122" s="12">
        <v>44942</v>
      </c>
      <c r="B122" s="18">
        <v>7.02</v>
      </c>
    </row>
    <row r="123" spans="1:2" x14ac:dyDescent="0.25">
      <c r="A123" s="12">
        <v>44949</v>
      </c>
      <c r="B123" s="18">
        <v>7.55</v>
      </c>
    </row>
    <row r="124" spans="1:2" x14ac:dyDescent="0.25">
      <c r="A124" s="12">
        <v>44956</v>
      </c>
      <c r="B124" s="18">
        <v>8.41</v>
      </c>
    </row>
    <row r="125" spans="1:2" x14ac:dyDescent="0.25">
      <c r="A125" s="12">
        <v>44963</v>
      </c>
      <c r="B125" s="18">
        <v>7.51</v>
      </c>
    </row>
    <row r="126" spans="1:2" x14ac:dyDescent="0.25">
      <c r="A126" s="12">
        <v>44970</v>
      </c>
      <c r="B126" s="18">
        <v>9.1999999999999993</v>
      </c>
    </row>
    <row r="127" spans="1:2" x14ac:dyDescent="0.25">
      <c r="A127" s="12">
        <v>44977</v>
      </c>
      <c r="B127" s="18">
        <v>8.09</v>
      </c>
    </row>
    <row r="128" spans="1:2" x14ac:dyDescent="0.25">
      <c r="A128" s="12">
        <v>44984</v>
      </c>
      <c r="B128" s="18">
        <v>8.33</v>
      </c>
    </row>
    <row r="129" spans="1:2" x14ac:dyDescent="0.25">
      <c r="A129" s="12">
        <v>44991</v>
      </c>
      <c r="B129" s="18">
        <v>7.35</v>
      </c>
    </row>
    <row r="130" spans="1:2" x14ac:dyDescent="0.25">
      <c r="A130" s="12">
        <v>44998</v>
      </c>
      <c r="B130" s="18">
        <v>7.88</v>
      </c>
    </row>
    <row r="131" spans="1:2" x14ac:dyDescent="0.25">
      <c r="A131" s="12">
        <v>45005</v>
      </c>
      <c r="B131" s="18">
        <v>8.1999999999999993</v>
      </c>
    </row>
    <row r="132" spans="1:2" x14ac:dyDescent="0.25">
      <c r="A132" s="12">
        <v>45012</v>
      </c>
      <c r="B132" s="18">
        <v>8.4499999999999993</v>
      </c>
    </row>
    <row r="133" spans="1:2" x14ac:dyDescent="0.25">
      <c r="A133" s="12">
        <v>45019</v>
      </c>
      <c r="B133" s="18">
        <v>8.09</v>
      </c>
    </row>
    <row r="134" spans="1:2" x14ac:dyDescent="0.25">
      <c r="A134" s="12">
        <v>45026</v>
      </c>
      <c r="B134" s="18">
        <v>8.81</v>
      </c>
    </row>
    <row r="135" spans="1:2" x14ac:dyDescent="0.25">
      <c r="A135" s="12">
        <v>45033</v>
      </c>
      <c r="B135" s="18">
        <v>8.18</v>
      </c>
    </row>
    <row r="136" spans="1:2" x14ac:dyDescent="0.25">
      <c r="A136" s="12">
        <v>45040</v>
      </c>
      <c r="B136" s="18">
        <v>7.75</v>
      </c>
    </row>
    <row r="137" spans="1:2" x14ac:dyDescent="0.25">
      <c r="A137" s="12">
        <v>45047</v>
      </c>
      <c r="B137" s="18">
        <v>7.41</v>
      </c>
    </row>
    <row r="138" spans="1:2" x14ac:dyDescent="0.25">
      <c r="A138" s="12">
        <v>45054</v>
      </c>
      <c r="B138" s="18">
        <v>9.5</v>
      </c>
    </row>
    <row r="139" spans="1:2" x14ac:dyDescent="0.25">
      <c r="A139" s="12">
        <v>45061</v>
      </c>
      <c r="B139" s="18">
        <v>11.71</v>
      </c>
    </row>
    <row r="140" spans="1:2" x14ac:dyDescent="0.25">
      <c r="A140" s="12">
        <v>45068</v>
      </c>
      <c r="B140" s="18">
        <v>13.65</v>
      </c>
    </row>
    <row r="141" spans="1:2" x14ac:dyDescent="0.25">
      <c r="A141" s="12">
        <v>45075</v>
      </c>
      <c r="B141" s="18">
        <v>14.52</v>
      </c>
    </row>
    <row r="142" spans="1:2" x14ac:dyDescent="0.25">
      <c r="A142" s="12">
        <v>45082</v>
      </c>
      <c r="B142" s="18">
        <v>15.02</v>
      </c>
    </row>
    <row r="143" spans="1:2" x14ac:dyDescent="0.25">
      <c r="A143" s="12">
        <v>45089</v>
      </c>
      <c r="B143" s="18">
        <v>16.299999</v>
      </c>
    </row>
    <row r="144" spans="1:2" x14ac:dyDescent="0.25">
      <c r="A144" s="12">
        <v>45096</v>
      </c>
      <c r="B144" s="18">
        <v>14.03</v>
      </c>
    </row>
    <row r="145" spans="1:2" x14ac:dyDescent="0.25">
      <c r="A145" s="12">
        <v>45103</v>
      </c>
      <c r="B145" s="18">
        <v>15.33</v>
      </c>
    </row>
    <row r="146" spans="1:2" x14ac:dyDescent="0.25">
      <c r="A146" s="12">
        <v>45110</v>
      </c>
      <c r="B146" s="18">
        <v>15.34</v>
      </c>
    </row>
    <row r="147" spans="1:2" x14ac:dyDescent="0.25">
      <c r="A147" s="12">
        <v>45117</v>
      </c>
      <c r="B147" s="18">
        <v>16.399999999999999</v>
      </c>
    </row>
    <row r="148" spans="1:2" x14ac:dyDescent="0.25">
      <c r="A148" s="12">
        <v>45124</v>
      </c>
      <c r="B148" s="18">
        <v>16.43</v>
      </c>
    </row>
    <row r="149" spans="1:2" x14ac:dyDescent="0.25">
      <c r="A149" s="12">
        <v>45131</v>
      </c>
      <c r="B149" s="18">
        <v>17.809999000000001</v>
      </c>
    </row>
    <row r="150" spans="1:2" x14ac:dyDescent="0.25">
      <c r="A150" s="12">
        <v>45138</v>
      </c>
      <c r="B150" s="18">
        <v>18.200001</v>
      </c>
    </row>
    <row r="151" spans="1:2" x14ac:dyDescent="0.25">
      <c r="A151" s="12">
        <v>45145</v>
      </c>
      <c r="B151" s="18">
        <v>15.41</v>
      </c>
    </row>
    <row r="152" spans="1:2" x14ac:dyDescent="0.25">
      <c r="A152" s="12">
        <v>45152</v>
      </c>
      <c r="B152" s="18">
        <v>14.4</v>
      </c>
    </row>
    <row r="153" spans="1:2" x14ac:dyDescent="0.25">
      <c r="A153" s="12">
        <v>45159</v>
      </c>
      <c r="B153" s="18">
        <v>14.53</v>
      </c>
    </row>
    <row r="154" spans="1:2" x14ac:dyDescent="0.25">
      <c r="A154" s="12">
        <v>45166</v>
      </c>
      <c r="B154" s="18">
        <v>15.18</v>
      </c>
    </row>
    <row r="155" spans="1:2" x14ac:dyDescent="0.25">
      <c r="A155" s="12">
        <v>45173</v>
      </c>
      <c r="B155" s="18">
        <v>15.13</v>
      </c>
    </row>
    <row r="156" spans="1:2" x14ac:dyDescent="0.25">
      <c r="A156" s="12">
        <v>45180</v>
      </c>
      <c r="B156" s="18">
        <v>15.33</v>
      </c>
    </row>
    <row r="157" spans="1:2" x14ac:dyDescent="0.25">
      <c r="A157" s="12">
        <v>45187</v>
      </c>
      <c r="B157" s="18">
        <v>14.13</v>
      </c>
    </row>
    <row r="158" spans="1:2" x14ac:dyDescent="0.25">
      <c r="A158" s="12">
        <v>45194</v>
      </c>
      <c r="B158" s="18">
        <v>16</v>
      </c>
    </row>
    <row r="159" spans="1:2" x14ac:dyDescent="0.25">
      <c r="A159" s="12">
        <v>45201</v>
      </c>
      <c r="B159" s="18">
        <v>16.610001</v>
      </c>
    </row>
    <row r="160" spans="1:2" x14ac:dyDescent="0.25">
      <c r="A160" s="12">
        <v>45208</v>
      </c>
      <c r="B160" s="18">
        <v>17.360001</v>
      </c>
    </row>
    <row r="161" spans="1:2" x14ac:dyDescent="0.25">
      <c r="A161" s="12">
        <v>45215</v>
      </c>
      <c r="B161" s="18">
        <v>16.110001</v>
      </c>
    </row>
    <row r="162" spans="1:2" x14ac:dyDescent="0.25">
      <c r="A162" s="12">
        <v>45222</v>
      </c>
      <c r="B162" s="18">
        <v>15.07</v>
      </c>
    </row>
    <row r="163" spans="1:2" x14ac:dyDescent="0.25">
      <c r="A163" s="12">
        <v>45229</v>
      </c>
      <c r="B163" s="18">
        <v>18.889999</v>
      </c>
    </row>
    <row r="164" spans="1:2" x14ac:dyDescent="0.25">
      <c r="A164" s="12">
        <v>45236</v>
      </c>
      <c r="B164" s="18">
        <v>19.670000000000002</v>
      </c>
    </row>
    <row r="165" spans="1:2" x14ac:dyDescent="0.25">
      <c r="A165" s="12">
        <v>45243</v>
      </c>
      <c r="B165" s="18">
        <v>20.49</v>
      </c>
    </row>
    <row r="166" spans="1:2" x14ac:dyDescent="0.25">
      <c r="A166" s="12">
        <v>45250</v>
      </c>
      <c r="B166" s="18">
        <v>19.200001</v>
      </c>
    </row>
    <row r="167" spans="1:2" x14ac:dyDescent="0.25">
      <c r="A167" s="12">
        <v>45257</v>
      </c>
      <c r="B167" s="18">
        <v>20.27</v>
      </c>
    </row>
    <row r="168" spans="1:2" x14ac:dyDescent="0.25">
      <c r="A168" s="12">
        <v>45264</v>
      </c>
      <c r="B168" s="18">
        <v>17.77</v>
      </c>
    </row>
    <row r="169" spans="1:2" x14ac:dyDescent="0.25">
      <c r="A169" s="12">
        <v>45271</v>
      </c>
      <c r="B169" s="18">
        <v>18.200001</v>
      </c>
    </row>
    <row r="170" spans="1:2" x14ac:dyDescent="0.25">
      <c r="A170" s="12">
        <v>45278</v>
      </c>
      <c r="B170" s="18">
        <v>17.41</v>
      </c>
    </row>
    <row r="171" spans="1:2" x14ac:dyDescent="0.25">
      <c r="A171" s="12">
        <v>45285</v>
      </c>
      <c r="B171" s="18">
        <v>17.170000000000002</v>
      </c>
    </row>
    <row r="172" spans="1:2" x14ac:dyDescent="0.25">
      <c r="A172" s="12">
        <v>45292</v>
      </c>
      <c r="B172" s="18">
        <v>15.98</v>
      </c>
    </row>
    <row r="173" spans="1:2" x14ac:dyDescent="0.25">
      <c r="A173" s="12">
        <v>45299</v>
      </c>
      <c r="B173" s="18">
        <v>16.760000000000002</v>
      </c>
    </row>
    <row r="174" spans="1:2" x14ac:dyDescent="0.25">
      <c r="A174" s="12">
        <v>45306</v>
      </c>
      <c r="B174" s="18">
        <v>16.780000999999999</v>
      </c>
    </row>
    <row r="175" spans="1:2" x14ac:dyDescent="0.25">
      <c r="A175" s="12">
        <v>45313</v>
      </c>
      <c r="B175" s="18">
        <v>16.350000000000001</v>
      </c>
    </row>
    <row r="176" spans="1:2" x14ac:dyDescent="0.25">
      <c r="A176" s="12">
        <v>45320</v>
      </c>
      <c r="B176" s="18">
        <v>17.02</v>
      </c>
    </row>
    <row r="177" spans="1:2" x14ac:dyDescent="0.25">
      <c r="A177" s="12">
        <v>45327</v>
      </c>
      <c r="B177" s="18">
        <v>24.379999000000002</v>
      </c>
    </row>
    <row r="178" spans="1:2" x14ac:dyDescent="0.25">
      <c r="A178" s="12">
        <v>45334</v>
      </c>
      <c r="B178" s="18">
        <v>24.440000999999999</v>
      </c>
    </row>
    <row r="179" spans="1:2" x14ac:dyDescent="0.25">
      <c r="A179" s="12">
        <v>45341</v>
      </c>
      <c r="B179" s="18">
        <v>22.969999000000001</v>
      </c>
    </row>
    <row r="180" spans="1:2" x14ac:dyDescent="0.25">
      <c r="A180" s="12">
        <v>45348</v>
      </c>
      <c r="B180" s="18">
        <v>24.93</v>
      </c>
    </row>
    <row r="181" spans="1:2" x14ac:dyDescent="0.25">
      <c r="A181" s="12">
        <v>45355</v>
      </c>
      <c r="B181" s="18">
        <v>26.040001</v>
      </c>
    </row>
    <row r="182" spans="1:2" x14ac:dyDescent="0.25">
      <c r="A182" s="12">
        <v>45362</v>
      </c>
      <c r="B182" s="18">
        <v>23.49</v>
      </c>
    </row>
    <row r="183" spans="1:2" x14ac:dyDescent="0.25">
      <c r="A183" s="12">
        <v>45369</v>
      </c>
      <c r="B183" s="18">
        <v>24.18</v>
      </c>
    </row>
    <row r="184" spans="1:2" x14ac:dyDescent="0.25">
      <c r="A184" s="12">
        <v>45376</v>
      </c>
      <c r="B184" s="18">
        <v>24.51</v>
      </c>
    </row>
    <row r="185" spans="1:2" x14ac:dyDescent="0.25">
      <c r="A185" s="12"/>
      <c r="B185" s="18"/>
    </row>
    <row r="186" spans="1:2" x14ac:dyDescent="0.25">
      <c r="A186" s="12"/>
      <c r="B186" s="18"/>
    </row>
    <row r="187" spans="1:2" x14ac:dyDescent="0.25">
      <c r="A187" s="12"/>
      <c r="B187" s="18"/>
    </row>
    <row r="188" spans="1:2" x14ac:dyDescent="0.25">
      <c r="A188" s="12"/>
      <c r="B188" s="18"/>
    </row>
    <row r="189" spans="1:2" x14ac:dyDescent="0.25">
      <c r="A189" s="12"/>
      <c r="B189" s="18"/>
    </row>
    <row r="190" spans="1:2" x14ac:dyDescent="0.25">
      <c r="A190" s="12"/>
      <c r="B190" s="18"/>
    </row>
    <row r="191" spans="1:2" x14ac:dyDescent="0.25">
      <c r="A191" s="12"/>
      <c r="B191" s="18"/>
    </row>
    <row r="192" spans="1:2" x14ac:dyDescent="0.25">
      <c r="A192" s="12"/>
      <c r="B192" s="18"/>
    </row>
    <row r="193" spans="1:2" x14ac:dyDescent="0.25">
      <c r="A193" s="12"/>
      <c r="B193" s="18"/>
    </row>
    <row r="194" spans="1:2" x14ac:dyDescent="0.25">
      <c r="A194" s="12"/>
      <c r="B194" s="18"/>
    </row>
    <row r="195" spans="1:2" x14ac:dyDescent="0.25">
      <c r="A195" s="12"/>
      <c r="B195" s="18"/>
    </row>
    <row r="196" spans="1:2" x14ac:dyDescent="0.25">
      <c r="A196" s="12"/>
      <c r="B196" s="18"/>
    </row>
    <row r="197" spans="1:2" x14ac:dyDescent="0.25">
      <c r="A197" s="12"/>
      <c r="B197" s="18"/>
    </row>
    <row r="198" spans="1:2" x14ac:dyDescent="0.25">
      <c r="A198" s="12"/>
      <c r="B198" s="18"/>
    </row>
    <row r="199" spans="1:2" x14ac:dyDescent="0.25">
      <c r="A199" s="12"/>
      <c r="B199" s="18"/>
    </row>
    <row r="200" spans="1:2" x14ac:dyDescent="0.25">
      <c r="A200" s="12"/>
      <c r="B200" s="18"/>
    </row>
    <row r="201" spans="1:2" x14ac:dyDescent="0.25">
      <c r="A201" s="12"/>
      <c r="B201" s="18"/>
    </row>
    <row r="202" spans="1:2" x14ac:dyDescent="0.25">
      <c r="A202" s="12"/>
      <c r="B202" s="18"/>
    </row>
    <row r="203" spans="1:2" x14ac:dyDescent="0.25">
      <c r="A203" s="12"/>
      <c r="B203" s="18"/>
    </row>
    <row r="204" spans="1:2" x14ac:dyDescent="0.25">
      <c r="A204" s="12"/>
      <c r="B204" s="18"/>
    </row>
    <row r="205" spans="1:2" x14ac:dyDescent="0.25">
      <c r="A205" s="12"/>
      <c r="B205" s="18"/>
    </row>
    <row r="206" spans="1:2" x14ac:dyDescent="0.25">
      <c r="A206" s="12"/>
      <c r="B206" s="18"/>
    </row>
    <row r="207" spans="1:2" x14ac:dyDescent="0.25">
      <c r="A207" s="12"/>
      <c r="B207" s="18"/>
    </row>
    <row r="208" spans="1:2" x14ac:dyDescent="0.25">
      <c r="A208" s="12"/>
      <c r="B208" s="18"/>
    </row>
    <row r="209" spans="1:2" x14ac:dyDescent="0.25">
      <c r="A209" s="12"/>
      <c r="B209" s="18"/>
    </row>
    <row r="210" spans="1:2" x14ac:dyDescent="0.25">
      <c r="A210" s="12"/>
      <c r="B210" s="18"/>
    </row>
    <row r="211" spans="1:2" x14ac:dyDescent="0.25">
      <c r="A211" s="12"/>
      <c r="B211" s="18"/>
    </row>
    <row r="212" spans="1:2" x14ac:dyDescent="0.25">
      <c r="A212" s="12"/>
      <c r="B212" s="18"/>
    </row>
    <row r="213" spans="1:2" x14ac:dyDescent="0.25">
      <c r="A213" s="12"/>
      <c r="B213" s="18"/>
    </row>
    <row r="214" spans="1:2" x14ac:dyDescent="0.25">
      <c r="A214" s="12"/>
      <c r="B214" s="18"/>
    </row>
    <row r="215" spans="1:2" x14ac:dyDescent="0.25">
      <c r="A215" s="12"/>
      <c r="B215" s="18"/>
    </row>
    <row r="216" spans="1:2" x14ac:dyDescent="0.25">
      <c r="A216" s="12"/>
      <c r="B216" s="18"/>
    </row>
    <row r="217" spans="1:2" x14ac:dyDescent="0.25">
      <c r="A217" s="12"/>
      <c r="B217" s="18"/>
    </row>
    <row r="218" spans="1:2" x14ac:dyDescent="0.25">
      <c r="A218" s="12"/>
      <c r="B218" s="18"/>
    </row>
    <row r="219" spans="1:2" x14ac:dyDescent="0.25">
      <c r="A219" s="12"/>
      <c r="B219" s="18"/>
    </row>
    <row r="220" spans="1:2" x14ac:dyDescent="0.25">
      <c r="A220" s="12"/>
      <c r="B220" s="18"/>
    </row>
    <row r="221" spans="1:2" x14ac:dyDescent="0.25">
      <c r="A221" s="12"/>
      <c r="B221" s="18"/>
    </row>
    <row r="222" spans="1:2" x14ac:dyDescent="0.25">
      <c r="A222" s="12"/>
      <c r="B222" s="18"/>
    </row>
    <row r="223" spans="1:2" x14ac:dyDescent="0.25">
      <c r="A223" s="12"/>
      <c r="B223" s="18"/>
    </row>
    <row r="224" spans="1:2" x14ac:dyDescent="0.25">
      <c r="A224" s="12"/>
      <c r="B224" s="18"/>
    </row>
    <row r="225" spans="1:2" x14ac:dyDescent="0.25">
      <c r="A225" s="12"/>
      <c r="B225" s="18"/>
    </row>
    <row r="226" spans="1:2" x14ac:dyDescent="0.25">
      <c r="A226" s="12"/>
      <c r="B226" s="18"/>
    </row>
    <row r="227" spans="1:2" x14ac:dyDescent="0.25">
      <c r="A227" s="12"/>
      <c r="B227" s="18"/>
    </row>
    <row r="228" spans="1:2" x14ac:dyDescent="0.25">
      <c r="A228" s="12"/>
      <c r="B228" s="18"/>
    </row>
    <row r="229" spans="1:2" x14ac:dyDescent="0.25">
      <c r="A229" s="12"/>
      <c r="B229" s="18"/>
    </row>
    <row r="230" spans="1:2" x14ac:dyDescent="0.25">
      <c r="A230" s="12"/>
      <c r="B230" s="18"/>
    </row>
    <row r="231" spans="1:2" x14ac:dyDescent="0.25">
      <c r="A231" s="12"/>
      <c r="B231" s="18"/>
    </row>
    <row r="232" spans="1:2" x14ac:dyDescent="0.25">
      <c r="A232" s="12"/>
      <c r="B232" s="18"/>
    </row>
    <row r="233" spans="1:2" x14ac:dyDescent="0.25">
      <c r="A233" s="12"/>
      <c r="B233" s="18"/>
    </row>
    <row r="234" spans="1:2" x14ac:dyDescent="0.25">
      <c r="A234" s="12"/>
      <c r="B234" s="18"/>
    </row>
    <row r="235" spans="1:2" x14ac:dyDescent="0.25">
      <c r="A235" s="12"/>
      <c r="B235" s="18"/>
    </row>
    <row r="236" spans="1:2" x14ac:dyDescent="0.25">
      <c r="A236" s="12"/>
      <c r="B236" s="18"/>
    </row>
    <row r="237" spans="1:2" x14ac:dyDescent="0.25">
      <c r="A237" s="12"/>
      <c r="B237" s="18"/>
    </row>
    <row r="238" spans="1:2" x14ac:dyDescent="0.25">
      <c r="A238" s="12"/>
      <c r="B238" s="18"/>
    </row>
    <row r="239" spans="1:2" x14ac:dyDescent="0.25">
      <c r="A239" s="12"/>
      <c r="B239" s="18"/>
    </row>
    <row r="240" spans="1:2" x14ac:dyDescent="0.25">
      <c r="A240" s="12"/>
      <c r="B240" s="18"/>
    </row>
    <row r="241" spans="1:2" x14ac:dyDescent="0.25">
      <c r="A241" s="12"/>
      <c r="B241" s="18"/>
    </row>
    <row r="242" spans="1:2" x14ac:dyDescent="0.25">
      <c r="A242" s="12"/>
      <c r="B242" s="18"/>
    </row>
    <row r="243" spans="1:2" x14ac:dyDescent="0.25">
      <c r="A243" s="12"/>
      <c r="B243" s="18"/>
    </row>
    <row r="244" spans="1:2" x14ac:dyDescent="0.25">
      <c r="A244" s="12"/>
      <c r="B244" s="18"/>
    </row>
    <row r="245" spans="1:2" x14ac:dyDescent="0.25">
      <c r="A245" s="12"/>
      <c r="B245" s="18"/>
    </row>
    <row r="246" spans="1:2" x14ac:dyDescent="0.25">
      <c r="A246" s="12"/>
      <c r="B246" s="18"/>
    </row>
    <row r="247" spans="1:2" x14ac:dyDescent="0.25">
      <c r="A247" s="12"/>
      <c r="B247" s="18"/>
    </row>
    <row r="248" spans="1:2" x14ac:dyDescent="0.25">
      <c r="A248" s="12"/>
      <c r="B248" s="18"/>
    </row>
    <row r="249" spans="1:2" x14ac:dyDescent="0.25">
      <c r="A249" s="12"/>
      <c r="B249" s="18"/>
    </row>
    <row r="250" spans="1:2" x14ac:dyDescent="0.25">
      <c r="A250" s="12"/>
      <c r="B250" s="18"/>
    </row>
    <row r="251" spans="1:2" x14ac:dyDescent="0.25">
      <c r="A251" s="12"/>
      <c r="B251" s="18"/>
    </row>
    <row r="252" spans="1:2" x14ac:dyDescent="0.25">
      <c r="A252" s="12"/>
      <c r="B252" s="18"/>
    </row>
    <row r="253" spans="1:2" x14ac:dyDescent="0.25">
      <c r="A253" s="12"/>
      <c r="B253" s="18"/>
    </row>
    <row r="254" spans="1:2" x14ac:dyDescent="0.25">
      <c r="A254" s="12"/>
      <c r="B254" s="18"/>
    </row>
    <row r="255" spans="1:2" x14ac:dyDescent="0.25">
      <c r="A255" s="12"/>
      <c r="B255" s="18"/>
    </row>
    <row r="256" spans="1:2" x14ac:dyDescent="0.25">
      <c r="A256" s="12"/>
      <c r="B256" s="18"/>
    </row>
    <row r="257" spans="1:2" x14ac:dyDescent="0.25">
      <c r="A257" s="12"/>
      <c r="B257" s="18"/>
    </row>
    <row r="258" spans="1:2" x14ac:dyDescent="0.25">
      <c r="A258" s="12"/>
      <c r="B258" s="18"/>
    </row>
    <row r="259" spans="1:2" x14ac:dyDescent="0.25">
      <c r="A259" s="12"/>
      <c r="B259" s="18"/>
    </row>
    <row r="260" spans="1:2" x14ac:dyDescent="0.25">
      <c r="A260" s="12"/>
      <c r="B260" s="18"/>
    </row>
    <row r="261" spans="1:2" x14ac:dyDescent="0.25">
      <c r="A261" s="12"/>
      <c r="B261" s="18"/>
    </row>
    <row r="262" spans="1:2" x14ac:dyDescent="0.25">
      <c r="A262" s="12"/>
      <c r="B262" s="18"/>
    </row>
    <row r="263" spans="1:2" x14ac:dyDescent="0.25">
      <c r="A263" s="12"/>
      <c r="B263" s="18"/>
    </row>
    <row r="264" spans="1:2" x14ac:dyDescent="0.25">
      <c r="A264" s="12"/>
      <c r="B264" s="18"/>
    </row>
    <row r="265" spans="1:2" x14ac:dyDescent="0.25">
      <c r="A265" s="12"/>
      <c r="B265" s="18"/>
    </row>
    <row r="266" spans="1:2" x14ac:dyDescent="0.25">
      <c r="A266" s="12"/>
      <c r="B266" s="18"/>
    </row>
    <row r="267" spans="1:2" x14ac:dyDescent="0.25">
      <c r="A267" s="12"/>
      <c r="B267" s="18"/>
    </row>
    <row r="268" spans="1:2" x14ac:dyDescent="0.25">
      <c r="A268" s="12"/>
      <c r="B268" s="18"/>
    </row>
    <row r="269" spans="1:2" x14ac:dyDescent="0.25">
      <c r="A269" s="12"/>
      <c r="B269" s="18"/>
    </row>
    <row r="270" spans="1:2" x14ac:dyDescent="0.25">
      <c r="A270" s="12"/>
      <c r="B270" s="18"/>
    </row>
    <row r="271" spans="1:2" x14ac:dyDescent="0.25">
      <c r="A271" s="12"/>
      <c r="B271" s="18"/>
    </row>
    <row r="272" spans="1:2" x14ac:dyDescent="0.25">
      <c r="A272" s="12"/>
      <c r="B272" s="18"/>
    </row>
    <row r="273" spans="1:2" x14ac:dyDescent="0.25">
      <c r="A273" s="12"/>
      <c r="B273" s="18"/>
    </row>
    <row r="274" spans="1:2" x14ac:dyDescent="0.25">
      <c r="A274" s="12"/>
      <c r="B274" s="18"/>
    </row>
    <row r="275" spans="1:2" x14ac:dyDescent="0.25">
      <c r="A275" s="12"/>
      <c r="B275" s="18"/>
    </row>
    <row r="276" spans="1:2" x14ac:dyDescent="0.25">
      <c r="A276" s="12"/>
      <c r="B276" s="18"/>
    </row>
    <row r="277" spans="1:2" x14ac:dyDescent="0.25">
      <c r="A277" s="12"/>
      <c r="B277" s="18"/>
    </row>
    <row r="278" spans="1:2" x14ac:dyDescent="0.25">
      <c r="A278" s="12"/>
      <c r="B278" s="18"/>
    </row>
    <row r="279" spans="1:2" x14ac:dyDescent="0.25">
      <c r="A279" s="12"/>
      <c r="B279" s="18"/>
    </row>
    <row r="280" spans="1:2" x14ac:dyDescent="0.25">
      <c r="A280" s="12"/>
      <c r="B280" s="18"/>
    </row>
    <row r="281" spans="1:2" x14ac:dyDescent="0.25">
      <c r="A281" s="12"/>
      <c r="B281" s="18"/>
    </row>
    <row r="282" spans="1:2" x14ac:dyDescent="0.25">
      <c r="A282" s="12"/>
      <c r="B282" s="18"/>
    </row>
    <row r="283" spans="1:2" x14ac:dyDescent="0.25">
      <c r="A283" s="12"/>
      <c r="B283" s="18"/>
    </row>
    <row r="284" spans="1:2" x14ac:dyDescent="0.25">
      <c r="A284" s="12"/>
      <c r="B284" s="18"/>
    </row>
    <row r="285" spans="1:2" x14ac:dyDescent="0.25">
      <c r="A285" s="12"/>
      <c r="B285" s="18"/>
    </row>
    <row r="286" spans="1:2" x14ac:dyDescent="0.25">
      <c r="A286" s="12"/>
      <c r="B286" s="18"/>
    </row>
    <row r="287" spans="1:2" x14ac:dyDescent="0.25">
      <c r="A287" s="12"/>
      <c r="B287" s="18"/>
    </row>
    <row r="288" spans="1:2" x14ac:dyDescent="0.25">
      <c r="A288" s="12"/>
      <c r="B288" s="18"/>
    </row>
    <row r="289" spans="1:2" x14ac:dyDescent="0.25">
      <c r="A289" s="12"/>
      <c r="B289" s="18"/>
    </row>
    <row r="290" spans="1:2" x14ac:dyDescent="0.25">
      <c r="A290" s="12"/>
      <c r="B290" s="18"/>
    </row>
    <row r="291" spans="1:2" x14ac:dyDescent="0.25">
      <c r="A291" s="12"/>
      <c r="B291" s="18"/>
    </row>
    <row r="292" spans="1:2" x14ac:dyDescent="0.25">
      <c r="A292" s="12"/>
      <c r="B292" s="18"/>
    </row>
    <row r="293" spans="1:2" x14ac:dyDescent="0.25">
      <c r="A293" s="12"/>
      <c r="B293" s="18"/>
    </row>
    <row r="294" spans="1:2" x14ac:dyDescent="0.25">
      <c r="A294" s="12"/>
      <c r="B294" s="18"/>
    </row>
    <row r="295" spans="1:2" x14ac:dyDescent="0.25">
      <c r="A295" s="12"/>
      <c r="B295" s="18"/>
    </row>
    <row r="296" spans="1:2" x14ac:dyDescent="0.25">
      <c r="A296" s="12"/>
      <c r="B296" s="18"/>
    </row>
    <row r="297" spans="1:2" x14ac:dyDescent="0.25">
      <c r="A297" s="12"/>
      <c r="B297" s="18"/>
    </row>
    <row r="298" spans="1:2" x14ac:dyDescent="0.25">
      <c r="A298" s="12"/>
      <c r="B298" s="18"/>
    </row>
    <row r="299" spans="1:2" x14ac:dyDescent="0.25">
      <c r="A299" s="12"/>
      <c r="B299" s="18"/>
    </row>
    <row r="300" spans="1:2" x14ac:dyDescent="0.25">
      <c r="A300" s="12"/>
      <c r="B300" s="18"/>
    </row>
    <row r="301" spans="1:2" x14ac:dyDescent="0.25">
      <c r="A301" s="12"/>
      <c r="B301" s="18"/>
    </row>
    <row r="302" spans="1:2" x14ac:dyDescent="0.25">
      <c r="A302" s="12"/>
      <c r="B302" s="18"/>
    </row>
    <row r="303" spans="1:2" x14ac:dyDescent="0.25">
      <c r="A303" s="12"/>
      <c r="B303" s="18"/>
    </row>
    <row r="304" spans="1:2" x14ac:dyDescent="0.25">
      <c r="A304" s="12"/>
      <c r="B304" s="18"/>
    </row>
    <row r="305" spans="1:2" x14ac:dyDescent="0.25">
      <c r="A305" s="12"/>
      <c r="B305" s="18"/>
    </row>
    <row r="306" spans="1:2" x14ac:dyDescent="0.25">
      <c r="A306" s="12"/>
      <c r="B306" s="18"/>
    </row>
    <row r="307" spans="1:2" x14ac:dyDescent="0.25">
      <c r="A307" s="12"/>
      <c r="B307" s="18"/>
    </row>
    <row r="308" spans="1:2" x14ac:dyDescent="0.25">
      <c r="A308" s="12"/>
      <c r="B308" s="18"/>
    </row>
    <row r="309" spans="1:2" x14ac:dyDescent="0.25">
      <c r="A309" s="12"/>
      <c r="B309" s="18"/>
    </row>
    <row r="310" spans="1:2" x14ac:dyDescent="0.25">
      <c r="A310" s="12"/>
      <c r="B310" s="18"/>
    </row>
    <row r="311" spans="1:2" x14ac:dyDescent="0.25">
      <c r="A311" s="12"/>
      <c r="B311" s="18"/>
    </row>
    <row r="312" spans="1:2" x14ac:dyDescent="0.25">
      <c r="A312" s="12"/>
      <c r="B312" s="18"/>
    </row>
    <row r="313" spans="1:2" x14ac:dyDescent="0.25">
      <c r="A313" s="12"/>
      <c r="B313" s="18"/>
    </row>
    <row r="314" spans="1:2" x14ac:dyDescent="0.25">
      <c r="A314" s="12"/>
      <c r="B314" s="18"/>
    </row>
    <row r="315" spans="1:2" x14ac:dyDescent="0.25">
      <c r="A315" s="12"/>
      <c r="B315" s="18"/>
    </row>
    <row r="316" spans="1:2" x14ac:dyDescent="0.25">
      <c r="A316" s="12"/>
      <c r="B316" s="18"/>
    </row>
    <row r="317" spans="1:2" x14ac:dyDescent="0.25">
      <c r="A317" s="12"/>
      <c r="B317" s="18"/>
    </row>
    <row r="318" spans="1:2" x14ac:dyDescent="0.25">
      <c r="A318" s="12"/>
      <c r="B318" s="18"/>
    </row>
    <row r="319" spans="1:2" x14ac:dyDescent="0.25">
      <c r="A319" s="12"/>
      <c r="B319" s="18"/>
    </row>
    <row r="320" spans="1:2" x14ac:dyDescent="0.25">
      <c r="A320" s="12"/>
      <c r="B320" s="18"/>
    </row>
    <row r="321" spans="1:2" x14ac:dyDescent="0.25">
      <c r="A321" s="12"/>
      <c r="B321" s="18"/>
    </row>
    <row r="322" spans="1:2" x14ac:dyDescent="0.25">
      <c r="A322" s="12"/>
      <c r="B322" s="18"/>
    </row>
    <row r="323" spans="1:2" x14ac:dyDescent="0.25">
      <c r="A323" s="12"/>
      <c r="B323" s="18"/>
    </row>
    <row r="324" spans="1:2" x14ac:dyDescent="0.25">
      <c r="A324" s="12"/>
      <c r="B324" s="18"/>
    </row>
    <row r="325" spans="1:2" x14ac:dyDescent="0.25">
      <c r="A325" s="12"/>
      <c r="B325" s="18"/>
    </row>
    <row r="326" spans="1:2" x14ac:dyDescent="0.25">
      <c r="A326" s="12"/>
      <c r="B326" s="18"/>
    </row>
    <row r="327" spans="1:2" x14ac:dyDescent="0.25">
      <c r="A327" s="12"/>
      <c r="B327" s="18"/>
    </row>
    <row r="328" spans="1:2" x14ac:dyDescent="0.25">
      <c r="A328" s="12"/>
      <c r="B328" s="18"/>
    </row>
    <row r="329" spans="1:2" x14ac:dyDescent="0.25">
      <c r="A329" s="12"/>
      <c r="B329" s="18"/>
    </row>
    <row r="330" spans="1:2" x14ac:dyDescent="0.25">
      <c r="A330" s="12"/>
      <c r="B330" s="18"/>
    </row>
    <row r="331" spans="1:2" x14ac:dyDescent="0.25">
      <c r="A331" s="12"/>
      <c r="B331" s="18"/>
    </row>
    <row r="332" spans="1:2" x14ac:dyDescent="0.25">
      <c r="A332" s="12"/>
      <c r="B332" s="18"/>
    </row>
    <row r="333" spans="1:2" x14ac:dyDescent="0.25">
      <c r="A333" s="12"/>
      <c r="B333" s="18"/>
    </row>
    <row r="334" spans="1:2" x14ac:dyDescent="0.25">
      <c r="A334" s="12"/>
      <c r="B334" s="18"/>
    </row>
    <row r="335" spans="1:2" x14ac:dyDescent="0.25">
      <c r="A335" s="12"/>
      <c r="B335" s="18"/>
    </row>
    <row r="336" spans="1:2" x14ac:dyDescent="0.25">
      <c r="A336" s="12"/>
      <c r="B336" s="18"/>
    </row>
    <row r="337" spans="1:2" x14ac:dyDescent="0.25">
      <c r="A337" s="12"/>
      <c r="B337" s="18"/>
    </row>
    <row r="338" spans="1:2" x14ac:dyDescent="0.25">
      <c r="A338" s="12"/>
      <c r="B338" s="18"/>
    </row>
    <row r="339" spans="1:2" x14ac:dyDescent="0.25">
      <c r="A339" s="12"/>
      <c r="B339" s="18"/>
    </row>
    <row r="340" spans="1:2" x14ac:dyDescent="0.25">
      <c r="A340" s="12"/>
      <c r="B340" s="18"/>
    </row>
    <row r="341" spans="1:2" x14ac:dyDescent="0.25">
      <c r="A341" s="12"/>
      <c r="B341" s="18"/>
    </row>
    <row r="342" spans="1:2" x14ac:dyDescent="0.25">
      <c r="A342" s="12"/>
      <c r="B342" s="18"/>
    </row>
    <row r="343" spans="1:2" x14ac:dyDescent="0.25">
      <c r="A343" s="12"/>
      <c r="B343" s="18"/>
    </row>
    <row r="344" spans="1:2" x14ac:dyDescent="0.25">
      <c r="A344" s="12"/>
      <c r="B344" s="18"/>
    </row>
    <row r="345" spans="1:2" x14ac:dyDescent="0.25">
      <c r="A345" s="12"/>
      <c r="B345" s="18"/>
    </row>
    <row r="346" spans="1:2" x14ac:dyDescent="0.25">
      <c r="A346" s="12"/>
      <c r="B346" s="18"/>
    </row>
    <row r="347" spans="1:2" x14ac:dyDescent="0.25">
      <c r="A347" s="12"/>
      <c r="B347" s="18"/>
    </row>
    <row r="348" spans="1:2" x14ac:dyDescent="0.25">
      <c r="A348" s="12"/>
      <c r="B348" s="18"/>
    </row>
    <row r="349" spans="1:2" x14ac:dyDescent="0.25">
      <c r="A349" s="12"/>
      <c r="B349" s="18"/>
    </row>
    <row r="350" spans="1:2" x14ac:dyDescent="0.25">
      <c r="A350" s="12"/>
      <c r="B350" s="18"/>
    </row>
    <row r="351" spans="1:2" x14ac:dyDescent="0.25">
      <c r="A351" s="12"/>
      <c r="B351" s="18"/>
    </row>
    <row r="352" spans="1:2" x14ac:dyDescent="0.25">
      <c r="A352" s="12"/>
      <c r="B352" s="18"/>
    </row>
    <row r="353" spans="1:2" x14ac:dyDescent="0.25">
      <c r="A353" s="12"/>
      <c r="B353" s="18"/>
    </row>
    <row r="354" spans="1:2" x14ac:dyDescent="0.25">
      <c r="A354" s="12"/>
      <c r="B354" s="18"/>
    </row>
    <row r="355" spans="1:2" x14ac:dyDescent="0.25">
      <c r="A355" s="12"/>
      <c r="B355" s="18"/>
    </row>
    <row r="356" spans="1:2" x14ac:dyDescent="0.25">
      <c r="A356" s="12"/>
      <c r="B356" s="18"/>
    </row>
    <row r="357" spans="1:2" x14ac:dyDescent="0.25">
      <c r="A357" s="12"/>
      <c r="B357" s="18"/>
    </row>
    <row r="358" spans="1:2" x14ac:dyDescent="0.25">
      <c r="A358" s="12"/>
      <c r="B358" s="18"/>
    </row>
    <row r="359" spans="1:2" x14ac:dyDescent="0.25">
      <c r="A359" s="12"/>
      <c r="B359" s="18"/>
    </row>
    <row r="360" spans="1:2" x14ac:dyDescent="0.25">
      <c r="A360" s="12"/>
      <c r="B360" s="18"/>
    </row>
    <row r="361" spans="1:2" x14ac:dyDescent="0.25">
      <c r="A361" s="12"/>
      <c r="B361" s="18"/>
    </row>
    <row r="362" spans="1:2" x14ac:dyDescent="0.25">
      <c r="A362" s="12"/>
      <c r="B362" s="18"/>
    </row>
    <row r="363" spans="1:2" x14ac:dyDescent="0.25">
      <c r="A363" s="12"/>
      <c r="B363" s="18"/>
    </row>
    <row r="364" spans="1:2" x14ac:dyDescent="0.25">
      <c r="A364" s="12"/>
      <c r="B364" s="18"/>
    </row>
    <row r="365" spans="1:2" x14ac:dyDescent="0.25">
      <c r="A365" s="12"/>
      <c r="B365" s="18"/>
    </row>
    <row r="366" spans="1:2" x14ac:dyDescent="0.25">
      <c r="A366" s="12"/>
      <c r="B366" s="18"/>
    </row>
    <row r="367" spans="1:2" x14ac:dyDescent="0.25">
      <c r="A367" s="12"/>
      <c r="B367" s="18"/>
    </row>
    <row r="368" spans="1:2" x14ac:dyDescent="0.25">
      <c r="A368" s="12"/>
      <c r="B368" s="18"/>
    </row>
    <row r="369" spans="1:2" x14ac:dyDescent="0.25">
      <c r="A369" s="12"/>
      <c r="B369" s="18"/>
    </row>
    <row r="370" spans="1:2" x14ac:dyDescent="0.25">
      <c r="A370" s="12"/>
      <c r="B370" s="18"/>
    </row>
    <row r="371" spans="1:2" x14ac:dyDescent="0.25">
      <c r="A371" s="12"/>
      <c r="B371" s="18"/>
    </row>
    <row r="372" spans="1:2" x14ac:dyDescent="0.25">
      <c r="A372" s="12"/>
      <c r="B372" s="18"/>
    </row>
    <row r="373" spans="1:2" x14ac:dyDescent="0.25">
      <c r="A373" s="12"/>
      <c r="B373" s="18"/>
    </row>
    <row r="374" spans="1:2" x14ac:dyDescent="0.25">
      <c r="A374" s="12"/>
      <c r="B374" s="18"/>
    </row>
    <row r="375" spans="1:2" x14ac:dyDescent="0.25">
      <c r="A375" s="12"/>
      <c r="B375" s="18"/>
    </row>
    <row r="376" spans="1:2" x14ac:dyDescent="0.25">
      <c r="A376" s="12"/>
      <c r="B376" s="18"/>
    </row>
    <row r="377" spans="1:2" x14ac:dyDescent="0.25">
      <c r="A377" s="12"/>
      <c r="B377" s="18"/>
    </row>
    <row r="378" spans="1:2" x14ac:dyDescent="0.25">
      <c r="A378" s="12"/>
      <c r="B378" s="18"/>
    </row>
    <row r="379" spans="1:2" x14ac:dyDescent="0.25">
      <c r="A379" s="12"/>
      <c r="B379" s="18"/>
    </row>
    <row r="380" spans="1:2" x14ac:dyDescent="0.25">
      <c r="A380" s="12"/>
      <c r="B380" s="18"/>
    </row>
    <row r="381" spans="1:2" x14ac:dyDescent="0.25">
      <c r="A381" s="12"/>
      <c r="B381" s="18"/>
    </row>
    <row r="382" spans="1:2" x14ac:dyDescent="0.25">
      <c r="A382" s="12"/>
      <c r="B382" s="18"/>
    </row>
    <row r="383" spans="1:2" x14ac:dyDescent="0.25">
      <c r="A383" s="12"/>
      <c r="B383" s="18"/>
    </row>
    <row r="384" spans="1:2" x14ac:dyDescent="0.25">
      <c r="A384" s="12"/>
      <c r="B384" s="18"/>
    </row>
    <row r="385" spans="1:2" x14ac:dyDescent="0.25">
      <c r="A385" s="12"/>
      <c r="B385" s="18"/>
    </row>
    <row r="386" spans="1:2" x14ac:dyDescent="0.25">
      <c r="A386" s="12"/>
      <c r="B386" s="18"/>
    </row>
    <row r="387" spans="1:2" x14ac:dyDescent="0.25">
      <c r="A387" s="12"/>
      <c r="B387" s="18"/>
    </row>
    <row r="388" spans="1:2" x14ac:dyDescent="0.25">
      <c r="A388" s="12"/>
      <c r="B388" s="18"/>
    </row>
    <row r="389" spans="1:2" x14ac:dyDescent="0.25">
      <c r="A389" s="12"/>
      <c r="B389" s="18"/>
    </row>
    <row r="390" spans="1:2" x14ac:dyDescent="0.25">
      <c r="A390" s="12"/>
      <c r="B390" s="18"/>
    </row>
    <row r="391" spans="1:2" x14ac:dyDescent="0.25">
      <c r="A391" s="12"/>
      <c r="B391" s="18"/>
    </row>
    <row r="392" spans="1:2" x14ac:dyDescent="0.25">
      <c r="A392" s="12"/>
      <c r="B392" s="18"/>
    </row>
    <row r="393" spans="1:2" x14ac:dyDescent="0.25">
      <c r="A393" s="12"/>
      <c r="B393" s="18"/>
    </row>
    <row r="394" spans="1:2" x14ac:dyDescent="0.25">
      <c r="A394" s="12"/>
      <c r="B394" s="18"/>
    </row>
    <row r="395" spans="1:2" x14ac:dyDescent="0.25">
      <c r="A395" s="12"/>
      <c r="B395" s="18"/>
    </row>
    <row r="396" spans="1:2" x14ac:dyDescent="0.25">
      <c r="A396" s="12"/>
      <c r="B396" s="18"/>
    </row>
    <row r="397" spans="1:2" x14ac:dyDescent="0.25">
      <c r="A397" s="12"/>
      <c r="B397" s="18"/>
    </row>
    <row r="398" spans="1:2" x14ac:dyDescent="0.25">
      <c r="A398" s="12"/>
      <c r="B398" s="18"/>
    </row>
    <row r="399" spans="1:2" x14ac:dyDescent="0.25">
      <c r="A399" s="12"/>
      <c r="B399" s="18"/>
    </row>
    <row r="400" spans="1:2" x14ac:dyDescent="0.25">
      <c r="A400" s="12"/>
      <c r="B400" s="18"/>
    </row>
    <row r="401" spans="1:2" x14ac:dyDescent="0.25">
      <c r="A401" s="12"/>
      <c r="B401" s="18"/>
    </row>
    <row r="402" spans="1:2" x14ac:dyDescent="0.25">
      <c r="A402" s="12"/>
      <c r="B402" s="18"/>
    </row>
    <row r="403" spans="1:2" x14ac:dyDescent="0.25">
      <c r="A403" s="12"/>
      <c r="B403" s="18"/>
    </row>
    <row r="404" spans="1:2" x14ac:dyDescent="0.25">
      <c r="A404" s="12"/>
      <c r="B404" s="18"/>
    </row>
    <row r="405" spans="1:2" x14ac:dyDescent="0.25">
      <c r="A405" s="12"/>
      <c r="B405" s="18"/>
    </row>
    <row r="406" spans="1:2" x14ac:dyDescent="0.25">
      <c r="A406" s="12"/>
      <c r="B406" s="18"/>
    </row>
    <row r="407" spans="1:2" x14ac:dyDescent="0.25">
      <c r="A407" s="12"/>
      <c r="B407" s="18"/>
    </row>
    <row r="408" spans="1:2" x14ac:dyDescent="0.25">
      <c r="A408" s="12"/>
      <c r="B408" s="18"/>
    </row>
    <row r="409" spans="1:2" x14ac:dyDescent="0.25">
      <c r="A409" s="12"/>
      <c r="B409" s="18"/>
    </row>
    <row r="410" spans="1:2" x14ac:dyDescent="0.25">
      <c r="A410" s="12"/>
      <c r="B410" s="18"/>
    </row>
    <row r="411" spans="1:2" x14ac:dyDescent="0.25">
      <c r="A411" s="12"/>
      <c r="B411" s="18"/>
    </row>
    <row r="412" spans="1:2" x14ac:dyDescent="0.25">
      <c r="A412" s="12"/>
      <c r="B412" s="18"/>
    </row>
    <row r="413" spans="1:2" x14ac:dyDescent="0.25">
      <c r="A413" s="12"/>
      <c r="B413" s="18"/>
    </row>
    <row r="414" spans="1:2" x14ac:dyDescent="0.25">
      <c r="A414" s="12"/>
      <c r="B414" s="18"/>
    </row>
    <row r="415" spans="1:2" x14ac:dyDescent="0.25">
      <c r="A415" s="12"/>
      <c r="B415" s="18"/>
    </row>
    <row r="416" spans="1:2" x14ac:dyDescent="0.25">
      <c r="A416" s="12"/>
      <c r="B416" s="18"/>
    </row>
    <row r="417" spans="1:2" x14ac:dyDescent="0.25">
      <c r="A417" s="12"/>
      <c r="B417" s="18"/>
    </row>
    <row r="418" spans="1:2" x14ac:dyDescent="0.25">
      <c r="A418" s="12"/>
      <c r="B418" s="18"/>
    </row>
    <row r="419" spans="1:2" x14ac:dyDescent="0.25">
      <c r="A419" s="12"/>
      <c r="B419" s="18"/>
    </row>
    <row r="420" spans="1:2" x14ac:dyDescent="0.25">
      <c r="A420" s="12"/>
      <c r="B420" s="18"/>
    </row>
    <row r="421" spans="1:2" x14ac:dyDescent="0.25">
      <c r="A421" s="12"/>
      <c r="B421" s="18"/>
    </row>
    <row r="422" spans="1:2" x14ac:dyDescent="0.25">
      <c r="A422" s="12"/>
      <c r="B422" s="18"/>
    </row>
    <row r="423" spans="1:2" x14ac:dyDescent="0.25">
      <c r="A423" s="12"/>
      <c r="B423" s="18"/>
    </row>
    <row r="424" spans="1:2" x14ac:dyDescent="0.25">
      <c r="A424" s="12"/>
      <c r="B424" s="18"/>
    </row>
    <row r="425" spans="1:2" x14ac:dyDescent="0.25">
      <c r="A425" s="12"/>
      <c r="B425" s="18"/>
    </row>
    <row r="426" spans="1:2" x14ac:dyDescent="0.25">
      <c r="A426" s="12"/>
      <c r="B426" s="18"/>
    </row>
    <row r="427" spans="1:2" x14ac:dyDescent="0.25">
      <c r="A427" s="12"/>
      <c r="B427" s="18"/>
    </row>
    <row r="428" spans="1:2" x14ac:dyDescent="0.25">
      <c r="A428" s="12"/>
      <c r="B428" s="18"/>
    </row>
    <row r="429" spans="1:2" x14ac:dyDescent="0.25">
      <c r="A429" s="12"/>
      <c r="B429" s="18"/>
    </row>
    <row r="430" spans="1:2" x14ac:dyDescent="0.25">
      <c r="A430" s="12"/>
      <c r="B430" s="18"/>
    </row>
    <row r="431" spans="1:2" x14ac:dyDescent="0.25">
      <c r="A431" s="12"/>
      <c r="B431" s="18"/>
    </row>
    <row r="432" spans="1:2" x14ac:dyDescent="0.25">
      <c r="A432" s="12"/>
      <c r="B432" s="18"/>
    </row>
    <row r="433" spans="1:2" x14ac:dyDescent="0.25">
      <c r="A433" s="12"/>
      <c r="B433" s="18"/>
    </row>
    <row r="434" spans="1:2" x14ac:dyDescent="0.25">
      <c r="A434" s="12"/>
      <c r="B434" s="18"/>
    </row>
    <row r="435" spans="1:2" x14ac:dyDescent="0.25">
      <c r="A435" s="12"/>
      <c r="B435" s="18"/>
    </row>
    <row r="436" spans="1:2" x14ac:dyDescent="0.25">
      <c r="A436" s="12"/>
      <c r="B436" s="18"/>
    </row>
    <row r="437" spans="1:2" x14ac:dyDescent="0.25">
      <c r="A437" s="12"/>
      <c r="B437" s="18"/>
    </row>
    <row r="438" spans="1:2" x14ac:dyDescent="0.25">
      <c r="A438" s="12"/>
      <c r="B438" s="18"/>
    </row>
    <row r="439" spans="1:2" x14ac:dyDescent="0.25">
      <c r="A439" s="12"/>
      <c r="B439" s="18"/>
    </row>
    <row r="440" spans="1:2" x14ac:dyDescent="0.25">
      <c r="A440" s="12"/>
      <c r="B440" s="18"/>
    </row>
    <row r="441" spans="1:2" x14ac:dyDescent="0.25">
      <c r="A441" s="12"/>
      <c r="B441" s="18"/>
    </row>
    <row r="442" spans="1:2" x14ac:dyDescent="0.25">
      <c r="A442" s="12"/>
      <c r="B442" s="18"/>
    </row>
    <row r="443" spans="1:2" x14ac:dyDescent="0.25">
      <c r="A443" s="12"/>
      <c r="B443" s="18"/>
    </row>
    <row r="444" spans="1:2" x14ac:dyDescent="0.25">
      <c r="A444" s="12"/>
      <c r="B444" s="18"/>
    </row>
    <row r="445" spans="1:2" x14ac:dyDescent="0.25">
      <c r="A445" s="12"/>
      <c r="B445" s="18"/>
    </row>
    <row r="446" spans="1:2" x14ac:dyDescent="0.25">
      <c r="A446" s="12"/>
      <c r="B446" s="18"/>
    </row>
    <row r="447" spans="1:2" x14ac:dyDescent="0.25">
      <c r="A447" s="12"/>
      <c r="B447" s="18"/>
    </row>
    <row r="448" spans="1:2" x14ac:dyDescent="0.25">
      <c r="A448" s="12"/>
      <c r="B448" s="18"/>
    </row>
    <row r="449" spans="1:2" x14ac:dyDescent="0.25">
      <c r="A449" s="12"/>
      <c r="B449" s="18"/>
    </row>
    <row r="450" spans="1:2" x14ac:dyDescent="0.25">
      <c r="A450" s="12"/>
      <c r="B450" s="18"/>
    </row>
    <row r="451" spans="1:2" x14ac:dyDescent="0.25">
      <c r="A451" s="12"/>
      <c r="B451" s="18"/>
    </row>
    <row r="452" spans="1:2" x14ac:dyDescent="0.25">
      <c r="A452" s="12"/>
      <c r="B452" s="18"/>
    </row>
    <row r="453" spans="1:2" x14ac:dyDescent="0.25">
      <c r="A453" s="12"/>
      <c r="B453" s="18"/>
    </row>
    <row r="454" spans="1:2" x14ac:dyDescent="0.25">
      <c r="A454" s="12"/>
      <c r="B454" s="18"/>
    </row>
    <row r="455" spans="1:2" x14ac:dyDescent="0.25">
      <c r="A455" s="12"/>
      <c r="B455" s="18"/>
    </row>
    <row r="456" spans="1:2" x14ac:dyDescent="0.25">
      <c r="A456" s="12"/>
      <c r="B456" s="18"/>
    </row>
    <row r="457" spans="1:2" x14ac:dyDescent="0.25">
      <c r="A457" s="12"/>
      <c r="B457" s="18"/>
    </row>
    <row r="458" spans="1:2" x14ac:dyDescent="0.25">
      <c r="A458" s="12"/>
      <c r="B458" s="18"/>
    </row>
    <row r="459" spans="1:2" x14ac:dyDescent="0.25">
      <c r="A459" s="12"/>
      <c r="B459" s="18"/>
    </row>
    <row r="460" spans="1:2" x14ac:dyDescent="0.25">
      <c r="A460" s="12"/>
      <c r="B460" s="18"/>
    </row>
    <row r="461" spans="1:2" x14ac:dyDescent="0.25">
      <c r="A461" s="12"/>
      <c r="B461" s="18"/>
    </row>
    <row r="462" spans="1:2" x14ac:dyDescent="0.25">
      <c r="A462" s="12"/>
      <c r="B462" s="18"/>
    </row>
    <row r="463" spans="1:2" x14ac:dyDescent="0.25">
      <c r="A463" s="12"/>
      <c r="B463" s="18"/>
    </row>
    <row r="464" spans="1:2" x14ac:dyDescent="0.25">
      <c r="A464" s="12"/>
      <c r="B464" s="18"/>
    </row>
    <row r="465" spans="1:2" x14ac:dyDescent="0.25">
      <c r="A465" s="12"/>
      <c r="B465" s="18"/>
    </row>
    <row r="466" spans="1:2" x14ac:dyDescent="0.25">
      <c r="A466" s="12"/>
      <c r="B466" s="18"/>
    </row>
    <row r="467" spans="1:2" x14ac:dyDescent="0.25">
      <c r="A467" s="12"/>
      <c r="B467" s="18"/>
    </row>
    <row r="468" spans="1:2" x14ac:dyDescent="0.25">
      <c r="A468" s="12"/>
      <c r="B468" s="18"/>
    </row>
    <row r="469" spans="1:2" x14ac:dyDescent="0.25">
      <c r="A469" s="12"/>
      <c r="B469" s="18"/>
    </row>
    <row r="470" spans="1:2" x14ac:dyDescent="0.25">
      <c r="A470" s="12"/>
      <c r="B470" s="18"/>
    </row>
    <row r="471" spans="1:2" x14ac:dyDescent="0.25">
      <c r="A471" s="12"/>
      <c r="B471" s="18"/>
    </row>
    <row r="472" spans="1:2" x14ac:dyDescent="0.25">
      <c r="A472" s="12"/>
      <c r="B472" s="18"/>
    </row>
    <row r="473" spans="1:2" x14ac:dyDescent="0.25">
      <c r="A473" s="12"/>
      <c r="B473" s="18"/>
    </row>
    <row r="474" spans="1:2" x14ac:dyDescent="0.25">
      <c r="A474" s="12"/>
      <c r="B474" s="18"/>
    </row>
    <row r="475" spans="1:2" x14ac:dyDescent="0.25">
      <c r="A475" s="12"/>
      <c r="B475" s="18"/>
    </row>
    <row r="476" spans="1:2" x14ac:dyDescent="0.25">
      <c r="A476" s="12"/>
      <c r="B476" s="18"/>
    </row>
    <row r="477" spans="1:2" x14ac:dyDescent="0.25">
      <c r="A477" s="12"/>
      <c r="B477" s="18"/>
    </row>
    <row r="478" spans="1:2" x14ac:dyDescent="0.25">
      <c r="A478" s="12"/>
      <c r="B478" s="18"/>
    </row>
    <row r="479" spans="1:2" x14ac:dyDescent="0.25">
      <c r="A479" s="12"/>
      <c r="B479" s="18"/>
    </row>
    <row r="480" spans="1:2" x14ac:dyDescent="0.25">
      <c r="A480" s="12"/>
      <c r="B480" s="18"/>
    </row>
    <row r="481" spans="1:2" x14ac:dyDescent="0.25">
      <c r="A481" s="12"/>
      <c r="B481" s="18"/>
    </row>
    <row r="482" spans="1:2" x14ac:dyDescent="0.25">
      <c r="A482" s="12"/>
      <c r="B482" s="18"/>
    </row>
    <row r="483" spans="1:2" x14ac:dyDescent="0.25">
      <c r="A483" s="12"/>
      <c r="B483" s="18"/>
    </row>
    <row r="484" spans="1:2" x14ac:dyDescent="0.25">
      <c r="A484" s="12"/>
      <c r="B484" s="18"/>
    </row>
    <row r="485" spans="1:2" x14ac:dyDescent="0.25">
      <c r="A485" s="12"/>
      <c r="B485" s="18"/>
    </row>
    <row r="486" spans="1:2" x14ac:dyDescent="0.25">
      <c r="A486" s="12"/>
      <c r="B486" s="18"/>
    </row>
    <row r="487" spans="1:2" x14ac:dyDescent="0.25">
      <c r="A487" s="12"/>
      <c r="B487" s="18"/>
    </row>
    <row r="488" spans="1:2" x14ac:dyDescent="0.25">
      <c r="A488" s="12"/>
      <c r="B488" s="18"/>
    </row>
    <row r="489" spans="1:2" x14ac:dyDescent="0.25">
      <c r="A489" s="12"/>
      <c r="B489" s="18"/>
    </row>
    <row r="490" spans="1:2" x14ac:dyDescent="0.25">
      <c r="A490" s="12"/>
      <c r="B490" s="18"/>
    </row>
    <row r="491" spans="1:2" x14ac:dyDescent="0.25">
      <c r="A491" s="12"/>
      <c r="B491" s="18"/>
    </row>
    <row r="492" spans="1:2" x14ac:dyDescent="0.25">
      <c r="A492" s="12"/>
      <c r="B492" s="18"/>
    </row>
    <row r="493" spans="1:2" x14ac:dyDescent="0.25">
      <c r="A493" s="12"/>
      <c r="B493" s="18"/>
    </row>
    <row r="494" spans="1:2" x14ac:dyDescent="0.25">
      <c r="A494" s="12"/>
      <c r="B494" s="18"/>
    </row>
    <row r="495" spans="1:2" x14ac:dyDescent="0.25">
      <c r="A495" s="12"/>
      <c r="B495" s="18"/>
    </row>
    <row r="496" spans="1:2" x14ac:dyDescent="0.25">
      <c r="A496" s="12"/>
      <c r="B496" s="18"/>
    </row>
    <row r="497" spans="1:2" x14ac:dyDescent="0.25">
      <c r="A497" s="12"/>
      <c r="B497" s="18"/>
    </row>
    <row r="498" spans="1:2" x14ac:dyDescent="0.25">
      <c r="A498" s="12"/>
      <c r="B498" s="18"/>
    </row>
    <row r="499" spans="1:2" x14ac:dyDescent="0.25">
      <c r="A499" s="12"/>
      <c r="B499" s="18"/>
    </row>
    <row r="500" spans="1:2" x14ac:dyDescent="0.25">
      <c r="A500" s="12"/>
      <c r="B500" s="18"/>
    </row>
    <row r="501" spans="1:2" x14ac:dyDescent="0.25">
      <c r="A501" s="12"/>
      <c r="B501" s="18"/>
    </row>
    <row r="502" spans="1:2" x14ac:dyDescent="0.25">
      <c r="A502" s="12"/>
      <c r="B502" s="18"/>
    </row>
    <row r="503" spans="1:2" x14ac:dyDescent="0.25">
      <c r="A503" s="12"/>
      <c r="B503" s="18"/>
    </row>
    <row r="504" spans="1:2" x14ac:dyDescent="0.25">
      <c r="A504" s="12"/>
      <c r="B504" s="18"/>
    </row>
    <row r="505" spans="1:2" x14ac:dyDescent="0.25">
      <c r="A505" s="12"/>
      <c r="B505" s="18"/>
    </row>
    <row r="506" spans="1:2" x14ac:dyDescent="0.25">
      <c r="A506" s="12"/>
      <c r="B506" s="18"/>
    </row>
    <row r="507" spans="1:2" x14ac:dyDescent="0.25">
      <c r="A507" s="12"/>
      <c r="B507" s="18"/>
    </row>
    <row r="508" spans="1:2" x14ac:dyDescent="0.25">
      <c r="A508" s="12"/>
      <c r="B508" s="18"/>
    </row>
    <row r="509" spans="1:2" x14ac:dyDescent="0.25">
      <c r="A509" s="12"/>
      <c r="B509" s="18"/>
    </row>
    <row r="510" spans="1:2" x14ac:dyDescent="0.25">
      <c r="A510" s="12"/>
      <c r="B510" s="18"/>
    </row>
    <row r="511" spans="1:2" x14ac:dyDescent="0.25">
      <c r="A511" s="12"/>
      <c r="B511" s="18"/>
    </row>
    <row r="512" spans="1:2" x14ac:dyDescent="0.25">
      <c r="A512" s="12"/>
      <c r="B512" s="18"/>
    </row>
    <row r="513" spans="1:2" x14ac:dyDescent="0.25">
      <c r="A513" s="12"/>
      <c r="B513" s="18"/>
    </row>
    <row r="514" spans="1:2" x14ac:dyDescent="0.25">
      <c r="A514" s="12"/>
      <c r="B514" s="18"/>
    </row>
    <row r="515" spans="1:2" x14ac:dyDescent="0.25">
      <c r="A515" s="12"/>
      <c r="B515" s="18"/>
    </row>
    <row r="516" spans="1:2" x14ac:dyDescent="0.25">
      <c r="A516" s="12"/>
      <c r="B516" s="18"/>
    </row>
    <row r="517" spans="1:2" x14ac:dyDescent="0.25">
      <c r="A517" s="12"/>
      <c r="B517" s="18"/>
    </row>
    <row r="518" spans="1:2" x14ac:dyDescent="0.25">
      <c r="A518" s="12"/>
      <c r="B518" s="18"/>
    </row>
    <row r="519" spans="1:2" x14ac:dyDescent="0.25">
      <c r="A519" s="12"/>
      <c r="B519" s="18"/>
    </row>
    <row r="520" spans="1:2" x14ac:dyDescent="0.25">
      <c r="A520" s="12"/>
      <c r="B520" s="18"/>
    </row>
    <row r="521" spans="1:2" x14ac:dyDescent="0.25">
      <c r="A521" s="12"/>
      <c r="B521" s="18"/>
    </row>
    <row r="522" spans="1:2" x14ac:dyDescent="0.25">
      <c r="A522" s="12"/>
      <c r="B522" s="18"/>
    </row>
    <row r="523" spans="1:2" x14ac:dyDescent="0.25">
      <c r="A523" s="12"/>
      <c r="B523" s="18"/>
    </row>
    <row r="524" spans="1:2" x14ac:dyDescent="0.25">
      <c r="A524" s="12"/>
      <c r="B524" s="18"/>
    </row>
    <row r="525" spans="1:2" x14ac:dyDescent="0.25">
      <c r="A525" s="12"/>
      <c r="B525" s="18"/>
    </row>
    <row r="526" spans="1:2" x14ac:dyDescent="0.25">
      <c r="A526" s="12"/>
      <c r="B526" s="18"/>
    </row>
    <row r="527" spans="1:2" x14ac:dyDescent="0.25">
      <c r="A527" s="12"/>
      <c r="B527" s="18"/>
    </row>
    <row r="528" spans="1:2" x14ac:dyDescent="0.25">
      <c r="A528" s="12"/>
      <c r="B528" s="18"/>
    </row>
    <row r="529" spans="1:2" x14ac:dyDescent="0.25">
      <c r="A529" s="12"/>
      <c r="B529" s="18"/>
    </row>
    <row r="530" spans="1:2" x14ac:dyDescent="0.25">
      <c r="A530" s="12"/>
      <c r="B530" s="18"/>
    </row>
    <row r="531" spans="1:2" x14ac:dyDescent="0.25">
      <c r="A531" s="12"/>
      <c r="B531" s="18"/>
    </row>
    <row r="532" spans="1:2" x14ac:dyDescent="0.25">
      <c r="A532" s="12"/>
      <c r="B532" s="18"/>
    </row>
    <row r="533" spans="1:2" x14ac:dyDescent="0.25">
      <c r="A533" s="12"/>
      <c r="B533" s="18"/>
    </row>
    <row r="534" spans="1:2" x14ac:dyDescent="0.25">
      <c r="A534" s="12"/>
      <c r="B534" s="18"/>
    </row>
    <row r="535" spans="1:2" x14ac:dyDescent="0.25">
      <c r="A535" s="12"/>
      <c r="B535" s="18"/>
    </row>
    <row r="536" spans="1:2" x14ac:dyDescent="0.25">
      <c r="A536" s="12"/>
      <c r="B536" s="18"/>
    </row>
    <row r="537" spans="1:2" x14ac:dyDescent="0.25">
      <c r="A537" s="12"/>
      <c r="B537" s="18"/>
    </row>
    <row r="538" spans="1:2" x14ac:dyDescent="0.25">
      <c r="A538" s="12"/>
      <c r="B538" s="18"/>
    </row>
    <row r="539" spans="1:2" x14ac:dyDescent="0.25">
      <c r="A539" s="12"/>
      <c r="B539" s="18"/>
    </row>
    <row r="540" spans="1:2" x14ac:dyDescent="0.25">
      <c r="A540" s="12"/>
      <c r="B540" s="18"/>
    </row>
    <row r="541" spans="1:2" x14ac:dyDescent="0.25">
      <c r="A541" s="12"/>
      <c r="B541" s="18"/>
    </row>
    <row r="542" spans="1:2" x14ac:dyDescent="0.25">
      <c r="A542" s="12"/>
      <c r="B542" s="18"/>
    </row>
    <row r="543" spans="1:2" x14ac:dyDescent="0.25">
      <c r="A543" s="12"/>
      <c r="B543" s="18"/>
    </row>
    <row r="544" spans="1:2" x14ac:dyDescent="0.25">
      <c r="A544" s="12"/>
      <c r="B544" s="18"/>
    </row>
    <row r="545" spans="1:2" x14ac:dyDescent="0.25">
      <c r="A545" s="12"/>
      <c r="B545" s="18"/>
    </row>
    <row r="546" spans="1:2" x14ac:dyDescent="0.25">
      <c r="A546" s="12"/>
      <c r="B546" s="18"/>
    </row>
    <row r="547" spans="1:2" x14ac:dyDescent="0.25">
      <c r="A547" s="12"/>
      <c r="B547" s="18"/>
    </row>
    <row r="548" spans="1:2" x14ac:dyDescent="0.25">
      <c r="A548" s="12"/>
      <c r="B548" s="18"/>
    </row>
    <row r="549" spans="1:2" x14ac:dyDescent="0.25">
      <c r="A549" s="12"/>
      <c r="B549" s="18"/>
    </row>
    <row r="550" spans="1:2" x14ac:dyDescent="0.25">
      <c r="A550" s="12"/>
      <c r="B550" s="18"/>
    </row>
    <row r="551" spans="1:2" x14ac:dyDescent="0.25">
      <c r="A551" s="12"/>
      <c r="B551" s="18"/>
    </row>
    <row r="552" spans="1:2" x14ac:dyDescent="0.25">
      <c r="A552" s="12"/>
      <c r="B552" s="18"/>
    </row>
    <row r="553" spans="1:2" x14ac:dyDescent="0.25">
      <c r="A553" s="12"/>
      <c r="B553" s="18"/>
    </row>
    <row r="554" spans="1:2" x14ac:dyDescent="0.25">
      <c r="A554" s="12"/>
      <c r="B554" s="18"/>
    </row>
    <row r="555" spans="1:2" x14ac:dyDescent="0.25">
      <c r="A555" s="12"/>
      <c r="B555" s="18"/>
    </row>
    <row r="556" spans="1:2" x14ac:dyDescent="0.25">
      <c r="A556" s="12"/>
      <c r="B556" s="18"/>
    </row>
    <row r="557" spans="1:2" x14ac:dyDescent="0.25">
      <c r="A557" s="12"/>
      <c r="B557" s="18"/>
    </row>
    <row r="558" spans="1:2" x14ac:dyDescent="0.25">
      <c r="A558" s="12"/>
      <c r="B558" s="18"/>
    </row>
    <row r="559" spans="1:2" x14ac:dyDescent="0.25">
      <c r="A559" s="12"/>
      <c r="B559" s="18"/>
    </row>
    <row r="560" spans="1:2" x14ac:dyDescent="0.25">
      <c r="A560" s="12"/>
      <c r="B560" s="18"/>
    </row>
    <row r="561" spans="1:2" x14ac:dyDescent="0.25">
      <c r="A561" s="12"/>
      <c r="B561" s="18"/>
    </row>
    <row r="562" spans="1:2" x14ac:dyDescent="0.25">
      <c r="A562" s="12"/>
      <c r="B562" s="18"/>
    </row>
    <row r="563" spans="1:2" x14ac:dyDescent="0.25">
      <c r="A563" s="12"/>
      <c r="B563" s="18"/>
    </row>
    <row r="564" spans="1:2" x14ac:dyDescent="0.25">
      <c r="A564" s="12"/>
      <c r="B564" s="18"/>
    </row>
    <row r="565" spans="1:2" x14ac:dyDescent="0.25">
      <c r="A565" s="12"/>
      <c r="B565" s="18"/>
    </row>
    <row r="566" spans="1:2" x14ac:dyDescent="0.25">
      <c r="A566" s="12"/>
      <c r="B566" s="18"/>
    </row>
    <row r="567" spans="1:2" x14ac:dyDescent="0.25">
      <c r="A567" s="12"/>
      <c r="B567" s="18"/>
    </row>
    <row r="568" spans="1:2" x14ac:dyDescent="0.25">
      <c r="A568" s="12"/>
      <c r="B568" s="18"/>
    </row>
    <row r="569" spans="1:2" x14ac:dyDescent="0.25">
      <c r="A569" s="12"/>
      <c r="B569" s="18"/>
    </row>
    <row r="570" spans="1:2" x14ac:dyDescent="0.25">
      <c r="A570" s="12"/>
      <c r="B570" s="18"/>
    </row>
    <row r="571" spans="1:2" x14ac:dyDescent="0.25">
      <c r="A571" s="12"/>
      <c r="B571" s="18"/>
    </row>
    <row r="572" spans="1:2" x14ac:dyDescent="0.25">
      <c r="A572" s="12"/>
      <c r="B572" s="18"/>
    </row>
    <row r="573" spans="1:2" x14ac:dyDescent="0.25">
      <c r="A573" s="12"/>
      <c r="B573" s="18"/>
    </row>
    <row r="574" spans="1:2" x14ac:dyDescent="0.25">
      <c r="A574" s="12"/>
      <c r="B574" s="18"/>
    </row>
    <row r="575" spans="1:2" x14ac:dyDescent="0.25">
      <c r="A575" s="12"/>
      <c r="B575" s="18"/>
    </row>
    <row r="576" spans="1:2" x14ac:dyDescent="0.25">
      <c r="A576" s="12"/>
      <c r="B576" s="18"/>
    </row>
    <row r="577" spans="1:2" x14ac:dyDescent="0.25">
      <c r="A577" s="12"/>
      <c r="B577" s="18"/>
    </row>
    <row r="578" spans="1:2" x14ac:dyDescent="0.25">
      <c r="A578" s="12"/>
      <c r="B578" s="18"/>
    </row>
    <row r="579" spans="1:2" x14ac:dyDescent="0.25">
      <c r="A579" s="12"/>
      <c r="B579" s="18"/>
    </row>
    <row r="580" spans="1:2" x14ac:dyDescent="0.25">
      <c r="A580" s="12"/>
      <c r="B580" s="18"/>
    </row>
    <row r="581" spans="1:2" x14ac:dyDescent="0.25">
      <c r="A581" s="12"/>
      <c r="B581" s="18"/>
    </row>
    <row r="582" spans="1:2" x14ac:dyDescent="0.25">
      <c r="A582" s="12"/>
      <c r="B582" s="18"/>
    </row>
    <row r="583" spans="1:2" x14ac:dyDescent="0.25">
      <c r="A583" s="12"/>
      <c r="B583" s="18"/>
    </row>
    <row r="584" spans="1:2" x14ac:dyDescent="0.25">
      <c r="A584" s="12"/>
      <c r="B584" s="18"/>
    </row>
    <row r="585" spans="1:2" x14ac:dyDescent="0.25">
      <c r="A585" s="12"/>
      <c r="B585" s="18"/>
    </row>
    <row r="586" spans="1:2" x14ac:dyDescent="0.25">
      <c r="A586" s="12"/>
      <c r="B586" s="18"/>
    </row>
    <row r="587" spans="1:2" x14ac:dyDescent="0.25">
      <c r="A587" s="12"/>
      <c r="B587" s="18"/>
    </row>
    <row r="588" spans="1:2" x14ac:dyDescent="0.25">
      <c r="A588" s="12"/>
      <c r="B588" s="18"/>
    </row>
    <row r="589" spans="1:2" x14ac:dyDescent="0.25">
      <c r="A589" s="12"/>
      <c r="B589" s="18"/>
    </row>
    <row r="590" spans="1:2" x14ac:dyDescent="0.25">
      <c r="A590" s="12"/>
      <c r="B590" s="18"/>
    </row>
    <row r="591" spans="1:2" x14ac:dyDescent="0.25">
      <c r="A591" s="12"/>
      <c r="B591" s="18"/>
    </row>
    <row r="592" spans="1:2" x14ac:dyDescent="0.25">
      <c r="A592" s="12"/>
      <c r="B592" s="18"/>
    </row>
    <row r="593" spans="1:2" x14ac:dyDescent="0.25">
      <c r="A593" s="12"/>
      <c r="B593" s="18"/>
    </row>
    <row r="594" spans="1:2" x14ac:dyDescent="0.25">
      <c r="A594" s="12"/>
      <c r="B594" s="18"/>
    </row>
    <row r="595" spans="1:2" x14ac:dyDescent="0.25">
      <c r="A595" s="12"/>
      <c r="B595" s="18"/>
    </row>
    <row r="596" spans="1:2" x14ac:dyDescent="0.25">
      <c r="A596" s="12"/>
      <c r="B596" s="18"/>
    </row>
    <row r="597" spans="1:2" x14ac:dyDescent="0.25">
      <c r="A597" s="12"/>
      <c r="B597" s="18"/>
    </row>
    <row r="598" spans="1:2" x14ac:dyDescent="0.25">
      <c r="A598" s="12"/>
      <c r="B598" s="18"/>
    </row>
    <row r="599" spans="1:2" x14ac:dyDescent="0.25">
      <c r="A599" s="12"/>
      <c r="B599" s="18"/>
    </row>
    <row r="600" spans="1:2" x14ac:dyDescent="0.25">
      <c r="A600" s="12"/>
      <c r="B600" s="18"/>
    </row>
    <row r="601" spans="1:2" x14ac:dyDescent="0.25">
      <c r="A601" s="12"/>
      <c r="B601" s="18"/>
    </row>
    <row r="602" spans="1:2" x14ac:dyDescent="0.25">
      <c r="A602" s="12"/>
      <c r="B602" s="18"/>
    </row>
    <row r="603" spans="1:2" x14ac:dyDescent="0.25">
      <c r="A603" s="12"/>
      <c r="B603" s="18"/>
    </row>
    <row r="604" spans="1:2" x14ac:dyDescent="0.25">
      <c r="A604" s="12"/>
      <c r="B604" s="18"/>
    </row>
    <row r="605" spans="1:2" x14ac:dyDescent="0.25">
      <c r="A605" s="12"/>
      <c r="B605" s="18"/>
    </row>
    <row r="606" spans="1:2" x14ac:dyDescent="0.25">
      <c r="A606" s="12"/>
      <c r="B606" s="18"/>
    </row>
    <row r="607" spans="1:2" x14ac:dyDescent="0.25">
      <c r="A607" s="12"/>
      <c r="B607" s="18"/>
    </row>
    <row r="608" spans="1:2" x14ac:dyDescent="0.25">
      <c r="A608" s="12"/>
      <c r="B608" s="18"/>
    </row>
    <row r="609" spans="1:2" x14ac:dyDescent="0.25">
      <c r="A609" s="12"/>
      <c r="B609" s="18"/>
    </row>
    <row r="610" spans="1:2" x14ac:dyDescent="0.25">
      <c r="A610" s="12"/>
      <c r="B610" s="18"/>
    </row>
    <row r="611" spans="1:2" x14ac:dyDescent="0.25">
      <c r="A611" s="12"/>
      <c r="B611" s="18"/>
    </row>
    <row r="612" spans="1:2" x14ac:dyDescent="0.25">
      <c r="A612" s="12"/>
      <c r="B612" s="18"/>
    </row>
    <row r="613" spans="1:2" x14ac:dyDescent="0.25">
      <c r="A613" s="12"/>
      <c r="B613" s="18"/>
    </row>
    <row r="614" spans="1:2" x14ac:dyDescent="0.25">
      <c r="A614" s="12"/>
      <c r="B614" s="18"/>
    </row>
    <row r="615" spans="1:2" x14ac:dyDescent="0.25">
      <c r="A615" s="12"/>
      <c r="B615" s="18"/>
    </row>
    <row r="616" spans="1:2" x14ac:dyDescent="0.25">
      <c r="A616" s="12"/>
      <c r="B616" s="18"/>
    </row>
    <row r="617" spans="1:2" x14ac:dyDescent="0.25">
      <c r="A617" s="12"/>
      <c r="B617" s="18"/>
    </row>
    <row r="618" spans="1:2" x14ac:dyDescent="0.25">
      <c r="A618" s="12"/>
      <c r="B618" s="18"/>
    </row>
    <row r="619" spans="1:2" x14ac:dyDescent="0.25">
      <c r="A619" s="12"/>
      <c r="B619" s="18"/>
    </row>
    <row r="620" spans="1:2" x14ac:dyDescent="0.25">
      <c r="A620" s="12"/>
      <c r="B620" s="18"/>
    </row>
    <row r="621" spans="1:2" x14ac:dyDescent="0.25">
      <c r="A621" s="12"/>
      <c r="B621" s="18"/>
    </row>
    <row r="622" spans="1:2" x14ac:dyDescent="0.25">
      <c r="A622" s="12"/>
      <c r="B622" s="18"/>
    </row>
    <row r="623" spans="1:2" x14ac:dyDescent="0.25">
      <c r="A623" s="12"/>
      <c r="B623" s="18"/>
    </row>
    <row r="624" spans="1:2" x14ac:dyDescent="0.25">
      <c r="A624" s="12"/>
      <c r="B624" s="18"/>
    </row>
    <row r="625" spans="1:2" x14ac:dyDescent="0.25">
      <c r="A625" s="12"/>
      <c r="B625" s="18"/>
    </row>
    <row r="626" spans="1:2" x14ac:dyDescent="0.25">
      <c r="A626" s="12"/>
      <c r="B626" s="18"/>
    </row>
    <row r="627" spans="1:2" x14ac:dyDescent="0.25">
      <c r="A627" s="12"/>
      <c r="B627" s="18"/>
    </row>
    <row r="628" spans="1:2" x14ac:dyDescent="0.25">
      <c r="A628" s="12"/>
      <c r="B628" s="18"/>
    </row>
    <row r="629" spans="1:2" x14ac:dyDescent="0.25">
      <c r="A629" s="12"/>
      <c r="B629" s="18"/>
    </row>
    <row r="630" spans="1:2" x14ac:dyDescent="0.25">
      <c r="A630" s="12"/>
      <c r="B630" s="18"/>
    </row>
    <row r="631" spans="1:2" x14ac:dyDescent="0.25">
      <c r="A631" s="12"/>
      <c r="B631" s="18"/>
    </row>
    <row r="632" spans="1:2" x14ac:dyDescent="0.25">
      <c r="A632" s="12"/>
      <c r="B632" s="18"/>
    </row>
    <row r="633" spans="1:2" x14ac:dyDescent="0.25">
      <c r="A633" s="12"/>
      <c r="B633" s="18"/>
    </row>
    <row r="634" spans="1:2" x14ac:dyDescent="0.25">
      <c r="A634" s="12"/>
      <c r="B634" s="18"/>
    </row>
    <row r="635" spans="1:2" x14ac:dyDescent="0.25">
      <c r="A635" s="12"/>
      <c r="B635" s="18"/>
    </row>
    <row r="636" spans="1:2" x14ac:dyDescent="0.25">
      <c r="A636" s="12"/>
      <c r="B636" s="18"/>
    </row>
    <row r="637" spans="1:2" x14ac:dyDescent="0.25">
      <c r="A637" s="12"/>
      <c r="B637" s="18"/>
    </row>
    <row r="638" spans="1:2" x14ac:dyDescent="0.25">
      <c r="A638" s="12"/>
      <c r="B638" s="18"/>
    </row>
    <row r="639" spans="1:2" x14ac:dyDescent="0.25">
      <c r="A639" s="12"/>
      <c r="B639" s="18"/>
    </row>
    <row r="640" spans="1:2" x14ac:dyDescent="0.25">
      <c r="A640" s="12"/>
      <c r="B640" s="18"/>
    </row>
    <row r="641" spans="1:2" x14ac:dyDescent="0.25">
      <c r="A641" s="12"/>
      <c r="B641" s="18"/>
    </row>
    <row r="642" spans="1:2" x14ac:dyDescent="0.25">
      <c r="A642" s="12"/>
      <c r="B642" s="18"/>
    </row>
    <row r="643" spans="1:2" x14ac:dyDescent="0.25">
      <c r="A643" s="12"/>
      <c r="B643" s="18"/>
    </row>
    <row r="644" spans="1:2" x14ac:dyDescent="0.25">
      <c r="A644" s="12"/>
      <c r="B644" s="18"/>
    </row>
    <row r="645" spans="1:2" x14ac:dyDescent="0.25">
      <c r="A645" s="12"/>
      <c r="B645" s="18"/>
    </row>
    <row r="646" spans="1:2" x14ac:dyDescent="0.25">
      <c r="A646" s="12"/>
      <c r="B646" s="18"/>
    </row>
    <row r="647" spans="1:2" x14ac:dyDescent="0.25">
      <c r="A647" s="12"/>
      <c r="B647" s="18"/>
    </row>
    <row r="648" spans="1:2" x14ac:dyDescent="0.25">
      <c r="A648" s="12"/>
      <c r="B648" s="18"/>
    </row>
    <row r="649" spans="1:2" x14ac:dyDescent="0.25">
      <c r="A649" s="12"/>
      <c r="B649" s="18"/>
    </row>
    <row r="650" spans="1:2" x14ac:dyDescent="0.25">
      <c r="A650" s="12"/>
      <c r="B650" s="18"/>
    </row>
    <row r="651" spans="1:2" x14ac:dyDescent="0.25">
      <c r="A651" s="12"/>
      <c r="B651" s="18"/>
    </row>
    <row r="652" spans="1:2" x14ac:dyDescent="0.25">
      <c r="A652" s="12"/>
      <c r="B652" s="18"/>
    </row>
    <row r="653" spans="1:2" x14ac:dyDescent="0.25">
      <c r="A653" s="12"/>
      <c r="B653" s="18"/>
    </row>
    <row r="654" spans="1:2" x14ac:dyDescent="0.25">
      <c r="A654" s="12"/>
      <c r="B654" s="18"/>
    </row>
    <row r="655" spans="1:2" x14ac:dyDescent="0.25">
      <c r="A655" s="12"/>
      <c r="B655" s="18"/>
    </row>
    <row r="656" spans="1:2" x14ac:dyDescent="0.25">
      <c r="A656" s="12"/>
      <c r="B656" s="18"/>
    </row>
    <row r="657" spans="1:2" x14ac:dyDescent="0.25">
      <c r="A657" s="12"/>
      <c r="B657" s="18"/>
    </row>
    <row r="658" spans="1:2" x14ac:dyDescent="0.25">
      <c r="A658" s="12"/>
      <c r="B658" s="18"/>
    </row>
    <row r="659" spans="1:2" x14ac:dyDescent="0.25">
      <c r="A659" s="12"/>
      <c r="B659" s="18"/>
    </row>
    <row r="660" spans="1:2" x14ac:dyDescent="0.25">
      <c r="A660" s="12"/>
      <c r="B660" s="18"/>
    </row>
    <row r="661" spans="1:2" x14ac:dyDescent="0.25">
      <c r="A661" s="12"/>
      <c r="B661" s="18"/>
    </row>
    <row r="662" spans="1:2" x14ac:dyDescent="0.25">
      <c r="A662" s="12"/>
      <c r="B662" s="18"/>
    </row>
    <row r="663" spans="1:2" x14ac:dyDescent="0.25">
      <c r="A663" s="12"/>
      <c r="B663" s="18"/>
    </row>
    <row r="664" spans="1:2" x14ac:dyDescent="0.25">
      <c r="A664" s="12"/>
      <c r="B664" s="18"/>
    </row>
    <row r="665" spans="1:2" x14ac:dyDescent="0.25">
      <c r="A665" s="12"/>
      <c r="B665" s="18"/>
    </row>
    <row r="666" spans="1:2" x14ac:dyDescent="0.25">
      <c r="A666" s="12"/>
      <c r="B666" s="18"/>
    </row>
    <row r="667" spans="1:2" x14ac:dyDescent="0.25">
      <c r="A667" s="12"/>
      <c r="B667" s="18"/>
    </row>
    <row r="668" spans="1:2" x14ac:dyDescent="0.25">
      <c r="A668" s="12"/>
      <c r="B668" s="18"/>
    </row>
    <row r="669" spans="1:2" x14ac:dyDescent="0.25">
      <c r="A669" s="12"/>
      <c r="B669" s="18"/>
    </row>
    <row r="670" spans="1:2" x14ac:dyDescent="0.25">
      <c r="A670" s="12"/>
      <c r="B670" s="18"/>
    </row>
    <row r="671" spans="1:2" x14ac:dyDescent="0.25">
      <c r="A671" s="12"/>
      <c r="B671" s="18"/>
    </row>
    <row r="672" spans="1:2" x14ac:dyDescent="0.25">
      <c r="A672" s="12"/>
      <c r="B672" s="18"/>
    </row>
    <row r="673" spans="1:2" x14ac:dyDescent="0.25">
      <c r="A673" s="12"/>
      <c r="B673" s="18"/>
    </row>
    <row r="674" spans="1:2" x14ac:dyDescent="0.25">
      <c r="A674" s="12"/>
      <c r="B674" s="18"/>
    </row>
    <row r="675" spans="1:2" x14ac:dyDescent="0.25">
      <c r="A675" s="12"/>
      <c r="B675" s="18"/>
    </row>
    <row r="676" spans="1:2" x14ac:dyDescent="0.25">
      <c r="A676" s="12"/>
      <c r="B676" s="18"/>
    </row>
    <row r="677" spans="1:2" x14ac:dyDescent="0.25">
      <c r="A677" s="12"/>
      <c r="B677" s="18"/>
    </row>
    <row r="678" spans="1:2" x14ac:dyDescent="0.25">
      <c r="A678" s="12"/>
      <c r="B678" s="18"/>
    </row>
    <row r="679" spans="1:2" x14ac:dyDescent="0.25">
      <c r="A679" s="12"/>
      <c r="B679" s="18"/>
    </row>
    <row r="680" spans="1:2" x14ac:dyDescent="0.25">
      <c r="A680" s="12"/>
      <c r="B680" s="18"/>
    </row>
    <row r="681" spans="1:2" x14ac:dyDescent="0.25">
      <c r="A681" s="12"/>
      <c r="B681" s="18"/>
    </row>
    <row r="682" spans="1:2" x14ac:dyDescent="0.25">
      <c r="A682" s="12"/>
      <c r="B682" s="18"/>
    </row>
    <row r="683" spans="1:2" x14ac:dyDescent="0.25">
      <c r="A683" s="12"/>
      <c r="B683" s="18"/>
    </row>
    <row r="684" spans="1:2" x14ac:dyDescent="0.25">
      <c r="A684" s="12"/>
      <c r="B684" s="18"/>
    </row>
    <row r="685" spans="1:2" x14ac:dyDescent="0.25">
      <c r="A685" s="12"/>
      <c r="B685" s="18"/>
    </row>
    <row r="686" spans="1:2" x14ac:dyDescent="0.25">
      <c r="A686" s="12"/>
      <c r="B686" s="18"/>
    </row>
    <row r="687" spans="1:2" x14ac:dyDescent="0.25">
      <c r="A687" s="12"/>
      <c r="B687" s="18"/>
    </row>
    <row r="688" spans="1:2" x14ac:dyDescent="0.25">
      <c r="A688" s="12"/>
      <c r="B688" s="18"/>
    </row>
    <row r="689" spans="1:2" x14ac:dyDescent="0.25">
      <c r="A689" s="12"/>
      <c r="B689" s="18"/>
    </row>
    <row r="690" spans="1:2" x14ac:dyDescent="0.25">
      <c r="A690" s="12"/>
      <c r="B690" s="18"/>
    </row>
    <row r="691" spans="1:2" x14ac:dyDescent="0.25">
      <c r="A691" s="12"/>
      <c r="B691" s="18"/>
    </row>
    <row r="692" spans="1:2" x14ac:dyDescent="0.25">
      <c r="A692" s="12"/>
      <c r="B692" s="18"/>
    </row>
    <row r="693" spans="1:2" x14ac:dyDescent="0.25">
      <c r="A693" s="12"/>
      <c r="B693" s="18"/>
    </row>
    <row r="694" spans="1:2" x14ac:dyDescent="0.25">
      <c r="A694" s="12"/>
      <c r="B694" s="18"/>
    </row>
    <row r="695" spans="1:2" x14ac:dyDescent="0.25">
      <c r="A695" s="12"/>
      <c r="B695" s="18"/>
    </row>
    <row r="696" spans="1:2" x14ac:dyDescent="0.25">
      <c r="A696" s="12"/>
      <c r="B696" s="18"/>
    </row>
    <row r="697" spans="1:2" x14ac:dyDescent="0.25">
      <c r="A697" s="12"/>
      <c r="B697" s="18"/>
    </row>
    <row r="698" spans="1:2" x14ac:dyDescent="0.25">
      <c r="A698" s="12"/>
      <c r="B698" s="18"/>
    </row>
    <row r="699" spans="1:2" x14ac:dyDescent="0.25">
      <c r="A699" s="12"/>
      <c r="B699" s="18"/>
    </row>
    <row r="700" spans="1:2" x14ac:dyDescent="0.25">
      <c r="A700" s="12"/>
      <c r="B700" s="18"/>
    </row>
    <row r="701" spans="1:2" x14ac:dyDescent="0.25">
      <c r="A701" s="12"/>
      <c r="B701" s="18"/>
    </row>
    <row r="702" spans="1:2" x14ac:dyDescent="0.25">
      <c r="A702" s="12"/>
      <c r="B702" s="18"/>
    </row>
    <row r="703" spans="1:2" x14ac:dyDescent="0.25">
      <c r="A703" s="12"/>
      <c r="B703" s="18"/>
    </row>
    <row r="704" spans="1:2" x14ac:dyDescent="0.25">
      <c r="A704" s="12"/>
      <c r="B704" s="18"/>
    </row>
    <row r="705" spans="1:2" x14ac:dyDescent="0.25">
      <c r="A705" s="12"/>
      <c r="B705" s="18"/>
    </row>
    <row r="706" spans="1:2" x14ac:dyDescent="0.25">
      <c r="A706" s="12"/>
      <c r="B706" s="18"/>
    </row>
    <row r="707" spans="1:2" x14ac:dyDescent="0.25">
      <c r="A707" s="12"/>
      <c r="B707" s="18"/>
    </row>
    <row r="708" spans="1:2" x14ac:dyDescent="0.25">
      <c r="A708" s="12"/>
      <c r="B708" s="18"/>
    </row>
    <row r="709" spans="1:2" x14ac:dyDescent="0.25">
      <c r="A709" s="12"/>
      <c r="B709" s="18"/>
    </row>
    <row r="710" spans="1:2" x14ac:dyDescent="0.25">
      <c r="A710" s="12"/>
      <c r="B710" s="18"/>
    </row>
    <row r="711" spans="1:2" x14ac:dyDescent="0.25">
      <c r="A711" s="12"/>
      <c r="B711" s="18"/>
    </row>
    <row r="712" spans="1:2" x14ac:dyDescent="0.25">
      <c r="A712" s="12"/>
      <c r="B712" s="18"/>
    </row>
    <row r="713" spans="1:2" x14ac:dyDescent="0.25">
      <c r="A713" s="12"/>
      <c r="B713" s="18"/>
    </row>
    <row r="714" spans="1:2" x14ac:dyDescent="0.25">
      <c r="A714" s="12"/>
      <c r="B714" s="18"/>
    </row>
    <row r="715" spans="1:2" x14ac:dyDescent="0.25">
      <c r="A715" s="12"/>
      <c r="B715" s="18"/>
    </row>
    <row r="716" spans="1:2" x14ac:dyDescent="0.25">
      <c r="A716" s="12"/>
      <c r="B716" s="18"/>
    </row>
    <row r="717" spans="1:2" x14ac:dyDescent="0.25">
      <c r="A717" s="12"/>
      <c r="B717" s="18"/>
    </row>
    <row r="718" spans="1:2" x14ac:dyDescent="0.25">
      <c r="A718" s="12"/>
      <c r="B718" s="18"/>
    </row>
    <row r="719" spans="1:2" x14ac:dyDescent="0.25">
      <c r="A719" s="12"/>
      <c r="B719" s="18"/>
    </row>
    <row r="720" spans="1:2" x14ac:dyDescent="0.25">
      <c r="A720" s="12"/>
      <c r="B720" s="18"/>
    </row>
    <row r="721" spans="1:2" x14ac:dyDescent="0.25">
      <c r="A721" s="12"/>
      <c r="B721" s="18"/>
    </row>
    <row r="722" spans="1:2" x14ac:dyDescent="0.25">
      <c r="A722" s="12"/>
      <c r="B722" s="18"/>
    </row>
    <row r="723" spans="1:2" x14ac:dyDescent="0.25">
      <c r="A723" s="12"/>
      <c r="B723" s="18"/>
    </row>
    <row r="724" spans="1:2" x14ac:dyDescent="0.25">
      <c r="A724" s="12"/>
      <c r="B724" s="18"/>
    </row>
    <row r="725" spans="1:2" x14ac:dyDescent="0.25">
      <c r="A725" s="12"/>
      <c r="B725" s="18"/>
    </row>
    <row r="726" spans="1:2" x14ac:dyDescent="0.25">
      <c r="A726" s="12"/>
      <c r="B726" s="18"/>
    </row>
    <row r="727" spans="1:2" x14ac:dyDescent="0.25">
      <c r="A727" s="12"/>
      <c r="B727" s="18"/>
    </row>
    <row r="728" spans="1:2" x14ac:dyDescent="0.25">
      <c r="A728" s="12"/>
      <c r="B728" s="18"/>
    </row>
    <row r="729" spans="1:2" x14ac:dyDescent="0.25">
      <c r="A729" s="12"/>
      <c r="B729" s="18"/>
    </row>
    <row r="730" spans="1:2" x14ac:dyDescent="0.25">
      <c r="A730" s="12"/>
      <c r="B730" s="18"/>
    </row>
    <row r="731" spans="1:2" x14ac:dyDescent="0.25">
      <c r="A731" s="12"/>
      <c r="B731" s="18"/>
    </row>
    <row r="732" spans="1:2" x14ac:dyDescent="0.25">
      <c r="A732" s="12"/>
      <c r="B732" s="18"/>
    </row>
    <row r="733" spans="1:2" x14ac:dyDescent="0.25">
      <c r="A733" s="12"/>
      <c r="B733" s="18"/>
    </row>
    <row r="734" spans="1:2" x14ac:dyDescent="0.25">
      <c r="A734" s="12"/>
      <c r="B734" s="18"/>
    </row>
    <row r="735" spans="1:2" x14ac:dyDescent="0.25">
      <c r="A735" s="12"/>
      <c r="B735" s="18"/>
    </row>
    <row r="736" spans="1:2" x14ac:dyDescent="0.25">
      <c r="A736" s="12"/>
      <c r="B736" s="18"/>
    </row>
    <row r="737" spans="1:2" x14ac:dyDescent="0.25">
      <c r="A737" s="12"/>
      <c r="B737" s="18"/>
    </row>
    <row r="738" spans="1:2" x14ac:dyDescent="0.25">
      <c r="A738" s="12"/>
      <c r="B738" s="18"/>
    </row>
    <row r="739" spans="1:2" x14ac:dyDescent="0.25">
      <c r="A739" s="12"/>
      <c r="B739" s="18"/>
    </row>
    <row r="740" spans="1:2" x14ac:dyDescent="0.25">
      <c r="A740" s="12"/>
      <c r="B740" s="18"/>
    </row>
    <row r="741" spans="1:2" x14ac:dyDescent="0.25">
      <c r="A741" s="12"/>
      <c r="B741" s="18"/>
    </row>
    <row r="742" spans="1:2" x14ac:dyDescent="0.25">
      <c r="A742" s="12"/>
      <c r="B742" s="18"/>
    </row>
    <row r="743" spans="1:2" x14ac:dyDescent="0.25">
      <c r="A743" s="12"/>
      <c r="B743" s="18"/>
    </row>
    <row r="744" spans="1:2" x14ac:dyDescent="0.25">
      <c r="A744" s="12"/>
      <c r="B744" s="18"/>
    </row>
    <row r="745" spans="1:2" x14ac:dyDescent="0.25">
      <c r="A745" s="12"/>
      <c r="B745" s="18"/>
    </row>
    <row r="746" spans="1:2" x14ac:dyDescent="0.25">
      <c r="A746" s="12"/>
      <c r="B746" s="18"/>
    </row>
    <row r="747" spans="1:2" x14ac:dyDescent="0.25">
      <c r="A747" s="12"/>
      <c r="B747" s="18"/>
    </row>
    <row r="748" spans="1:2" x14ac:dyDescent="0.25">
      <c r="A748" s="12"/>
      <c r="B748" s="18"/>
    </row>
    <row r="749" spans="1:2" x14ac:dyDescent="0.25">
      <c r="A749" s="12"/>
      <c r="B749" s="18"/>
    </row>
    <row r="750" spans="1:2" x14ac:dyDescent="0.25">
      <c r="A750" s="12"/>
      <c r="B750" s="18"/>
    </row>
    <row r="751" spans="1:2" x14ac:dyDescent="0.25">
      <c r="A751" s="12"/>
      <c r="B751" s="18"/>
    </row>
    <row r="752" spans="1:2" x14ac:dyDescent="0.25">
      <c r="A752" s="12"/>
      <c r="B752" s="18"/>
    </row>
    <row r="753" spans="1:2" x14ac:dyDescent="0.25">
      <c r="A753" s="12"/>
      <c r="B753" s="18"/>
    </row>
    <row r="754" spans="1:2" x14ac:dyDescent="0.25">
      <c r="A754" s="12"/>
      <c r="B754" s="18"/>
    </row>
    <row r="755" spans="1:2" x14ac:dyDescent="0.25">
      <c r="A755" s="12"/>
      <c r="B755" s="18"/>
    </row>
    <row r="756" spans="1:2" x14ac:dyDescent="0.25">
      <c r="A756" s="12"/>
      <c r="B756" s="18"/>
    </row>
    <row r="757" spans="1:2" x14ac:dyDescent="0.25">
      <c r="A757" s="12"/>
      <c r="B757" s="18"/>
    </row>
    <row r="758" spans="1:2" x14ac:dyDescent="0.25">
      <c r="A758" s="12"/>
      <c r="B758" s="18"/>
    </row>
    <row r="759" spans="1:2" x14ac:dyDescent="0.25">
      <c r="A759" s="12"/>
      <c r="B759" s="18"/>
    </row>
    <row r="760" spans="1:2" x14ac:dyDescent="0.25">
      <c r="A760" s="12"/>
      <c r="B760" s="18"/>
    </row>
    <row r="761" spans="1:2" x14ac:dyDescent="0.25">
      <c r="A761" s="12"/>
      <c r="B761" s="18"/>
    </row>
    <row r="762" spans="1:2" x14ac:dyDescent="0.25">
      <c r="A762" s="12"/>
      <c r="B762" s="18"/>
    </row>
    <row r="763" spans="1:2" x14ac:dyDescent="0.25">
      <c r="A763" s="12"/>
      <c r="B763" s="18"/>
    </row>
    <row r="764" spans="1:2" x14ac:dyDescent="0.25">
      <c r="A764" s="12"/>
      <c r="B764" s="18"/>
    </row>
    <row r="765" spans="1:2" x14ac:dyDescent="0.25">
      <c r="A765" s="12"/>
      <c r="B765" s="18"/>
    </row>
    <row r="766" spans="1:2" x14ac:dyDescent="0.25">
      <c r="A766" s="12"/>
      <c r="B766" s="18"/>
    </row>
    <row r="767" spans="1:2" x14ac:dyDescent="0.25">
      <c r="A767" s="12"/>
      <c r="B767" s="18"/>
    </row>
    <row r="768" spans="1:2" x14ac:dyDescent="0.25">
      <c r="A768" s="12"/>
      <c r="B768" s="18"/>
    </row>
    <row r="769" spans="1:2" x14ac:dyDescent="0.25">
      <c r="A769" s="12"/>
      <c r="B769" s="18"/>
    </row>
    <row r="770" spans="1:2" x14ac:dyDescent="0.25">
      <c r="A770" s="12"/>
      <c r="B770" s="18"/>
    </row>
    <row r="771" spans="1:2" x14ac:dyDescent="0.25">
      <c r="A771" s="12"/>
      <c r="B771" s="18"/>
    </row>
    <row r="772" spans="1:2" x14ac:dyDescent="0.25">
      <c r="A772" s="12"/>
      <c r="B772" s="18"/>
    </row>
    <row r="773" spans="1:2" x14ac:dyDescent="0.25">
      <c r="A773" s="12"/>
      <c r="B773" s="18"/>
    </row>
    <row r="774" spans="1:2" x14ac:dyDescent="0.25">
      <c r="A774" s="12"/>
      <c r="B774" s="18"/>
    </row>
    <row r="775" spans="1:2" x14ac:dyDescent="0.25">
      <c r="A775" s="12"/>
      <c r="B775" s="18"/>
    </row>
    <row r="776" spans="1:2" x14ac:dyDescent="0.25">
      <c r="A776" s="12"/>
      <c r="B776" s="18"/>
    </row>
    <row r="777" spans="1:2" x14ac:dyDescent="0.25">
      <c r="A777" s="12"/>
      <c r="B777" s="18"/>
    </row>
    <row r="778" spans="1:2" x14ac:dyDescent="0.25">
      <c r="A778" s="12"/>
      <c r="B778" s="18"/>
    </row>
    <row r="779" spans="1:2" x14ac:dyDescent="0.25">
      <c r="A779" s="12"/>
      <c r="B779" s="18"/>
    </row>
    <row r="780" spans="1:2" x14ac:dyDescent="0.25">
      <c r="A780" s="12"/>
      <c r="B780" s="18"/>
    </row>
    <row r="781" spans="1:2" x14ac:dyDescent="0.25">
      <c r="A781" s="12"/>
      <c r="B781" s="18"/>
    </row>
    <row r="782" spans="1:2" x14ac:dyDescent="0.25">
      <c r="A782" s="12"/>
      <c r="B782" s="18"/>
    </row>
    <row r="783" spans="1:2" x14ac:dyDescent="0.25">
      <c r="A783" s="12"/>
      <c r="B783" s="18"/>
    </row>
    <row r="784" spans="1:2" x14ac:dyDescent="0.25">
      <c r="A784" s="12"/>
      <c r="B784" s="18"/>
    </row>
    <row r="785" spans="1:2" x14ac:dyDescent="0.25">
      <c r="A785" s="12"/>
      <c r="B785" s="18"/>
    </row>
    <row r="786" spans="1:2" x14ac:dyDescent="0.25">
      <c r="A786" s="12"/>
      <c r="B786" s="18"/>
    </row>
    <row r="787" spans="1:2" x14ac:dyDescent="0.25">
      <c r="A787" s="12"/>
      <c r="B787" s="18"/>
    </row>
    <row r="788" spans="1:2" x14ac:dyDescent="0.25">
      <c r="A788" s="12"/>
      <c r="B788" s="18"/>
    </row>
    <row r="789" spans="1:2" x14ac:dyDescent="0.25">
      <c r="A789" s="12"/>
      <c r="B789" s="18"/>
    </row>
    <row r="790" spans="1:2" x14ac:dyDescent="0.25">
      <c r="A790" s="12"/>
      <c r="B790" s="18"/>
    </row>
    <row r="791" spans="1:2" x14ac:dyDescent="0.25">
      <c r="A791" s="12"/>
      <c r="B791" s="18"/>
    </row>
    <row r="792" spans="1:2" x14ac:dyDescent="0.25">
      <c r="A792" s="12"/>
      <c r="B792" s="18"/>
    </row>
    <row r="793" spans="1:2" x14ac:dyDescent="0.25">
      <c r="A793" s="12"/>
      <c r="B793" s="18"/>
    </row>
    <row r="794" spans="1:2" x14ac:dyDescent="0.25">
      <c r="A794" s="12"/>
      <c r="B794" s="18"/>
    </row>
    <row r="795" spans="1:2" x14ac:dyDescent="0.25">
      <c r="A795" s="12"/>
      <c r="B795" s="18"/>
    </row>
    <row r="796" spans="1:2" x14ac:dyDescent="0.25">
      <c r="A796" s="12"/>
      <c r="B796" s="18"/>
    </row>
    <row r="797" spans="1:2" x14ac:dyDescent="0.25">
      <c r="A797" s="12"/>
      <c r="B797" s="18"/>
    </row>
    <row r="798" spans="1:2" x14ac:dyDescent="0.25">
      <c r="A798" s="12"/>
      <c r="B798" s="18"/>
    </row>
    <row r="799" spans="1:2" x14ac:dyDescent="0.25">
      <c r="A799" s="12"/>
      <c r="B799" s="18"/>
    </row>
    <row r="800" spans="1:2" x14ac:dyDescent="0.25">
      <c r="A800" s="12"/>
      <c r="B800" s="18"/>
    </row>
    <row r="801" spans="1:2" x14ac:dyDescent="0.25">
      <c r="A801" s="12"/>
      <c r="B801" s="18"/>
    </row>
    <row r="802" spans="1:2" x14ac:dyDescent="0.25">
      <c r="A802" s="12"/>
      <c r="B802" s="18"/>
    </row>
    <row r="803" spans="1:2" x14ac:dyDescent="0.25">
      <c r="A803" s="12"/>
      <c r="B803" s="18"/>
    </row>
    <row r="804" spans="1:2" x14ac:dyDescent="0.25">
      <c r="A804" s="12"/>
      <c r="B804" s="18"/>
    </row>
    <row r="805" spans="1:2" x14ac:dyDescent="0.25">
      <c r="A805" s="12"/>
      <c r="B805" s="18"/>
    </row>
    <row r="806" spans="1:2" x14ac:dyDescent="0.25">
      <c r="A806" s="12"/>
      <c r="B806" s="18"/>
    </row>
    <row r="807" spans="1:2" x14ac:dyDescent="0.25">
      <c r="A807" s="12"/>
      <c r="B807" s="18"/>
    </row>
    <row r="808" spans="1:2" x14ac:dyDescent="0.25">
      <c r="A808" s="12"/>
      <c r="B808" s="18"/>
    </row>
    <row r="809" spans="1:2" x14ac:dyDescent="0.25">
      <c r="A809" s="12"/>
      <c r="B809" s="18"/>
    </row>
    <row r="810" spans="1:2" x14ac:dyDescent="0.25">
      <c r="A810" s="12"/>
      <c r="B810" s="18"/>
    </row>
    <row r="811" spans="1:2" x14ac:dyDescent="0.25">
      <c r="A811" s="12"/>
      <c r="B811" s="18"/>
    </row>
    <row r="812" spans="1:2" x14ac:dyDescent="0.25">
      <c r="A812" s="12"/>
      <c r="B812" s="18"/>
    </row>
    <row r="813" spans="1:2" x14ac:dyDescent="0.25">
      <c r="A813" s="12"/>
      <c r="B813" s="18"/>
    </row>
    <row r="814" spans="1:2" x14ac:dyDescent="0.25">
      <c r="A814" s="12"/>
      <c r="B814" s="18"/>
    </row>
    <row r="815" spans="1:2" x14ac:dyDescent="0.25">
      <c r="A815" s="12"/>
      <c r="B815" s="18"/>
    </row>
    <row r="816" spans="1:2" x14ac:dyDescent="0.25">
      <c r="A816" s="12"/>
      <c r="B816" s="18"/>
    </row>
    <row r="817" spans="1:2" x14ac:dyDescent="0.25">
      <c r="A817" s="12"/>
      <c r="B817" s="18"/>
    </row>
    <row r="818" spans="1:2" x14ac:dyDescent="0.25">
      <c r="A818" s="12"/>
      <c r="B818" s="18"/>
    </row>
    <row r="819" spans="1:2" x14ac:dyDescent="0.25">
      <c r="A819" s="12"/>
      <c r="B819" s="18"/>
    </row>
    <row r="820" spans="1:2" x14ac:dyDescent="0.25">
      <c r="A820" s="12"/>
      <c r="B820" s="18"/>
    </row>
    <row r="821" spans="1:2" x14ac:dyDescent="0.25">
      <c r="A821" s="12"/>
      <c r="B821" s="18"/>
    </row>
    <row r="822" spans="1:2" x14ac:dyDescent="0.25">
      <c r="A822" s="12"/>
      <c r="B822" s="18"/>
    </row>
    <row r="823" spans="1:2" x14ac:dyDescent="0.25">
      <c r="A823" s="12"/>
      <c r="B823" s="18"/>
    </row>
    <row r="824" spans="1:2" x14ac:dyDescent="0.25">
      <c r="A824" s="12"/>
      <c r="B824" s="18"/>
    </row>
    <row r="825" spans="1:2" x14ac:dyDescent="0.25">
      <c r="A825" s="12"/>
      <c r="B825" s="18"/>
    </row>
    <row r="826" spans="1:2" x14ac:dyDescent="0.25">
      <c r="A826" s="12"/>
      <c r="B826" s="18"/>
    </row>
    <row r="827" spans="1:2" x14ac:dyDescent="0.25">
      <c r="A827" s="12"/>
      <c r="B827" s="18"/>
    </row>
    <row r="828" spans="1:2" x14ac:dyDescent="0.25">
      <c r="A828" s="12"/>
      <c r="B828" s="18"/>
    </row>
    <row r="829" spans="1:2" x14ac:dyDescent="0.25">
      <c r="A829" s="12"/>
      <c r="B829" s="18"/>
    </row>
    <row r="830" spans="1:2" x14ac:dyDescent="0.25">
      <c r="A830" s="12"/>
      <c r="B830" s="18"/>
    </row>
    <row r="831" spans="1:2" x14ac:dyDescent="0.25">
      <c r="A831" s="12"/>
      <c r="B831" s="18"/>
    </row>
    <row r="832" spans="1:2" x14ac:dyDescent="0.25">
      <c r="A832" s="12"/>
      <c r="B832" s="18"/>
    </row>
    <row r="833" spans="1:2" x14ac:dyDescent="0.25">
      <c r="A833" s="12"/>
      <c r="B833" s="18"/>
    </row>
    <row r="834" spans="1:2" x14ac:dyDescent="0.25">
      <c r="A834" s="12"/>
      <c r="B834" s="18"/>
    </row>
    <row r="835" spans="1:2" x14ac:dyDescent="0.25">
      <c r="A835" s="12"/>
      <c r="B835" s="18"/>
    </row>
    <row r="836" spans="1:2" x14ac:dyDescent="0.25">
      <c r="A836" s="12"/>
      <c r="B836" s="18"/>
    </row>
    <row r="837" spans="1:2" x14ac:dyDescent="0.25">
      <c r="A837" s="12"/>
      <c r="B837" s="18"/>
    </row>
    <row r="838" spans="1:2" x14ac:dyDescent="0.25">
      <c r="A838" s="12"/>
      <c r="B838" s="18"/>
    </row>
    <row r="839" spans="1:2" x14ac:dyDescent="0.25">
      <c r="A839" s="12"/>
      <c r="B839" s="18"/>
    </row>
    <row r="840" spans="1:2" x14ac:dyDescent="0.25">
      <c r="A840" s="12"/>
      <c r="B840" s="18"/>
    </row>
    <row r="841" spans="1:2" x14ac:dyDescent="0.25">
      <c r="A841" s="12"/>
      <c r="B841" s="18"/>
    </row>
    <row r="842" spans="1:2" x14ac:dyDescent="0.25">
      <c r="A842" s="12"/>
      <c r="B842" s="18"/>
    </row>
    <row r="843" spans="1:2" x14ac:dyDescent="0.25">
      <c r="A843" s="12"/>
      <c r="B843" s="18"/>
    </row>
    <row r="844" spans="1:2" x14ac:dyDescent="0.25">
      <c r="A844" s="12"/>
      <c r="B844" s="18"/>
    </row>
    <row r="845" spans="1:2" x14ac:dyDescent="0.25">
      <c r="A845" s="12"/>
      <c r="B845" s="18"/>
    </row>
    <row r="846" spans="1:2" x14ac:dyDescent="0.25">
      <c r="A846" s="12"/>
      <c r="B846" s="18"/>
    </row>
    <row r="847" spans="1:2" x14ac:dyDescent="0.25">
      <c r="A847" s="12"/>
      <c r="B847" s="18"/>
    </row>
    <row r="848" spans="1:2" x14ac:dyDescent="0.25">
      <c r="A848" s="12"/>
      <c r="B848" s="18"/>
    </row>
    <row r="849" spans="1:2" x14ac:dyDescent="0.25">
      <c r="A849" s="12"/>
      <c r="B849" s="18"/>
    </row>
    <row r="850" spans="1:2" x14ac:dyDescent="0.25">
      <c r="A850" s="12"/>
      <c r="B850" s="18"/>
    </row>
    <row r="851" spans="1:2" x14ac:dyDescent="0.25">
      <c r="A851" s="12"/>
      <c r="B851" s="18"/>
    </row>
    <row r="852" spans="1:2" x14ac:dyDescent="0.25">
      <c r="A852" s="12"/>
      <c r="B852" s="18"/>
    </row>
    <row r="853" spans="1:2" x14ac:dyDescent="0.25">
      <c r="A853" s="12"/>
      <c r="B853" s="18"/>
    </row>
    <row r="854" spans="1:2" x14ac:dyDescent="0.25">
      <c r="A854" s="12"/>
      <c r="B854" s="18"/>
    </row>
    <row r="855" spans="1:2" x14ac:dyDescent="0.25">
      <c r="A855" s="12"/>
      <c r="B855" s="18"/>
    </row>
    <row r="856" spans="1:2" x14ac:dyDescent="0.25">
      <c r="A856" s="12"/>
      <c r="B856" s="18"/>
    </row>
    <row r="857" spans="1:2" x14ac:dyDescent="0.25">
      <c r="A857" s="12"/>
      <c r="B857" s="18"/>
    </row>
    <row r="858" spans="1:2" x14ac:dyDescent="0.25">
      <c r="A858" s="12"/>
      <c r="B858" s="18"/>
    </row>
    <row r="859" spans="1:2" x14ac:dyDescent="0.25">
      <c r="A859" s="12"/>
      <c r="B859" s="18"/>
    </row>
    <row r="860" spans="1:2" x14ac:dyDescent="0.25">
      <c r="A860" s="12"/>
      <c r="B860" s="18"/>
    </row>
    <row r="861" spans="1:2" x14ac:dyDescent="0.25">
      <c r="A861" s="12"/>
      <c r="B861" s="18"/>
    </row>
    <row r="862" spans="1:2" x14ac:dyDescent="0.25">
      <c r="A862" s="12"/>
      <c r="B862" s="18"/>
    </row>
    <row r="863" spans="1:2" x14ac:dyDescent="0.25">
      <c r="A863" s="12"/>
      <c r="B863" s="18"/>
    </row>
    <row r="864" spans="1:2" x14ac:dyDescent="0.25">
      <c r="A864" s="12"/>
      <c r="B864" s="18"/>
    </row>
    <row r="865" spans="1:2" x14ac:dyDescent="0.25">
      <c r="A865" s="12"/>
      <c r="B865" s="18"/>
    </row>
    <row r="866" spans="1:2" x14ac:dyDescent="0.25">
      <c r="A866" s="12"/>
      <c r="B866" s="18"/>
    </row>
    <row r="867" spans="1:2" x14ac:dyDescent="0.25">
      <c r="A867" s="12"/>
      <c r="B867" s="18"/>
    </row>
    <row r="868" spans="1:2" x14ac:dyDescent="0.25">
      <c r="A868" s="12"/>
      <c r="B868" s="18"/>
    </row>
    <row r="869" spans="1:2" x14ac:dyDescent="0.25">
      <c r="A869" s="12"/>
      <c r="B869" s="18"/>
    </row>
    <row r="870" spans="1:2" x14ac:dyDescent="0.25">
      <c r="A870" s="12"/>
      <c r="B870" s="18"/>
    </row>
    <row r="871" spans="1:2" x14ac:dyDescent="0.25">
      <c r="A871" s="12"/>
      <c r="B871" s="18"/>
    </row>
    <row r="872" spans="1:2" x14ac:dyDescent="0.25">
      <c r="A872" s="12"/>
      <c r="B872" s="18"/>
    </row>
    <row r="873" spans="1:2" x14ac:dyDescent="0.25">
      <c r="A873" s="12"/>
      <c r="B873" s="18"/>
    </row>
    <row r="874" spans="1:2" x14ac:dyDescent="0.25">
      <c r="A874" s="12"/>
      <c r="B874" s="18"/>
    </row>
    <row r="875" spans="1:2" x14ac:dyDescent="0.25">
      <c r="A875" s="12"/>
      <c r="B875" s="18"/>
    </row>
    <row r="876" spans="1:2" x14ac:dyDescent="0.25">
      <c r="A876" s="12"/>
      <c r="B876" s="18"/>
    </row>
    <row r="877" spans="1:2" x14ac:dyDescent="0.25">
      <c r="A877" s="12"/>
      <c r="B877" s="18"/>
    </row>
    <row r="878" spans="1:2" x14ac:dyDescent="0.25">
      <c r="A878" s="12"/>
      <c r="B878" s="18"/>
    </row>
    <row r="879" spans="1:2" x14ac:dyDescent="0.25">
      <c r="A879" s="12"/>
      <c r="B879" s="18"/>
    </row>
    <row r="880" spans="1:2" x14ac:dyDescent="0.25">
      <c r="A880" s="12"/>
      <c r="B880" s="18"/>
    </row>
    <row r="881" spans="1:2" x14ac:dyDescent="0.25">
      <c r="A881" s="12"/>
      <c r="B881" s="18"/>
    </row>
    <row r="882" spans="1:2" x14ac:dyDescent="0.25">
      <c r="A882" s="12"/>
      <c r="B882" s="18"/>
    </row>
    <row r="883" spans="1:2" x14ac:dyDescent="0.25">
      <c r="A883" s="12"/>
      <c r="B883" s="18"/>
    </row>
    <row r="884" spans="1:2" x14ac:dyDescent="0.25">
      <c r="A884" s="12"/>
      <c r="B884" s="18"/>
    </row>
    <row r="885" spans="1:2" x14ac:dyDescent="0.25">
      <c r="A885" s="12"/>
      <c r="B885" s="18"/>
    </row>
    <row r="886" spans="1:2" x14ac:dyDescent="0.25">
      <c r="A886" s="12"/>
      <c r="B886" s="18"/>
    </row>
    <row r="887" spans="1:2" x14ac:dyDescent="0.25">
      <c r="A887" s="12"/>
      <c r="B887" s="18"/>
    </row>
    <row r="888" spans="1:2" x14ac:dyDescent="0.25">
      <c r="A888" s="12"/>
      <c r="B888" s="18"/>
    </row>
    <row r="889" spans="1:2" x14ac:dyDescent="0.25">
      <c r="A889" s="12"/>
      <c r="B889" s="18"/>
    </row>
    <row r="890" spans="1:2" x14ac:dyDescent="0.25">
      <c r="A890" s="12"/>
      <c r="B890" s="18"/>
    </row>
    <row r="891" spans="1:2" x14ac:dyDescent="0.25">
      <c r="A891" s="12"/>
      <c r="B891" s="18"/>
    </row>
    <row r="892" spans="1:2" x14ac:dyDescent="0.25">
      <c r="A892" s="12"/>
      <c r="B892" s="18"/>
    </row>
    <row r="893" spans="1:2" x14ac:dyDescent="0.25">
      <c r="A893" s="12"/>
      <c r="B893" s="18"/>
    </row>
    <row r="894" spans="1:2" x14ac:dyDescent="0.25">
      <c r="A894" s="12"/>
      <c r="B894" s="18"/>
    </row>
    <row r="895" spans="1:2" x14ac:dyDescent="0.25">
      <c r="A895" s="12"/>
      <c r="B895" s="18"/>
    </row>
    <row r="896" spans="1:2" x14ac:dyDescent="0.25">
      <c r="A896" s="12"/>
      <c r="B896" s="18"/>
    </row>
    <row r="897" spans="1:2" x14ac:dyDescent="0.25">
      <c r="A897" s="12"/>
      <c r="B897" s="18"/>
    </row>
    <row r="898" spans="1:2" x14ac:dyDescent="0.25">
      <c r="A898" s="12"/>
      <c r="B898" s="18"/>
    </row>
    <row r="899" spans="1:2" x14ac:dyDescent="0.25">
      <c r="A899" s="12"/>
      <c r="B899" s="18"/>
    </row>
    <row r="900" spans="1:2" x14ac:dyDescent="0.25">
      <c r="A900" s="12"/>
      <c r="B900" s="18"/>
    </row>
    <row r="901" spans="1:2" x14ac:dyDescent="0.25">
      <c r="A901" s="12"/>
      <c r="B901" s="18"/>
    </row>
    <row r="902" spans="1:2" x14ac:dyDescent="0.25">
      <c r="A902" s="12"/>
      <c r="B902" s="18"/>
    </row>
    <row r="903" spans="1:2" x14ac:dyDescent="0.25">
      <c r="A903" s="12"/>
      <c r="B903" s="18"/>
    </row>
    <row r="904" spans="1:2" x14ac:dyDescent="0.25">
      <c r="A904" s="12"/>
      <c r="B904" s="18"/>
    </row>
    <row r="905" spans="1:2" x14ac:dyDescent="0.25">
      <c r="A905" s="12"/>
      <c r="B905" s="18"/>
    </row>
    <row r="906" spans="1:2" x14ac:dyDescent="0.25">
      <c r="A906" s="12"/>
      <c r="B906" s="18"/>
    </row>
    <row r="907" spans="1:2" x14ac:dyDescent="0.25">
      <c r="A907" s="12"/>
      <c r="B907" s="18"/>
    </row>
    <row r="908" spans="1:2" x14ac:dyDescent="0.25">
      <c r="A908" s="12"/>
      <c r="B908" s="18"/>
    </row>
    <row r="909" spans="1:2" x14ac:dyDescent="0.25">
      <c r="A909" s="12"/>
      <c r="B909" s="18"/>
    </row>
    <row r="910" spans="1:2" x14ac:dyDescent="0.25">
      <c r="A910" s="12"/>
      <c r="B910" s="18"/>
    </row>
    <row r="911" spans="1:2" x14ac:dyDescent="0.25">
      <c r="A911" s="12"/>
      <c r="B911" s="18"/>
    </row>
    <row r="912" spans="1:2" x14ac:dyDescent="0.25">
      <c r="A912" s="12"/>
      <c r="B912" s="18"/>
    </row>
    <row r="913" spans="1:2" x14ac:dyDescent="0.25">
      <c r="A913" s="12"/>
      <c r="B913" s="18"/>
    </row>
    <row r="914" spans="1:2" x14ac:dyDescent="0.25">
      <c r="A914" s="12"/>
      <c r="B914" s="18"/>
    </row>
    <row r="915" spans="1:2" x14ac:dyDescent="0.25">
      <c r="A915" s="12"/>
      <c r="B915" s="18"/>
    </row>
    <row r="916" spans="1:2" x14ac:dyDescent="0.25">
      <c r="A916" s="12"/>
      <c r="B916" s="18"/>
    </row>
    <row r="917" spans="1:2" x14ac:dyDescent="0.25">
      <c r="A917" s="12"/>
      <c r="B917" s="18"/>
    </row>
    <row r="918" spans="1:2" x14ac:dyDescent="0.25">
      <c r="A918" s="12"/>
      <c r="B918" s="18"/>
    </row>
    <row r="919" spans="1:2" x14ac:dyDescent="0.25">
      <c r="A919" s="12"/>
      <c r="B919" s="18"/>
    </row>
    <row r="920" spans="1:2" x14ac:dyDescent="0.25">
      <c r="A920" s="12"/>
      <c r="B920" s="18"/>
    </row>
    <row r="921" spans="1:2" x14ac:dyDescent="0.25">
      <c r="A921" s="12"/>
      <c r="B921" s="18"/>
    </row>
    <row r="922" spans="1:2" x14ac:dyDescent="0.25">
      <c r="A922" s="12"/>
      <c r="B922" s="18"/>
    </row>
    <row r="923" spans="1:2" x14ac:dyDescent="0.25">
      <c r="A923" s="12"/>
      <c r="B923" s="18"/>
    </row>
    <row r="924" spans="1:2" x14ac:dyDescent="0.25">
      <c r="A924" s="12"/>
      <c r="B924" s="18"/>
    </row>
    <row r="925" spans="1:2" x14ac:dyDescent="0.25">
      <c r="A925" s="12"/>
      <c r="B925" s="18"/>
    </row>
    <row r="926" spans="1:2" x14ac:dyDescent="0.25">
      <c r="A926" s="12"/>
      <c r="B926" s="18"/>
    </row>
    <row r="927" spans="1:2" x14ac:dyDescent="0.25">
      <c r="A927" s="12"/>
      <c r="B927" s="18"/>
    </row>
    <row r="928" spans="1:2" x14ac:dyDescent="0.25">
      <c r="A928" s="12"/>
      <c r="B928" s="18"/>
    </row>
    <row r="929" spans="1:2" x14ac:dyDescent="0.25">
      <c r="A929" s="12"/>
      <c r="B929" s="18"/>
    </row>
    <row r="930" spans="1:2" x14ac:dyDescent="0.25">
      <c r="A930" s="12"/>
      <c r="B930" s="18"/>
    </row>
    <row r="931" spans="1:2" x14ac:dyDescent="0.25">
      <c r="A931" s="12"/>
      <c r="B931" s="18"/>
    </row>
    <row r="932" spans="1:2" x14ac:dyDescent="0.25">
      <c r="A932" s="12"/>
      <c r="B932" s="18"/>
    </row>
    <row r="933" spans="1:2" x14ac:dyDescent="0.25">
      <c r="A933" s="12"/>
      <c r="B933" s="18"/>
    </row>
    <row r="934" spans="1:2" x14ac:dyDescent="0.25">
      <c r="A934" s="12"/>
      <c r="B934" s="18"/>
    </row>
    <row r="935" spans="1:2" x14ac:dyDescent="0.25">
      <c r="A935" s="12"/>
      <c r="B935" s="18"/>
    </row>
    <row r="936" spans="1:2" x14ac:dyDescent="0.25">
      <c r="A936" s="12"/>
      <c r="B936" s="18"/>
    </row>
    <row r="937" spans="1:2" x14ac:dyDescent="0.25">
      <c r="A937" s="12"/>
      <c r="B937" s="18"/>
    </row>
    <row r="938" spans="1:2" x14ac:dyDescent="0.25">
      <c r="A938" s="12"/>
      <c r="B938" s="18"/>
    </row>
    <row r="939" spans="1:2" x14ac:dyDescent="0.25">
      <c r="A939" s="12"/>
      <c r="B939" s="18"/>
    </row>
    <row r="940" spans="1:2" x14ac:dyDescent="0.25">
      <c r="A940" s="12"/>
      <c r="B940" s="18"/>
    </row>
    <row r="941" spans="1:2" x14ac:dyDescent="0.25">
      <c r="A941" s="12"/>
      <c r="B941" s="18"/>
    </row>
    <row r="942" spans="1:2" x14ac:dyDescent="0.25">
      <c r="A942" s="12"/>
      <c r="B942" s="18"/>
    </row>
    <row r="943" spans="1:2" x14ac:dyDescent="0.25">
      <c r="A943" s="12"/>
      <c r="B943" s="18"/>
    </row>
    <row r="944" spans="1:2" x14ac:dyDescent="0.25">
      <c r="A944" s="12"/>
      <c r="B944" s="18"/>
    </row>
    <row r="945" spans="1:2" x14ac:dyDescent="0.25">
      <c r="A945" s="12"/>
      <c r="B945" s="18"/>
    </row>
    <row r="946" spans="1:2" x14ac:dyDescent="0.25">
      <c r="A946" s="12"/>
      <c r="B946" s="18"/>
    </row>
    <row r="947" spans="1:2" x14ac:dyDescent="0.25">
      <c r="A947" s="12"/>
      <c r="B947" s="18"/>
    </row>
    <row r="948" spans="1:2" x14ac:dyDescent="0.25">
      <c r="A948" s="12"/>
      <c r="B948" s="18"/>
    </row>
    <row r="949" spans="1:2" x14ac:dyDescent="0.25">
      <c r="A949" s="12"/>
      <c r="B949" s="18"/>
    </row>
    <row r="950" spans="1:2" x14ac:dyDescent="0.25">
      <c r="A950" s="12"/>
      <c r="B950" s="18"/>
    </row>
    <row r="951" spans="1:2" x14ac:dyDescent="0.25">
      <c r="A951" s="12"/>
      <c r="B951" s="18"/>
    </row>
    <row r="952" spans="1:2" x14ac:dyDescent="0.25">
      <c r="A952" s="12"/>
      <c r="B952" s="18"/>
    </row>
    <row r="953" spans="1:2" x14ac:dyDescent="0.25">
      <c r="A953" s="12"/>
      <c r="B953" s="18"/>
    </row>
    <row r="954" spans="1:2" x14ac:dyDescent="0.25">
      <c r="A954" s="12"/>
      <c r="B954" s="18"/>
    </row>
    <row r="955" spans="1:2" x14ac:dyDescent="0.25">
      <c r="A955" s="12"/>
      <c r="B955" s="18"/>
    </row>
    <row r="956" spans="1:2" x14ac:dyDescent="0.25">
      <c r="A956" s="12"/>
      <c r="B956" s="18"/>
    </row>
    <row r="957" spans="1:2" x14ac:dyDescent="0.25">
      <c r="A957" s="12"/>
      <c r="B957" s="18"/>
    </row>
    <row r="958" spans="1:2" x14ac:dyDescent="0.25">
      <c r="A958" s="12"/>
      <c r="B958" s="18"/>
    </row>
    <row r="959" spans="1:2" x14ac:dyDescent="0.25">
      <c r="A959" s="12"/>
      <c r="B959" s="18"/>
    </row>
    <row r="960" spans="1:2" x14ac:dyDescent="0.25">
      <c r="A960" s="12"/>
      <c r="B960" s="18"/>
    </row>
    <row r="961" spans="1:2" x14ac:dyDescent="0.25">
      <c r="A961" s="12"/>
      <c r="B961" s="18"/>
    </row>
    <row r="962" spans="1:2" x14ac:dyDescent="0.25">
      <c r="A962" s="12"/>
      <c r="B962" s="18"/>
    </row>
    <row r="963" spans="1:2" x14ac:dyDescent="0.25">
      <c r="A963" s="12"/>
      <c r="B963" s="18"/>
    </row>
    <row r="964" spans="1:2" x14ac:dyDescent="0.25">
      <c r="A964" s="12"/>
      <c r="B964" s="18"/>
    </row>
    <row r="965" spans="1:2" x14ac:dyDescent="0.25">
      <c r="A965" s="12"/>
      <c r="B965" s="18"/>
    </row>
    <row r="966" spans="1:2" x14ac:dyDescent="0.25">
      <c r="A966" s="12"/>
      <c r="B966" s="18"/>
    </row>
    <row r="967" spans="1:2" x14ac:dyDescent="0.25">
      <c r="A967" s="12"/>
      <c r="B967" s="18"/>
    </row>
    <row r="968" spans="1:2" x14ac:dyDescent="0.25">
      <c r="A968" s="12"/>
      <c r="B968" s="18"/>
    </row>
    <row r="969" spans="1:2" x14ac:dyDescent="0.25">
      <c r="A969" s="12"/>
      <c r="B969" s="18"/>
    </row>
    <row r="970" spans="1:2" x14ac:dyDescent="0.25">
      <c r="A970" s="12"/>
      <c r="B970" s="18"/>
    </row>
    <row r="971" spans="1:2" x14ac:dyDescent="0.25">
      <c r="A971" s="12"/>
      <c r="B971" s="18"/>
    </row>
    <row r="972" spans="1:2" x14ac:dyDescent="0.25">
      <c r="A972" s="12"/>
      <c r="B972" s="18"/>
    </row>
    <row r="973" spans="1:2" x14ac:dyDescent="0.25">
      <c r="A973" s="12"/>
      <c r="B973" s="18"/>
    </row>
    <row r="974" spans="1:2" x14ac:dyDescent="0.25">
      <c r="A974" s="12"/>
      <c r="B974" s="18"/>
    </row>
    <row r="975" spans="1:2" x14ac:dyDescent="0.25">
      <c r="A975" s="12"/>
      <c r="B975" s="18"/>
    </row>
    <row r="976" spans="1:2" x14ac:dyDescent="0.25">
      <c r="A976" s="12"/>
      <c r="B976" s="18"/>
    </row>
    <row r="977" spans="1:2" x14ac:dyDescent="0.25">
      <c r="A977" s="12"/>
      <c r="B977" s="18"/>
    </row>
    <row r="978" spans="1:2" x14ac:dyDescent="0.25">
      <c r="A978" s="12"/>
      <c r="B978" s="18"/>
    </row>
    <row r="979" spans="1:2" x14ac:dyDescent="0.25">
      <c r="A979" s="12"/>
      <c r="B979" s="18"/>
    </row>
    <row r="980" spans="1:2" x14ac:dyDescent="0.25">
      <c r="A980" s="12"/>
      <c r="B980" s="18"/>
    </row>
    <row r="981" spans="1:2" x14ac:dyDescent="0.25">
      <c r="A981" s="12"/>
      <c r="B981" s="18"/>
    </row>
    <row r="982" spans="1:2" x14ac:dyDescent="0.25">
      <c r="A982" s="12"/>
      <c r="B982" s="18"/>
    </row>
    <row r="983" spans="1:2" x14ac:dyDescent="0.25">
      <c r="A983" s="12"/>
      <c r="B983" s="18"/>
    </row>
    <row r="984" spans="1:2" x14ac:dyDescent="0.25">
      <c r="A984" s="12"/>
      <c r="B984" s="18"/>
    </row>
    <row r="985" spans="1:2" x14ac:dyDescent="0.25">
      <c r="A985" s="12"/>
      <c r="B985" s="18"/>
    </row>
    <row r="986" spans="1:2" x14ac:dyDescent="0.25">
      <c r="A986" s="12"/>
      <c r="B986" s="18"/>
    </row>
    <row r="987" spans="1:2" x14ac:dyDescent="0.25">
      <c r="A987" s="12"/>
      <c r="B987" s="18"/>
    </row>
    <row r="988" spans="1:2" x14ac:dyDescent="0.25">
      <c r="A988" s="12"/>
      <c r="B988" s="18"/>
    </row>
    <row r="989" spans="1:2" x14ac:dyDescent="0.25">
      <c r="A989" s="12"/>
      <c r="B989" s="18"/>
    </row>
    <row r="990" spans="1:2" x14ac:dyDescent="0.25">
      <c r="A990" s="12"/>
      <c r="B990" s="18"/>
    </row>
    <row r="991" spans="1:2" x14ac:dyDescent="0.25">
      <c r="A991" s="12"/>
      <c r="B991" s="18"/>
    </row>
    <row r="992" spans="1:2" x14ac:dyDescent="0.25">
      <c r="A992" s="12"/>
      <c r="B992" s="18"/>
    </row>
    <row r="993" spans="1:2" x14ac:dyDescent="0.25">
      <c r="A993" s="12"/>
      <c r="B993" s="18"/>
    </row>
    <row r="994" spans="1:2" x14ac:dyDescent="0.25">
      <c r="A994" s="12"/>
      <c r="B994" s="18"/>
    </row>
    <row r="995" spans="1:2" x14ac:dyDescent="0.25">
      <c r="A995" s="12"/>
      <c r="B995" s="18"/>
    </row>
    <row r="996" spans="1:2" x14ac:dyDescent="0.25">
      <c r="A996" s="12"/>
      <c r="B996" s="18"/>
    </row>
    <row r="997" spans="1:2" x14ac:dyDescent="0.25">
      <c r="A997" s="12"/>
      <c r="B997" s="18"/>
    </row>
    <row r="998" spans="1:2" x14ac:dyDescent="0.25">
      <c r="A998" s="12"/>
      <c r="B998" s="18"/>
    </row>
    <row r="999" spans="1:2" x14ac:dyDescent="0.25">
      <c r="A999" s="12"/>
      <c r="B999" s="18"/>
    </row>
    <row r="1000" spans="1:2" x14ac:dyDescent="0.25">
      <c r="A1000" s="12"/>
      <c r="B1000" s="18"/>
    </row>
    <row r="1001" spans="1:2" x14ac:dyDescent="0.25">
      <c r="A1001" s="12"/>
      <c r="B1001" s="18"/>
    </row>
    <row r="1002" spans="1:2" x14ac:dyDescent="0.25">
      <c r="A1002" s="12"/>
      <c r="B1002" s="18"/>
    </row>
    <row r="1003" spans="1:2" x14ac:dyDescent="0.25">
      <c r="A1003" s="12"/>
      <c r="B1003" s="18"/>
    </row>
    <row r="1004" spans="1:2" x14ac:dyDescent="0.25">
      <c r="A1004" s="12"/>
      <c r="B1004" s="18"/>
    </row>
    <row r="1005" spans="1:2" x14ac:dyDescent="0.25">
      <c r="A1005" s="12"/>
      <c r="B1005" s="18"/>
    </row>
    <row r="1006" spans="1:2" x14ac:dyDescent="0.25">
      <c r="A1006" s="12"/>
      <c r="B1006" s="18"/>
    </row>
    <row r="1007" spans="1:2" x14ac:dyDescent="0.25">
      <c r="A1007" s="12"/>
      <c r="B1007" s="18"/>
    </row>
    <row r="1008" spans="1:2" x14ac:dyDescent="0.25">
      <c r="A1008" s="12"/>
      <c r="B1008" s="18"/>
    </row>
    <row r="1009" spans="1:2" x14ac:dyDescent="0.25">
      <c r="A1009" s="12"/>
      <c r="B1009" s="18"/>
    </row>
    <row r="1010" spans="1:2" x14ac:dyDescent="0.25">
      <c r="A1010" s="12"/>
      <c r="B1010" s="18"/>
    </row>
    <row r="1011" spans="1:2" x14ac:dyDescent="0.25">
      <c r="A1011" s="12"/>
      <c r="B1011" s="18"/>
    </row>
    <row r="1012" spans="1:2" x14ac:dyDescent="0.25">
      <c r="A1012" s="12"/>
      <c r="B1012" s="18"/>
    </row>
    <row r="1013" spans="1:2" x14ac:dyDescent="0.25">
      <c r="A1013" s="12"/>
      <c r="B1013" s="18"/>
    </row>
    <row r="1014" spans="1:2" x14ac:dyDescent="0.25">
      <c r="A1014" s="12"/>
      <c r="B1014" s="18"/>
    </row>
    <row r="1015" spans="1:2" x14ac:dyDescent="0.25">
      <c r="A1015" s="12"/>
      <c r="B1015" s="18"/>
    </row>
    <row r="1016" spans="1:2" x14ac:dyDescent="0.25">
      <c r="A1016" s="12"/>
      <c r="B1016" s="18"/>
    </row>
    <row r="1017" spans="1:2" x14ac:dyDescent="0.25">
      <c r="A1017" s="12"/>
      <c r="B1017" s="18"/>
    </row>
    <row r="1018" spans="1:2" x14ac:dyDescent="0.25">
      <c r="A1018" s="12"/>
      <c r="B1018" s="18"/>
    </row>
    <row r="1019" spans="1:2" x14ac:dyDescent="0.25">
      <c r="A1019" s="12"/>
      <c r="B1019" s="18"/>
    </row>
    <row r="1020" spans="1:2" x14ac:dyDescent="0.25">
      <c r="A1020" s="12"/>
      <c r="B1020" s="18"/>
    </row>
    <row r="1021" spans="1:2" x14ac:dyDescent="0.25">
      <c r="A1021" s="12"/>
      <c r="B1021" s="18"/>
    </row>
    <row r="1022" spans="1:2" x14ac:dyDescent="0.25">
      <c r="A1022" s="12"/>
      <c r="B1022" s="18"/>
    </row>
    <row r="1023" spans="1:2" x14ac:dyDescent="0.25">
      <c r="A1023" s="12"/>
      <c r="B1023" s="18"/>
    </row>
    <row r="1024" spans="1:2" x14ac:dyDescent="0.25">
      <c r="A1024" s="12"/>
      <c r="B1024" s="18"/>
    </row>
    <row r="1025" spans="1:2" x14ac:dyDescent="0.25">
      <c r="A1025" s="12"/>
      <c r="B1025" s="18"/>
    </row>
    <row r="1026" spans="1:2" x14ac:dyDescent="0.25">
      <c r="A1026" s="12"/>
      <c r="B1026" s="18"/>
    </row>
    <row r="1027" spans="1:2" x14ac:dyDescent="0.25">
      <c r="A1027" s="12"/>
      <c r="B1027" s="18"/>
    </row>
    <row r="1028" spans="1:2" x14ac:dyDescent="0.25">
      <c r="A1028" s="12"/>
      <c r="B1028" s="18"/>
    </row>
    <row r="1029" spans="1:2" x14ac:dyDescent="0.25">
      <c r="A1029" s="12"/>
      <c r="B1029" s="18"/>
    </row>
    <row r="1030" spans="1:2" x14ac:dyDescent="0.25">
      <c r="A1030" s="12"/>
      <c r="B1030" s="18"/>
    </row>
    <row r="1031" spans="1:2" x14ac:dyDescent="0.25">
      <c r="A1031" s="12"/>
      <c r="B1031" s="18"/>
    </row>
    <row r="1032" spans="1:2" x14ac:dyDescent="0.25">
      <c r="A1032" s="12"/>
      <c r="B1032" s="18"/>
    </row>
    <row r="1033" spans="1:2" x14ac:dyDescent="0.25">
      <c r="A1033" s="12"/>
      <c r="B1033" s="18"/>
    </row>
    <row r="1034" spans="1:2" x14ac:dyDescent="0.25">
      <c r="A1034" s="12"/>
      <c r="B1034" s="18"/>
    </row>
    <row r="1035" spans="1:2" x14ac:dyDescent="0.25">
      <c r="A1035" s="12"/>
      <c r="B1035" s="18"/>
    </row>
    <row r="1036" spans="1:2" x14ac:dyDescent="0.25">
      <c r="A1036" s="12"/>
      <c r="B1036" s="18"/>
    </row>
    <row r="1037" spans="1:2" x14ac:dyDescent="0.25">
      <c r="A1037" s="12"/>
      <c r="B1037" s="18"/>
    </row>
    <row r="1038" spans="1:2" x14ac:dyDescent="0.25">
      <c r="A1038" s="12"/>
      <c r="B1038" s="18"/>
    </row>
    <row r="1039" spans="1:2" x14ac:dyDescent="0.25">
      <c r="A1039" s="12"/>
      <c r="B1039" s="18"/>
    </row>
    <row r="1040" spans="1:2" x14ac:dyDescent="0.25">
      <c r="A1040" s="12"/>
      <c r="B1040" s="18"/>
    </row>
    <row r="1041" spans="1:2" x14ac:dyDescent="0.25">
      <c r="A1041" s="12"/>
      <c r="B1041" s="18"/>
    </row>
    <row r="1042" spans="1:2" x14ac:dyDescent="0.25">
      <c r="A1042" s="12"/>
      <c r="B1042" s="18"/>
    </row>
    <row r="1043" spans="1:2" x14ac:dyDescent="0.25">
      <c r="A1043" s="12"/>
      <c r="B1043" s="18"/>
    </row>
    <row r="1044" spans="1:2" x14ac:dyDescent="0.25">
      <c r="A1044" s="12"/>
      <c r="B1044" s="18"/>
    </row>
    <row r="1045" spans="1:2" x14ac:dyDescent="0.25">
      <c r="A1045" s="12"/>
      <c r="B1045" s="18"/>
    </row>
    <row r="1046" spans="1:2" x14ac:dyDescent="0.25">
      <c r="A1046" s="12"/>
      <c r="B1046" s="18"/>
    </row>
    <row r="1047" spans="1:2" x14ac:dyDescent="0.25">
      <c r="A1047" s="12"/>
      <c r="B1047" s="18"/>
    </row>
    <row r="1048" spans="1:2" x14ac:dyDescent="0.25">
      <c r="A1048" s="12"/>
      <c r="B1048" s="18"/>
    </row>
    <row r="1049" spans="1:2" x14ac:dyDescent="0.25">
      <c r="A1049" s="12"/>
      <c r="B1049" s="18"/>
    </row>
    <row r="1050" spans="1:2" x14ac:dyDescent="0.25">
      <c r="A1050" s="12"/>
      <c r="B1050" s="18"/>
    </row>
    <row r="1051" spans="1:2" x14ac:dyDescent="0.25">
      <c r="A1051" s="12"/>
      <c r="B1051" s="18"/>
    </row>
    <row r="1052" spans="1:2" x14ac:dyDescent="0.25">
      <c r="A1052" s="12"/>
      <c r="B1052" s="18"/>
    </row>
    <row r="1053" spans="1:2" x14ac:dyDescent="0.25">
      <c r="A1053" s="12"/>
      <c r="B1053" s="18"/>
    </row>
    <row r="1054" spans="1:2" x14ac:dyDescent="0.25">
      <c r="A1054" s="12"/>
      <c r="B1054" s="18"/>
    </row>
    <row r="1055" spans="1:2" x14ac:dyDescent="0.25">
      <c r="A1055" s="12"/>
      <c r="B1055" s="18"/>
    </row>
    <row r="1056" spans="1:2" x14ac:dyDescent="0.25">
      <c r="A1056" s="12"/>
      <c r="B1056" s="18"/>
    </row>
    <row r="1057" spans="1:2" x14ac:dyDescent="0.25">
      <c r="A1057" s="12"/>
      <c r="B1057" s="18"/>
    </row>
    <row r="1058" spans="1:2" x14ac:dyDescent="0.25">
      <c r="A1058" s="12"/>
      <c r="B1058" s="18"/>
    </row>
    <row r="1059" spans="1:2" x14ac:dyDescent="0.25">
      <c r="A1059" s="12"/>
      <c r="B1059" s="18"/>
    </row>
    <row r="1060" spans="1:2" x14ac:dyDescent="0.25">
      <c r="A1060" s="12"/>
      <c r="B1060" s="18"/>
    </row>
    <row r="1061" spans="1:2" x14ac:dyDescent="0.25">
      <c r="A1061" s="12"/>
      <c r="B1061" s="18"/>
    </row>
    <row r="1062" spans="1:2" x14ac:dyDescent="0.25">
      <c r="A1062" s="12"/>
      <c r="B1062" s="18"/>
    </row>
    <row r="1063" spans="1:2" x14ac:dyDescent="0.25">
      <c r="A1063" s="12"/>
      <c r="B1063" s="18"/>
    </row>
    <row r="1064" spans="1:2" x14ac:dyDescent="0.25">
      <c r="A1064" s="12"/>
      <c r="B1064" s="18"/>
    </row>
    <row r="1065" spans="1:2" x14ac:dyDescent="0.25">
      <c r="A1065" s="12"/>
      <c r="B1065" s="18"/>
    </row>
    <row r="1066" spans="1:2" x14ac:dyDescent="0.25">
      <c r="A1066" s="12"/>
      <c r="B1066" s="18"/>
    </row>
    <row r="1067" spans="1:2" x14ac:dyDescent="0.25">
      <c r="A1067" s="12"/>
      <c r="B1067" s="18"/>
    </row>
    <row r="1068" spans="1:2" x14ac:dyDescent="0.25">
      <c r="A1068" s="12"/>
      <c r="B1068" s="18"/>
    </row>
    <row r="1069" spans="1:2" x14ac:dyDescent="0.25">
      <c r="A1069" s="12"/>
      <c r="B1069" s="18"/>
    </row>
    <row r="1070" spans="1:2" x14ac:dyDescent="0.25">
      <c r="A1070" s="12"/>
      <c r="B1070" s="18"/>
    </row>
    <row r="1071" spans="1:2" x14ac:dyDescent="0.25">
      <c r="A1071" s="12"/>
      <c r="B1071" s="18"/>
    </row>
    <row r="1072" spans="1:2" x14ac:dyDescent="0.25">
      <c r="A1072" s="12"/>
      <c r="B1072" s="18"/>
    </row>
    <row r="1073" spans="1:2" x14ac:dyDescent="0.25">
      <c r="A1073" s="12"/>
      <c r="B1073" s="18"/>
    </row>
    <row r="1074" spans="1:2" x14ac:dyDescent="0.25">
      <c r="A1074" s="12"/>
      <c r="B1074" s="18"/>
    </row>
    <row r="1075" spans="1:2" x14ac:dyDescent="0.25">
      <c r="A1075" s="12"/>
      <c r="B1075" s="18"/>
    </row>
    <row r="1076" spans="1:2" x14ac:dyDescent="0.25">
      <c r="A1076" s="12"/>
      <c r="B1076" s="18"/>
    </row>
    <row r="1077" spans="1:2" x14ac:dyDescent="0.25">
      <c r="A1077" s="12"/>
      <c r="B1077" s="18"/>
    </row>
    <row r="1078" spans="1:2" x14ac:dyDescent="0.25">
      <c r="A1078" s="12"/>
      <c r="B1078" s="18"/>
    </row>
    <row r="1079" spans="1:2" x14ac:dyDescent="0.25">
      <c r="A1079" s="12"/>
      <c r="B1079" s="18"/>
    </row>
    <row r="1080" spans="1:2" x14ac:dyDescent="0.25">
      <c r="A1080" s="12"/>
      <c r="B1080" s="18"/>
    </row>
    <row r="1081" spans="1:2" x14ac:dyDescent="0.25">
      <c r="A1081" s="12"/>
      <c r="B1081" s="18"/>
    </row>
    <row r="1082" spans="1:2" x14ac:dyDescent="0.25">
      <c r="A1082" s="12"/>
      <c r="B1082" s="18"/>
    </row>
    <row r="1083" spans="1:2" x14ac:dyDescent="0.25">
      <c r="A1083" s="12"/>
      <c r="B1083" s="18"/>
    </row>
    <row r="1084" spans="1:2" x14ac:dyDescent="0.25">
      <c r="A1084" s="12"/>
      <c r="B1084" s="18"/>
    </row>
    <row r="1085" spans="1:2" x14ac:dyDescent="0.25">
      <c r="A1085" s="12"/>
      <c r="B1085" s="18"/>
    </row>
    <row r="1086" spans="1:2" x14ac:dyDescent="0.25">
      <c r="A1086" s="12"/>
      <c r="B1086" s="18"/>
    </row>
    <row r="1087" spans="1:2" x14ac:dyDescent="0.25">
      <c r="A1087" s="12"/>
      <c r="B1087" s="18"/>
    </row>
    <row r="1088" spans="1:2" x14ac:dyDescent="0.25">
      <c r="A1088" s="12"/>
      <c r="B1088" s="18"/>
    </row>
    <row r="1089" spans="1:2" x14ac:dyDescent="0.25">
      <c r="A1089" s="12"/>
      <c r="B1089" s="18"/>
    </row>
    <row r="1090" spans="1:2" x14ac:dyDescent="0.25">
      <c r="A1090" s="12"/>
      <c r="B1090" s="18"/>
    </row>
    <row r="1091" spans="1:2" x14ac:dyDescent="0.25">
      <c r="A1091" s="12"/>
      <c r="B1091" s="18"/>
    </row>
    <row r="1092" spans="1:2" x14ac:dyDescent="0.25">
      <c r="A1092" s="12"/>
      <c r="B1092" s="18"/>
    </row>
    <row r="1093" spans="1:2" x14ac:dyDescent="0.25">
      <c r="A1093" s="12"/>
      <c r="B1093" s="18"/>
    </row>
    <row r="1094" spans="1:2" x14ac:dyDescent="0.25">
      <c r="A1094" s="12"/>
      <c r="B1094" s="18"/>
    </row>
    <row r="1095" spans="1:2" x14ac:dyDescent="0.25">
      <c r="A1095" s="12"/>
      <c r="B1095" s="18"/>
    </row>
    <row r="1096" spans="1:2" x14ac:dyDescent="0.25">
      <c r="A1096" s="12"/>
      <c r="B1096" s="18"/>
    </row>
    <row r="1097" spans="1:2" x14ac:dyDescent="0.25">
      <c r="A1097" s="12"/>
      <c r="B1097" s="18"/>
    </row>
    <row r="1098" spans="1:2" x14ac:dyDescent="0.25">
      <c r="A1098" s="12"/>
      <c r="B1098" s="18"/>
    </row>
    <row r="1099" spans="1:2" x14ac:dyDescent="0.25">
      <c r="A1099" s="12"/>
      <c r="B1099" s="18"/>
    </row>
    <row r="1100" spans="1:2" x14ac:dyDescent="0.25">
      <c r="A1100" s="12"/>
      <c r="B1100" s="18"/>
    </row>
    <row r="1101" spans="1:2" x14ac:dyDescent="0.25">
      <c r="A1101" s="12"/>
      <c r="B1101" s="18"/>
    </row>
    <row r="1102" spans="1:2" x14ac:dyDescent="0.25">
      <c r="A1102" s="12"/>
      <c r="B1102" s="18"/>
    </row>
    <row r="1103" spans="1:2" x14ac:dyDescent="0.25">
      <c r="A1103" s="12"/>
      <c r="B1103" s="18"/>
    </row>
    <row r="1104" spans="1:2" x14ac:dyDescent="0.25">
      <c r="A1104" s="12"/>
      <c r="B1104" s="18"/>
    </row>
    <row r="1105" spans="1:2" x14ac:dyDescent="0.25">
      <c r="A1105" s="12"/>
      <c r="B1105" s="18"/>
    </row>
    <row r="1106" spans="1:2" x14ac:dyDescent="0.25">
      <c r="A1106" s="12"/>
      <c r="B1106" s="18"/>
    </row>
    <row r="1107" spans="1:2" x14ac:dyDescent="0.25">
      <c r="A1107" s="12"/>
      <c r="B1107" s="18"/>
    </row>
    <row r="1108" spans="1:2" x14ac:dyDescent="0.25">
      <c r="A1108" s="12"/>
      <c r="B1108" s="18"/>
    </row>
    <row r="1109" spans="1:2" x14ac:dyDescent="0.25">
      <c r="A1109" s="12"/>
      <c r="B1109" s="18"/>
    </row>
    <row r="1110" spans="1:2" x14ac:dyDescent="0.25">
      <c r="A1110" s="12"/>
      <c r="B1110" s="18"/>
    </row>
    <row r="1111" spans="1:2" x14ac:dyDescent="0.25">
      <c r="A1111" s="12"/>
      <c r="B1111" s="18"/>
    </row>
    <row r="1112" spans="1:2" x14ac:dyDescent="0.25">
      <c r="A1112" s="12"/>
      <c r="B1112" s="18"/>
    </row>
    <row r="1113" spans="1:2" x14ac:dyDescent="0.25">
      <c r="A1113" s="12"/>
      <c r="B1113" s="18"/>
    </row>
    <row r="1114" spans="1:2" x14ac:dyDescent="0.25">
      <c r="A1114" s="12"/>
      <c r="B1114" s="18"/>
    </row>
    <row r="1115" spans="1:2" x14ac:dyDescent="0.25">
      <c r="A1115" s="12"/>
      <c r="B1115" s="18"/>
    </row>
    <row r="1116" spans="1:2" x14ac:dyDescent="0.25">
      <c r="A1116" s="12"/>
      <c r="B1116" s="18"/>
    </row>
    <row r="1117" spans="1:2" x14ac:dyDescent="0.25">
      <c r="A1117" s="12"/>
      <c r="B1117" s="18"/>
    </row>
    <row r="1118" spans="1:2" x14ac:dyDescent="0.25">
      <c r="A1118" s="12"/>
      <c r="B1118" s="18"/>
    </row>
    <row r="1119" spans="1:2" x14ac:dyDescent="0.25">
      <c r="A1119" s="12"/>
      <c r="B1119" s="18"/>
    </row>
    <row r="1120" spans="1:2" x14ac:dyDescent="0.25">
      <c r="A1120" s="12"/>
      <c r="B1120" s="18"/>
    </row>
    <row r="1121" spans="1:2" x14ac:dyDescent="0.25">
      <c r="A1121" s="12"/>
      <c r="B1121" s="18"/>
    </row>
    <row r="1122" spans="1:2" x14ac:dyDescent="0.25">
      <c r="A1122" s="12"/>
      <c r="B1122" s="18"/>
    </row>
    <row r="1123" spans="1:2" x14ac:dyDescent="0.25">
      <c r="A1123" s="12"/>
      <c r="B1123" s="18"/>
    </row>
    <row r="1124" spans="1:2" x14ac:dyDescent="0.25">
      <c r="A1124" s="12"/>
      <c r="B1124" s="18"/>
    </row>
    <row r="1125" spans="1:2" x14ac:dyDescent="0.25">
      <c r="A1125" s="12"/>
      <c r="B1125" s="18"/>
    </row>
    <row r="1126" spans="1:2" x14ac:dyDescent="0.25">
      <c r="A1126" s="12"/>
      <c r="B1126" s="18"/>
    </row>
    <row r="1127" spans="1:2" x14ac:dyDescent="0.25">
      <c r="A1127" s="12"/>
      <c r="B1127" s="18"/>
    </row>
    <row r="1128" spans="1:2" x14ac:dyDescent="0.25">
      <c r="A1128" s="12"/>
      <c r="B1128" s="18"/>
    </row>
    <row r="1129" spans="1:2" x14ac:dyDescent="0.25">
      <c r="A1129" s="12"/>
      <c r="B1129" s="18"/>
    </row>
    <row r="1130" spans="1:2" x14ac:dyDescent="0.25">
      <c r="A1130" s="12"/>
      <c r="B1130" s="18"/>
    </row>
    <row r="1131" spans="1:2" x14ac:dyDescent="0.25">
      <c r="A1131" s="12"/>
      <c r="B1131" s="18"/>
    </row>
    <row r="1132" spans="1:2" x14ac:dyDescent="0.25">
      <c r="A1132" s="12"/>
      <c r="B1132" s="18"/>
    </row>
    <row r="1133" spans="1:2" x14ac:dyDescent="0.25">
      <c r="A1133" s="12"/>
      <c r="B1133" s="18"/>
    </row>
    <row r="1134" spans="1:2" x14ac:dyDescent="0.25">
      <c r="A1134" s="12"/>
      <c r="B1134" s="18"/>
    </row>
    <row r="1135" spans="1:2" x14ac:dyDescent="0.25">
      <c r="A1135" s="12"/>
      <c r="B1135" s="18"/>
    </row>
    <row r="1136" spans="1:2" x14ac:dyDescent="0.25">
      <c r="A1136" s="12"/>
      <c r="B1136" s="18"/>
    </row>
    <row r="1137" spans="1:2" x14ac:dyDescent="0.25">
      <c r="A1137" s="12"/>
      <c r="B1137" s="18"/>
    </row>
    <row r="1138" spans="1:2" x14ac:dyDescent="0.25">
      <c r="A1138" s="12"/>
      <c r="B1138" s="18"/>
    </row>
    <row r="1139" spans="1:2" x14ac:dyDescent="0.25">
      <c r="A1139" s="12"/>
      <c r="B1139" s="18"/>
    </row>
    <row r="1140" spans="1:2" x14ac:dyDescent="0.25">
      <c r="A1140" s="12"/>
      <c r="B1140" s="18"/>
    </row>
    <row r="1141" spans="1:2" x14ac:dyDescent="0.25">
      <c r="A1141" s="12"/>
      <c r="B1141" s="18"/>
    </row>
    <row r="1142" spans="1:2" x14ac:dyDescent="0.25">
      <c r="A1142" s="12"/>
      <c r="B1142" s="18"/>
    </row>
    <row r="1143" spans="1:2" x14ac:dyDescent="0.25">
      <c r="A1143" s="12"/>
      <c r="B1143" s="18"/>
    </row>
    <row r="1144" spans="1:2" x14ac:dyDescent="0.25">
      <c r="A1144" s="12"/>
      <c r="B1144" s="18"/>
    </row>
    <row r="1145" spans="1:2" x14ac:dyDescent="0.25">
      <c r="A1145" s="12"/>
      <c r="B1145" s="18"/>
    </row>
    <row r="1146" spans="1:2" x14ac:dyDescent="0.25">
      <c r="A1146" s="12"/>
      <c r="B1146" s="18"/>
    </row>
    <row r="1147" spans="1:2" x14ac:dyDescent="0.25">
      <c r="A1147" s="12"/>
      <c r="B1147" s="18"/>
    </row>
    <row r="1148" spans="1:2" x14ac:dyDescent="0.25">
      <c r="A1148" s="12"/>
      <c r="B1148" s="18"/>
    </row>
    <row r="1149" spans="1:2" x14ac:dyDescent="0.25">
      <c r="A1149" s="12"/>
      <c r="B1149" s="18"/>
    </row>
    <row r="1150" spans="1:2" x14ac:dyDescent="0.25">
      <c r="A1150" s="12"/>
      <c r="B1150" s="18"/>
    </row>
    <row r="1151" spans="1:2" x14ac:dyDescent="0.25">
      <c r="A1151" s="12"/>
      <c r="B1151" s="18"/>
    </row>
    <row r="1152" spans="1:2" x14ac:dyDescent="0.25">
      <c r="A1152" s="12"/>
      <c r="B1152" s="18"/>
    </row>
    <row r="1153" spans="1:2" x14ac:dyDescent="0.25">
      <c r="A1153" s="12"/>
      <c r="B1153" s="18"/>
    </row>
    <row r="1154" spans="1:2" x14ac:dyDescent="0.25">
      <c r="A1154" s="12"/>
      <c r="B1154" s="18"/>
    </row>
    <row r="1155" spans="1:2" x14ac:dyDescent="0.25">
      <c r="A1155" s="12"/>
      <c r="B1155" s="18"/>
    </row>
    <row r="1156" spans="1:2" x14ac:dyDescent="0.25">
      <c r="A1156" s="12"/>
      <c r="B1156" s="18"/>
    </row>
    <row r="1157" spans="1:2" x14ac:dyDescent="0.25">
      <c r="A1157" s="12"/>
      <c r="B1157" s="18"/>
    </row>
    <row r="1158" spans="1:2" x14ac:dyDescent="0.25">
      <c r="A1158" s="12"/>
      <c r="B1158" s="18"/>
    </row>
    <row r="1159" spans="1:2" x14ac:dyDescent="0.25">
      <c r="A1159" s="12"/>
      <c r="B1159" s="18"/>
    </row>
    <row r="1160" spans="1:2" x14ac:dyDescent="0.25">
      <c r="A1160" s="12"/>
      <c r="B1160" s="18"/>
    </row>
    <row r="1161" spans="1:2" x14ac:dyDescent="0.25">
      <c r="A1161" s="12"/>
      <c r="B1161" s="18"/>
    </row>
    <row r="1162" spans="1:2" x14ac:dyDescent="0.25">
      <c r="A1162" s="12"/>
      <c r="B1162" s="18"/>
    </row>
    <row r="1163" spans="1:2" x14ac:dyDescent="0.25">
      <c r="A1163" s="12"/>
      <c r="B1163" s="18"/>
    </row>
    <row r="1164" spans="1:2" x14ac:dyDescent="0.25">
      <c r="A1164" s="12"/>
      <c r="B1164" s="18"/>
    </row>
    <row r="1165" spans="1:2" x14ac:dyDescent="0.25">
      <c r="A1165" s="12"/>
      <c r="B1165" s="18"/>
    </row>
    <row r="1166" spans="1:2" x14ac:dyDescent="0.25">
      <c r="A1166" s="12"/>
      <c r="B1166" s="18"/>
    </row>
    <row r="1167" spans="1:2" x14ac:dyDescent="0.25">
      <c r="A1167" s="12"/>
      <c r="B1167" s="18"/>
    </row>
    <row r="1168" spans="1:2" x14ac:dyDescent="0.25">
      <c r="A1168" s="12"/>
      <c r="B1168" s="18"/>
    </row>
    <row r="1169" spans="1:2" x14ac:dyDescent="0.25">
      <c r="A1169" s="12"/>
      <c r="B1169" s="18"/>
    </row>
    <row r="1170" spans="1:2" x14ac:dyDescent="0.25">
      <c r="A1170" s="12"/>
      <c r="B1170" s="18"/>
    </row>
    <row r="1171" spans="1:2" x14ac:dyDescent="0.25">
      <c r="A1171" s="12"/>
      <c r="B1171" s="18"/>
    </row>
    <row r="1172" spans="1:2" x14ac:dyDescent="0.25">
      <c r="A1172" s="12"/>
      <c r="B1172" s="18"/>
    </row>
    <row r="1173" spans="1:2" x14ac:dyDescent="0.25">
      <c r="A1173" s="12"/>
      <c r="B1173" s="18"/>
    </row>
    <row r="1174" spans="1:2" x14ac:dyDescent="0.25">
      <c r="A1174" s="12"/>
      <c r="B1174" s="18"/>
    </row>
    <row r="1175" spans="1:2" x14ac:dyDescent="0.25">
      <c r="A1175" s="12"/>
      <c r="B1175" s="18"/>
    </row>
    <row r="1176" spans="1:2" x14ac:dyDescent="0.25">
      <c r="A1176" s="12"/>
      <c r="B1176" s="18"/>
    </row>
    <row r="1177" spans="1:2" x14ac:dyDescent="0.25">
      <c r="A1177" s="12"/>
      <c r="B1177" s="18"/>
    </row>
    <row r="1178" spans="1:2" x14ac:dyDescent="0.25">
      <c r="A1178" s="12"/>
      <c r="B1178" s="18"/>
    </row>
    <row r="1179" spans="1:2" x14ac:dyDescent="0.25">
      <c r="A1179" s="12"/>
      <c r="B1179" s="18"/>
    </row>
    <row r="1180" spans="1:2" x14ac:dyDescent="0.25">
      <c r="A1180" s="12"/>
      <c r="B1180" s="18"/>
    </row>
    <row r="1181" spans="1:2" x14ac:dyDescent="0.25">
      <c r="A1181" s="12"/>
      <c r="B1181" s="18"/>
    </row>
    <row r="1182" spans="1:2" x14ac:dyDescent="0.25">
      <c r="A1182" s="12"/>
      <c r="B1182" s="18"/>
    </row>
    <row r="1183" spans="1:2" x14ac:dyDescent="0.25">
      <c r="A1183" s="12"/>
      <c r="B1183" s="18"/>
    </row>
    <row r="1184" spans="1:2" x14ac:dyDescent="0.25">
      <c r="A1184" s="12"/>
      <c r="B1184" s="18"/>
    </row>
    <row r="1185" spans="1:2" x14ac:dyDescent="0.25">
      <c r="A1185" s="12"/>
      <c r="B1185" s="18"/>
    </row>
    <row r="1186" spans="1:2" x14ac:dyDescent="0.25">
      <c r="A1186" s="12"/>
      <c r="B1186" s="18"/>
    </row>
    <row r="1187" spans="1:2" x14ac:dyDescent="0.25">
      <c r="A1187" s="12"/>
      <c r="B1187" s="18"/>
    </row>
    <row r="1188" spans="1:2" x14ac:dyDescent="0.25">
      <c r="A1188" s="12"/>
      <c r="B1188" s="18"/>
    </row>
    <row r="1189" spans="1:2" x14ac:dyDescent="0.25">
      <c r="A1189" s="12"/>
      <c r="B1189" s="18"/>
    </row>
    <row r="1190" spans="1:2" x14ac:dyDescent="0.25">
      <c r="A1190" s="12"/>
      <c r="B1190" s="18"/>
    </row>
    <row r="1191" spans="1:2" x14ac:dyDescent="0.25">
      <c r="A1191" s="12"/>
      <c r="B1191" s="18"/>
    </row>
    <row r="1192" spans="1:2" x14ac:dyDescent="0.25">
      <c r="A1192" s="12"/>
      <c r="B1192" s="18"/>
    </row>
    <row r="1193" spans="1:2" x14ac:dyDescent="0.25">
      <c r="A1193" s="12"/>
      <c r="B1193" s="18"/>
    </row>
    <row r="1194" spans="1:2" x14ac:dyDescent="0.25">
      <c r="A1194" s="12"/>
      <c r="B1194" s="18"/>
    </row>
    <row r="1195" spans="1:2" x14ac:dyDescent="0.25">
      <c r="A1195" s="12"/>
      <c r="B1195" s="18"/>
    </row>
    <row r="1196" spans="1:2" x14ac:dyDescent="0.25">
      <c r="A1196" s="12"/>
      <c r="B1196" s="18"/>
    </row>
    <row r="1197" spans="1:2" x14ac:dyDescent="0.25">
      <c r="A1197" s="12"/>
      <c r="B1197" s="18"/>
    </row>
    <row r="1198" spans="1:2" x14ac:dyDescent="0.25">
      <c r="A1198" s="12"/>
      <c r="B1198" s="18"/>
    </row>
    <row r="1199" spans="1:2" x14ac:dyDescent="0.25">
      <c r="A1199" s="12"/>
      <c r="B1199" s="18"/>
    </row>
    <row r="1200" spans="1:2" x14ac:dyDescent="0.25">
      <c r="A1200" s="12"/>
      <c r="B1200" s="18"/>
    </row>
    <row r="1201" spans="1:2" x14ac:dyDescent="0.25">
      <c r="A1201" s="12"/>
      <c r="B1201" s="18"/>
    </row>
    <row r="1202" spans="1:2" x14ac:dyDescent="0.25">
      <c r="A1202" s="12"/>
      <c r="B1202" s="18"/>
    </row>
    <row r="1203" spans="1:2" x14ac:dyDescent="0.25">
      <c r="A1203" s="12"/>
      <c r="B1203" s="18"/>
    </row>
    <row r="1204" spans="1:2" x14ac:dyDescent="0.25">
      <c r="A1204" s="12"/>
      <c r="B1204" s="18"/>
    </row>
    <row r="1205" spans="1:2" x14ac:dyDescent="0.25">
      <c r="A1205" s="12"/>
      <c r="B1205" s="18"/>
    </row>
    <row r="1206" spans="1:2" x14ac:dyDescent="0.25">
      <c r="A1206" s="12"/>
      <c r="B1206" s="18"/>
    </row>
    <row r="1207" spans="1:2" x14ac:dyDescent="0.25">
      <c r="A1207" s="12"/>
      <c r="B1207" s="18"/>
    </row>
    <row r="1208" spans="1:2" x14ac:dyDescent="0.25">
      <c r="A1208" s="12"/>
      <c r="B1208" s="18"/>
    </row>
    <row r="1209" spans="1:2" x14ac:dyDescent="0.25">
      <c r="A1209" s="12"/>
      <c r="B1209" s="18"/>
    </row>
    <row r="1210" spans="1:2" x14ac:dyDescent="0.25">
      <c r="A1210" s="12"/>
      <c r="B1210" s="18"/>
    </row>
    <row r="1211" spans="1:2" x14ac:dyDescent="0.25">
      <c r="A1211" s="12"/>
      <c r="B1211" s="18"/>
    </row>
    <row r="1212" spans="1:2" x14ac:dyDescent="0.25">
      <c r="A1212" s="12"/>
      <c r="B1212" s="18"/>
    </row>
    <row r="1213" spans="1:2" x14ac:dyDescent="0.25">
      <c r="A1213" s="12"/>
      <c r="B1213" s="18"/>
    </row>
    <row r="1214" spans="1:2" x14ac:dyDescent="0.25">
      <c r="A1214" s="12"/>
      <c r="B1214" s="18"/>
    </row>
    <row r="1215" spans="1:2" x14ac:dyDescent="0.25">
      <c r="A1215" s="12"/>
      <c r="B1215" s="18"/>
    </row>
    <row r="1216" spans="1:2" x14ac:dyDescent="0.25">
      <c r="A1216" s="12"/>
      <c r="B1216" s="18"/>
    </row>
    <row r="1217" spans="1:2" x14ac:dyDescent="0.25">
      <c r="A1217" s="12"/>
      <c r="B1217" s="18"/>
    </row>
    <row r="1218" spans="1:2" x14ac:dyDescent="0.25">
      <c r="A1218" s="12"/>
      <c r="B1218" s="18"/>
    </row>
    <row r="1219" spans="1:2" x14ac:dyDescent="0.25">
      <c r="A1219" s="12"/>
      <c r="B1219" s="18"/>
    </row>
    <row r="1220" spans="1:2" x14ac:dyDescent="0.25">
      <c r="A1220" s="12"/>
      <c r="B1220" s="18"/>
    </row>
    <row r="1221" spans="1:2" x14ac:dyDescent="0.25">
      <c r="A1221" s="12"/>
      <c r="B1221" s="18"/>
    </row>
    <row r="1222" spans="1:2" x14ac:dyDescent="0.25">
      <c r="A1222" s="12"/>
      <c r="B1222" s="18"/>
    </row>
    <row r="1223" spans="1:2" x14ac:dyDescent="0.25">
      <c r="A1223" s="12"/>
      <c r="B1223" s="18"/>
    </row>
    <row r="1224" spans="1:2" x14ac:dyDescent="0.25">
      <c r="A1224" s="12"/>
      <c r="B1224" s="18"/>
    </row>
    <row r="1225" spans="1:2" x14ac:dyDescent="0.25">
      <c r="A1225" s="12"/>
      <c r="B1225" s="18"/>
    </row>
    <row r="1226" spans="1:2" x14ac:dyDescent="0.25">
      <c r="A1226" s="12"/>
      <c r="B1226" s="18"/>
    </row>
    <row r="1227" spans="1:2" x14ac:dyDescent="0.25">
      <c r="A1227" s="12"/>
      <c r="B1227" s="18"/>
    </row>
    <row r="1228" spans="1:2" x14ac:dyDescent="0.25">
      <c r="A1228" s="12"/>
      <c r="B1228" s="18"/>
    </row>
    <row r="1229" spans="1:2" x14ac:dyDescent="0.25">
      <c r="A1229" s="12"/>
      <c r="B1229" s="18"/>
    </row>
    <row r="1230" spans="1:2" x14ac:dyDescent="0.25">
      <c r="A1230" s="12"/>
      <c r="B1230" s="18"/>
    </row>
    <row r="1231" spans="1:2" x14ac:dyDescent="0.25">
      <c r="A1231" s="12"/>
      <c r="B1231" s="18"/>
    </row>
    <row r="1232" spans="1:2" x14ac:dyDescent="0.25">
      <c r="A1232" s="12"/>
      <c r="B1232" s="18"/>
    </row>
    <row r="1233" spans="1:2" x14ac:dyDescent="0.25">
      <c r="A1233" s="12"/>
      <c r="B1233" s="18"/>
    </row>
    <row r="1234" spans="1:2" x14ac:dyDescent="0.25">
      <c r="A1234" s="12"/>
      <c r="B1234" s="18"/>
    </row>
    <row r="1235" spans="1:2" x14ac:dyDescent="0.25">
      <c r="A1235" s="12"/>
      <c r="B1235" s="18"/>
    </row>
    <row r="1236" spans="1:2" x14ac:dyDescent="0.25">
      <c r="A1236" s="12"/>
      <c r="B1236" s="18"/>
    </row>
    <row r="1237" spans="1:2" x14ac:dyDescent="0.25">
      <c r="A1237" s="12"/>
      <c r="B1237" s="18"/>
    </row>
    <row r="1238" spans="1:2" x14ac:dyDescent="0.25">
      <c r="A1238" s="12"/>
      <c r="B1238" s="18"/>
    </row>
    <row r="1239" spans="1:2" x14ac:dyDescent="0.25">
      <c r="A1239" s="12"/>
      <c r="B1239" s="18"/>
    </row>
    <row r="1240" spans="1:2" x14ac:dyDescent="0.25">
      <c r="A1240" s="12"/>
      <c r="B1240" s="18"/>
    </row>
    <row r="1241" spans="1:2" x14ac:dyDescent="0.25">
      <c r="A1241" s="12"/>
      <c r="B1241" s="18"/>
    </row>
    <row r="1242" spans="1:2" x14ac:dyDescent="0.25">
      <c r="A1242" s="12"/>
      <c r="B1242" s="18"/>
    </row>
    <row r="1243" spans="1:2" x14ac:dyDescent="0.25">
      <c r="A1243" s="12"/>
      <c r="B1243" s="18"/>
    </row>
    <row r="1244" spans="1:2" x14ac:dyDescent="0.25">
      <c r="A1244" s="12"/>
      <c r="B1244" s="18"/>
    </row>
    <row r="1245" spans="1:2" x14ac:dyDescent="0.25">
      <c r="A1245" s="12"/>
      <c r="B1245" s="18"/>
    </row>
    <row r="1246" spans="1:2" x14ac:dyDescent="0.25">
      <c r="A1246" s="12"/>
      <c r="B1246" s="18"/>
    </row>
    <row r="1247" spans="1:2" x14ac:dyDescent="0.25">
      <c r="A1247" s="12"/>
      <c r="B1247" s="18"/>
    </row>
    <row r="1248" spans="1:2" x14ac:dyDescent="0.25">
      <c r="A1248" s="12"/>
      <c r="B1248" s="18"/>
    </row>
    <row r="1249" spans="1:2" x14ac:dyDescent="0.25">
      <c r="A1249" s="12"/>
      <c r="B1249" s="18"/>
    </row>
    <row r="1250" spans="1:2" x14ac:dyDescent="0.25">
      <c r="A1250" s="12"/>
      <c r="B1250" s="18"/>
    </row>
    <row r="1251" spans="1:2" x14ac:dyDescent="0.25">
      <c r="A1251" s="12"/>
      <c r="B1251" s="18"/>
    </row>
    <row r="1252" spans="1:2" x14ac:dyDescent="0.25">
      <c r="A1252" s="12"/>
      <c r="B1252" s="18"/>
    </row>
    <row r="1253" spans="1:2" x14ac:dyDescent="0.25">
      <c r="A1253" s="12"/>
      <c r="B1253" s="18"/>
    </row>
    <row r="1254" spans="1:2" x14ac:dyDescent="0.25">
      <c r="A1254" s="12"/>
      <c r="B1254" s="18"/>
    </row>
    <row r="1255" spans="1:2" x14ac:dyDescent="0.25">
      <c r="A1255" s="12"/>
      <c r="B1255" s="18"/>
    </row>
    <row r="1256" spans="1:2" x14ac:dyDescent="0.25">
      <c r="A1256" s="12"/>
      <c r="B1256" s="18"/>
    </row>
    <row r="1257" spans="1:2" x14ac:dyDescent="0.25">
      <c r="A1257" s="12"/>
      <c r="B1257" s="18"/>
    </row>
    <row r="1258" spans="1:2" x14ac:dyDescent="0.25">
      <c r="A1258" s="12"/>
      <c r="B1258" s="18"/>
    </row>
    <row r="1259" spans="1:2" x14ac:dyDescent="0.25">
      <c r="A1259" s="12"/>
      <c r="B1259" s="18"/>
    </row>
    <row r="1260" spans="1:2" x14ac:dyDescent="0.25">
      <c r="A1260" s="12"/>
      <c r="B1260" s="18"/>
    </row>
    <row r="1261" spans="1:2" x14ac:dyDescent="0.25">
      <c r="A1261" s="12"/>
      <c r="B1261" s="18"/>
    </row>
    <row r="1262" spans="1:2" x14ac:dyDescent="0.25">
      <c r="A1262" s="12"/>
      <c r="B1262" s="18"/>
    </row>
    <row r="1263" spans="1:2" x14ac:dyDescent="0.25">
      <c r="A1263" s="12"/>
      <c r="B1263" s="18"/>
    </row>
    <row r="1264" spans="1:2" x14ac:dyDescent="0.25">
      <c r="A1264" s="12"/>
      <c r="B1264" s="18"/>
    </row>
    <row r="1265" spans="1:2" x14ac:dyDescent="0.25">
      <c r="A1265" s="12"/>
      <c r="B1265" s="18"/>
    </row>
    <row r="1266" spans="1:2" x14ac:dyDescent="0.25">
      <c r="A1266" s="12"/>
      <c r="B1266" s="18"/>
    </row>
    <row r="1267" spans="1:2" x14ac:dyDescent="0.25">
      <c r="A1267" s="12"/>
      <c r="B1267" s="18"/>
    </row>
    <row r="1268" spans="1:2" x14ac:dyDescent="0.25">
      <c r="A1268" s="12"/>
      <c r="B1268" s="18"/>
    </row>
    <row r="1269" spans="1:2" x14ac:dyDescent="0.25">
      <c r="A1269" s="12"/>
      <c r="B1269" s="18"/>
    </row>
    <row r="1270" spans="1:2" x14ac:dyDescent="0.25">
      <c r="A1270" s="12"/>
      <c r="B1270" s="18"/>
    </row>
    <row r="1271" spans="1:2" x14ac:dyDescent="0.25">
      <c r="A1271" s="12"/>
      <c r="B1271" s="18"/>
    </row>
    <row r="1272" spans="1:2" x14ac:dyDescent="0.25">
      <c r="A1272" s="12"/>
      <c r="B1272" s="18"/>
    </row>
    <row r="1273" spans="1:2" x14ac:dyDescent="0.25">
      <c r="A1273" s="12"/>
      <c r="B1273" s="18"/>
    </row>
    <row r="1274" spans="1:2" x14ac:dyDescent="0.25">
      <c r="A1274" s="12"/>
      <c r="B1274" s="18"/>
    </row>
    <row r="1275" spans="1:2" x14ac:dyDescent="0.25">
      <c r="A1275" s="12"/>
      <c r="B1275" s="18"/>
    </row>
    <row r="1276" spans="1:2" x14ac:dyDescent="0.25">
      <c r="A1276" s="12"/>
      <c r="B1276" s="18"/>
    </row>
    <row r="1277" spans="1:2" x14ac:dyDescent="0.25">
      <c r="A1277" s="12"/>
      <c r="B1277" s="18"/>
    </row>
    <row r="1278" spans="1:2" x14ac:dyDescent="0.25">
      <c r="A1278" s="12"/>
      <c r="B1278" s="18"/>
    </row>
    <row r="1279" spans="1:2" x14ac:dyDescent="0.25">
      <c r="A1279" s="12"/>
      <c r="B1279" s="18"/>
    </row>
    <row r="1280" spans="1:2" x14ac:dyDescent="0.25">
      <c r="A1280" s="12"/>
      <c r="B1280" s="18"/>
    </row>
    <row r="1281" spans="1:2" x14ac:dyDescent="0.25">
      <c r="A1281" s="12"/>
      <c r="B1281" s="18"/>
    </row>
    <row r="1282" spans="1:2" x14ac:dyDescent="0.25">
      <c r="A1282" s="12"/>
      <c r="B1282" s="18"/>
    </row>
    <row r="1283" spans="1:2" x14ac:dyDescent="0.25">
      <c r="A1283" s="12"/>
      <c r="B1283" s="18"/>
    </row>
    <row r="1284" spans="1:2" x14ac:dyDescent="0.25">
      <c r="A1284" s="12"/>
      <c r="B1284" s="18"/>
    </row>
    <row r="1285" spans="1:2" x14ac:dyDescent="0.25">
      <c r="A1285" s="12"/>
      <c r="B1285" s="18"/>
    </row>
    <row r="1286" spans="1:2" x14ac:dyDescent="0.25">
      <c r="A1286" s="12"/>
      <c r="B1286" s="18"/>
    </row>
    <row r="1287" spans="1:2" x14ac:dyDescent="0.25">
      <c r="A1287" s="12"/>
      <c r="B1287" s="18"/>
    </row>
    <row r="1288" spans="1:2" x14ac:dyDescent="0.25">
      <c r="A1288" s="12"/>
      <c r="B1288" s="18"/>
    </row>
    <row r="1289" spans="1:2" x14ac:dyDescent="0.25">
      <c r="A1289" s="12"/>
      <c r="B1289" s="18"/>
    </row>
    <row r="1290" spans="1:2" x14ac:dyDescent="0.25">
      <c r="A1290" s="12"/>
      <c r="B1290" s="18"/>
    </row>
    <row r="1291" spans="1:2" x14ac:dyDescent="0.25">
      <c r="A1291" s="12"/>
      <c r="B1291" s="18"/>
    </row>
    <row r="1292" spans="1:2" x14ac:dyDescent="0.25">
      <c r="A1292" s="12"/>
      <c r="B1292" s="18"/>
    </row>
    <row r="1293" spans="1:2" x14ac:dyDescent="0.25">
      <c r="A1293" s="12"/>
      <c r="B1293" s="18"/>
    </row>
    <row r="1294" spans="1:2" x14ac:dyDescent="0.25">
      <c r="A1294" s="12"/>
      <c r="B1294" s="18"/>
    </row>
    <row r="1295" spans="1:2" x14ac:dyDescent="0.25">
      <c r="A1295" s="12"/>
      <c r="B1295" s="18"/>
    </row>
    <row r="1296" spans="1:2" x14ac:dyDescent="0.25">
      <c r="A1296" s="12"/>
      <c r="B1296" s="18"/>
    </row>
    <row r="1297" spans="1:2" x14ac:dyDescent="0.25">
      <c r="A1297" s="12"/>
      <c r="B1297" s="18"/>
    </row>
    <row r="1298" spans="1:2" x14ac:dyDescent="0.25">
      <c r="A1298" s="12"/>
      <c r="B1298" s="18"/>
    </row>
    <row r="1299" spans="1:2" x14ac:dyDescent="0.25">
      <c r="A1299" s="12"/>
      <c r="B1299" s="18"/>
    </row>
    <row r="1300" spans="1:2" x14ac:dyDescent="0.25">
      <c r="A1300" s="12"/>
      <c r="B1300" s="18"/>
    </row>
    <row r="1301" spans="1:2" x14ac:dyDescent="0.25">
      <c r="A1301" s="12"/>
      <c r="B1301" s="18"/>
    </row>
    <row r="1302" spans="1:2" x14ac:dyDescent="0.25">
      <c r="A1302" s="12"/>
      <c r="B1302" s="18"/>
    </row>
    <row r="1303" spans="1:2" x14ac:dyDescent="0.25">
      <c r="A1303" s="12"/>
      <c r="B1303" s="18"/>
    </row>
    <row r="1304" spans="1:2" x14ac:dyDescent="0.25">
      <c r="A1304" s="12"/>
      <c r="B1304" s="18"/>
    </row>
    <row r="1305" spans="1:2" x14ac:dyDescent="0.25">
      <c r="A1305" s="12"/>
      <c r="B1305" s="18"/>
    </row>
    <row r="1306" spans="1:2" x14ac:dyDescent="0.25">
      <c r="A1306" s="12"/>
      <c r="B1306" s="18"/>
    </row>
    <row r="1307" spans="1:2" x14ac:dyDescent="0.25">
      <c r="A1307" s="12"/>
      <c r="B1307" s="18"/>
    </row>
    <row r="1308" spans="1:2" x14ac:dyDescent="0.25">
      <c r="A1308" s="12"/>
      <c r="B1308" s="18"/>
    </row>
    <row r="1309" spans="1:2" x14ac:dyDescent="0.25">
      <c r="A1309" s="12"/>
      <c r="B1309" s="18"/>
    </row>
    <row r="1310" spans="1:2" x14ac:dyDescent="0.25">
      <c r="A1310" s="12"/>
      <c r="B1310" s="18"/>
    </row>
    <row r="1311" spans="1:2" x14ac:dyDescent="0.25">
      <c r="A1311" s="12"/>
      <c r="B1311" s="18"/>
    </row>
    <row r="1312" spans="1:2" x14ac:dyDescent="0.25">
      <c r="A1312" s="12"/>
      <c r="B1312" s="18"/>
    </row>
    <row r="1313" spans="1:2" x14ac:dyDescent="0.25">
      <c r="A1313" s="12"/>
      <c r="B1313" s="18"/>
    </row>
    <row r="1314" spans="1:2" x14ac:dyDescent="0.25">
      <c r="A1314" s="12"/>
      <c r="B1314" s="18"/>
    </row>
    <row r="1315" spans="1:2" x14ac:dyDescent="0.25">
      <c r="A1315" s="12"/>
      <c r="B1315" s="18"/>
    </row>
    <row r="1316" spans="1:2" x14ac:dyDescent="0.25">
      <c r="A1316" s="12"/>
      <c r="B1316" s="18"/>
    </row>
    <row r="1317" spans="1:2" x14ac:dyDescent="0.25">
      <c r="A1317" s="12"/>
      <c r="B1317" s="18"/>
    </row>
    <row r="1318" spans="1:2" x14ac:dyDescent="0.25">
      <c r="A1318" s="12"/>
      <c r="B1318" s="18"/>
    </row>
    <row r="1319" spans="1:2" x14ac:dyDescent="0.25">
      <c r="A1319" s="12"/>
      <c r="B1319" s="18"/>
    </row>
    <row r="1320" spans="1:2" x14ac:dyDescent="0.25">
      <c r="A1320" s="12"/>
      <c r="B1320" s="18"/>
    </row>
    <row r="1321" spans="1:2" x14ac:dyDescent="0.25">
      <c r="A1321" s="12"/>
      <c r="B1321" s="18"/>
    </row>
    <row r="1322" spans="1:2" x14ac:dyDescent="0.25">
      <c r="A1322" s="12"/>
      <c r="B1322" s="18"/>
    </row>
    <row r="1323" spans="1:2" x14ac:dyDescent="0.25">
      <c r="A1323" s="12"/>
      <c r="B1323" s="18"/>
    </row>
    <row r="1324" spans="1:2" x14ac:dyDescent="0.25">
      <c r="A1324" s="12"/>
      <c r="B1324" s="18"/>
    </row>
    <row r="1325" spans="1:2" x14ac:dyDescent="0.25">
      <c r="A1325" s="12"/>
      <c r="B1325" s="18"/>
    </row>
    <row r="1326" spans="1:2" x14ac:dyDescent="0.25">
      <c r="A1326" s="12"/>
      <c r="B1326" s="18"/>
    </row>
    <row r="1327" spans="1:2" x14ac:dyDescent="0.25">
      <c r="A1327" s="12"/>
      <c r="B1327" s="18"/>
    </row>
    <row r="1328" spans="1:2" x14ac:dyDescent="0.25">
      <c r="A1328" s="12"/>
      <c r="B1328" s="18"/>
    </row>
    <row r="1329" spans="1:2" x14ac:dyDescent="0.25">
      <c r="A1329" s="12"/>
      <c r="B1329" s="18"/>
    </row>
    <row r="1330" spans="1:2" x14ac:dyDescent="0.25">
      <c r="A1330" s="12"/>
      <c r="B1330" s="18"/>
    </row>
    <row r="1331" spans="1:2" x14ac:dyDescent="0.25">
      <c r="A1331" s="12"/>
      <c r="B1331" s="18"/>
    </row>
    <row r="1332" spans="1:2" x14ac:dyDescent="0.25">
      <c r="A1332" s="12"/>
      <c r="B1332" s="18"/>
    </row>
    <row r="1333" spans="1:2" x14ac:dyDescent="0.25">
      <c r="A1333" s="12"/>
      <c r="B1333" s="18"/>
    </row>
    <row r="1334" spans="1:2" x14ac:dyDescent="0.25">
      <c r="A1334" s="12"/>
      <c r="B1334" s="18"/>
    </row>
    <row r="1335" spans="1:2" x14ac:dyDescent="0.25">
      <c r="A1335" s="12"/>
      <c r="B1335" s="18"/>
    </row>
    <row r="1336" spans="1:2" x14ac:dyDescent="0.25">
      <c r="A1336" s="12"/>
      <c r="B1336" s="18"/>
    </row>
    <row r="1337" spans="1:2" x14ac:dyDescent="0.25">
      <c r="A1337" s="12"/>
      <c r="B1337" s="18"/>
    </row>
    <row r="1338" spans="1:2" x14ac:dyDescent="0.25">
      <c r="A1338" s="12"/>
      <c r="B1338" s="18"/>
    </row>
    <row r="1339" spans="1:2" x14ac:dyDescent="0.25">
      <c r="A1339" s="12"/>
      <c r="B1339" s="18"/>
    </row>
    <row r="1340" spans="1:2" x14ac:dyDescent="0.25">
      <c r="A1340" s="12"/>
      <c r="B1340" s="18"/>
    </row>
    <row r="1341" spans="1:2" x14ac:dyDescent="0.25">
      <c r="A1341" s="12"/>
      <c r="B1341" s="18"/>
    </row>
    <row r="1342" spans="1:2" x14ac:dyDescent="0.25">
      <c r="A1342" s="12"/>
      <c r="B1342" s="18"/>
    </row>
    <row r="1343" spans="1:2" x14ac:dyDescent="0.25">
      <c r="A1343" s="12"/>
      <c r="B1343" s="18"/>
    </row>
    <row r="1344" spans="1:2" x14ac:dyDescent="0.25">
      <c r="A1344" s="12"/>
      <c r="B1344" s="18"/>
    </row>
    <row r="1345" spans="1:2" x14ac:dyDescent="0.25">
      <c r="A1345" s="12"/>
      <c r="B1345" s="18"/>
    </row>
    <row r="1346" spans="1:2" x14ac:dyDescent="0.25">
      <c r="A1346" s="12"/>
      <c r="B1346" s="18"/>
    </row>
    <row r="1347" spans="1:2" x14ac:dyDescent="0.25">
      <c r="A1347" s="12"/>
      <c r="B1347" s="18"/>
    </row>
    <row r="1348" spans="1:2" x14ac:dyDescent="0.25">
      <c r="A1348" s="12"/>
      <c r="B1348" s="18"/>
    </row>
    <row r="1349" spans="1:2" x14ac:dyDescent="0.25">
      <c r="A1349" s="12"/>
      <c r="B1349" s="18"/>
    </row>
    <row r="1350" spans="1:2" x14ac:dyDescent="0.25">
      <c r="A1350" s="12"/>
      <c r="B1350" s="18"/>
    </row>
    <row r="1351" spans="1:2" x14ac:dyDescent="0.25">
      <c r="A1351" s="12"/>
      <c r="B1351" s="18"/>
    </row>
    <row r="1352" spans="1:2" x14ac:dyDescent="0.25">
      <c r="A1352" s="12"/>
      <c r="B1352" s="18"/>
    </row>
    <row r="1353" spans="1:2" x14ac:dyDescent="0.25">
      <c r="A1353" s="12"/>
      <c r="B1353" s="18"/>
    </row>
    <row r="1354" spans="1:2" x14ac:dyDescent="0.25">
      <c r="A1354" s="12"/>
      <c r="B1354" s="18"/>
    </row>
    <row r="1355" spans="1:2" x14ac:dyDescent="0.25">
      <c r="A1355" s="12"/>
      <c r="B1355" s="18"/>
    </row>
    <row r="1356" spans="1:2" x14ac:dyDescent="0.25">
      <c r="A1356" s="12"/>
      <c r="B1356" s="18"/>
    </row>
    <row r="1357" spans="1:2" x14ac:dyDescent="0.25">
      <c r="A1357" s="12"/>
      <c r="B1357" s="18"/>
    </row>
    <row r="1358" spans="1:2" x14ac:dyDescent="0.25">
      <c r="A1358" s="12"/>
      <c r="B1358" s="18"/>
    </row>
    <row r="1359" spans="1:2" x14ac:dyDescent="0.25">
      <c r="A1359" s="12"/>
      <c r="B1359" s="18"/>
    </row>
    <row r="1360" spans="1:2" x14ac:dyDescent="0.25">
      <c r="A1360" s="12"/>
      <c r="B1360" s="18"/>
    </row>
    <row r="1361" spans="1:2" x14ac:dyDescent="0.25">
      <c r="A1361" s="12"/>
      <c r="B1361" s="18"/>
    </row>
    <row r="1362" spans="1:2" x14ac:dyDescent="0.25">
      <c r="A1362" s="12"/>
      <c r="B1362" s="18"/>
    </row>
    <row r="1363" spans="1:2" x14ac:dyDescent="0.25">
      <c r="A1363" s="12"/>
      <c r="B1363" s="18"/>
    </row>
    <row r="1364" spans="1:2" x14ac:dyDescent="0.25">
      <c r="A1364" s="12"/>
      <c r="B1364" s="18"/>
    </row>
    <row r="1365" spans="1:2" x14ac:dyDescent="0.25">
      <c r="A1365" s="12"/>
      <c r="B1365" s="18"/>
    </row>
    <row r="1366" spans="1:2" x14ac:dyDescent="0.25">
      <c r="A1366" s="12"/>
      <c r="B1366" s="18"/>
    </row>
    <row r="1367" spans="1:2" x14ac:dyDescent="0.25">
      <c r="A1367" s="12"/>
      <c r="B1367" s="18"/>
    </row>
    <row r="1368" spans="1:2" x14ac:dyDescent="0.25">
      <c r="A1368" s="12"/>
      <c r="B1368" s="18"/>
    </row>
    <row r="1369" spans="1:2" x14ac:dyDescent="0.25">
      <c r="A1369" s="12"/>
      <c r="B1369" s="18"/>
    </row>
    <row r="1370" spans="1:2" x14ac:dyDescent="0.25">
      <c r="A1370" s="12"/>
      <c r="B1370" s="18"/>
    </row>
    <row r="1371" spans="1:2" x14ac:dyDescent="0.25">
      <c r="A1371" s="12"/>
      <c r="B1371" s="18"/>
    </row>
    <row r="1372" spans="1:2" x14ac:dyDescent="0.25">
      <c r="A1372" s="12"/>
      <c r="B1372" s="18"/>
    </row>
    <row r="1373" spans="1:2" x14ac:dyDescent="0.25">
      <c r="A1373" s="12"/>
      <c r="B1373" s="18"/>
    </row>
    <row r="1374" spans="1:2" x14ac:dyDescent="0.25">
      <c r="A1374" s="12"/>
      <c r="B1374" s="18"/>
    </row>
    <row r="1375" spans="1:2" x14ac:dyDescent="0.25">
      <c r="A1375" s="12"/>
      <c r="B1375" s="18"/>
    </row>
    <row r="1376" spans="1:2" x14ac:dyDescent="0.25">
      <c r="A1376" s="12"/>
      <c r="B1376" s="18"/>
    </row>
    <row r="1377" spans="1:2" x14ac:dyDescent="0.25">
      <c r="A1377" s="12"/>
      <c r="B1377" s="18"/>
    </row>
    <row r="1378" spans="1:2" x14ac:dyDescent="0.25">
      <c r="A1378" s="12"/>
      <c r="B1378" s="18"/>
    </row>
    <row r="1379" spans="1:2" x14ac:dyDescent="0.25">
      <c r="A1379" s="12"/>
      <c r="B1379" s="18"/>
    </row>
    <row r="1380" spans="1:2" x14ac:dyDescent="0.25">
      <c r="A1380" s="12"/>
      <c r="B1380" s="18"/>
    </row>
    <row r="1381" spans="1:2" x14ac:dyDescent="0.25">
      <c r="A1381" s="12"/>
      <c r="B1381" s="18"/>
    </row>
    <row r="1382" spans="1:2" x14ac:dyDescent="0.25">
      <c r="A1382" s="12"/>
      <c r="B1382" s="18"/>
    </row>
    <row r="1383" spans="1:2" x14ac:dyDescent="0.25">
      <c r="A1383" s="12"/>
      <c r="B1383" s="18"/>
    </row>
    <row r="1384" spans="1:2" x14ac:dyDescent="0.25">
      <c r="A1384" s="12"/>
      <c r="B1384" s="18"/>
    </row>
    <row r="1385" spans="1:2" x14ac:dyDescent="0.25">
      <c r="A1385" s="12"/>
      <c r="B1385" s="18"/>
    </row>
    <row r="1386" spans="1:2" x14ac:dyDescent="0.25">
      <c r="A1386" s="12"/>
      <c r="B1386" s="18"/>
    </row>
    <row r="1387" spans="1:2" x14ac:dyDescent="0.25">
      <c r="A1387" s="12"/>
      <c r="B1387" s="18"/>
    </row>
    <row r="1388" spans="1:2" x14ac:dyDescent="0.25">
      <c r="A1388" s="12"/>
      <c r="B1388" s="18"/>
    </row>
    <row r="1389" spans="1:2" x14ac:dyDescent="0.25">
      <c r="A1389" s="12"/>
      <c r="B1389" s="18"/>
    </row>
    <row r="1390" spans="1:2" x14ac:dyDescent="0.25">
      <c r="A1390" s="12"/>
      <c r="B1390" s="18"/>
    </row>
    <row r="1391" spans="1:2" x14ac:dyDescent="0.25">
      <c r="A1391" s="12"/>
      <c r="B1391" s="18"/>
    </row>
    <row r="1392" spans="1:2" x14ac:dyDescent="0.25">
      <c r="A1392" s="12"/>
      <c r="B1392" s="18"/>
    </row>
    <row r="1393" spans="1:2" x14ac:dyDescent="0.25">
      <c r="A1393" s="12"/>
      <c r="B1393" s="18"/>
    </row>
    <row r="1394" spans="1:2" x14ac:dyDescent="0.25">
      <c r="A1394" s="12"/>
      <c r="B1394" s="18"/>
    </row>
    <row r="1395" spans="1:2" x14ac:dyDescent="0.25">
      <c r="A1395" s="12"/>
      <c r="B1395" s="18"/>
    </row>
    <row r="1396" spans="1:2" x14ac:dyDescent="0.25">
      <c r="A1396" s="12"/>
      <c r="B1396" s="18"/>
    </row>
    <row r="1397" spans="1:2" x14ac:dyDescent="0.25">
      <c r="A1397" s="12"/>
      <c r="B1397" s="18"/>
    </row>
    <row r="1398" spans="1:2" x14ac:dyDescent="0.25">
      <c r="A1398" s="12"/>
      <c r="B1398" s="18"/>
    </row>
    <row r="1399" spans="1:2" x14ac:dyDescent="0.25">
      <c r="A1399" s="12"/>
      <c r="B1399" s="18"/>
    </row>
    <row r="1400" spans="1:2" x14ac:dyDescent="0.25">
      <c r="A1400" s="12"/>
      <c r="B1400" s="18"/>
    </row>
    <row r="1401" spans="1:2" x14ac:dyDescent="0.25">
      <c r="A1401" s="12"/>
      <c r="B1401" s="18"/>
    </row>
    <row r="1402" spans="1:2" x14ac:dyDescent="0.25">
      <c r="A1402" s="12"/>
      <c r="B1402" s="18"/>
    </row>
    <row r="1403" spans="1:2" x14ac:dyDescent="0.25">
      <c r="A1403" s="12"/>
      <c r="B1403" s="18"/>
    </row>
    <row r="1404" spans="1:2" x14ac:dyDescent="0.25">
      <c r="A1404" s="12"/>
      <c r="B1404" s="18"/>
    </row>
    <row r="1405" spans="1:2" x14ac:dyDescent="0.25">
      <c r="A1405" s="12"/>
      <c r="B1405" s="18"/>
    </row>
    <row r="1406" spans="1:2" x14ac:dyDescent="0.25">
      <c r="A1406" s="12"/>
      <c r="B1406" s="18"/>
    </row>
    <row r="1407" spans="1:2" x14ac:dyDescent="0.25">
      <c r="A1407" s="12"/>
      <c r="B1407" s="18"/>
    </row>
    <row r="1408" spans="1:2" x14ac:dyDescent="0.25">
      <c r="A1408" s="12"/>
      <c r="B1408" s="18"/>
    </row>
    <row r="1409" spans="1:2" x14ac:dyDescent="0.25">
      <c r="A1409" s="12"/>
      <c r="B1409" s="18"/>
    </row>
    <row r="1410" spans="1:2" x14ac:dyDescent="0.25">
      <c r="A1410" s="12"/>
      <c r="B1410" s="18"/>
    </row>
    <row r="1411" spans="1:2" x14ac:dyDescent="0.25">
      <c r="A1411" s="12"/>
      <c r="B1411" s="18"/>
    </row>
    <row r="1412" spans="1:2" x14ac:dyDescent="0.25">
      <c r="A1412" s="12"/>
      <c r="B1412" s="18"/>
    </row>
    <row r="1413" spans="1:2" x14ac:dyDescent="0.25">
      <c r="A1413" s="12"/>
      <c r="B1413" s="18"/>
    </row>
    <row r="1414" spans="1:2" x14ac:dyDescent="0.25">
      <c r="A1414" s="12"/>
      <c r="B1414" s="18"/>
    </row>
    <row r="1415" spans="1:2" x14ac:dyDescent="0.25">
      <c r="A1415" s="12"/>
      <c r="B1415" s="18"/>
    </row>
    <row r="1416" spans="1:2" x14ac:dyDescent="0.25">
      <c r="A1416" s="12"/>
      <c r="B1416" s="18"/>
    </row>
    <row r="1417" spans="1:2" x14ac:dyDescent="0.25">
      <c r="A1417" s="12"/>
      <c r="B1417" s="18"/>
    </row>
    <row r="1418" spans="1:2" x14ac:dyDescent="0.25">
      <c r="A1418" s="12"/>
      <c r="B1418" s="18"/>
    </row>
    <row r="1419" spans="1:2" x14ac:dyDescent="0.25">
      <c r="A1419" s="12"/>
      <c r="B1419" s="18"/>
    </row>
    <row r="1420" spans="1:2" x14ac:dyDescent="0.25">
      <c r="A1420" s="12"/>
      <c r="B1420" s="18"/>
    </row>
    <row r="1421" spans="1:2" x14ac:dyDescent="0.25">
      <c r="A1421" s="12"/>
      <c r="B1421" s="18"/>
    </row>
    <row r="1422" spans="1:2" x14ac:dyDescent="0.25">
      <c r="A1422" s="12"/>
      <c r="B1422" s="18"/>
    </row>
    <row r="1423" spans="1:2" x14ac:dyDescent="0.25">
      <c r="A1423" s="12"/>
      <c r="B1423" s="18"/>
    </row>
    <row r="1424" spans="1:2" x14ac:dyDescent="0.25">
      <c r="A1424" s="12"/>
      <c r="B1424" s="18"/>
    </row>
    <row r="1425" spans="1:2" x14ac:dyDescent="0.25">
      <c r="A1425" s="12"/>
      <c r="B1425" s="18"/>
    </row>
    <row r="1426" spans="1:2" x14ac:dyDescent="0.25">
      <c r="A1426" s="12"/>
      <c r="B1426" s="18"/>
    </row>
    <row r="1427" spans="1:2" x14ac:dyDescent="0.25">
      <c r="A1427" s="12"/>
      <c r="B1427" s="18"/>
    </row>
    <row r="1428" spans="1:2" x14ac:dyDescent="0.25">
      <c r="A1428" s="12"/>
      <c r="B1428" s="18"/>
    </row>
    <row r="1429" spans="1:2" x14ac:dyDescent="0.25">
      <c r="A1429" s="12"/>
      <c r="B1429" s="18"/>
    </row>
    <row r="1430" spans="1:2" x14ac:dyDescent="0.25">
      <c r="A1430" s="12"/>
      <c r="B1430" s="18"/>
    </row>
    <row r="1431" spans="1:2" x14ac:dyDescent="0.25">
      <c r="A1431" s="12"/>
      <c r="B1431" s="18"/>
    </row>
    <row r="1432" spans="1:2" x14ac:dyDescent="0.25">
      <c r="A1432" s="12"/>
      <c r="B1432" s="18"/>
    </row>
    <row r="1433" spans="1:2" x14ac:dyDescent="0.25">
      <c r="A1433" s="12"/>
      <c r="B1433" s="18"/>
    </row>
    <row r="1434" spans="1:2" x14ac:dyDescent="0.25">
      <c r="A1434" s="12"/>
      <c r="B1434" s="18"/>
    </row>
    <row r="1435" spans="1:2" x14ac:dyDescent="0.25">
      <c r="A1435" s="12"/>
      <c r="B1435" s="18"/>
    </row>
    <row r="1436" spans="1:2" x14ac:dyDescent="0.25">
      <c r="A1436" s="12"/>
      <c r="B1436" s="18"/>
    </row>
    <row r="1437" spans="1:2" x14ac:dyDescent="0.25">
      <c r="A1437" s="12"/>
      <c r="B1437" s="18"/>
    </row>
    <row r="1438" spans="1:2" x14ac:dyDescent="0.25">
      <c r="A1438" s="12"/>
      <c r="B1438" s="18"/>
    </row>
    <row r="1439" spans="1:2" x14ac:dyDescent="0.25">
      <c r="A1439" s="12"/>
      <c r="B1439" s="18"/>
    </row>
    <row r="1440" spans="1:2" x14ac:dyDescent="0.25">
      <c r="A1440" s="12"/>
      <c r="B1440" s="18"/>
    </row>
    <row r="1441" spans="1:2" x14ac:dyDescent="0.25">
      <c r="A1441" s="12"/>
      <c r="B1441" s="18"/>
    </row>
    <row r="1442" spans="1:2" x14ac:dyDescent="0.25">
      <c r="A1442" s="12"/>
      <c r="B1442" s="18"/>
    </row>
    <row r="1443" spans="1:2" x14ac:dyDescent="0.25">
      <c r="A1443" s="12"/>
      <c r="B1443" s="18"/>
    </row>
    <row r="1444" spans="1:2" x14ac:dyDescent="0.25">
      <c r="A1444" s="12"/>
      <c r="B1444" s="18"/>
    </row>
    <row r="1445" spans="1:2" x14ac:dyDescent="0.25">
      <c r="A1445" s="12"/>
      <c r="B1445" s="18"/>
    </row>
    <row r="1446" spans="1:2" x14ac:dyDescent="0.25">
      <c r="A1446" s="12"/>
      <c r="B1446" s="18"/>
    </row>
    <row r="1447" spans="1:2" x14ac:dyDescent="0.25">
      <c r="A1447" s="12"/>
      <c r="B1447" s="18"/>
    </row>
    <row r="1448" spans="1:2" x14ac:dyDescent="0.25">
      <c r="A1448" s="12"/>
      <c r="B1448" s="18"/>
    </row>
    <row r="1449" spans="1:2" x14ac:dyDescent="0.25">
      <c r="A1449" s="12"/>
      <c r="B1449" s="18"/>
    </row>
    <row r="1450" spans="1:2" x14ac:dyDescent="0.25">
      <c r="A1450" s="12"/>
      <c r="B1450" s="18"/>
    </row>
    <row r="1451" spans="1:2" x14ac:dyDescent="0.25">
      <c r="A1451" s="12"/>
      <c r="B1451" s="18"/>
    </row>
    <row r="1452" spans="1:2" x14ac:dyDescent="0.25">
      <c r="A1452" s="12"/>
      <c r="B1452" s="18"/>
    </row>
    <row r="1453" spans="1:2" x14ac:dyDescent="0.25">
      <c r="A1453" s="12"/>
      <c r="B1453" s="18"/>
    </row>
    <row r="1454" spans="1:2" x14ac:dyDescent="0.25">
      <c r="A1454" s="12"/>
      <c r="B1454" s="18"/>
    </row>
    <row r="1455" spans="1:2" x14ac:dyDescent="0.25">
      <c r="A1455" s="12"/>
      <c r="B1455" s="18"/>
    </row>
    <row r="1456" spans="1:2" x14ac:dyDescent="0.25">
      <c r="A1456" s="12"/>
      <c r="B1456" s="18"/>
    </row>
    <row r="1457" spans="1:2" x14ac:dyDescent="0.25">
      <c r="A1457" s="12"/>
      <c r="B1457" s="18"/>
    </row>
    <row r="1458" spans="1:2" x14ac:dyDescent="0.25">
      <c r="A1458" s="12"/>
      <c r="B1458" s="18"/>
    </row>
    <row r="1459" spans="1:2" x14ac:dyDescent="0.25">
      <c r="A1459" s="12"/>
      <c r="B1459" s="18"/>
    </row>
    <row r="1460" spans="1:2" x14ac:dyDescent="0.25">
      <c r="A1460" s="12"/>
      <c r="B1460" s="18"/>
    </row>
    <row r="1461" spans="1:2" x14ac:dyDescent="0.25">
      <c r="A1461" s="12"/>
      <c r="B1461" s="18"/>
    </row>
    <row r="1462" spans="1:2" x14ac:dyDescent="0.25">
      <c r="A1462" s="12"/>
      <c r="B1462" s="18"/>
    </row>
    <row r="1463" spans="1:2" x14ac:dyDescent="0.25">
      <c r="A1463" s="12"/>
      <c r="B1463" s="18"/>
    </row>
    <row r="1464" spans="1:2" x14ac:dyDescent="0.25">
      <c r="A1464" s="12"/>
      <c r="B1464" s="18"/>
    </row>
    <row r="1465" spans="1:2" x14ac:dyDescent="0.25">
      <c r="A1465" s="12"/>
      <c r="B1465" s="18"/>
    </row>
    <row r="1466" spans="1:2" x14ac:dyDescent="0.25">
      <c r="A1466" s="12"/>
      <c r="B1466" s="18"/>
    </row>
    <row r="1467" spans="1:2" x14ac:dyDescent="0.25">
      <c r="A1467" s="12"/>
      <c r="B1467" s="18"/>
    </row>
    <row r="1468" spans="1:2" x14ac:dyDescent="0.25">
      <c r="A1468" s="12"/>
      <c r="B1468" s="18"/>
    </row>
    <row r="1469" spans="1:2" x14ac:dyDescent="0.25">
      <c r="A1469" s="12"/>
      <c r="B1469" s="18"/>
    </row>
    <row r="1470" spans="1:2" x14ac:dyDescent="0.25">
      <c r="A1470" s="12"/>
      <c r="B1470" s="18"/>
    </row>
    <row r="1471" spans="1:2" x14ac:dyDescent="0.25">
      <c r="A1471" s="12"/>
      <c r="B1471" s="18"/>
    </row>
    <row r="1472" spans="1:2" x14ac:dyDescent="0.25">
      <c r="A1472" s="12"/>
      <c r="B1472" s="18"/>
    </row>
    <row r="1473" spans="1:2" x14ac:dyDescent="0.25">
      <c r="A1473" s="12"/>
      <c r="B1473" s="18"/>
    </row>
    <row r="1474" spans="1:2" x14ac:dyDescent="0.25">
      <c r="A1474" s="12"/>
      <c r="B1474" s="18"/>
    </row>
    <row r="1475" spans="1:2" x14ac:dyDescent="0.25">
      <c r="A1475" s="12"/>
      <c r="B1475" s="18"/>
    </row>
    <row r="1476" spans="1:2" x14ac:dyDescent="0.25">
      <c r="A1476" s="12"/>
      <c r="B1476" s="18"/>
    </row>
    <row r="1477" spans="1:2" x14ac:dyDescent="0.25">
      <c r="A1477" s="12"/>
      <c r="B1477" s="18"/>
    </row>
    <row r="1478" spans="1:2" x14ac:dyDescent="0.25">
      <c r="A1478" s="12"/>
      <c r="B1478" s="18"/>
    </row>
    <row r="1479" spans="1:2" x14ac:dyDescent="0.25">
      <c r="A1479" s="12"/>
      <c r="B1479" s="18"/>
    </row>
    <row r="1480" spans="1:2" x14ac:dyDescent="0.25">
      <c r="A1480" s="12"/>
      <c r="B1480" s="18"/>
    </row>
    <row r="1481" spans="1:2" x14ac:dyDescent="0.25">
      <c r="A1481" s="12"/>
      <c r="B1481" s="18"/>
    </row>
    <row r="1482" spans="1:2" x14ac:dyDescent="0.25">
      <c r="A1482" s="12"/>
      <c r="B1482" s="18"/>
    </row>
    <row r="1483" spans="1:2" x14ac:dyDescent="0.25">
      <c r="A1483" s="12"/>
      <c r="B1483" s="18"/>
    </row>
    <row r="1484" spans="1:2" x14ac:dyDescent="0.25">
      <c r="A1484" s="12"/>
      <c r="B1484" s="18"/>
    </row>
    <row r="1485" spans="1:2" x14ac:dyDescent="0.25">
      <c r="A1485" s="12"/>
      <c r="B1485" s="18"/>
    </row>
    <row r="1486" spans="1:2" x14ac:dyDescent="0.25">
      <c r="A1486" s="12"/>
      <c r="B1486" s="18"/>
    </row>
    <row r="1487" spans="1:2" x14ac:dyDescent="0.25">
      <c r="A1487" s="12"/>
      <c r="B1487" s="18"/>
    </row>
    <row r="1488" spans="1:2" x14ac:dyDescent="0.25">
      <c r="A1488" s="12"/>
      <c r="B1488" s="18"/>
    </row>
    <row r="1489" spans="1:2" x14ac:dyDescent="0.25">
      <c r="A1489" s="12"/>
      <c r="B1489" s="18"/>
    </row>
    <row r="1490" spans="1:2" x14ac:dyDescent="0.25">
      <c r="A1490" s="12"/>
      <c r="B1490" s="18"/>
    </row>
    <row r="1491" spans="1:2" x14ac:dyDescent="0.25">
      <c r="A1491" s="12"/>
      <c r="B1491" s="18"/>
    </row>
    <row r="1492" spans="1:2" x14ac:dyDescent="0.25">
      <c r="A1492" s="12"/>
      <c r="B1492" s="18"/>
    </row>
    <row r="1493" spans="1:2" x14ac:dyDescent="0.25">
      <c r="A1493" s="12"/>
      <c r="B1493" s="18"/>
    </row>
    <row r="1494" spans="1:2" x14ac:dyDescent="0.25">
      <c r="A1494" s="12"/>
      <c r="B1494" s="18"/>
    </row>
    <row r="1495" spans="1:2" x14ac:dyDescent="0.25">
      <c r="A1495" s="12"/>
      <c r="B1495" s="18"/>
    </row>
    <row r="1496" spans="1:2" x14ac:dyDescent="0.25">
      <c r="A1496" s="12"/>
      <c r="B1496" s="18"/>
    </row>
    <row r="1497" spans="1:2" x14ac:dyDescent="0.25">
      <c r="A1497" s="12"/>
      <c r="B1497" s="18"/>
    </row>
    <row r="1498" spans="1:2" x14ac:dyDescent="0.25">
      <c r="A1498" s="12"/>
      <c r="B1498" s="18"/>
    </row>
    <row r="1499" spans="1:2" x14ac:dyDescent="0.25">
      <c r="A1499" s="12"/>
      <c r="B1499" s="18"/>
    </row>
    <row r="1500" spans="1:2" x14ac:dyDescent="0.25">
      <c r="A1500" s="12"/>
      <c r="B1500" s="18"/>
    </row>
    <row r="1501" spans="1:2" x14ac:dyDescent="0.25">
      <c r="A1501" s="12"/>
      <c r="B1501" s="18"/>
    </row>
    <row r="1502" spans="1:2" x14ac:dyDescent="0.25">
      <c r="A1502" s="12"/>
      <c r="B1502" s="18"/>
    </row>
    <row r="1503" spans="1:2" x14ac:dyDescent="0.25">
      <c r="A1503" s="12"/>
      <c r="B1503" s="18"/>
    </row>
    <row r="1504" spans="1:2" x14ac:dyDescent="0.25">
      <c r="A1504" s="12"/>
      <c r="B1504" s="18"/>
    </row>
    <row r="1505" spans="1:2" x14ac:dyDescent="0.25">
      <c r="A1505" s="12"/>
      <c r="B1505" s="18"/>
    </row>
    <row r="1506" spans="1:2" x14ac:dyDescent="0.25">
      <c r="A1506" s="12"/>
      <c r="B1506" s="18"/>
    </row>
    <row r="1507" spans="1:2" x14ac:dyDescent="0.25">
      <c r="A1507" s="12"/>
      <c r="B1507" s="18"/>
    </row>
    <row r="1508" spans="1:2" x14ac:dyDescent="0.25">
      <c r="A1508" s="12"/>
      <c r="B1508" s="18"/>
    </row>
    <row r="1509" spans="1:2" x14ac:dyDescent="0.25">
      <c r="A1509" s="12"/>
      <c r="B1509" s="18"/>
    </row>
    <row r="1510" spans="1:2" x14ac:dyDescent="0.25">
      <c r="A1510" s="12"/>
      <c r="B1510" s="18"/>
    </row>
    <row r="1511" spans="1:2" x14ac:dyDescent="0.25">
      <c r="A1511" s="12"/>
      <c r="B1511" s="18"/>
    </row>
    <row r="1512" spans="1:2" x14ac:dyDescent="0.25">
      <c r="A1512" s="12"/>
      <c r="B1512" s="18"/>
    </row>
    <row r="1513" spans="1:2" x14ac:dyDescent="0.25">
      <c r="A1513" s="12"/>
      <c r="B1513" s="18"/>
    </row>
    <row r="1514" spans="1:2" x14ac:dyDescent="0.25">
      <c r="A1514" s="12"/>
      <c r="B1514" s="18"/>
    </row>
    <row r="1515" spans="1:2" x14ac:dyDescent="0.25">
      <c r="A1515" s="12"/>
      <c r="B1515" s="18"/>
    </row>
    <row r="1516" spans="1:2" x14ac:dyDescent="0.25">
      <c r="A1516" s="12"/>
      <c r="B1516" s="18"/>
    </row>
    <row r="1517" spans="1:2" x14ac:dyDescent="0.25">
      <c r="A1517" s="12"/>
      <c r="B1517" s="18"/>
    </row>
    <row r="1518" spans="1:2" x14ac:dyDescent="0.25">
      <c r="A1518" s="12"/>
      <c r="B1518" s="18"/>
    </row>
    <row r="1519" spans="1:2" x14ac:dyDescent="0.25">
      <c r="A1519" s="12"/>
      <c r="B1519" s="18"/>
    </row>
    <row r="1520" spans="1:2" x14ac:dyDescent="0.25">
      <c r="A1520" s="12"/>
      <c r="B1520" s="18"/>
    </row>
    <row r="1521" spans="1:2" x14ac:dyDescent="0.25">
      <c r="A1521" s="12"/>
      <c r="B1521" s="18"/>
    </row>
    <row r="1522" spans="1:2" x14ac:dyDescent="0.25">
      <c r="A1522" s="12"/>
      <c r="B1522" s="18"/>
    </row>
    <row r="1523" spans="1:2" x14ac:dyDescent="0.25">
      <c r="A1523" s="12"/>
      <c r="B1523" s="18"/>
    </row>
    <row r="1524" spans="1:2" x14ac:dyDescent="0.25">
      <c r="A1524" s="12"/>
      <c r="B1524" s="18"/>
    </row>
    <row r="1525" spans="1:2" x14ac:dyDescent="0.25">
      <c r="A1525" s="12"/>
      <c r="B1525" s="18"/>
    </row>
    <row r="1526" spans="1:2" x14ac:dyDescent="0.25">
      <c r="A1526" s="12"/>
      <c r="B1526" s="18"/>
    </row>
    <row r="1527" spans="1:2" x14ac:dyDescent="0.25">
      <c r="A1527" s="12"/>
      <c r="B1527" s="18"/>
    </row>
    <row r="1528" spans="1:2" x14ac:dyDescent="0.25">
      <c r="A1528" s="12"/>
      <c r="B1528" s="18"/>
    </row>
    <row r="1529" spans="1:2" x14ac:dyDescent="0.25">
      <c r="A1529" s="12"/>
      <c r="B1529" s="18"/>
    </row>
    <row r="1530" spans="1:2" x14ac:dyDescent="0.25">
      <c r="A1530" s="12"/>
      <c r="B1530" s="18"/>
    </row>
    <row r="1531" spans="1:2" x14ac:dyDescent="0.25">
      <c r="A1531" s="12"/>
      <c r="B1531" s="18"/>
    </row>
    <row r="1532" spans="1:2" x14ac:dyDescent="0.25">
      <c r="A1532" s="12"/>
      <c r="B1532" s="18"/>
    </row>
    <row r="1533" spans="1:2" x14ac:dyDescent="0.25">
      <c r="A1533" s="12"/>
      <c r="B1533" s="18"/>
    </row>
    <row r="1534" spans="1:2" x14ac:dyDescent="0.25">
      <c r="A1534" s="12"/>
      <c r="B1534" s="18"/>
    </row>
    <row r="1535" spans="1:2" x14ac:dyDescent="0.25">
      <c r="A1535" s="12"/>
      <c r="B1535" s="18"/>
    </row>
    <row r="1536" spans="1:2" x14ac:dyDescent="0.25">
      <c r="A1536" s="12"/>
      <c r="B1536" s="18"/>
    </row>
    <row r="1537" spans="1:2" x14ac:dyDescent="0.25">
      <c r="A1537" s="12"/>
      <c r="B1537" s="18"/>
    </row>
    <row r="1538" spans="1:2" x14ac:dyDescent="0.25">
      <c r="A1538" s="12"/>
      <c r="B1538" s="18"/>
    </row>
    <row r="1539" spans="1:2" x14ac:dyDescent="0.25">
      <c r="A1539" s="12"/>
      <c r="B1539" s="18"/>
    </row>
    <row r="1540" spans="1:2" x14ac:dyDescent="0.25">
      <c r="A1540" s="12"/>
      <c r="B1540" s="18"/>
    </row>
    <row r="1541" spans="1:2" x14ac:dyDescent="0.25">
      <c r="A1541" s="12"/>
      <c r="B1541" s="18"/>
    </row>
    <row r="1542" spans="1:2" x14ac:dyDescent="0.25">
      <c r="A1542" s="12"/>
      <c r="B1542" s="18"/>
    </row>
    <row r="1543" spans="1:2" x14ac:dyDescent="0.25">
      <c r="A1543" s="12"/>
      <c r="B1543" s="18"/>
    </row>
    <row r="1544" spans="1:2" x14ac:dyDescent="0.25">
      <c r="A1544" s="12"/>
      <c r="B1544" s="18"/>
    </row>
    <row r="1545" spans="1:2" x14ac:dyDescent="0.25">
      <c r="A1545" s="12"/>
      <c r="B1545" s="18"/>
    </row>
    <row r="1546" spans="1:2" x14ac:dyDescent="0.25">
      <c r="A1546" s="12"/>
      <c r="B1546" s="18"/>
    </row>
    <row r="1547" spans="1:2" x14ac:dyDescent="0.25">
      <c r="A1547" s="12"/>
      <c r="B1547" s="18"/>
    </row>
    <row r="1548" spans="1:2" x14ac:dyDescent="0.25">
      <c r="A1548" s="12"/>
      <c r="B1548" s="18"/>
    </row>
    <row r="1549" spans="1:2" x14ac:dyDescent="0.25">
      <c r="A1549" s="12"/>
      <c r="B1549" s="18"/>
    </row>
    <row r="1550" spans="1:2" x14ac:dyDescent="0.25">
      <c r="A1550" s="12"/>
      <c r="B1550" s="18"/>
    </row>
    <row r="1551" spans="1:2" x14ac:dyDescent="0.25">
      <c r="A1551" s="12"/>
      <c r="B1551" s="18"/>
    </row>
    <row r="1552" spans="1:2" x14ac:dyDescent="0.25">
      <c r="A1552" s="12"/>
      <c r="B1552" s="18"/>
    </row>
    <row r="1553" spans="1:2" x14ac:dyDescent="0.25">
      <c r="A1553" s="12"/>
      <c r="B1553" s="18"/>
    </row>
    <row r="1554" spans="1:2" x14ac:dyDescent="0.25">
      <c r="A1554" s="12"/>
      <c r="B1554" s="18"/>
    </row>
    <row r="1555" spans="1:2" x14ac:dyDescent="0.25">
      <c r="A1555" s="12"/>
      <c r="B1555" s="18"/>
    </row>
    <row r="1556" spans="1:2" x14ac:dyDescent="0.25">
      <c r="A1556" s="12"/>
      <c r="B1556" s="18"/>
    </row>
    <row r="1557" spans="1:2" x14ac:dyDescent="0.25">
      <c r="A1557" s="12"/>
      <c r="B1557" s="18"/>
    </row>
    <row r="1558" spans="1:2" x14ac:dyDescent="0.25">
      <c r="A1558" s="12"/>
      <c r="B1558" s="18"/>
    </row>
    <row r="1559" spans="1:2" x14ac:dyDescent="0.25">
      <c r="A1559" s="12"/>
      <c r="B1559" s="18"/>
    </row>
    <row r="1560" spans="1:2" x14ac:dyDescent="0.25">
      <c r="A1560" s="12"/>
      <c r="B1560" s="18"/>
    </row>
    <row r="1561" spans="1:2" x14ac:dyDescent="0.25">
      <c r="A1561" s="12"/>
      <c r="B1561" s="18"/>
    </row>
    <row r="1562" spans="1:2" x14ac:dyDescent="0.25">
      <c r="A1562" s="12"/>
      <c r="B1562" s="18"/>
    </row>
    <row r="1563" spans="1:2" x14ac:dyDescent="0.25">
      <c r="A1563" s="12"/>
      <c r="B1563" s="18"/>
    </row>
    <row r="1564" spans="1:2" x14ac:dyDescent="0.25">
      <c r="A1564" s="12"/>
      <c r="B1564" s="18"/>
    </row>
    <row r="1565" spans="1:2" x14ac:dyDescent="0.25">
      <c r="A1565" s="12"/>
      <c r="B1565" s="18"/>
    </row>
    <row r="1566" spans="1:2" x14ac:dyDescent="0.25">
      <c r="A1566" s="12"/>
      <c r="B1566" s="18"/>
    </row>
    <row r="1567" spans="1:2" x14ac:dyDescent="0.25">
      <c r="A1567" s="12"/>
      <c r="B1567" s="18"/>
    </row>
    <row r="1568" spans="1:2" x14ac:dyDescent="0.25">
      <c r="A1568" s="12"/>
      <c r="B1568" s="18"/>
    </row>
    <row r="1569" spans="1:2" x14ac:dyDescent="0.25">
      <c r="A1569" s="12"/>
      <c r="B1569" s="18"/>
    </row>
    <row r="1570" spans="1:2" x14ac:dyDescent="0.25">
      <c r="A1570" s="12"/>
      <c r="B1570" s="18"/>
    </row>
    <row r="1571" spans="1:2" x14ac:dyDescent="0.25">
      <c r="A1571" s="12"/>
      <c r="B1571" s="18"/>
    </row>
    <row r="1572" spans="1:2" x14ac:dyDescent="0.25">
      <c r="A1572" s="12"/>
      <c r="B1572" s="18"/>
    </row>
    <row r="1573" spans="1:2" x14ac:dyDescent="0.25">
      <c r="A1573" s="12"/>
      <c r="B1573" s="18"/>
    </row>
    <row r="1574" spans="1:2" x14ac:dyDescent="0.25">
      <c r="A1574" s="12"/>
      <c r="B1574" s="18"/>
    </row>
    <row r="1575" spans="1:2" x14ac:dyDescent="0.25">
      <c r="A1575" s="12"/>
      <c r="B1575" s="18"/>
    </row>
    <row r="1576" spans="1:2" x14ac:dyDescent="0.25">
      <c r="A1576" s="12"/>
      <c r="B1576" s="18"/>
    </row>
    <row r="1577" spans="1:2" x14ac:dyDescent="0.25">
      <c r="A1577" s="12"/>
      <c r="B1577" s="18"/>
    </row>
    <row r="1578" spans="1:2" x14ac:dyDescent="0.25">
      <c r="A1578" s="12"/>
      <c r="B1578" s="18"/>
    </row>
    <row r="1579" spans="1:2" x14ac:dyDescent="0.25">
      <c r="A1579" s="12"/>
      <c r="B1579" s="18"/>
    </row>
    <row r="1580" spans="1:2" x14ac:dyDescent="0.25">
      <c r="A1580" s="12"/>
      <c r="B1580" s="18"/>
    </row>
    <row r="1581" spans="1:2" x14ac:dyDescent="0.25">
      <c r="A1581" s="12"/>
      <c r="B1581" s="18"/>
    </row>
    <row r="1582" spans="1:2" x14ac:dyDescent="0.25">
      <c r="A1582" s="12"/>
      <c r="B1582" s="18"/>
    </row>
    <row r="1583" spans="1:2" x14ac:dyDescent="0.25">
      <c r="A1583" s="12"/>
      <c r="B1583" s="18"/>
    </row>
    <row r="1584" spans="1:2" x14ac:dyDescent="0.25">
      <c r="A1584" s="12"/>
      <c r="B1584" s="18"/>
    </row>
    <row r="1585" spans="1:2" x14ac:dyDescent="0.25">
      <c r="A1585" s="12"/>
      <c r="B1585" s="18"/>
    </row>
    <row r="1586" spans="1:2" x14ac:dyDescent="0.25">
      <c r="A1586" s="12"/>
      <c r="B1586" s="18"/>
    </row>
    <row r="1587" spans="1:2" x14ac:dyDescent="0.25">
      <c r="A1587" s="12"/>
      <c r="B1587" s="18"/>
    </row>
    <row r="1588" spans="1:2" x14ac:dyDescent="0.25">
      <c r="A1588" s="12"/>
      <c r="B1588" s="18"/>
    </row>
    <row r="1589" spans="1:2" x14ac:dyDescent="0.25">
      <c r="A1589" s="12"/>
      <c r="B1589" s="18"/>
    </row>
    <row r="1590" spans="1:2" x14ac:dyDescent="0.25">
      <c r="A1590" s="12"/>
      <c r="B1590" s="18"/>
    </row>
    <row r="1591" spans="1:2" x14ac:dyDescent="0.25">
      <c r="A1591" s="12"/>
      <c r="B1591" s="18"/>
    </row>
    <row r="1592" spans="1:2" x14ac:dyDescent="0.25">
      <c r="A1592" s="12"/>
      <c r="B1592" s="18"/>
    </row>
    <row r="1593" spans="1:2" x14ac:dyDescent="0.25">
      <c r="A1593" s="12"/>
      <c r="B1593" s="18"/>
    </row>
    <row r="1594" spans="1:2" x14ac:dyDescent="0.25">
      <c r="A1594" s="12"/>
      <c r="B1594" s="18"/>
    </row>
    <row r="1595" spans="1:2" x14ac:dyDescent="0.25">
      <c r="A1595" s="12"/>
      <c r="B1595" s="18"/>
    </row>
    <row r="1596" spans="1:2" x14ac:dyDescent="0.25">
      <c r="A1596" s="12"/>
      <c r="B1596" s="18"/>
    </row>
    <row r="1597" spans="1:2" x14ac:dyDescent="0.25">
      <c r="A1597" s="12"/>
      <c r="B1597" s="18"/>
    </row>
    <row r="1598" spans="1:2" x14ac:dyDescent="0.25">
      <c r="A1598" s="12"/>
      <c r="B1598" s="18"/>
    </row>
    <row r="1599" spans="1:2" x14ac:dyDescent="0.25">
      <c r="A1599" s="12"/>
      <c r="B1599" s="18"/>
    </row>
    <row r="1600" spans="1:2" x14ac:dyDescent="0.25">
      <c r="A1600" s="12"/>
      <c r="B1600" s="18"/>
    </row>
    <row r="1601" spans="1:2" x14ac:dyDescent="0.25">
      <c r="A1601" s="12"/>
      <c r="B1601" s="18"/>
    </row>
    <row r="1602" spans="1:2" x14ac:dyDescent="0.25">
      <c r="A1602" s="12"/>
      <c r="B1602" s="18"/>
    </row>
    <row r="1603" spans="1:2" x14ac:dyDescent="0.25">
      <c r="A1603" s="12"/>
      <c r="B1603" s="18"/>
    </row>
    <row r="1604" spans="1:2" x14ac:dyDescent="0.25">
      <c r="A1604" s="12"/>
      <c r="B1604" s="18"/>
    </row>
    <row r="1605" spans="1:2" x14ac:dyDescent="0.25">
      <c r="A1605" s="12"/>
      <c r="B1605" s="18"/>
    </row>
    <row r="1606" spans="1:2" x14ac:dyDescent="0.25">
      <c r="A1606" s="12"/>
      <c r="B1606" s="18"/>
    </row>
    <row r="1607" spans="1:2" x14ac:dyDescent="0.25">
      <c r="A1607" s="12"/>
      <c r="B1607" s="18"/>
    </row>
    <row r="1608" spans="1:2" x14ac:dyDescent="0.25">
      <c r="A1608" s="12"/>
      <c r="B1608" s="18"/>
    </row>
    <row r="1609" spans="1:2" x14ac:dyDescent="0.25">
      <c r="A1609" s="12"/>
      <c r="B1609" s="18"/>
    </row>
    <row r="1610" spans="1:2" x14ac:dyDescent="0.25">
      <c r="A1610" s="12"/>
      <c r="B1610" s="18"/>
    </row>
    <row r="1611" spans="1:2" x14ac:dyDescent="0.25">
      <c r="A1611" s="12"/>
      <c r="B1611" s="18"/>
    </row>
    <row r="1612" spans="1:2" x14ac:dyDescent="0.25">
      <c r="A1612" s="12"/>
      <c r="B1612" s="18"/>
    </row>
    <row r="1613" spans="1:2" x14ac:dyDescent="0.25">
      <c r="A1613" s="12"/>
      <c r="B1613" s="18"/>
    </row>
    <row r="1614" spans="1:2" x14ac:dyDescent="0.25">
      <c r="A1614" s="12"/>
      <c r="B1614" s="18"/>
    </row>
    <row r="1615" spans="1:2" x14ac:dyDescent="0.25">
      <c r="A1615" s="12"/>
      <c r="B1615" s="18"/>
    </row>
    <row r="1616" spans="1:2" x14ac:dyDescent="0.25">
      <c r="A1616" s="12"/>
      <c r="B1616" s="18"/>
    </row>
    <row r="1617" spans="1:2" x14ac:dyDescent="0.25">
      <c r="A1617" s="12"/>
      <c r="B1617" s="18"/>
    </row>
    <row r="1618" spans="1:2" x14ac:dyDescent="0.25">
      <c r="A1618" s="12"/>
      <c r="B1618" s="18"/>
    </row>
    <row r="1619" spans="1:2" x14ac:dyDescent="0.25">
      <c r="A1619" s="12"/>
      <c r="B1619" s="18"/>
    </row>
    <row r="1620" spans="1:2" x14ac:dyDescent="0.25">
      <c r="A1620" s="12"/>
      <c r="B1620" s="18"/>
    </row>
    <row r="1621" spans="1:2" x14ac:dyDescent="0.25">
      <c r="A1621" s="12"/>
      <c r="B1621" s="18"/>
    </row>
    <row r="1622" spans="1:2" x14ac:dyDescent="0.25">
      <c r="A1622" s="12"/>
      <c r="B1622" s="18"/>
    </row>
    <row r="1623" spans="1:2" x14ac:dyDescent="0.25">
      <c r="A1623" s="12"/>
      <c r="B1623" s="18"/>
    </row>
    <row r="1624" spans="1:2" x14ac:dyDescent="0.25">
      <c r="A1624" s="12"/>
      <c r="B1624" s="18"/>
    </row>
    <row r="1625" spans="1:2" x14ac:dyDescent="0.25">
      <c r="A1625" s="12"/>
      <c r="B1625" s="18"/>
    </row>
    <row r="1626" spans="1:2" x14ac:dyDescent="0.25">
      <c r="A1626" s="12"/>
      <c r="B1626" s="18"/>
    </row>
    <row r="1627" spans="1:2" x14ac:dyDescent="0.25">
      <c r="A1627" s="12"/>
      <c r="B1627" s="18"/>
    </row>
    <row r="1628" spans="1:2" x14ac:dyDescent="0.25">
      <c r="A1628" s="12"/>
      <c r="B1628" s="18"/>
    </row>
    <row r="1629" spans="1:2" x14ac:dyDescent="0.25">
      <c r="A1629" s="12"/>
      <c r="B1629" s="18"/>
    </row>
    <row r="1630" spans="1:2" x14ac:dyDescent="0.25">
      <c r="A1630" s="12"/>
      <c r="B1630" s="18"/>
    </row>
    <row r="1631" spans="1:2" x14ac:dyDescent="0.25">
      <c r="A1631" s="12"/>
      <c r="B1631" s="18"/>
    </row>
    <row r="1632" spans="1:2" x14ac:dyDescent="0.25">
      <c r="A1632" s="12"/>
      <c r="B1632" s="18"/>
    </row>
    <row r="1633" spans="1:2" x14ac:dyDescent="0.25">
      <c r="A1633" s="12"/>
      <c r="B1633" s="18"/>
    </row>
    <row r="1634" spans="1:2" x14ac:dyDescent="0.25">
      <c r="A1634" s="12"/>
      <c r="B1634" s="18"/>
    </row>
    <row r="1635" spans="1:2" x14ac:dyDescent="0.25">
      <c r="A1635" s="12"/>
      <c r="B1635" s="18"/>
    </row>
    <row r="1636" spans="1:2" x14ac:dyDescent="0.25">
      <c r="A1636" s="12"/>
      <c r="B1636" s="18"/>
    </row>
    <row r="1637" spans="1:2" x14ac:dyDescent="0.25">
      <c r="A1637" s="12"/>
      <c r="B1637" s="18"/>
    </row>
    <row r="1638" spans="1:2" x14ac:dyDescent="0.25">
      <c r="A1638" s="12"/>
      <c r="B1638" s="18"/>
    </row>
    <row r="1639" spans="1:2" x14ac:dyDescent="0.25">
      <c r="A1639" s="12"/>
      <c r="B1639" s="18"/>
    </row>
    <row r="1640" spans="1:2" x14ac:dyDescent="0.25">
      <c r="A1640" s="12"/>
      <c r="B1640" s="18"/>
    </row>
    <row r="1641" spans="1:2" x14ac:dyDescent="0.25">
      <c r="A1641" s="12"/>
      <c r="B1641" s="18"/>
    </row>
    <row r="1642" spans="1:2" x14ac:dyDescent="0.25">
      <c r="A1642" s="12"/>
      <c r="B1642" s="18"/>
    </row>
    <row r="1643" spans="1:2" x14ac:dyDescent="0.25">
      <c r="A1643" s="12"/>
      <c r="B1643" s="18"/>
    </row>
    <row r="1644" spans="1:2" x14ac:dyDescent="0.25">
      <c r="A1644" s="12"/>
      <c r="B1644" s="18"/>
    </row>
    <row r="1645" spans="1:2" x14ac:dyDescent="0.25">
      <c r="A1645" s="12"/>
      <c r="B1645" s="18"/>
    </row>
    <row r="1646" spans="1:2" x14ac:dyDescent="0.25">
      <c r="A1646" s="12"/>
      <c r="B1646" s="18"/>
    </row>
    <row r="1647" spans="1:2" x14ac:dyDescent="0.25">
      <c r="A1647" s="12"/>
      <c r="B1647" s="18"/>
    </row>
    <row r="1648" spans="1:2" x14ac:dyDescent="0.25">
      <c r="A1648" s="12"/>
      <c r="B1648" s="18"/>
    </row>
    <row r="1649" spans="1:2" x14ac:dyDescent="0.25">
      <c r="A1649" s="12"/>
      <c r="B1649" s="18"/>
    </row>
    <row r="1650" spans="1:2" x14ac:dyDescent="0.25">
      <c r="A1650" s="12"/>
      <c r="B1650" s="18"/>
    </row>
    <row r="1651" spans="1:2" x14ac:dyDescent="0.25">
      <c r="A1651" s="12"/>
      <c r="B1651" s="18"/>
    </row>
    <row r="1652" spans="1:2" x14ac:dyDescent="0.25">
      <c r="A1652" s="12"/>
      <c r="B1652" s="18"/>
    </row>
    <row r="1653" spans="1:2" x14ac:dyDescent="0.25">
      <c r="A1653" s="12"/>
      <c r="B1653" s="18"/>
    </row>
    <row r="1654" spans="1:2" x14ac:dyDescent="0.25">
      <c r="A1654" s="12"/>
      <c r="B1654" s="18"/>
    </row>
    <row r="1655" spans="1:2" x14ac:dyDescent="0.25">
      <c r="A1655" s="12"/>
      <c r="B1655" s="18"/>
    </row>
    <row r="1656" spans="1:2" x14ac:dyDescent="0.25">
      <c r="A1656" s="12"/>
      <c r="B1656" s="18"/>
    </row>
    <row r="1657" spans="1:2" x14ac:dyDescent="0.25">
      <c r="A1657" s="12"/>
      <c r="B1657" s="18"/>
    </row>
    <row r="1658" spans="1:2" x14ac:dyDescent="0.25">
      <c r="A1658" s="12"/>
      <c r="B1658" s="18"/>
    </row>
    <row r="1659" spans="1:2" x14ac:dyDescent="0.25">
      <c r="A1659" s="12"/>
      <c r="B1659" s="18"/>
    </row>
    <row r="1660" spans="1:2" x14ac:dyDescent="0.25">
      <c r="A1660" s="12"/>
      <c r="B1660" s="18"/>
    </row>
    <row r="1661" spans="1:2" x14ac:dyDescent="0.25">
      <c r="A1661" s="12"/>
      <c r="B1661" s="18"/>
    </row>
    <row r="1662" spans="1:2" x14ac:dyDescent="0.25">
      <c r="A1662" s="12"/>
      <c r="B1662" s="18"/>
    </row>
    <row r="1663" spans="1:2" x14ac:dyDescent="0.25">
      <c r="A1663" s="12"/>
      <c r="B1663" s="18"/>
    </row>
    <row r="1664" spans="1:2" x14ac:dyDescent="0.25">
      <c r="A1664" s="12"/>
      <c r="B1664" s="18"/>
    </row>
    <row r="1665" spans="1:2" x14ac:dyDescent="0.25">
      <c r="A1665" s="12"/>
      <c r="B1665" s="18"/>
    </row>
    <row r="1666" spans="1:2" x14ac:dyDescent="0.25">
      <c r="A1666" s="12"/>
      <c r="B1666" s="18"/>
    </row>
    <row r="1667" spans="1:2" x14ac:dyDescent="0.25">
      <c r="A1667" s="12"/>
      <c r="B1667" s="18"/>
    </row>
    <row r="1668" spans="1:2" x14ac:dyDescent="0.25">
      <c r="A1668" s="12"/>
      <c r="B1668" s="18"/>
    </row>
    <row r="1669" spans="1:2" x14ac:dyDescent="0.25">
      <c r="A1669" s="12"/>
      <c r="B1669" s="18"/>
    </row>
    <row r="1670" spans="1:2" x14ac:dyDescent="0.25">
      <c r="A1670" s="12"/>
      <c r="B1670" s="18"/>
    </row>
    <row r="1671" spans="1:2" x14ac:dyDescent="0.25">
      <c r="A1671" s="12"/>
      <c r="B1671" s="18"/>
    </row>
    <row r="1672" spans="1:2" x14ac:dyDescent="0.25">
      <c r="A1672" s="12"/>
      <c r="B1672" s="18"/>
    </row>
    <row r="1673" spans="1:2" x14ac:dyDescent="0.25">
      <c r="A1673" s="12"/>
      <c r="B1673" s="18"/>
    </row>
    <row r="1674" spans="1:2" x14ac:dyDescent="0.25">
      <c r="A1674" s="12"/>
      <c r="B1674" s="18"/>
    </row>
    <row r="1675" spans="1:2" x14ac:dyDescent="0.25">
      <c r="A1675" s="12"/>
      <c r="B1675" s="18"/>
    </row>
    <row r="1676" spans="1:2" x14ac:dyDescent="0.25">
      <c r="A1676" s="12"/>
      <c r="B1676" s="18"/>
    </row>
    <row r="1677" spans="1:2" x14ac:dyDescent="0.25">
      <c r="A1677" s="12"/>
      <c r="B1677" s="18"/>
    </row>
    <row r="1678" spans="1:2" x14ac:dyDescent="0.25">
      <c r="A1678" s="12"/>
      <c r="B1678" s="18"/>
    </row>
    <row r="1679" spans="1:2" x14ac:dyDescent="0.25">
      <c r="A1679" s="12"/>
      <c r="B1679" s="18"/>
    </row>
    <row r="1680" spans="1:2" x14ac:dyDescent="0.25">
      <c r="A1680" s="12"/>
      <c r="B1680" s="18"/>
    </row>
    <row r="1681" spans="1:2" x14ac:dyDescent="0.25">
      <c r="A1681" s="12"/>
      <c r="B1681" s="18"/>
    </row>
    <row r="1682" spans="1:2" x14ac:dyDescent="0.25">
      <c r="A1682" s="12"/>
      <c r="B1682" s="18"/>
    </row>
    <row r="1683" spans="1:2" x14ac:dyDescent="0.25">
      <c r="A1683" s="12"/>
      <c r="B1683" s="18"/>
    </row>
    <row r="1684" spans="1:2" x14ac:dyDescent="0.25">
      <c r="A1684" s="12"/>
      <c r="B1684" s="18"/>
    </row>
    <row r="1685" spans="1:2" x14ac:dyDescent="0.25">
      <c r="A1685" s="12"/>
      <c r="B1685" s="18"/>
    </row>
    <row r="1686" spans="1:2" x14ac:dyDescent="0.25">
      <c r="A1686" s="12"/>
      <c r="B1686" s="18"/>
    </row>
    <row r="1687" spans="1:2" x14ac:dyDescent="0.25">
      <c r="A1687" s="12"/>
      <c r="B1687" s="18"/>
    </row>
    <row r="1688" spans="1:2" x14ac:dyDescent="0.25">
      <c r="A1688" s="12"/>
      <c r="B1688" s="18"/>
    </row>
    <row r="1689" spans="1:2" x14ac:dyDescent="0.25">
      <c r="A1689" s="12"/>
      <c r="B1689" s="18"/>
    </row>
    <row r="1690" spans="1:2" x14ac:dyDescent="0.25">
      <c r="A1690" s="12"/>
      <c r="B1690" s="18"/>
    </row>
    <row r="1691" spans="1:2" x14ac:dyDescent="0.25">
      <c r="A1691" s="12"/>
      <c r="B1691" s="18"/>
    </row>
    <row r="1692" spans="1:2" x14ac:dyDescent="0.25">
      <c r="A1692" s="12"/>
      <c r="B1692" s="18"/>
    </row>
    <row r="1693" spans="1:2" x14ac:dyDescent="0.25">
      <c r="A1693" s="12"/>
      <c r="B1693" s="18"/>
    </row>
    <row r="1694" spans="1:2" x14ac:dyDescent="0.25">
      <c r="A1694" s="12"/>
      <c r="B1694" s="18"/>
    </row>
    <row r="1695" spans="1:2" x14ac:dyDescent="0.25">
      <c r="A1695" s="12"/>
      <c r="B1695" s="18"/>
    </row>
    <row r="1696" spans="1:2" x14ac:dyDescent="0.25">
      <c r="A1696" s="12"/>
      <c r="B1696" s="18"/>
    </row>
    <row r="1697" spans="1:2" x14ac:dyDescent="0.25">
      <c r="A1697" s="12"/>
      <c r="B1697" s="18"/>
    </row>
    <row r="1698" spans="1:2" x14ac:dyDescent="0.25">
      <c r="A1698" s="12"/>
      <c r="B1698" s="18"/>
    </row>
    <row r="1699" spans="1:2" x14ac:dyDescent="0.25">
      <c r="A1699" s="12"/>
      <c r="B1699" s="18"/>
    </row>
    <row r="1700" spans="1:2" x14ac:dyDescent="0.25">
      <c r="A1700" s="12"/>
      <c r="B1700" s="18"/>
    </row>
    <row r="1701" spans="1:2" x14ac:dyDescent="0.25">
      <c r="A1701" s="12"/>
      <c r="B1701" s="18"/>
    </row>
    <row r="1702" spans="1:2" x14ac:dyDescent="0.25">
      <c r="A1702" s="12"/>
      <c r="B1702" s="18"/>
    </row>
    <row r="1703" spans="1:2" x14ac:dyDescent="0.25">
      <c r="A1703" s="12"/>
      <c r="B1703" s="18"/>
    </row>
    <row r="1704" spans="1:2" x14ac:dyDescent="0.25">
      <c r="A1704" s="12"/>
      <c r="B1704" s="18"/>
    </row>
    <row r="1705" spans="1:2" x14ac:dyDescent="0.25">
      <c r="A1705" s="12"/>
      <c r="B1705" s="18"/>
    </row>
    <row r="1706" spans="1:2" x14ac:dyDescent="0.25">
      <c r="A1706" s="12"/>
      <c r="B1706" s="18"/>
    </row>
    <row r="1707" spans="1:2" x14ac:dyDescent="0.25">
      <c r="A1707" s="12"/>
      <c r="B1707" s="18"/>
    </row>
    <row r="1708" spans="1:2" x14ac:dyDescent="0.25">
      <c r="A1708" s="12"/>
      <c r="B1708" s="18"/>
    </row>
    <row r="1709" spans="1:2" x14ac:dyDescent="0.25">
      <c r="A1709" s="12"/>
      <c r="B1709" s="18"/>
    </row>
    <row r="1710" spans="1:2" x14ac:dyDescent="0.25">
      <c r="A1710" s="12"/>
      <c r="B1710" s="18"/>
    </row>
    <row r="1711" spans="1:2" x14ac:dyDescent="0.25">
      <c r="A1711" s="12"/>
      <c r="B1711" s="18"/>
    </row>
    <row r="1712" spans="1:2" x14ac:dyDescent="0.25">
      <c r="A1712" s="12"/>
      <c r="B1712" s="18"/>
    </row>
    <row r="1713" spans="1:2" x14ac:dyDescent="0.25">
      <c r="A1713" s="12"/>
      <c r="B1713" s="18"/>
    </row>
    <row r="1714" spans="1:2" x14ac:dyDescent="0.25">
      <c r="A1714" s="12"/>
      <c r="B1714" s="18"/>
    </row>
    <row r="1715" spans="1:2" x14ac:dyDescent="0.25">
      <c r="A1715" s="12"/>
      <c r="B1715" s="18"/>
    </row>
    <row r="1716" spans="1:2" x14ac:dyDescent="0.25">
      <c r="A1716" s="12"/>
      <c r="B1716" s="18"/>
    </row>
    <row r="1717" spans="1:2" x14ac:dyDescent="0.25">
      <c r="A1717" s="12"/>
      <c r="B1717" s="18"/>
    </row>
    <row r="1718" spans="1:2" x14ac:dyDescent="0.25">
      <c r="A1718" s="12"/>
      <c r="B1718" s="18"/>
    </row>
    <row r="1719" spans="1:2" x14ac:dyDescent="0.25">
      <c r="A1719" s="12"/>
      <c r="B1719" s="18"/>
    </row>
    <row r="1720" spans="1:2" x14ac:dyDescent="0.25">
      <c r="A1720" s="12"/>
      <c r="B1720" s="18"/>
    </row>
    <row r="1721" spans="1:2" x14ac:dyDescent="0.25">
      <c r="A1721" s="12"/>
      <c r="B1721" s="18"/>
    </row>
    <row r="1722" spans="1:2" x14ac:dyDescent="0.25">
      <c r="A1722" s="12"/>
      <c r="B1722" s="18"/>
    </row>
    <row r="1723" spans="1:2" x14ac:dyDescent="0.25">
      <c r="A1723" s="12"/>
      <c r="B1723" s="18"/>
    </row>
    <row r="1724" spans="1:2" x14ac:dyDescent="0.25">
      <c r="A1724" s="12"/>
      <c r="B1724" s="18"/>
    </row>
    <row r="1725" spans="1:2" x14ac:dyDescent="0.25">
      <c r="A1725" s="12"/>
      <c r="B1725" s="18"/>
    </row>
    <row r="1726" spans="1:2" x14ac:dyDescent="0.25">
      <c r="A1726" s="12"/>
      <c r="B1726" s="18"/>
    </row>
    <row r="1727" spans="1:2" x14ac:dyDescent="0.25">
      <c r="A1727" s="12"/>
      <c r="B1727" s="18"/>
    </row>
    <row r="1728" spans="1:2" x14ac:dyDescent="0.25">
      <c r="A1728" s="12"/>
      <c r="B1728" s="18"/>
    </row>
    <row r="1729" spans="1:2" x14ac:dyDescent="0.25">
      <c r="A1729" s="12"/>
      <c r="B1729" s="18"/>
    </row>
    <row r="1730" spans="1:2" x14ac:dyDescent="0.25">
      <c r="A1730" s="12"/>
      <c r="B1730" s="18"/>
    </row>
    <row r="1731" spans="1:2" x14ac:dyDescent="0.25">
      <c r="A1731" s="12"/>
      <c r="B1731" s="18"/>
    </row>
    <row r="1732" spans="1:2" x14ac:dyDescent="0.25">
      <c r="A1732" s="12"/>
      <c r="B1732" s="18"/>
    </row>
    <row r="1733" spans="1:2" x14ac:dyDescent="0.25">
      <c r="A1733" s="12"/>
      <c r="B1733" s="18"/>
    </row>
    <row r="1734" spans="1:2" x14ac:dyDescent="0.25">
      <c r="A1734" s="12"/>
      <c r="B1734" s="18"/>
    </row>
    <row r="1735" spans="1:2" x14ac:dyDescent="0.25">
      <c r="A1735" s="12"/>
      <c r="B1735" s="18"/>
    </row>
    <row r="1736" spans="1:2" x14ac:dyDescent="0.25">
      <c r="A1736" s="12"/>
      <c r="B1736" s="18"/>
    </row>
    <row r="1737" spans="1:2" x14ac:dyDescent="0.25">
      <c r="A1737" s="12"/>
      <c r="B1737" s="18"/>
    </row>
    <row r="1738" spans="1:2" x14ac:dyDescent="0.25">
      <c r="A1738" s="12"/>
      <c r="B1738" s="18"/>
    </row>
    <row r="1739" spans="1:2" x14ac:dyDescent="0.25">
      <c r="A1739" s="12"/>
      <c r="B1739" s="18"/>
    </row>
    <row r="1740" spans="1:2" x14ac:dyDescent="0.25">
      <c r="A1740" s="12"/>
      <c r="B1740" s="18"/>
    </row>
    <row r="1741" spans="1:2" x14ac:dyDescent="0.25">
      <c r="A1741" s="12"/>
      <c r="B1741" s="18"/>
    </row>
    <row r="1742" spans="1:2" x14ac:dyDescent="0.25">
      <c r="A1742" s="12"/>
      <c r="B1742" s="18"/>
    </row>
    <row r="1743" spans="1:2" x14ac:dyDescent="0.25">
      <c r="A1743" s="12"/>
      <c r="B1743" s="18"/>
    </row>
    <row r="1744" spans="1:2" x14ac:dyDescent="0.25">
      <c r="A1744" s="12"/>
      <c r="B1744" s="18"/>
    </row>
    <row r="1745" spans="1:2" x14ac:dyDescent="0.25">
      <c r="A1745" s="12"/>
      <c r="B1745" s="18"/>
    </row>
    <row r="1746" spans="1:2" x14ac:dyDescent="0.25">
      <c r="A1746" s="12"/>
      <c r="B1746" s="18"/>
    </row>
    <row r="1747" spans="1:2" x14ac:dyDescent="0.25">
      <c r="A1747" s="12"/>
      <c r="B1747" s="18"/>
    </row>
    <row r="1748" spans="1:2" x14ac:dyDescent="0.25">
      <c r="A1748" s="12"/>
      <c r="B1748" s="18"/>
    </row>
    <row r="1749" spans="1:2" x14ac:dyDescent="0.25">
      <c r="A1749" s="12"/>
      <c r="B1749" s="18"/>
    </row>
    <row r="1750" spans="1:2" x14ac:dyDescent="0.25">
      <c r="A1750" s="12"/>
      <c r="B1750" s="18"/>
    </row>
    <row r="1751" spans="1:2" x14ac:dyDescent="0.25">
      <c r="A1751" s="12"/>
      <c r="B1751" s="18"/>
    </row>
    <row r="1752" spans="1:2" x14ac:dyDescent="0.25">
      <c r="A1752" s="12"/>
      <c r="B1752" s="18"/>
    </row>
    <row r="1753" spans="1:2" x14ac:dyDescent="0.25">
      <c r="A1753" s="12"/>
      <c r="B1753" s="18"/>
    </row>
    <row r="1754" spans="1:2" x14ac:dyDescent="0.25">
      <c r="A1754" s="12"/>
      <c r="B1754" s="18"/>
    </row>
    <row r="1755" spans="1:2" x14ac:dyDescent="0.25">
      <c r="A1755" s="12"/>
      <c r="B1755" s="18"/>
    </row>
    <row r="1756" spans="1:2" x14ac:dyDescent="0.25">
      <c r="A1756" s="12"/>
      <c r="B1756" s="18"/>
    </row>
    <row r="1757" spans="1:2" x14ac:dyDescent="0.25">
      <c r="A1757" s="12"/>
      <c r="B1757" s="18"/>
    </row>
    <row r="1758" spans="1:2" x14ac:dyDescent="0.25">
      <c r="A1758" s="12"/>
      <c r="B1758" s="18"/>
    </row>
    <row r="1759" spans="1:2" x14ac:dyDescent="0.25">
      <c r="A1759" s="12"/>
      <c r="B1759" s="18"/>
    </row>
    <row r="1760" spans="1:2" x14ac:dyDescent="0.25">
      <c r="A1760" s="12"/>
      <c r="B1760" s="18"/>
    </row>
    <row r="1761" spans="1:2" x14ac:dyDescent="0.25">
      <c r="A1761" s="12"/>
      <c r="B1761" s="18"/>
    </row>
    <row r="1762" spans="1:2" x14ac:dyDescent="0.25">
      <c r="A1762" s="12"/>
      <c r="B1762" s="18"/>
    </row>
    <row r="1763" spans="1:2" x14ac:dyDescent="0.25">
      <c r="A1763" s="12"/>
      <c r="B1763" s="18"/>
    </row>
    <row r="1764" spans="1:2" x14ac:dyDescent="0.25">
      <c r="A1764" s="12"/>
      <c r="B1764" s="18"/>
    </row>
    <row r="1765" spans="1:2" x14ac:dyDescent="0.25">
      <c r="A1765" s="12"/>
      <c r="B1765" s="18"/>
    </row>
    <row r="1766" spans="1:2" x14ac:dyDescent="0.25">
      <c r="A1766" s="12"/>
      <c r="B1766" s="18"/>
    </row>
    <row r="1767" spans="1:2" x14ac:dyDescent="0.25">
      <c r="A1767" s="12"/>
      <c r="B1767" s="18"/>
    </row>
    <row r="1768" spans="1:2" x14ac:dyDescent="0.25">
      <c r="A1768" s="12"/>
      <c r="B1768" s="18"/>
    </row>
    <row r="1769" spans="1:2" x14ac:dyDescent="0.25">
      <c r="A1769" s="12"/>
      <c r="B1769" s="18"/>
    </row>
    <row r="1770" spans="1:2" x14ac:dyDescent="0.25">
      <c r="A1770" s="12"/>
      <c r="B1770" s="18"/>
    </row>
    <row r="1771" spans="1:2" x14ac:dyDescent="0.25">
      <c r="A1771" s="12"/>
      <c r="B1771" s="18"/>
    </row>
    <row r="1772" spans="1:2" x14ac:dyDescent="0.25">
      <c r="A1772" s="12"/>
      <c r="B1772" s="18"/>
    </row>
    <row r="1773" spans="1:2" x14ac:dyDescent="0.25">
      <c r="A1773" s="12"/>
      <c r="B1773" s="18"/>
    </row>
    <row r="1774" spans="1:2" x14ac:dyDescent="0.25">
      <c r="A1774" s="12"/>
      <c r="B1774" s="18"/>
    </row>
    <row r="1775" spans="1:2" x14ac:dyDescent="0.25">
      <c r="A1775" s="12"/>
      <c r="B1775" s="18"/>
    </row>
    <row r="1776" spans="1:2" x14ac:dyDescent="0.25">
      <c r="A1776" s="12"/>
      <c r="B1776" s="18"/>
    </row>
    <row r="1777" spans="1:2" x14ac:dyDescent="0.25">
      <c r="A1777" s="12"/>
      <c r="B1777" s="18"/>
    </row>
    <row r="1778" spans="1:2" x14ac:dyDescent="0.25">
      <c r="A1778" s="12"/>
      <c r="B1778" s="18"/>
    </row>
    <row r="1779" spans="1:2" x14ac:dyDescent="0.25">
      <c r="A1779" s="12"/>
      <c r="B1779" s="18"/>
    </row>
    <row r="1780" spans="1:2" x14ac:dyDescent="0.25">
      <c r="A1780" s="12"/>
      <c r="B1780" s="18"/>
    </row>
    <row r="1781" spans="1:2" x14ac:dyDescent="0.25">
      <c r="A1781" s="12"/>
      <c r="B1781" s="18"/>
    </row>
    <row r="1782" spans="1:2" x14ac:dyDescent="0.25">
      <c r="A1782" s="12"/>
      <c r="B1782" s="18"/>
    </row>
    <row r="1783" spans="1:2" x14ac:dyDescent="0.25">
      <c r="A1783" s="12"/>
      <c r="B1783" s="18"/>
    </row>
    <row r="1784" spans="1:2" x14ac:dyDescent="0.25">
      <c r="A1784" s="12"/>
      <c r="B1784" s="18"/>
    </row>
    <row r="1785" spans="1:2" x14ac:dyDescent="0.25">
      <c r="A1785" s="12"/>
      <c r="B1785" s="18"/>
    </row>
    <row r="1786" spans="1:2" x14ac:dyDescent="0.25">
      <c r="A1786" s="12"/>
      <c r="B1786" s="18"/>
    </row>
    <row r="1787" spans="1:2" x14ac:dyDescent="0.25">
      <c r="A1787" s="12"/>
      <c r="B1787" s="18"/>
    </row>
    <row r="1788" spans="1:2" x14ac:dyDescent="0.25">
      <c r="A1788" s="12"/>
      <c r="B1788" s="18"/>
    </row>
    <row r="1789" spans="1:2" x14ac:dyDescent="0.25">
      <c r="A1789" s="12"/>
      <c r="B1789" s="18"/>
    </row>
    <row r="1790" spans="1:2" x14ac:dyDescent="0.25">
      <c r="A1790" s="12"/>
      <c r="B1790" s="18"/>
    </row>
    <row r="1791" spans="1:2" x14ac:dyDescent="0.25">
      <c r="A1791" s="12"/>
      <c r="B1791" s="18"/>
    </row>
    <row r="1792" spans="1:2" x14ac:dyDescent="0.25">
      <c r="A1792" s="12"/>
      <c r="B1792" s="18"/>
    </row>
    <row r="1793" spans="1:2" x14ac:dyDescent="0.25">
      <c r="A1793" s="12"/>
      <c r="B1793" s="18"/>
    </row>
    <row r="1794" spans="1:2" x14ac:dyDescent="0.25">
      <c r="A1794" s="12"/>
      <c r="B1794" s="18"/>
    </row>
    <row r="1795" spans="1:2" x14ac:dyDescent="0.25">
      <c r="A1795" s="12"/>
      <c r="B1795" s="18"/>
    </row>
    <row r="1796" spans="1:2" x14ac:dyDescent="0.25">
      <c r="A1796" s="12"/>
      <c r="B1796" s="18"/>
    </row>
    <row r="1797" spans="1:2" x14ac:dyDescent="0.25">
      <c r="A1797" s="12"/>
      <c r="B1797" s="18"/>
    </row>
    <row r="1798" spans="1:2" x14ac:dyDescent="0.25">
      <c r="A1798" s="12"/>
      <c r="B1798" s="18"/>
    </row>
    <row r="1799" spans="1:2" x14ac:dyDescent="0.25">
      <c r="A1799" s="12"/>
      <c r="B1799" s="18"/>
    </row>
    <row r="1800" spans="1:2" x14ac:dyDescent="0.25">
      <c r="A1800" s="12"/>
      <c r="B1800" s="18"/>
    </row>
    <row r="1801" spans="1:2" x14ac:dyDescent="0.25">
      <c r="A1801" s="12"/>
      <c r="B1801" s="18"/>
    </row>
    <row r="1802" spans="1:2" x14ac:dyDescent="0.25">
      <c r="A1802" s="12"/>
      <c r="B1802" s="18"/>
    </row>
    <row r="1803" spans="1:2" x14ac:dyDescent="0.25">
      <c r="A1803" s="12"/>
      <c r="B1803" s="18"/>
    </row>
    <row r="1804" spans="1:2" x14ac:dyDescent="0.25">
      <c r="A1804" s="12"/>
      <c r="B1804" s="18"/>
    </row>
    <row r="1805" spans="1:2" x14ac:dyDescent="0.25">
      <c r="A1805" s="12"/>
      <c r="B1805" s="18"/>
    </row>
    <row r="1806" spans="1:2" x14ac:dyDescent="0.25">
      <c r="A1806" s="12"/>
      <c r="B1806" s="18"/>
    </row>
    <row r="1807" spans="1:2" x14ac:dyDescent="0.25">
      <c r="A1807" s="12"/>
      <c r="B1807" s="18"/>
    </row>
    <row r="1808" spans="1:2" x14ac:dyDescent="0.25">
      <c r="A1808" s="12"/>
      <c r="B1808" s="18"/>
    </row>
    <row r="1809" spans="1:2" x14ac:dyDescent="0.25">
      <c r="A1809" s="12"/>
      <c r="B1809" s="18"/>
    </row>
    <row r="1810" spans="1:2" x14ac:dyDescent="0.25">
      <c r="A1810" s="12"/>
      <c r="B1810" s="18"/>
    </row>
    <row r="1811" spans="1:2" x14ac:dyDescent="0.25">
      <c r="A1811" s="12"/>
      <c r="B1811" s="18"/>
    </row>
    <row r="1812" spans="1:2" x14ac:dyDescent="0.25">
      <c r="A1812" s="12"/>
      <c r="B1812" s="18"/>
    </row>
    <row r="1813" spans="1:2" x14ac:dyDescent="0.25">
      <c r="A1813" s="12"/>
      <c r="B1813" s="18"/>
    </row>
    <row r="1814" spans="1:2" x14ac:dyDescent="0.25">
      <c r="A1814" s="12"/>
      <c r="B1814" s="18"/>
    </row>
    <row r="1815" spans="1:2" x14ac:dyDescent="0.25">
      <c r="A1815" s="12"/>
      <c r="B1815" s="18"/>
    </row>
    <row r="1816" spans="1:2" x14ac:dyDescent="0.25">
      <c r="A1816" s="12"/>
      <c r="B1816" s="18"/>
    </row>
    <row r="1817" spans="1:2" x14ac:dyDescent="0.25">
      <c r="A1817" s="12"/>
      <c r="B1817" s="18"/>
    </row>
    <row r="1818" spans="1:2" x14ac:dyDescent="0.25">
      <c r="A1818" s="12"/>
      <c r="B1818" s="18"/>
    </row>
    <row r="1819" spans="1:2" x14ac:dyDescent="0.25">
      <c r="A1819" s="12"/>
      <c r="B1819" s="18"/>
    </row>
    <row r="1820" spans="1:2" x14ac:dyDescent="0.25">
      <c r="A1820" s="12"/>
      <c r="B1820" s="18"/>
    </row>
    <row r="1821" spans="1:2" x14ac:dyDescent="0.25">
      <c r="A1821" s="12"/>
      <c r="B1821" s="18"/>
    </row>
    <row r="1822" spans="1:2" x14ac:dyDescent="0.25">
      <c r="A1822" s="12"/>
      <c r="B1822" s="18"/>
    </row>
    <row r="1823" spans="1:2" x14ac:dyDescent="0.25">
      <c r="A1823" s="12"/>
      <c r="B1823" s="18"/>
    </row>
    <row r="1824" spans="1:2" x14ac:dyDescent="0.25">
      <c r="A1824" s="12"/>
      <c r="B1824" s="18"/>
    </row>
    <row r="1825" spans="1:2" x14ac:dyDescent="0.25">
      <c r="A1825" s="12"/>
      <c r="B1825" s="18"/>
    </row>
    <row r="1826" spans="1:2" x14ac:dyDescent="0.25">
      <c r="A1826" s="12"/>
      <c r="B1826" s="18"/>
    </row>
    <row r="1827" spans="1:2" x14ac:dyDescent="0.25">
      <c r="A1827" s="12"/>
      <c r="B1827" s="18"/>
    </row>
    <row r="1828" spans="1:2" x14ac:dyDescent="0.25">
      <c r="A1828" s="12"/>
      <c r="B1828" s="18"/>
    </row>
    <row r="1829" spans="1:2" x14ac:dyDescent="0.25">
      <c r="A1829" s="12"/>
      <c r="B1829" s="18"/>
    </row>
    <row r="1830" spans="1:2" x14ac:dyDescent="0.25">
      <c r="A1830" s="12"/>
      <c r="B1830" s="18"/>
    </row>
    <row r="1831" spans="1:2" x14ac:dyDescent="0.25">
      <c r="A1831" s="12"/>
      <c r="B1831" s="18"/>
    </row>
    <row r="1832" spans="1:2" x14ac:dyDescent="0.25">
      <c r="A1832" s="12"/>
      <c r="B1832" s="18"/>
    </row>
    <row r="1833" spans="1:2" x14ac:dyDescent="0.25">
      <c r="A1833" s="12"/>
      <c r="B1833" s="18"/>
    </row>
    <row r="1834" spans="1:2" x14ac:dyDescent="0.25">
      <c r="A1834" s="12"/>
      <c r="B1834" s="18"/>
    </row>
    <row r="1835" spans="1:2" x14ac:dyDescent="0.25">
      <c r="A1835" s="12"/>
      <c r="B1835" s="18"/>
    </row>
    <row r="1836" spans="1:2" x14ac:dyDescent="0.25">
      <c r="A1836" s="12"/>
      <c r="B1836" s="18"/>
    </row>
    <row r="1837" spans="1:2" x14ac:dyDescent="0.25">
      <c r="A1837" s="12"/>
      <c r="B1837" s="18"/>
    </row>
    <row r="1838" spans="1:2" x14ac:dyDescent="0.25">
      <c r="A1838" s="12"/>
      <c r="B1838" s="18"/>
    </row>
    <row r="1839" spans="1:2" x14ac:dyDescent="0.25">
      <c r="A1839" s="12"/>
      <c r="B1839" s="18"/>
    </row>
    <row r="1840" spans="1:2" x14ac:dyDescent="0.25">
      <c r="A1840" s="12"/>
      <c r="B1840" s="18"/>
    </row>
    <row r="1841" spans="1:2" x14ac:dyDescent="0.25">
      <c r="A1841" s="12"/>
      <c r="B1841" s="18"/>
    </row>
    <row r="1842" spans="1:2" x14ac:dyDescent="0.25">
      <c r="A1842" s="12"/>
      <c r="B1842" s="18"/>
    </row>
    <row r="1843" spans="1:2" x14ac:dyDescent="0.25">
      <c r="A1843" s="12"/>
      <c r="B1843" s="18"/>
    </row>
    <row r="1844" spans="1:2" x14ac:dyDescent="0.25">
      <c r="A1844" s="12"/>
      <c r="B1844" s="18"/>
    </row>
    <row r="1845" spans="1:2" x14ac:dyDescent="0.25">
      <c r="A1845" s="12"/>
      <c r="B1845" s="18"/>
    </row>
    <row r="1846" spans="1:2" x14ac:dyDescent="0.25">
      <c r="A1846" s="12"/>
      <c r="B1846" s="18"/>
    </row>
    <row r="1847" spans="1:2" x14ac:dyDescent="0.25">
      <c r="A1847" s="12"/>
      <c r="B1847" s="18"/>
    </row>
    <row r="1848" spans="1:2" x14ac:dyDescent="0.25">
      <c r="A1848" s="12"/>
      <c r="B1848" s="18"/>
    </row>
    <row r="1849" spans="1:2" x14ac:dyDescent="0.25">
      <c r="A1849" s="12"/>
      <c r="B1849" s="18"/>
    </row>
    <row r="1850" spans="1:2" x14ac:dyDescent="0.25">
      <c r="A1850" s="12"/>
      <c r="B1850" s="18"/>
    </row>
    <row r="1851" spans="1:2" x14ac:dyDescent="0.25">
      <c r="A1851" s="12"/>
      <c r="B1851" s="18"/>
    </row>
    <row r="1852" spans="1:2" x14ac:dyDescent="0.25">
      <c r="A1852" s="12"/>
      <c r="B1852" s="18"/>
    </row>
    <row r="1853" spans="1:2" x14ac:dyDescent="0.25">
      <c r="A1853" s="12"/>
      <c r="B1853" s="18"/>
    </row>
    <row r="1854" spans="1:2" x14ac:dyDescent="0.25">
      <c r="A1854" s="12"/>
      <c r="B1854" s="18"/>
    </row>
    <row r="1855" spans="1:2" x14ac:dyDescent="0.25">
      <c r="A1855" s="12"/>
      <c r="B1855" s="18"/>
    </row>
    <row r="1856" spans="1:2" x14ac:dyDescent="0.25">
      <c r="A1856" s="12"/>
      <c r="B1856" s="18"/>
    </row>
    <row r="1857" spans="1:2" x14ac:dyDescent="0.25">
      <c r="A1857" s="12"/>
      <c r="B1857" s="18"/>
    </row>
    <row r="1858" spans="1:2" x14ac:dyDescent="0.25">
      <c r="A1858" s="12"/>
      <c r="B1858" s="18"/>
    </row>
    <row r="1859" spans="1:2" x14ac:dyDescent="0.25">
      <c r="A1859" s="12"/>
      <c r="B1859" s="18"/>
    </row>
    <row r="1860" spans="1:2" x14ac:dyDescent="0.25">
      <c r="A1860" s="12"/>
      <c r="B1860" s="18"/>
    </row>
    <row r="1861" spans="1:2" x14ac:dyDescent="0.25">
      <c r="A1861" s="12"/>
      <c r="B1861" s="18"/>
    </row>
    <row r="1862" spans="1:2" x14ac:dyDescent="0.25">
      <c r="A1862" s="12"/>
      <c r="B1862" s="18"/>
    </row>
    <row r="1863" spans="1:2" x14ac:dyDescent="0.25">
      <c r="A1863" s="12"/>
      <c r="B1863" s="18"/>
    </row>
    <row r="1864" spans="1:2" x14ac:dyDescent="0.25">
      <c r="A1864" s="12"/>
      <c r="B1864" s="18"/>
    </row>
    <row r="1865" spans="1:2" x14ac:dyDescent="0.25">
      <c r="A1865" s="12"/>
      <c r="B1865" s="18"/>
    </row>
    <row r="1866" spans="1:2" x14ac:dyDescent="0.25">
      <c r="A1866" s="12"/>
      <c r="B1866" s="18"/>
    </row>
    <row r="1867" spans="1:2" x14ac:dyDescent="0.25">
      <c r="A1867" s="12"/>
      <c r="B1867" s="18"/>
    </row>
    <row r="1868" spans="1:2" x14ac:dyDescent="0.25">
      <c r="A1868" s="12"/>
      <c r="B1868" s="18"/>
    </row>
    <row r="1869" spans="1:2" x14ac:dyDescent="0.25">
      <c r="A1869" s="12"/>
      <c r="B1869" s="18"/>
    </row>
    <row r="1870" spans="1:2" x14ac:dyDescent="0.25">
      <c r="A1870" s="12"/>
      <c r="B1870" s="18"/>
    </row>
    <row r="1871" spans="1:2" x14ac:dyDescent="0.25">
      <c r="A1871" s="12"/>
      <c r="B1871" s="18"/>
    </row>
    <row r="1872" spans="1:2" x14ac:dyDescent="0.25">
      <c r="A1872" s="12"/>
      <c r="B1872" s="18"/>
    </row>
    <row r="1873" spans="1:2" x14ac:dyDescent="0.25">
      <c r="A1873" s="12"/>
      <c r="B1873" s="18"/>
    </row>
    <row r="1874" spans="1:2" x14ac:dyDescent="0.25">
      <c r="A1874" s="12"/>
      <c r="B1874" s="18"/>
    </row>
    <row r="1875" spans="1:2" x14ac:dyDescent="0.25">
      <c r="A1875" s="12"/>
      <c r="B1875" s="18"/>
    </row>
    <row r="1876" spans="1:2" x14ac:dyDescent="0.25">
      <c r="A1876" s="12"/>
      <c r="B1876" s="18"/>
    </row>
    <row r="1877" spans="1:2" x14ac:dyDescent="0.25">
      <c r="A1877" s="12"/>
      <c r="B1877" s="18"/>
    </row>
    <row r="1878" spans="1:2" x14ac:dyDescent="0.25">
      <c r="A1878" s="12"/>
      <c r="B1878" s="18"/>
    </row>
    <row r="1879" spans="1:2" x14ac:dyDescent="0.25">
      <c r="A1879" s="12"/>
      <c r="B1879" s="18"/>
    </row>
    <row r="1880" spans="1:2" x14ac:dyDescent="0.25">
      <c r="A1880" s="12"/>
      <c r="B1880" s="18"/>
    </row>
    <row r="1881" spans="1:2" x14ac:dyDescent="0.25">
      <c r="A1881" s="12"/>
      <c r="B1881" s="18"/>
    </row>
    <row r="1882" spans="1:2" x14ac:dyDescent="0.25">
      <c r="A1882" s="12"/>
      <c r="B1882" s="18"/>
    </row>
    <row r="1883" spans="1:2" x14ac:dyDescent="0.25">
      <c r="A1883" s="12"/>
      <c r="B1883" s="18"/>
    </row>
    <row r="1884" spans="1:2" x14ac:dyDescent="0.25">
      <c r="A1884" s="12"/>
      <c r="B1884" s="18"/>
    </row>
    <row r="1885" spans="1:2" x14ac:dyDescent="0.25">
      <c r="A1885" s="12"/>
      <c r="B1885" s="18"/>
    </row>
    <row r="1886" spans="1:2" x14ac:dyDescent="0.25">
      <c r="A1886" s="12"/>
      <c r="B1886" s="18"/>
    </row>
    <row r="1887" spans="1:2" x14ac:dyDescent="0.25">
      <c r="A1887" s="12"/>
      <c r="B1887" s="18"/>
    </row>
    <row r="1888" spans="1:2" x14ac:dyDescent="0.25">
      <c r="A1888" s="12"/>
      <c r="B1888" s="18"/>
    </row>
    <row r="1889" spans="1:2" x14ac:dyDescent="0.25">
      <c r="A1889" s="12"/>
      <c r="B1889" s="18"/>
    </row>
    <row r="1890" spans="1:2" x14ac:dyDescent="0.25">
      <c r="A1890" s="12"/>
      <c r="B1890" s="18"/>
    </row>
    <row r="1891" spans="1:2" x14ac:dyDescent="0.25">
      <c r="A1891" s="12"/>
      <c r="B1891" s="18"/>
    </row>
    <row r="1892" spans="1:2" x14ac:dyDescent="0.25">
      <c r="A1892" s="12"/>
      <c r="B1892" s="18"/>
    </row>
    <row r="1893" spans="1:2" x14ac:dyDescent="0.25">
      <c r="A1893" s="12"/>
      <c r="B1893" s="18"/>
    </row>
    <row r="1894" spans="1:2" x14ac:dyDescent="0.25">
      <c r="A1894" s="12"/>
      <c r="B1894" s="18"/>
    </row>
    <row r="1895" spans="1:2" x14ac:dyDescent="0.25">
      <c r="A1895" s="12"/>
      <c r="B1895" s="18"/>
    </row>
    <row r="1896" spans="1:2" x14ac:dyDescent="0.25">
      <c r="A1896" s="12"/>
      <c r="B1896" s="18"/>
    </row>
    <row r="1897" spans="1:2" x14ac:dyDescent="0.25">
      <c r="A1897" s="12"/>
      <c r="B1897" s="18"/>
    </row>
    <row r="1898" spans="1:2" x14ac:dyDescent="0.25">
      <c r="A1898" s="12"/>
      <c r="B1898" s="18"/>
    </row>
    <row r="1899" spans="1:2" x14ac:dyDescent="0.25">
      <c r="A1899" s="12"/>
      <c r="B1899" s="18"/>
    </row>
    <row r="1900" spans="1:2" x14ac:dyDescent="0.25">
      <c r="A1900" s="12"/>
      <c r="B1900" s="18"/>
    </row>
    <row r="1901" spans="1:2" x14ac:dyDescent="0.25">
      <c r="A1901" s="12"/>
      <c r="B1901" s="18"/>
    </row>
    <row r="1902" spans="1:2" x14ac:dyDescent="0.25">
      <c r="A1902" s="12"/>
      <c r="B1902" s="18"/>
    </row>
    <row r="1903" spans="1:2" x14ac:dyDescent="0.25">
      <c r="A1903" s="12"/>
      <c r="B1903" s="18"/>
    </row>
    <row r="1904" spans="1:2" x14ac:dyDescent="0.25">
      <c r="A1904" s="12"/>
      <c r="B1904" s="18"/>
    </row>
    <row r="1905" spans="1:2" x14ac:dyDescent="0.25">
      <c r="A1905" s="12"/>
      <c r="B1905" s="18"/>
    </row>
    <row r="1906" spans="1:2" x14ac:dyDescent="0.25">
      <c r="A1906" s="12"/>
      <c r="B1906" s="18"/>
    </row>
    <row r="1907" spans="1:2" x14ac:dyDescent="0.25">
      <c r="A1907" s="12"/>
      <c r="B1907" s="18"/>
    </row>
    <row r="1908" spans="1:2" x14ac:dyDescent="0.25">
      <c r="A1908" s="12"/>
      <c r="B1908" s="18"/>
    </row>
    <row r="1909" spans="1:2" x14ac:dyDescent="0.25">
      <c r="A1909" s="12"/>
      <c r="B1909" s="18"/>
    </row>
    <row r="1910" spans="1:2" x14ac:dyDescent="0.25">
      <c r="A1910" s="12"/>
      <c r="B1910" s="18"/>
    </row>
    <row r="1911" spans="1:2" x14ac:dyDescent="0.25">
      <c r="A1911" s="12"/>
      <c r="B1911" s="18"/>
    </row>
    <row r="1912" spans="1:2" x14ac:dyDescent="0.25">
      <c r="A1912" s="12"/>
      <c r="B1912" s="18"/>
    </row>
    <row r="1913" spans="1:2" x14ac:dyDescent="0.25">
      <c r="A1913" s="12"/>
      <c r="B1913" s="18"/>
    </row>
    <row r="1914" spans="1:2" x14ac:dyDescent="0.25">
      <c r="A1914" s="12"/>
      <c r="B1914" s="18"/>
    </row>
    <row r="1915" spans="1:2" x14ac:dyDescent="0.25">
      <c r="A1915" s="12"/>
      <c r="B1915" s="18"/>
    </row>
    <row r="1916" spans="1:2" x14ac:dyDescent="0.25">
      <c r="A1916" s="12"/>
      <c r="B1916" s="18"/>
    </row>
    <row r="1917" spans="1:2" x14ac:dyDescent="0.25">
      <c r="A1917" s="12"/>
      <c r="B1917" s="18"/>
    </row>
    <row r="1918" spans="1:2" x14ac:dyDescent="0.25">
      <c r="A1918" s="12"/>
      <c r="B1918" s="18"/>
    </row>
    <row r="1919" spans="1:2" x14ac:dyDescent="0.25">
      <c r="A1919" s="12"/>
      <c r="B1919" s="18"/>
    </row>
    <row r="1920" spans="1:2" x14ac:dyDescent="0.25">
      <c r="A1920" s="12"/>
      <c r="B1920" s="18"/>
    </row>
    <row r="1921" spans="1:2" x14ac:dyDescent="0.25">
      <c r="A1921" s="12"/>
      <c r="B1921" s="18"/>
    </row>
    <row r="1922" spans="1:2" x14ac:dyDescent="0.25">
      <c r="A1922" s="12"/>
      <c r="B1922" s="18"/>
    </row>
    <row r="1923" spans="1:2" x14ac:dyDescent="0.25">
      <c r="A1923" s="12"/>
      <c r="B1923" s="18"/>
    </row>
    <row r="1924" spans="1:2" x14ac:dyDescent="0.25">
      <c r="A1924" s="12"/>
      <c r="B1924" s="18"/>
    </row>
    <row r="1925" spans="1:2" x14ac:dyDescent="0.25">
      <c r="A1925" s="12"/>
      <c r="B1925" s="18"/>
    </row>
    <row r="1926" spans="1:2" x14ac:dyDescent="0.25">
      <c r="A1926" s="12"/>
      <c r="B1926" s="18"/>
    </row>
    <row r="1927" spans="1:2" x14ac:dyDescent="0.25">
      <c r="A1927" s="12"/>
      <c r="B1927" s="18"/>
    </row>
    <row r="1928" spans="1:2" x14ac:dyDescent="0.25">
      <c r="A1928" s="12"/>
      <c r="B1928" s="18"/>
    </row>
    <row r="1929" spans="1:2" x14ac:dyDescent="0.25">
      <c r="A1929" s="12"/>
      <c r="B1929" s="18"/>
    </row>
    <row r="1930" spans="1:2" x14ac:dyDescent="0.25">
      <c r="A1930" s="12"/>
      <c r="B1930" s="18"/>
    </row>
    <row r="1931" spans="1:2" x14ac:dyDescent="0.25">
      <c r="A1931" s="12"/>
      <c r="B1931" s="18"/>
    </row>
    <row r="1932" spans="1:2" x14ac:dyDescent="0.25">
      <c r="A1932" s="12"/>
      <c r="B1932" s="18"/>
    </row>
    <row r="1933" spans="1:2" x14ac:dyDescent="0.25">
      <c r="A1933" s="12"/>
      <c r="B1933" s="18"/>
    </row>
    <row r="1934" spans="1:2" x14ac:dyDescent="0.25">
      <c r="A1934" s="12"/>
      <c r="B1934" s="18"/>
    </row>
    <row r="1935" spans="1:2" x14ac:dyDescent="0.25">
      <c r="A1935" s="12"/>
      <c r="B1935" s="18"/>
    </row>
    <row r="1936" spans="1:2" x14ac:dyDescent="0.25">
      <c r="A1936" s="12"/>
      <c r="B1936" s="18"/>
    </row>
    <row r="1937" spans="1:2" x14ac:dyDescent="0.25">
      <c r="A1937" s="12"/>
      <c r="B1937" s="18"/>
    </row>
    <row r="1938" spans="1:2" x14ac:dyDescent="0.25">
      <c r="A1938" s="12"/>
      <c r="B1938" s="18"/>
    </row>
    <row r="1939" spans="1:2" x14ac:dyDescent="0.25">
      <c r="A1939" s="12"/>
      <c r="B1939" s="18"/>
    </row>
    <row r="1940" spans="1:2" x14ac:dyDescent="0.25">
      <c r="A1940" s="12"/>
      <c r="B1940" s="18"/>
    </row>
    <row r="1941" spans="1:2" x14ac:dyDescent="0.25">
      <c r="A1941" s="12"/>
      <c r="B1941" s="18"/>
    </row>
    <row r="1942" spans="1:2" x14ac:dyDescent="0.25">
      <c r="A1942" s="12"/>
      <c r="B1942" s="18"/>
    </row>
    <row r="1943" spans="1:2" x14ac:dyDescent="0.25">
      <c r="A1943" s="12"/>
      <c r="B1943" s="18"/>
    </row>
    <row r="1944" spans="1:2" x14ac:dyDescent="0.25">
      <c r="A1944" s="12"/>
      <c r="B1944" s="18"/>
    </row>
    <row r="1945" spans="1:2" x14ac:dyDescent="0.25">
      <c r="A1945" s="12"/>
      <c r="B1945" s="18"/>
    </row>
    <row r="1946" spans="1:2" x14ac:dyDescent="0.25">
      <c r="A1946" s="12"/>
      <c r="B1946" s="18"/>
    </row>
    <row r="1947" spans="1:2" x14ac:dyDescent="0.25">
      <c r="A1947" s="12"/>
      <c r="B1947" s="18"/>
    </row>
    <row r="1948" spans="1:2" x14ac:dyDescent="0.25">
      <c r="A1948" s="12"/>
      <c r="B1948" s="18"/>
    </row>
    <row r="1949" spans="1:2" x14ac:dyDescent="0.25">
      <c r="A1949" s="12"/>
      <c r="B1949" s="18"/>
    </row>
    <row r="1950" spans="1:2" x14ac:dyDescent="0.25">
      <c r="A1950" s="12"/>
      <c r="B1950" s="18"/>
    </row>
    <row r="1951" spans="1:2" x14ac:dyDescent="0.25">
      <c r="A1951" s="12"/>
      <c r="B1951" s="18"/>
    </row>
    <row r="1952" spans="1:2" x14ac:dyDescent="0.25">
      <c r="A1952" s="12"/>
      <c r="B1952" s="18"/>
    </row>
    <row r="1953" spans="1:2" x14ac:dyDescent="0.25">
      <c r="A1953" s="12"/>
      <c r="B1953" s="18"/>
    </row>
    <row r="1954" spans="1:2" x14ac:dyDescent="0.25">
      <c r="A1954" s="12"/>
      <c r="B1954" s="18"/>
    </row>
    <row r="1955" spans="1:2" x14ac:dyDescent="0.25">
      <c r="A1955" s="12"/>
      <c r="B1955" s="18"/>
    </row>
    <row r="1956" spans="1:2" x14ac:dyDescent="0.25">
      <c r="A1956" s="12"/>
      <c r="B1956" s="18"/>
    </row>
    <row r="1957" spans="1:2" x14ac:dyDescent="0.25">
      <c r="A1957" s="12"/>
      <c r="B1957" s="18"/>
    </row>
    <row r="1958" spans="1:2" x14ac:dyDescent="0.25">
      <c r="A1958" s="12"/>
      <c r="B1958" s="18"/>
    </row>
    <row r="1959" spans="1:2" x14ac:dyDescent="0.25">
      <c r="A1959" s="12"/>
      <c r="B1959" s="18"/>
    </row>
    <row r="1960" spans="1:2" x14ac:dyDescent="0.25">
      <c r="A1960" s="12"/>
      <c r="B1960" s="18"/>
    </row>
    <row r="1961" spans="1:2" x14ac:dyDescent="0.25">
      <c r="A1961" s="12"/>
      <c r="B1961" s="18"/>
    </row>
    <row r="1962" spans="1:2" x14ac:dyDescent="0.25">
      <c r="A1962" s="12"/>
      <c r="B1962" s="18"/>
    </row>
    <row r="1963" spans="1:2" x14ac:dyDescent="0.25">
      <c r="A1963" s="12"/>
      <c r="B1963" s="18"/>
    </row>
    <row r="1964" spans="1:2" x14ac:dyDescent="0.25">
      <c r="A1964" s="12"/>
      <c r="B1964" s="18"/>
    </row>
    <row r="1965" spans="1:2" x14ac:dyDescent="0.25">
      <c r="A1965" s="12"/>
      <c r="B1965" s="18"/>
    </row>
    <row r="1966" spans="1:2" x14ac:dyDescent="0.25">
      <c r="A1966" s="12"/>
      <c r="B1966" s="18"/>
    </row>
    <row r="1967" spans="1:2" x14ac:dyDescent="0.25">
      <c r="A1967" s="12"/>
      <c r="B1967" s="18"/>
    </row>
    <row r="1968" spans="1:2" x14ac:dyDescent="0.25">
      <c r="A1968" s="12"/>
      <c r="B1968" s="18"/>
    </row>
    <row r="1969" spans="1:2" x14ac:dyDescent="0.25">
      <c r="A1969" s="12"/>
      <c r="B1969" s="18"/>
    </row>
    <row r="1970" spans="1:2" x14ac:dyDescent="0.25">
      <c r="A1970" s="12"/>
      <c r="B1970" s="18"/>
    </row>
    <row r="1971" spans="1:2" x14ac:dyDescent="0.25">
      <c r="A1971" s="12"/>
      <c r="B1971" s="18"/>
    </row>
    <row r="1972" spans="1:2" x14ac:dyDescent="0.25">
      <c r="A1972" s="12"/>
      <c r="B1972" s="18"/>
    </row>
    <row r="1973" spans="1:2" x14ac:dyDescent="0.25">
      <c r="A1973" s="12"/>
      <c r="B1973" s="18"/>
    </row>
    <row r="1974" spans="1:2" x14ac:dyDescent="0.25">
      <c r="A1974" s="12"/>
      <c r="B1974" s="18"/>
    </row>
    <row r="1975" spans="1:2" x14ac:dyDescent="0.25">
      <c r="A1975" s="12"/>
      <c r="B1975" s="18"/>
    </row>
    <row r="1976" spans="1:2" x14ac:dyDescent="0.25">
      <c r="A1976" s="12"/>
      <c r="B1976" s="18"/>
    </row>
    <row r="1977" spans="1:2" x14ac:dyDescent="0.25">
      <c r="A1977" s="12"/>
      <c r="B1977" s="18"/>
    </row>
    <row r="1978" spans="1:2" x14ac:dyDescent="0.25">
      <c r="A1978" s="12"/>
      <c r="B1978" s="18"/>
    </row>
    <row r="1979" spans="1:2" x14ac:dyDescent="0.25">
      <c r="A1979" s="12"/>
      <c r="B1979" s="18"/>
    </row>
    <row r="1980" spans="1:2" x14ac:dyDescent="0.25">
      <c r="A1980" s="12"/>
      <c r="B1980" s="18"/>
    </row>
    <row r="1981" spans="1:2" x14ac:dyDescent="0.25">
      <c r="A1981" s="12"/>
      <c r="B1981" s="18"/>
    </row>
    <row r="1982" spans="1:2" x14ac:dyDescent="0.25">
      <c r="A1982" s="12"/>
      <c r="B1982" s="18"/>
    </row>
    <row r="1983" spans="1:2" x14ac:dyDescent="0.25">
      <c r="A1983" s="12"/>
      <c r="B1983" s="18"/>
    </row>
    <row r="1984" spans="1:2" x14ac:dyDescent="0.25">
      <c r="A1984" s="12"/>
      <c r="B1984" s="18"/>
    </row>
    <row r="1985" spans="1:2" x14ac:dyDescent="0.25">
      <c r="A1985" s="12"/>
      <c r="B1985" s="18"/>
    </row>
    <row r="1986" spans="1:2" x14ac:dyDescent="0.25">
      <c r="A1986" s="12"/>
      <c r="B1986" s="18"/>
    </row>
    <row r="1987" spans="1:2" x14ac:dyDescent="0.25">
      <c r="A1987" s="12"/>
      <c r="B1987" s="18"/>
    </row>
    <row r="1988" spans="1:2" x14ac:dyDescent="0.25">
      <c r="A1988" s="12"/>
      <c r="B1988" s="18"/>
    </row>
    <row r="1989" spans="1:2" x14ac:dyDescent="0.25">
      <c r="A1989" s="12"/>
      <c r="B1989" s="18"/>
    </row>
    <row r="1990" spans="1:2" x14ac:dyDescent="0.25">
      <c r="A1990" s="12"/>
      <c r="B1990" s="18"/>
    </row>
    <row r="1991" spans="1:2" x14ac:dyDescent="0.25">
      <c r="A1991" s="12"/>
      <c r="B1991" s="18"/>
    </row>
    <row r="1992" spans="1:2" x14ac:dyDescent="0.25">
      <c r="A1992" s="12"/>
      <c r="B1992" s="18"/>
    </row>
    <row r="1993" spans="1:2" x14ac:dyDescent="0.25">
      <c r="A1993" s="12"/>
      <c r="B1993" s="18"/>
    </row>
    <row r="1994" spans="1:2" x14ac:dyDescent="0.25">
      <c r="A1994" s="12"/>
      <c r="B1994" s="18"/>
    </row>
    <row r="1995" spans="1:2" x14ac:dyDescent="0.25">
      <c r="A1995" s="12"/>
      <c r="B1995" s="18"/>
    </row>
    <row r="1996" spans="1:2" x14ac:dyDescent="0.25">
      <c r="A1996" s="12"/>
      <c r="B1996" s="18"/>
    </row>
    <row r="1997" spans="1:2" x14ac:dyDescent="0.25">
      <c r="A1997" s="12"/>
      <c r="B1997" s="18"/>
    </row>
    <row r="1998" spans="1:2" x14ac:dyDescent="0.25">
      <c r="A1998" s="12"/>
      <c r="B1998" s="18"/>
    </row>
    <row r="1999" spans="1:2" x14ac:dyDescent="0.25">
      <c r="A1999" s="12"/>
      <c r="B1999" s="18"/>
    </row>
    <row r="2000" spans="1:2" x14ac:dyDescent="0.25">
      <c r="A2000" s="12"/>
      <c r="B2000" s="18"/>
    </row>
    <row r="2001" spans="1:2" x14ac:dyDescent="0.25">
      <c r="A2001" s="12"/>
      <c r="B2001" s="18"/>
    </row>
    <row r="2002" spans="1:2" x14ac:dyDescent="0.25">
      <c r="A2002" s="12"/>
      <c r="B2002" s="18"/>
    </row>
    <row r="2003" spans="1:2" x14ac:dyDescent="0.25">
      <c r="A2003" s="12"/>
      <c r="B2003" s="18"/>
    </row>
    <row r="2004" spans="1:2" x14ac:dyDescent="0.25">
      <c r="A2004" s="12"/>
      <c r="B2004" s="18"/>
    </row>
    <row r="2005" spans="1:2" x14ac:dyDescent="0.25">
      <c r="A2005" s="12"/>
      <c r="B2005" s="18"/>
    </row>
    <row r="2006" spans="1:2" x14ac:dyDescent="0.25">
      <c r="A2006" s="12"/>
      <c r="B2006" s="18"/>
    </row>
    <row r="2007" spans="1:2" x14ac:dyDescent="0.25">
      <c r="A2007" s="12"/>
      <c r="B2007" s="18"/>
    </row>
    <row r="2008" spans="1:2" x14ac:dyDescent="0.25">
      <c r="A2008" s="12"/>
      <c r="B2008" s="18"/>
    </row>
    <row r="2009" spans="1:2" x14ac:dyDescent="0.25">
      <c r="A2009" s="12"/>
      <c r="B2009" s="18"/>
    </row>
    <row r="2010" spans="1:2" x14ac:dyDescent="0.25">
      <c r="A2010" s="12"/>
      <c r="B2010" s="18"/>
    </row>
    <row r="2011" spans="1:2" x14ac:dyDescent="0.25">
      <c r="A2011" s="12"/>
      <c r="B2011" s="18"/>
    </row>
    <row r="2012" spans="1:2" x14ac:dyDescent="0.25">
      <c r="A2012" s="12"/>
      <c r="B2012" s="18"/>
    </row>
    <row r="2013" spans="1:2" x14ac:dyDescent="0.25">
      <c r="A2013" s="12"/>
      <c r="B2013" s="18"/>
    </row>
    <row r="2014" spans="1:2" x14ac:dyDescent="0.25">
      <c r="A2014" s="12"/>
      <c r="B2014" s="18"/>
    </row>
    <row r="2015" spans="1:2" x14ac:dyDescent="0.25">
      <c r="A2015" s="12"/>
      <c r="B2015" s="18"/>
    </row>
    <row r="2016" spans="1:2" x14ac:dyDescent="0.25">
      <c r="A2016" s="12"/>
      <c r="B2016" s="18"/>
    </row>
    <row r="2017" spans="1:2" x14ac:dyDescent="0.25">
      <c r="A2017" s="12"/>
      <c r="B2017" s="18"/>
    </row>
    <row r="2018" spans="1:2" x14ac:dyDescent="0.25">
      <c r="A2018" s="12"/>
      <c r="B2018" s="18"/>
    </row>
    <row r="2019" spans="1:2" x14ac:dyDescent="0.25">
      <c r="A2019" s="12"/>
      <c r="B2019" s="18"/>
    </row>
    <row r="2020" spans="1:2" x14ac:dyDescent="0.25">
      <c r="A2020" s="12"/>
      <c r="B2020" s="18"/>
    </row>
    <row r="2021" spans="1:2" x14ac:dyDescent="0.25">
      <c r="A2021" s="12"/>
      <c r="B2021" s="18"/>
    </row>
    <row r="2022" spans="1:2" x14ac:dyDescent="0.25">
      <c r="A2022" s="12"/>
      <c r="B2022" s="18"/>
    </row>
    <row r="2023" spans="1:2" x14ac:dyDescent="0.25">
      <c r="A2023" s="12"/>
      <c r="B2023" s="18"/>
    </row>
    <row r="2024" spans="1:2" x14ac:dyDescent="0.25">
      <c r="A2024" s="12"/>
      <c r="B2024" s="18"/>
    </row>
    <row r="2025" spans="1:2" x14ac:dyDescent="0.25">
      <c r="A2025" s="12"/>
      <c r="B2025" s="18"/>
    </row>
    <row r="2026" spans="1:2" x14ac:dyDescent="0.25">
      <c r="A2026" s="12"/>
      <c r="B2026" s="18"/>
    </row>
    <row r="2027" spans="1:2" x14ac:dyDescent="0.25">
      <c r="A2027" s="12"/>
      <c r="B2027" s="18"/>
    </row>
    <row r="2028" spans="1:2" x14ac:dyDescent="0.25">
      <c r="A2028" s="12"/>
      <c r="B2028" s="18"/>
    </row>
    <row r="2029" spans="1:2" x14ac:dyDescent="0.25">
      <c r="A2029" s="12"/>
      <c r="B2029" s="18"/>
    </row>
    <row r="2030" spans="1:2" x14ac:dyDescent="0.25">
      <c r="A2030" s="12"/>
      <c r="B2030" s="18"/>
    </row>
    <row r="2031" spans="1:2" x14ac:dyDescent="0.25">
      <c r="A2031" s="12"/>
      <c r="B2031" s="18"/>
    </row>
    <row r="2032" spans="1:2" x14ac:dyDescent="0.25">
      <c r="A2032" s="12"/>
      <c r="B2032" s="18"/>
    </row>
    <row r="2033" spans="1:2" x14ac:dyDescent="0.25">
      <c r="A2033" s="12"/>
      <c r="B2033" s="18"/>
    </row>
    <row r="2034" spans="1:2" x14ac:dyDescent="0.25">
      <c r="A2034" s="12"/>
      <c r="B2034" s="18"/>
    </row>
    <row r="2035" spans="1:2" x14ac:dyDescent="0.25">
      <c r="A2035" s="12"/>
      <c r="B2035" s="18"/>
    </row>
    <row r="2036" spans="1:2" x14ac:dyDescent="0.25">
      <c r="A2036" s="12"/>
      <c r="B2036" s="18"/>
    </row>
    <row r="2037" spans="1:2" x14ac:dyDescent="0.25">
      <c r="A2037" s="12"/>
      <c r="B2037" s="18"/>
    </row>
    <row r="2038" spans="1:2" x14ac:dyDescent="0.25">
      <c r="A2038" s="12"/>
      <c r="B2038" s="18"/>
    </row>
    <row r="2039" spans="1:2" x14ac:dyDescent="0.25">
      <c r="A2039" s="12"/>
      <c r="B2039" s="18"/>
    </row>
    <row r="2040" spans="1:2" x14ac:dyDescent="0.25">
      <c r="A2040" s="12"/>
      <c r="B2040" s="18"/>
    </row>
    <row r="2041" spans="1:2" x14ac:dyDescent="0.25">
      <c r="A2041" s="12"/>
      <c r="B2041" s="18"/>
    </row>
    <row r="2042" spans="1:2" x14ac:dyDescent="0.25">
      <c r="A2042" s="12"/>
      <c r="B2042" s="18"/>
    </row>
    <row r="2043" spans="1:2" x14ac:dyDescent="0.25">
      <c r="A2043" s="12"/>
      <c r="B2043" s="18"/>
    </row>
    <row r="2044" spans="1:2" x14ac:dyDescent="0.25">
      <c r="A2044" s="12"/>
      <c r="B2044" s="18"/>
    </row>
    <row r="2045" spans="1:2" x14ac:dyDescent="0.25">
      <c r="A2045" s="12"/>
      <c r="B2045" s="18"/>
    </row>
    <row r="2046" spans="1:2" x14ac:dyDescent="0.25">
      <c r="A2046" s="12"/>
      <c r="B2046" s="18"/>
    </row>
    <row r="2047" spans="1:2" x14ac:dyDescent="0.25">
      <c r="A2047" s="12"/>
      <c r="B2047" s="18"/>
    </row>
    <row r="2048" spans="1:2" x14ac:dyDescent="0.25">
      <c r="A2048" s="12"/>
      <c r="B2048" s="18"/>
    </row>
    <row r="2049" spans="1:2" x14ac:dyDescent="0.25">
      <c r="A2049" s="12"/>
      <c r="B2049" s="18"/>
    </row>
    <row r="2050" spans="1:2" x14ac:dyDescent="0.25">
      <c r="A2050" s="12"/>
      <c r="B2050" s="18"/>
    </row>
    <row r="2051" spans="1:2" x14ac:dyDescent="0.25">
      <c r="A2051" s="12"/>
      <c r="B2051" s="18"/>
    </row>
    <row r="2052" spans="1:2" x14ac:dyDescent="0.25">
      <c r="A2052" s="12"/>
      <c r="B2052" s="18"/>
    </row>
    <row r="2053" spans="1:2" x14ac:dyDescent="0.25">
      <c r="A2053" s="12"/>
      <c r="B2053" s="18"/>
    </row>
    <row r="2054" spans="1:2" x14ac:dyDescent="0.25">
      <c r="A2054" s="12"/>
      <c r="B2054" s="18"/>
    </row>
    <row r="2055" spans="1:2" x14ac:dyDescent="0.25">
      <c r="A2055" s="12"/>
      <c r="B2055" s="18"/>
    </row>
    <row r="2056" spans="1:2" x14ac:dyDescent="0.25">
      <c r="A2056" s="12"/>
      <c r="B2056" s="18"/>
    </row>
    <row r="2057" spans="1:2" x14ac:dyDescent="0.25">
      <c r="A2057" s="12"/>
      <c r="B2057" s="18"/>
    </row>
    <row r="2058" spans="1:2" x14ac:dyDescent="0.25">
      <c r="A2058" s="12"/>
      <c r="B2058" s="18"/>
    </row>
    <row r="2059" spans="1:2" x14ac:dyDescent="0.25">
      <c r="A2059" s="12"/>
      <c r="B2059" s="18"/>
    </row>
    <row r="2060" spans="1:2" x14ac:dyDescent="0.25">
      <c r="A2060" s="12"/>
      <c r="B2060" s="18"/>
    </row>
    <row r="2061" spans="1:2" x14ac:dyDescent="0.25">
      <c r="A2061" s="12"/>
      <c r="B2061" s="18"/>
    </row>
    <row r="2062" spans="1:2" x14ac:dyDescent="0.25">
      <c r="A2062" s="12"/>
      <c r="B2062" s="18"/>
    </row>
    <row r="2063" spans="1:2" x14ac:dyDescent="0.25">
      <c r="A2063" s="12"/>
      <c r="B2063" s="18"/>
    </row>
    <row r="2064" spans="1:2" x14ac:dyDescent="0.25">
      <c r="A2064" s="12"/>
      <c r="B2064" s="18"/>
    </row>
    <row r="2065" spans="1:2" x14ac:dyDescent="0.25">
      <c r="A2065" s="12"/>
      <c r="B2065" s="18"/>
    </row>
    <row r="2066" spans="1:2" x14ac:dyDescent="0.25">
      <c r="A2066" s="12"/>
      <c r="B2066" s="18"/>
    </row>
    <row r="2067" spans="1:2" x14ac:dyDescent="0.25">
      <c r="A2067" s="12"/>
      <c r="B2067" s="18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AC5E7-7FF6-4287-9F23-7D3A6FE15A5F}">
  <dimension ref="A1:P188"/>
  <sheetViews>
    <sheetView tabSelected="1" topLeftCell="A42" workbookViewId="0">
      <selection activeCell="H61" sqref="H61"/>
    </sheetView>
  </sheetViews>
  <sheetFormatPr defaultRowHeight="15" x14ac:dyDescent="0.25"/>
  <cols>
    <col min="1" max="1" width="10.140625" bestFit="1" customWidth="1"/>
    <col min="7" max="7" width="18.140625" bestFit="1" customWidth="1"/>
    <col min="8" max="8" width="13.140625" customWidth="1"/>
    <col min="9" max="9" width="15.7109375" customWidth="1"/>
    <col min="10" max="10" width="23.5703125" customWidth="1"/>
    <col min="11" max="11" width="25.7109375" bestFit="1" customWidth="1"/>
    <col min="12" max="12" width="22" bestFit="1" customWidth="1"/>
  </cols>
  <sheetData>
    <row r="1" spans="1:16" ht="16.5" thickBot="1" x14ac:dyDescent="0.3">
      <c r="A1" t="s">
        <v>51</v>
      </c>
      <c r="B1" t="s">
        <v>0</v>
      </c>
      <c r="C1" t="s">
        <v>94</v>
      </c>
      <c r="G1" s="136" t="s">
        <v>134</v>
      </c>
      <c r="H1" s="137"/>
      <c r="I1" s="137"/>
      <c r="J1" s="137"/>
      <c r="K1" s="137"/>
      <c r="L1" s="138"/>
    </row>
    <row r="2" spans="1:16" ht="15.75" thickBot="1" x14ac:dyDescent="0.3">
      <c r="A2" s="12">
        <v>45404</v>
      </c>
      <c r="B2" s="18">
        <v>21.59</v>
      </c>
      <c r="C2" s="126">
        <f>B2/B3-1</f>
        <v>5.4714215925744991E-2</v>
      </c>
      <c r="G2" s="63"/>
      <c r="H2" s="64"/>
      <c r="I2" s="64"/>
      <c r="J2" s="64"/>
      <c r="K2" s="64"/>
      <c r="L2" s="65"/>
    </row>
    <row r="3" spans="1:16" ht="15.75" thickBot="1" x14ac:dyDescent="0.3">
      <c r="A3" s="12">
        <v>45397</v>
      </c>
      <c r="B3" s="18">
        <v>20.47</v>
      </c>
      <c r="C3" s="126">
        <f>B3/B4-1</f>
        <v>-9.7044552271724815E-2</v>
      </c>
      <c r="G3" s="66" t="s">
        <v>109</v>
      </c>
      <c r="H3" s="85" t="s">
        <v>110</v>
      </c>
      <c r="I3" s="67" t="s">
        <v>111</v>
      </c>
      <c r="J3" s="68" t="s">
        <v>104</v>
      </c>
      <c r="K3" s="68" t="s">
        <v>112</v>
      </c>
      <c r="L3" s="69" t="s">
        <v>113</v>
      </c>
      <c r="P3" t="s">
        <v>133</v>
      </c>
    </row>
    <row r="4" spans="1:16" x14ac:dyDescent="0.25">
      <c r="A4" s="12">
        <v>45390</v>
      </c>
      <c r="B4" s="18">
        <v>22.67</v>
      </c>
      <c r="C4" s="126">
        <f t="shared" ref="C4:C67" si="0">B4/B5-1</f>
        <v>-1.2630662020905903E-2</v>
      </c>
      <c r="G4" s="70">
        <f>$H$19-3*$H$23</f>
        <v>-0.30196155743324171</v>
      </c>
      <c r="H4" s="71">
        <f>G4</f>
        <v>-0.30196155743324171</v>
      </c>
      <c r="I4" s="72">
        <f>COUNTIF(C:C,"&lt;="&amp;G4)</f>
        <v>0</v>
      </c>
      <c r="J4" s="72" t="str">
        <f>"Less than "&amp;TEXT(G4,"0,00%")</f>
        <v>Less than -30,20%</v>
      </c>
      <c r="K4" s="73">
        <f>I4/$H$31</f>
        <v>0</v>
      </c>
      <c r="L4" s="74">
        <f>K4</f>
        <v>0</v>
      </c>
    </row>
    <row r="5" spans="1:16" x14ac:dyDescent="0.25">
      <c r="A5" s="12">
        <v>45383</v>
      </c>
      <c r="B5" s="18">
        <v>22.96</v>
      </c>
      <c r="C5" s="126">
        <f t="shared" si="0"/>
        <v>-2.1729682746631784E-3</v>
      </c>
      <c r="G5" s="75">
        <f>$H$19-2.4*$H$23</f>
        <v>-0.2395044379089247</v>
      </c>
      <c r="H5" s="76">
        <f>G5</f>
        <v>-0.2395044379089247</v>
      </c>
      <c r="I5" s="77">
        <f>COUNTIFS(C:C,"&lt;="&amp;G5,C:C,"&gt;"&amp;G4)</f>
        <v>0</v>
      </c>
      <c r="J5" s="78" t="str">
        <f t="shared" ref="J5:J14" si="1">TEXT(G4,"0,00%")&amp;" to "&amp;TEXT(G5,"0,00%")</f>
        <v>-30,20% to -23,95%</v>
      </c>
      <c r="K5" s="79">
        <f>I5/$H$31</f>
        <v>0</v>
      </c>
      <c r="L5" s="80">
        <f>L4+K5</f>
        <v>0</v>
      </c>
    </row>
    <row r="6" spans="1:16" x14ac:dyDescent="0.25">
      <c r="A6" s="12">
        <v>45376</v>
      </c>
      <c r="B6" s="18">
        <v>23.01</v>
      </c>
      <c r="C6" s="126">
        <f t="shared" si="0"/>
        <v>-4.8387096774193505E-2</v>
      </c>
      <c r="G6" s="75">
        <f>$H$19-1.8*$H$23</f>
        <v>-0.17704731838460766</v>
      </c>
      <c r="H6" s="76">
        <f t="shared" ref="H6:H14" si="2">G6</f>
        <v>-0.17704731838460766</v>
      </c>
      <c r="I6" s="77">
        <f t="shared" ref="I6:I14" si="3">COUNTIFS(C:C,"&lt;="&amp;G6,C:C,"&gt;"&amp;G5)</f>
        <v>0</v>
      </c>
      <c r="J6" s="78" t="str">
        <f t="shared" si="1"/>
        <v>-23,95% to -17,70%</v>
      </c>
      <c r="K6" s="79">
        <f t="shared" ref="K6:K15" si="4">I6/$H$31</f>
        <v>0</v>
      </c>
      <c r="L6" s="80">
        <f t="shared" ref="L6:L15" si="5">L5+K6</f>
        <v>0</v>
      </c>
    </row>
    <row r="7" spans="1:16" x14ac:dyDescent="0.25">
      <c r="A7" s="12">
        <v>45369</v>
      </c>
      <c r="B7" s="18">
        <v>24.18</v>
      </c>
      <c r="C7" s="126">
        <f t="shared" si="0"/>
        <v>2.9374201787994991E-2</v>
      </c>
      <c r="G7" s="75">
        <f>$H$19-1.2*$H$23</f>
        <v>-0.11459019886029058</v>
      </c>
      <c r="H7" s="76">
        <f t="shared" si="2"/>
        <v>-0.11459019886029058</v>
      </c>
      <c r="I7" s="77">
        <f t="shared" si="3"/>
        <v>18</v>
      </c>
      <c r="J7" s="78" t="str">
        <f t="shared" si="1"/>
        <v>-17,70% to -11,46%</v>
      </c>
      <c r="K7" s="79">
        <f t="shared" si="4"/>
        <v>9.9447513812154692E-2</v>
      </c>
      <c r="L7" s="80">
        <f t="shared" si="5"/>
        <v>9.9447513812154692E-2</v>
      </c>
    </row>
    <row r="8" spans="1:16" x14ac:dyDescent="0.25">
      <c r="A8" s="12">
        <v>45362</v>
      </c>
      <c r="B8" s="18">
        <v>23.49</v>
      </c>
      <c r="C8" s="126">
        <f t="shared" si="0"/>
        <v>-9.7926301922953152E-2</v>
      </c>
      <c r="G8" s="75">
        <f>$H$19-0.6*$H$23</f>
        <v>-5.2133079335973533E-2</v>
      </c>
      <c r="H8" s="76">
        <f t="shared" si="2"/>
        <v>-5.2133079335973533E-2</v>
      </c>
      <c r="I8" s="77">
        <f t="shared" si="3"/>
        <v>34</v>
      </c>
      <c r="J8" s="78" t="str">
        <f t="shared" si="1"/>
        <v>-11,46% to -5,21%</v>
      </c>
      <c r="K8" s="79">
        <f t="shared" si="4"/>
        <v>0.18784530386740331</v>
      </c>
      <c r="L8" s="80">
        <f t="shared" si="5"/>
        <v>0.287292817679558</v>
      </c>
    </row>
    <row r="9" spans="1:16" x14ac:dyDescent="0.25">
      <c r="A9" s="12">
        <v>45355</v>
      </c>
      <c r="B9" s="18">
        <v>26.040001</v>
      </c>
      <c r="C9" s="126">
        <f t="shared" si="0"/>
        <v>4.4524709185719935E-2</v>
      </c>
      <c r="G9" s="75">
        <f>$H$19</f>
        <v>1.0324040188343523E-2</v>
      </c>
      <c r="H9" s="76">
        <f t="shared" si="2"/>
        <v>1.0324040188343523E-2</v>
      </c>
      <c r="I9" s="77">
        <f t="shared" si="3"/>
        <v>47</v>
      </c>
      <c r="J9" s="78" t="str">
        <f t="shared" si="1"/>
        <v>-5,21% to 1,03%</v>
      </c>
      <c r="K9" s="79">
        <f t="shared" si="4"/>
        <v>0.25966850828729282</v>
      </c>
      <c r="L9" s="80">
        <f t="shared" si="5"/>
        <v>0.54696132596685088</v>
      </c>
    </row>
    <row r="10" spans="1:16" x14ac:dyDescent="0.25">
      <c r="A10" s="12">
        <v>45348</v>
      </c>
      <c r="B10" s="18">
        <v>24.93</v>
      </c>
      <c r="C10" s="126">
        <f t="shared" si="0"/>
        <v>8.5328736844960229E-2</v>
      </c>
      <c r="G10" s="75">
        <f>$H$19+0.6*$H$23</f>
        <v>7.2781159712660581E-2</v>
      </c>
      <c r="H10" s="76">
        <f t="shared" si="2"/>
        <v>7.2781159712660581E-2</v>
      </c>
      <c r="I10" s="77">
        <f t="shared" si="3"/>
        <v>52</v>
      </c>
      <c r="J10" s="78" t="str">
        <f t="shared" si="1"/>
        <v>1,03% to 7,28%</v>
      </c>
      <c r="K10" s="79">
        <f t="shared" si="4"/>
        <v>0.287292817679558</v>
      </c>
      <c r="L10" s="80">
        <f t="shared" si="5"/>
        <v>0.83425414364640882</v>
      </c>
    </row>
    <row r="11" spans="1:16" x14ac:dyDescent="0.25">
      <c r="A11" s="12">
        <v>45341</v>
      </c>
      <c r="B11" s="18">
        <v>22.969999000000001</v>
      </c>
      <c r="C11" s="126">
        <f t="shared" si="0"/>
        <v>-6.0147378881040048E-2</v>
      </c>
      <c r="G11" s="75">
        <f>$H$19+1.2*$H$23</f>
        <v>0.13523827923697762</v>
      </c>
      <c r="H11" s="76">
        <f t="shared" si="2"/>
        <v>0.13523827923697762</v>
      </c>
      <c r="I11" s="77">
        <f t="shared" si="3"/>
        <v>21</v>
      </c>
      <c r="J11" s="78" t="str">
        <f t="shared" si="1"/>
        <v>7,28% to 13,52%</v>
      </c>
      <c r="K11" s="79">
        <f t="shared" si="4"/>
        <v>0.11602209944751381</v>
      </c>
      <c r="L11" s="80">
        <f t="shared" si="5"/>
        <v>0.95027624309392267</v>
      </c>
    </row>
    <row r="12" spans="1:16" x14ac:dyDescent="0.25">
      <c r="A12" s="12">
        <v>45334</v>
      </c>
      <c r="B12" s="18">
        <v>24.440000999999999</v>
      </c>
      <c r="C12" s="126">
        <f t="shared" si="0"/>
        <v>2.4611157695288988E-3</v>
      </c>
      <c r="G12" s="75">
        <f>$H$19+1.8*$H$23</f>
        <v>0.19769539876129469</v>
      </c>
      <c r="H12" s="76">
        <f t="shared" si="2"/>
        <v>0.19769539876129469</v>
      </c>
      <c r="I12" s="77">
        <f t="shared" si="3"/>
        <v>5</v>
      </c>
      <c r="J12" s="78" t="str">
        <f t="shared" si="1"/>
        <v>13,52% to 19,77%</v>
      </c>
      <c r="K12" s="79">
        <f t="shared" si="4"/>
        <v>2.7624309392265192E-2</v>
      </c>
      <c r="L12" s="80">
        <f t="shared" si="5"/>
        <v>0.9779005524861879</v>
      </c>
    </row>
    <row r="13" spans="1:16" x14ac:dyDescent="0.25">
      <c r="A13" s="12">
        <v>45327</v>
      </c>
      <c r="B13" s="18">
        <v>24.379999000000002</v>
      </c>
      <c r="C13" s="126">
        <f t="shared" si="0"/>
        <v>0.43243237367802601</v>
      </c>
      <c r="G13" s="75">
        <f>$H$19+2.4*$H$23</f>
        <v>0.26015251828561176</v>
      </c>
      <c r="H13" s="76">
        <f t="shared" si="2"/>
        <v>0.26015251828561176</v>
      </c>
      <c r="I13" s="77">
        <f t="shared" si="3"/>
        <v>4</v>
      </c>
      <c r="J13" s="78" t="str">
        <f t="shared" si="1"/>
        <v>19,77% to 26,02%</v>
      </c>
      <c r="K13" s="79">
        <f t="shared" si="4"/>
        <v>2.2099447513812154E-2</v>
      </c>
      <c r="L13" s="80">
        <f t="shared" si="5"/>
        <v>1</v>
      </c>
    </row>
    <row r="14" spans="1:16" x14ac:dyDescent="0.25">
      <c r="A14" s="12">
        <v>45320</v>
      </c>
      <c r="B14" s="18">
        <v>17.02</v>
      </c>
      <c r="C14" s="126">
        <f t="shared" si="0"/>
        <v>4.0978593272171127E-2</v>
      </c>
      <c r="G14" s="75">
        <f>$H$19+3*$H$23</f>
        <v>0.3226096378099288</v>
      </c>
      <c r="H14" s="76">
        <f t="shared" si="2"/>
        <v>0.3226096378099288</v>
      </c>
      <c r="I14" s="77">
        <f t="shared" si="3"/>
        <v>2</v>
      </c>
      <c r="J14" s="78" t="str">
        <f t="shared" si="1"/>
        <v>26,02% to 32,26%</v>
      </c>
      <c r="K14" s="79">
        <f t="shared" si="4"/>
        <v>1.1049723756906077E-2</v>
      </c>
      <c r="L14" s="80">
        <f t="shared" si="5"/>
        <v>1.011049723756906</v>
      </c>
    </row>
    <row r="15" spans="1:16" ht="15.75" thickBot="1" x14ac:dyDescent="0.3">
      <c r="A15" s="12">
        <v>45313</v>
      </c>
      <c r="B15" s="18">
        <v>16.350000000000001</v>
      </c>
      <c r="C15" s="126">
        <f t="shared" si="0"/>
        <v>-2.5625803002037761E-2</v>
      </c>
      <c r="G15" s="81"/>
      <c r="H15" s="82" t="s">
        <v>114</v>
      </c>
      <c r="I15" s="82">
        <f>COUNTIF(C:C,"&gt;"&amp;G14)</f>
        <v>3</v>
      </c>
      <c r="J15" s="82" t="str">
        <f>"Greater than "&amp;TEXT(G14,"0,00%")</f>
        <v>Greater than 32,26%</v>
      </c>
      <c r="K15" s="84">
        <f t="shared" si="4"/>
        <v>1.6574585635359115E-2</v>
      </c>
      <c r="L15" s="84">
        <f t="shared" si="5"/>
        <v>1.0276243093922652</v>
      </c>
    </row>
    <row r="16" spans="1:16" ht="15.75" thickBot="1" x14ac:dyDescent="0.3">
      <c r="A16" s="12">
        <v>45306</v>
      </c>
      <c r="B16" s="18">
        <v>16.780000999999999</v>
      </c>
      <c r="C16" s="126">
        <f t="shared" si="0"/>
        <v>1.1933770883052475E-3</v>
      </c>
      <c r="G16" s="116"/>
      <c r="L16" s="88"/>
    </row>
    <row r="17" spans="1:12" x14ac:dyDescent="0.25">
      <c r="A17" s="12">
        <v>45299</v>
      </c>
      <c r="B17" s="18">
        <v>16.760000000000002</v>
      </c>
      <c r="C17" s="126">
        <f t="shared" si="0"/>
        <v>4.8811013767209088E-2</v>
      </c>
      <c r="G17" s="142" t="s">
        <v>95</v>
      </c>
      <c r="H17" s="143"/>
      <c r="L17" s="88"/>
    </row>
    <row r="18" spans="1:12" x14ac:dyDescent="0.25">
      <c r="A18" s="12">
        <v>45292</v>
      </c>
      <c r="B18" s="18">
        <v>15.98</v>
      </c>
      <c r="C18" s="126">
        <f t="shared" si="0"/>
        <v>-6.9306930693069368E-2</v>
      </c>
      <c r="G18" s="144"/>
      <c r="H18" s="145"/>
      <c r="L18" s="88"/>
    </row>
    <row r="19" spans="1:12" x14ac:dyDescent="0.25">
      <c r="A19" s="12">
        <v>45285</v>
      </c>
      <c r="B19" s="18">
        <v>17.170000000000002</v>
      </c>
      <c r="C19" s="126">
        <f t="shared" si="0"/>
        <v>-1.378518093049963E-2</v>
      </c>
      <c r="G19" s="121" t="s">
        <v>96</v>
      </c>
      <c r="H19" s="122">
        <v>1.0324040188343523E-2</v>
      </c>
      <c r="L19" s="88"/>
    </row>
    <row r="20" spans="1:12" x14ac:dyDescent="0.25">
      <c r="A20" s="12">
        <v>45278</v>
      </c>
      <c r="B20" s="18">
        <v>17.41</v>
      </c>
      <c r="C20" s="126">
        <f t="shared" si="0"/>
        <v>-4.3406645966667767E-2</v>
      </c>
      <c r="G20" s="121" t="s">
        <v>97</v>
      </c>
      <c r="H20" s="122">
        <v>7.7373352223140783E-3</v>
      </c>
      <c r="L20" s="88"/>
    </row>
    <row r="21" spans="1:12" x14ac:dyDescent="0.25">
      <c r="A21" s="12">
        <v>45271</v>
      </c>
      <c r="B21" s="18">
        <v>18.200001</v>
      </c>
      <c r="C21" s="126">
        <f t="shared" si="0"/>
        <v>2.4198142937535305E-2</v>
      </c>
      <c r="G21" s="121" t="s">
        <v>98</v>
      </c>
      <c r="H21" s="122">
        <v>5.0668357930372387E-3</v>
      </c>
      <c r="L21" s="88"/>
    </row>
    <row r="22" spans="1:12" x14ac:dyDescent="0.25">
      <c r="A22" s="12">
        <v>45264</v>
      </c>
      <c r="B22" s="18">
        <v>17.77</v>
      </c>
      <c r="C22" s="126">
        <f t="shared" si="0"/>
        <v>-0.12333497779970404</v>
      </c>
      <c r="G22" s="121" t="s">
        <v>99</v>
      </c>
      <c r="H22" s="122"/>
      <c r="L22" s="88"/>
    </row>
    <row r="23" spans="1:12" x14ac:dyDescent="0.25">
      <c r="A23" s="12">
        <v>45257</v>
      </c>
      <c r="B23" s="18">
        <v>20.27</v>
      </c>
      <c r="C23" s="126">
        <f t="shared" si="0"/>
        <v>5.5729111680775434E-2</v>
      </c>
      <c r="G23" s="121" t="s">
        <v>100</v>
      </c>
      <c r="H23" s="122">
        <v>0.10409519920719509</v>
      </c>
      <c r="L23" s="88"/>
    </row>
    <row r="24" spans="1:12" x14ac:dyDescent="0.25">
      <c r="A24" s="12">
        <v>45250</v>
      </c>
      <c r="B24" s="18">
        <v>19.200001</v>
      </c>
      <c r="C24" s="126">
        <f t="shared" si="0"/>
        <v>-6.2957491459248338E-2</v>
      </c>
      <c r="G24" s="121" t="s">
        <v>101</v>
      </c>
      <c r="H24" s="122">
        <v>1.0835810497985631E-2</v>
      </c>
      <c r="L24" s="88"/>
    </row>
    <row r="25" spans="1:12" x14ac:dyDescent="0.25">
      <c r="A25" s="12">
        <v>45243</v>
      </c>
      <c r="B25" s="18">
        <v>20.49</v>
      </c>
      <c r="C25" s="126">
        <f t="shared" si="0"/>
        <v>4.1687849517030751E-2</v>
      </c>
      <c r="G25" s="121" t="s">
        <v>102</v>
      </c>
      <c r="H25" s="123">
        <v>4.4499182088364986</v>
      </c>
      <c r="L25" s="88"/>
    </row>
    <row r="26" spans="1:12" x14ac:dyDescent="0.25">
      <c r="A26" s="12">
        <v>45236</v>
      </c>
      <c r="B26" s="18">
        <v>19.670000000000002</v>
      </c>
      <c r="C26" s="126">
        <f t="shared" si="0"/>
        <v>4.1291743848160145E-2</v>
      </c>
      <c r="G26" s="121" t="s">
        <v>103</v>
      </c>
      <c r="H26" s="123">
        <v>1.4086978788475739</v>
      </c>
      <c r="L26" s="88"/>
    </row>
    <row r="27" spans="1:12" x14ac:dyDescent="0.25">
      <c r="A27" s="12">
        <v>45229</v>
      </c>
      <c r="B27" s="18">
        <v>18.889999</v>
      </c>
      <c r="C27" s="126">
        <f t="shared" si="0"/>
        <v>0.25348367617783674</v>
      </c>
      <c r="G27" s="121" t="s">
        <v>104</v>
      </c>
      <c r="H27" s="122">
        <v>0.69982901111427775</v>
      </c>
      <c r="L27" s="88"/>
    </row>
    <row r="28" spans="1:12" x14ac:dyDescent="0.25">
      <c r="A28" s="12">
        <v>45222</v>
      </c>
      <c r="B28" s="18">
        <v>15.07</v>
      </c>
      <c r="C28" s="126">
        <f t="shared" si="0"/>
        <v>-6.4556234354051223E-2</v>
      </c>
      <c r="G28" s="121" t="s">
        <v>105</v>
      </c>
      <c r="H28" s="122">
        <v>-0.17586206896551726</v>
      </c>
      <c r="L28" s="88"/>
    </row>
    <row r="29" spans="1:12" x14ac:dyDescent="0.25">
      <c r="A29" s="12">
        <v>45215</v>
      </c>
      <c r="B29" s="18">
        <v>16.110001</v>
      </c>
      <c r="C29" s="126">
        <f t="shared" si="0"/>
        <v>-7.2004604147200224E-2</v>
      </c>
      <c r="G29" s="121" t="s">
        <v>106</v>
      </c>
      <c r="H29" s="122">
        <v>0.5239669421487605</v>
      </c>
      <c r="L29" s="88"/>
    </row>
    <row r="30" spans="1:12" x14ac:dyDescent="0.25">
      <c r="A30" s="12">
        <v>45208</v>
      </c>
      <c r="B30" s="18">
        <v>17.360001</v>
      </c>
      <c r="C30" s="126">
        <f t="shared" si="0"/>
        <v>4.5153519256260211E-2</v>
      </c>
      <c r="G30" s="121" t="s">
        <v>107</v>
      </c>
      <c r="H30" s="123">
        <v>1.8686512740901775</v>
      </c>
      <c r="L30" s="88"/>
    </row>
    <row r="31" spans="1:12" ht="15.75" thickBot="1" x14ac:dyDescent="0.3">
      <c r="A31" s="12">
        <v>45201</v>
      </c>
      <c r="B31" s="18">
        <v>16.610001</v>
      </c>
      <c r="C31" s="126">
        <f t="shared" si="0"/>
        <v>3.8125062500000029E-2</v>
      </c>
      <c r="G31" s="120" t="s">
        <v>108</v>
      </c>
      <c r="H31" s="102">
        <v>181</v>
      </c>
      <c r="L31" s="88"/>
    </row>
    <row r="32" spans="1:12" ht="15.75" thickBot="1" x14ac:dyDescent="0.3">
      <c r="A32" s="12">
        <v>45194</v>
      </c>
      <c r="B32" s="18">
        <v>16</v>
      </c>
      <c r="C32" s="126">
        <f t="shared" si="0"/>
        <v>0.13234253361641901</v>
      </c>
      <c r="G32" s="119"/>
      <c r="L32" s="88"/>
    </row>
    <row r="33" spans="1:12" x14ac:dyDescent="0.25">
      <c r="A33" s="12">
        <v>45187</v>
      </c>
      <c r="B33" s="18">
        <v>14.13</v>
      </c>
      <c r="C33" s="126">
        <f t="shared" si="0"/>
        <v>-7.8277886497064575E-2</v>
      </c>
      <c r="G33" s="117"/>
      <c r="H33" s="86" t="s">
        <v>115</v>
      </c>
      <c r="I33" s="86" t="s">
        <v>108</v>
      </c>
      <c r="J33" s="86" t="s">
        <v>116</v>
      </c>
      <c r="K33" s="87" t="s">
        <v>117</v>
      </c>
      <c r="L33" s="88"/>
    </row>
    <row r="34" spans="1:12" x14ac:dyDescent="0.25">
      <c r="A34" s="12">
        <v>45180</v>
      </c>
      <c r="B34" s="18">
        <v>15.33</v>
      </c>
      <c r="C34" s="126">
        <f t="shared" si="0"/>
        <v>1.3218770654329193E-2</v>
      </c>
      <c r="G34" s="114" t="s">
        <v>118</v>
      </c>
      <c r="H34" s="79">
        <f>AVERAGEIF(C:C,"&gt;0")</f>
        <v>7.8537793421395052E-2</v>
      </c>
      <c r="I34" s="77">
        <f>COUNTIF(C:C,"&gt;0")</f>
        <v>99</v>
      </c>
      <c r="J34" s="79">
        <f>I34/$H$31</f>
        <v>0.54696132596685088</v>
      </c>
      <c r="K34" s="80">
        <f>J34*H34</f>
        <v>4.2957135628276855E-2</v>
      </c>
      <c r="L34" s="88"/>
    </row>
    <row r="35" spans="1:12" x14ac:dyDescent="0.25">
      <c r="A35" s="12">
        <v>45173</v>
      </c>
      <c r="B35" s="18">
        <v>15.13</v>
      </c>
      <c r="C35" s="126">
        <f t="shared" si="0"/>
        <v>-3.2938076416336726E-3</v>
      </c>
      <c r="G35" s="114" t="s">
        <v>119</v>
      </c>
      <c r="H35" s="79">
        <f>AVERAGEIF(C:C,"&lt;0")</f>
        <v>-6.9104728023490519E-2</v>
      </c>
      <c r="I35" s="77">
        <f>COUNTIF(C:C,"&lt;0")</f>
        <v>87</v>
      </c>
      <c r="J35" s="79">
        <f>I35/$H$31</f>
        <v>0.48066298342541436</v>
      </c>
      <c r="K35" s="80">
        <f t="shared" ref="K35:K36" si="6">J35*H35</f>
        <v>-3.321608474057279E-2</v>
      </c>
      <c r="L35" s="88"/>
    </row>
    <row r="36" spans="1:12" ht="15.75" thickBot="1" x14ac:dyDescent="0.3">
      <c r="A36" s="12">
        <v>45166</v>
      </c>
      <c r="B36" s="18">
        <v>15.18</v>
      </c>
      <c r="C36" s="126">
        <f t="shared" si="0"/>
        <v>4.4735030970405987E-2</v>
      </c>
      <c r="G36" s="118" t="s">
        <v>120</v>
      </c>
      <c r="H36" s="82">
        <v>0</v>
      </c>
      <c r="I36" s="82">
        <f>COUNTIF(C:C,"0")</f>
        <v>0</v>
      </c>
      <c r="J36" s="83">
        <f>I36/$H$31</f>
        <v>0</v>
      </c>
      <c r="K36" s="84">
        <f t="shared" si="6"/>
        <v>0</v>
      </c>
      <c r="L36" s="88"/>
    </row>
    <row r="37" spans="1:12" ht="15.75" thickBot="1" x14ac:dyDescent="0.3">
      <c r="A37" s="12">
        <v>45159</v>
      </c>
      <c r="B37" s="18">
        <v>14.53</v>
      </c>
      <c r="C37" s="126">
        <f t="shared" si="0"/>
        <v>9.0277777777776347E-3</v>
      </c>
      <c r="G37" s="119"/>
      <c r="H37" s="89"/>
      <c r="I37" s="89"/>
      <c r="J37" s="89"/>
      <c r="K37" s="89"/>
      <c r="L37" s="88"/>
    </row>
    <row r="38" spans="1:12" x14ac:dyDescent="0.25">
      <c r="A38" s="12">
        <v>45152</v>
      </c>
      <c r="B38" s="18">
        <v>14.4</v>
      </c>
      <c r="C38" s="126">
        <f t="shared" si="0"/>
        <v>-6.5541855937702787E-2</v>
      </c>
      <c r="G38" s="70" t="s">
        <v>121</v>
      </c>
      <c r="H38" s="86" t="s">
        <v>122</v>
      </c>
      <c r="I38" s="86" t="s">
        <v>123</v>
      </c>
      <c r="J38" s="86" t="s">
        <v>124</v>
      </c>
      <c r="K38" s="86" t="s">
        <v>125</v>
      </c>
      <c r="L38" s="87" t="s">
        <v>126</v>
      </c>
    </row>
    <row r="39" spans="1:12" x14ac:dyDescent="0.25">
      <c r="A39" s="12">
        <v>45145</v>
      </c>
      <c r="B39" s="18">
        <v>15.41</v>
      </c>
      <c r="C39" s="126">
        <f t="shared" si="0"/>
        <v>-0.15329674981885988</v>
      </c>
      <c r="G39" s="115">
        <v>1</v>
      </c>
      <c r="H39" s="79">
        <f>$H$19+($G39*$H$23)</f>
        <v>0.11441923939553862</v>
      </c>
      <c r="I39" s="79">
        <f>$H$19-($G39*$H$23)</f>
        <v>-9.3771159018851566E-2</v>
      </c>
      <c r="J39" s="77">
        <f>COUNTIFS(C:C,"&lt;"&amp;H39,C:C,"&gt;"&amp;I39)</f>
        <v>145</v>
      </c>
      <c r="K39" s="79">
        <f>J39/$H$31</f>
        <v>0.80110497237569056</v>
      </c>
      <c r="L39" s="80">
        <v>0.68269999999999997</v>
      </c>
    </row>
    <row r="40" spans="1:12" x14ac:dyDescent="0.25">
      <c r="A40" s="12">
        <v>45138</v>
      </c>
      <c r="B40" s="18">
        <v>18.200001</v>
      </c>
      <c r="C40" s="126">
        <f t="shared" si="0"/>
        <v>2.1897923744970349E-2</v>
      </c>
      <c r="G40" s="115">
        <v>2</v>
      </c>
      <c r="H40" s="79">
        <f>$H$19+($G40*$H$23)</f>
        <v>0.2185144386027337</v>
      </c>
      <c r="I40" s="79">
        <f>$H$19-($G40*$H$23)</f>
        <v>-0.19786635822604667</v>
      </c>
      <c r="J40" s="77">
        <f>COUNTIFS(C:C,"&lt;"&amp;H40,C:C,"&gt;"&amp;I40)</f>
        <v>177</v>
      </c>
      <c r="K40" s="79">
        <f>J40/$H$31</f>
        <v>0.97790055248618779</v>
      </c>
      <c r="L40" s="80">
        <v>0.95450000000000002</v>
      </c>
    </row>
    <row r="41" spans="1:12" x14ac:dyDescent="0.25">
      <c r="A41" s="12">
        <v>45131</v>
      </c>
      <c r="B41" s="18">
        <v>17.809999000000001</v>
      </c>
      <c r="C41" s="126">
        <f t="shared" si="0"/>
        <v>8.3992635423006723E-2</v>
      </c>
      <c r="G41" s="115">
        <v>3</v>
      </c>
      <c r="H41" s="79">
        <f>$H$19+($G41*$H$23)</f>
        <v>0.3226096378099288</v>
      </c>
      <c r="I41" s="79">
        <f>$H$19-($G41*$H$23)</f>
        <v>-0.30196155743324171</v>
      </c>
      <c r="J41" s="77">
        <f>COUNTIFS(C:C,"&lt;"&amp;H41,C:C,"&gt;"&amp;I41)</f>
        <v>183</v>
      </c>
      <c r="K41" s="79">
        <f>J41/$H$31</f>
        <v>1.011049723756906</v>
      </c>
      <c r="L41" s="90">
        <v>0.99729999999999996</v>
      </c>
    </row>
    <row r="42" spans="1:12" ht="15.75" thickBot="1" x14ac:dyDescent="0.3">
      <c r="A42" s="12">
        <v>45124</v>
      </c>
      <c r="B42" s="18">
        <v>16.43</v>
      </c>
      <c r="C42" s="126">
        <f t="shared" si="0"/>
        <v>1.8292682926830395E-3</v>
      </c>
      <c r="G42" s="75"/>
      <c r="L42" s="90"/>
    </row>
    <row r="43" spans="1:12" ht="15.75" thickBot="1" x14ac:dyDescent="0.3">
      <c r="A43" s="12">
        <v>45117</v>
      </c>
      <c r="B43" s="18">
        <v>16.399999999999999</v>
      </c>
      <c r="C43" s="126">
        <f t="shared" si="0"/>
        <v>6.9100391134289341E-2</v>
      </c>
      <c r="G43" s="139" t="s">
        <v>127</v>
      </c>
      <c r="H43" s="140"/>
      <c r="I43" s="140"/>
      <c r="J43" s="140"/>
      <c r="K43" s="140"/>
      <c r="L43" s="141"/>
    </row>
    <row r="44" spans="1:12" x14ac:dyDescent="0.25">
      <c r="A44" s="12">
        <v>45110</v>
      </c>
      <c r="B44" s="18">
        <v>15.34</v>
      </c>
      <c r="C44" s="126">
        <f t="shared" si="0"/>
        <v>6.5231572080892697E-4</v>
      </c>
      <c r="G44" s="91">
        <v>0.01</v>
      </c>
      <c r="H44" s="92">
        <f t="shared" ref="H44:H58" si="7">_xlfn.PERCENTILE.INC(C:C,G44)</f>
        <v>-0.15577281050067249</v>
      </c>
      <c r="I44" s="93">
        <v>0.2</v>
      </c>
      <c r="J44" s="92">
        <f t="shared" ref="J44:J56" si="8">_xlfn.PERCENTILE.INC(C:C,I44)</f>
        <v>-7.1801566579634435E-2</v>
      </c>
      <c r="K44" s="93">
        <v>0.85</v>
      </c>
      <c r="L44" s="94">
        <f t="shared" ref="L44:L58" si="9">_xlfn.PERCENTILE.INC(C:C,K44)</f>
        <v>8.7748893805309702E-2</v>
      </c>
    </row>
    <row r="45" spans="1:12" x14ac:dyDescent="0.25">
      <c r="A45" s="12">
        <v>45103</v>
      </c>
      <c r="B45" s="18">
        <v>15.33</v>
      </c>
      <c r="C45" s="126">
        <f t="shared" si="0"/>
        <v>9.2658588738417702E-2</v>
      </c>
      <c r="G45" s="95">
        <v>0.02</v>
      </c>
      <c r="H45" s="96">
        <f t="shared" si="7"/>
        <v>-0.15193499611682915</v>
      </c>
      <c r="I45" s="97">
        <v>0.25</v>
      </c>
      <c r="J45" s="96">
        <f t="shared" si="8"/>
        <v>-6.2930299672620704E-2</v>
      </c>
      <c r="K45" s="97">
        <v>0.86</v>
      </c>
      <c r="L45" s="98">
        <f t="shared" si="9"/>
        <v>8.9345454895718879E-2</v>
      </c>
    </row>
    <row r="46" spans="1:12" x14ac:dyDescent="0.25">
      <c r="A46" s="12">
        <v>45096</v>
      </c>
      <c r="B46" s="18">
        <v>14.03</v>
      </c>
      <c r="C46" s="126">
        <f t="shared" si="0"/>
        <v>-0.13926375087507681</v>
      </c>
      <c r="G46" s="95">
        <v>0.03</v>
      </c>
      <c r="H46" s="96">
        <f t="shared" si="7"/>
        <v>-0.14518649309289436</v>
      </c>
      <c r="I46" s="97">
        <v>0.3</v>
      </c>
      <c r="J46" s="96">
        <f t="shared" si="8"/>
        <v>-4.4842239379774329E-2</v>
      </c>
      <c r="K46" s="97">
        <v>0.87</v>
      </c>
      <c r="L46" s="98">
        <f t="shared" si="9"/>
        <v>9.2648942991630623E-2</v>
      </c>
    </row>
    <row r="47" spans="1:12" x14ac:dyDescent="0.25">
      <c r="A47" s="12">
        <v>45089</v>
      </c>
      <c r="B47" s="18">
        <v>16.299999</v>
      </c>
      <c r="C47" s="126">
        <f t="shared" si="0"/>
        <v>8.5219640479360814E-2</v>
      </c>
      <c r="G47" s="95">
        <v>0.04</v>
      </c>
      <c r="H47" s="96">
        <f t="shared" si="7"/>
        <v>-0.14046836614215991</v>
      </c>
      <c r="I47" s="97">
        <v>0.35</v>
      </c>
      <c r="J47" s="96">
        <f t="shared" si="8"/>
        <v>-3.2393539088661938E-2</v>
      </c>
      <c r="K47" s="97">
        <v>0.88</v>
      </c>
      <c r="L47" s="98">
        <f t="shared" si="9"/>
        <v>9.6729308853215401E-2</v>
      </c>
    </row>
    <row r="48" spans="1:12" x14ac:dyDescent="0.25">
      <c r="A48" s="12">
        <v>45082</v>
      </c>
      <c r="B48" s="18">
        <v>15.02</v>
      </c>
      <c r="C48" s="126">
        <f t="shared" si="0"/>
        <v>3.4435261707989051E-2</v>
      </c>
      <c r="G48" s="95">
        <v>0.05</v>
      </c>
      <c r="H48" s="96">
        <f t="shared" si="7"/>
        <v>-0.13693248017884035</v>
      </c>
      <c r="I48" s="97">
        <v>0.4</v>
      </c>
      <c r="J48" s="96">
        <f t="shared" si="8"/>
        <v>-1.4884979702300294E-2</v>
      </c>
      <c r="K48" s="97">
        <v>0.89</v>
      </c>
      <c r="L48" s="98">
        <f t="shared" si="9"/>
        <v>0.10013127669502167</v>
      </c>
    </row>
    <row r="49" spans="1:12" x14ac:dyDescent="0.25">
      <c r="A49" s="12">
        <v>45075</v>
      </c>
      <c r="B49" s="18">
        <v>14.52</v>
      </c>
      <c r="C49" s="126">
        <f t="shared" si="0"/>
        <v>6.3736263736263732E-2</v>
      </c>
      <c r="G49" s="95">
        <v>0.06</v>
      </c>
      <c r="H49" s="96">
        <f t="shared" si="7"/>
        <v>-0.12972480212779652</v>
      </c>
      <c r="I49" s="97">
        <v>0.45</v>
      </c>
      <c r="J49" s="96">
        <f t="shared" si="8"/>
        <v>-2.3592226982056819E-3</v>
      </c>
      <c r="K49" s="97">
        <v>0.9</v>
      </c>
      <c r="L49" s="98">
        <f t="shared" si="9"/>
        <v>0.10615216890751411</v>
      </c>
    </row>
    <row r="50" spans="1:12" x14ac:dyDescent="0.25">
      <c r="A50" s="12">
        <v>45068</v>
      </c>
      <c r="B50" s="18">
        <v>13.65</v>
      </c>
      <c r="C50" s="126">
        <f t="shared" si="0"/>
        <v>0.16567036720751482</v>
      </c>
      <c r="G50" s="95">
        <v>7.0000000000000007E-2</v>
      </c>
      <c r="H50" s="96">
        <f t="shared" si="7"/>
        <v>-0.12199367196690837</v>
      </c>
      <c r="I50" s="97">
        <v>0.5</v>
      </c>
      <c r="J50" s="96">
        <f t="shared" si="8"/>
        <v>3.5489698754295196E-3</v>
      </c>
      <c r="K50" s="97">
        <v>0.91</v>
      </c>
      <c r="L50" s="98">
        <f t="shared" si="9"/>
        <v>0.11744264142907022</v>
      </c>
    </row>
    <row r="51" spans="1:12" x14ac:dyDescent="0.25">
      <c r="A51" s="12">
        <v>45061</v>
      </c>
      <c r="B51" s="18">
        <v>11.71</v>
      </c>
      <c r="C51" s="126">
        <f t="shared" si="0"/>
        <v>0.23263157894736852</v>
      </c>
      <c r="G51" s="95">
        <v>0.08</v>
      </c>
      <c r="H51" s="96">
        <f t="shared" si="7"/>
        <v>-0.12077857622912676</v>
      </c>
      <c r="I51" s="97">
        <v>0.55000000000000004</v>
      </c>
      <c r="J51" s="96">
        <f t="shared" si="8"/>
        <v>1.6202433823097856E-2</v>
      </c>
      <c r="K51" s="97">
        <v>0.92</v>
      </c>
      <c r="L51" s="98">
        <f t="shared" si="9"/>
        <v>0.12690748828605822</v>
      </c>
    </row>
    <row r="52" spans="1:12" x14ac:dyDescent="0.25">
      <c r="A52" s="12">
        <v>45054</v>
      </c>
      <c r="B52" s="18">
        <v>9.5</v>
      </c>
      <c r="C52" s="126">
        <f t="shared" si="0"/>
        <v>0.28205128205128194</v>
      </c>
      <c r="G52" s="95">
        <v>0.09</v>
      </c>
      <c r="H52" s="96">
        <f t="shared" si="7"/>
        <v>-0.11855919583023088</v>
      </c>
      <c r="I52" s="97">
        <v>0.6</v>
      </c>
      <c r="J52" s="96">
        <f t="shared" si="8"/>
        <v>2.4198142937535305E-2</v>
      </c>
      <c r="K52" s="97">
        <v>0.93</v>
      </c>
      <c r="L52" s="98">
        <f t="shared" si="9"/>
        <v>0.14049594015645436</v>
      </c>
    </row>
    <row r="53" spans="1:12" x14ac:dyDescent="0.25">
      <c r="A53" s="12">
        <v>45047</v>
      </c>
      <c r="B53" s="18">
        <v>7.41</v>
      </c>
      <c r="C53" s="126">
        <f t="shared" si="0"/>
        <v>-4.387096774193544E-2</v>
      </c>
      <c r="G53" s="95">
        <v>0.1</v>
      </c>
      <c r="H53" s="96">
        <f t="shared" si="7"/>
        <v>-0.10906328444972918</v>
      </c>
      <c r="I53" s="97">
        <v>0.65</v>
      </c>
      <c r="J53" s="96">
        <f t="shared" si="8"/>
        <v>3.8402191035583955E-2</v>
      </c>
      <c r="K53" s="97">
        <v>0.94</v>
      </c>
      <c r="L53" s="98">
        <f t="shared" si="9"/>
        <v>0.14231505653632257</v>
      </c>
    </row>
    <row r="54" spans="1:12" x14ac:dyDescent="0.25">
      <c r="A54" s="12">
        <v>45040</v>
      </c>
      <c r="B54" s="18">
        <v>7.75</v>
      </c>
      <c r="C54" s="126">
        <f t="shared" si="0"/>
        <v>-5.2567237163814173E-2</v>
      </c>
      <c r="G54" s="95">
        <v>0.11</v>
      </c>
      <c r="H54" s="96">
        <f t="shared" si="7"/>
        <v>-9.7770038041743515E-2</v>
      </c>
      <c r="I54" s="97">
        <v>0.7</v>
      </c>
      <c r="J54" s="96">
        <f t="shared" si="8"/>
        <v>4.3372125401062722E-2</v>
      </c>
      <c r="K54" s="97">
        <v>0.95</v>
      </c>
      <c r="L54" s="98">
        <f t="shared" si="9"/>
        <v>0.16143631970943356</v>
      </c>
    </row>
    <row r="55" spans="1:12" x14ac:dyDescent="0.25">
      <c r="A55" s="12">
        <v>45033</v>
      </c>
      <c r="B55" s="18">
        <v>8.18</v>
      </c>
      <c r="C55" s="126">
        <f t="shared" si="0"/>
        <v>-7.1509648127128345E-2</v>
      </c>
      <c r="G55" s="95">
        <v>0.12</v>
      </c>
      <c r="H55" s="96">
        <f t="shared" si="7"/>
        <v>-9.6952135130901423E-2</v>
      </c>
      <c r="I55" s="97">
        <v>0.75</v>
      </c>
      <c r="J55" s="96">
        <f t="shared" si="8"/>
        <v>5.5361642602520578E-2</v>
      </c>
      <c r="K55" s="97">
        <v>0.96</v>
      </c>
      <c r="L55" s="98">
        <f t="shared" si="9"/>
        <v>0.22959226294764878</v>
      </c>
    </row>
    <row r="56" spans="1:12" x14ac:dyDescent="0.25">
      <c r="A56" s="12">
        <v>45026</v>
      </c>
      <c r="B56" s="18">
        <v>8.81</v>
      </c>
      <c r="C56" s="126">
        <f t="shared" si="0"/>
        <v>8.8998763906056988E-2</v>
      </c>
      <c r="G56" s="95">
        <v>0.13</v>
      </c>
      <c r="H56" s="96">
        <f t="shared" si="7"/>
        <v>-9.1164761931798441E-2</v>
      </c>
      <c r="I56" s="97">
        <v>0.8</v>
      </c>
      <c r="J56" s="96">
        <f t="shared" si="8"/>
        <v>7.0063782168313438E-2</v>
      </c>
      <c r="K56" s="97">
        <v>0.97</v>
      </c>
      <c r="L56" s="98">
        <f t="shared" si="9"/>
        <v>0.24422542127031757</v>
      </c>
    </row>
    <row r="57" spans="1:12" x14ac:dyDescent="0.25">
      <c r="A57" s="12">
        <v>45019</v>
      </c>
      <c r="B57" s="18">
        <v>8.09</v>
      </c>
      <c r="C57" s="126">
        <f t="shared" si="0"/>
        <v>-4.2603550295857939E-2</v>
      </c>
      <c r="G57" s="95">
        <v>0.14000000000000001</v>
      </c>
      <c r="H57" s="96">
        <f t="shared" si="7"/>
        <v>-9.0317089480707519E-2</v>
      </c>
      <c r="I57" s="97"/>
      <c r="J57" s="96"/>
      <c r="K57" s="97">
        <v>0.98</v>
      </c>
      <c r="L57" s="98">
        <f t="shared" si="9"/>
        <v>0.27408505269142452</v>
      </c>
    </row>
    <row r="58" spans="1:12" ht="15.75" thickBot="1" x14ac:dyDescent="0.3">
      <c r="A58" s="12">
        <v>45012</v>
      </c>
      <c r="B58" s="18">
        <v>8.4499999999999993</v>
      </c>
      <c r="C58" s="126">
        <f t="shared" si="0"/>
        <v>3.0487804878048808E-2</v>
      </c>
      <c r="G58" s="99">
        <v>0.15</v>
      </c>
      <c r="H58" s="100">
        <f t="shared" si="7"/>
        <v>-8.8419732441471638E-2</v>
      </c>
      <c r="I58" s="101"/>
      <c r="J58" s="102"/>
      <c r="K58" s="103">
        <v>0.99</v>
      </c>
      <c r="L58" s="104">
        <f t="shared" si="9"/>
        <v>0.37532882446236554</v>
      </c>
    </row>
    <row r="59" spans="1:12" ht="15.75" thickBot="1" x14ac:dyDescent="0.3">
      <c r="A59" s="12">
        <v>45005</v>
      </c>
      <c r="B59" s="18">
        <v>8.1999999999999993</v>
      </c>
      <c r="C59" s="126">
        <f t="shared" si="0"/>
        <v>4.0609137055837463E-2</v>
      </c>
    </row>
    <row r="60" spans="1:12" x14ac:dyDescent="0.25">
      <c r="A60" s="12">
        <v>44998</v>
      </c>
      <c r="B60" s="18">
        <v>7.88</v>
      </c>
      <c r="C60" s="126">
        <f t="shared" si="0"/>
        <v>7.210884353741509E-2</v>
      </c>
      <c r="G60" s="105" t="s">
        <v>128</v>
      </c>
      <c r="H60" s="106">
        <v>0.11</v>
      </c>
    </row>
    <row r="61" spans="1:12" ht="15.75" thickBot="1" x14ac:dyDescent="0.3">
      <c r="A61" s="12">
        <v>44991</v>
      </c>
      <c r="B61" s="18">
        <v>7.35</v>
      </c>
      <c r="C61" s="126">
        <f t="shared" si="0"/>
        <v>-0.11764705882352944</v>
      </c>
      <c r="G61" s="107" t="s">
        <v>129</v>
      </c>
      <c r="H61" s="108">
        <v>0.35</v>
      </c>
    </row>
    <row r="62" spans="1:12" ht="15.75" thickBot="1" x14ac:dyDescent="0.3">
      <c r="A62" s="12">
        <v>44984</v>
      </c>
      <c r="B62" s="18">
        <v>8.33</v>
      </c>
      <c r="C62" s="126">
        <f t="shared" si="0"/>
        <v>2.9666254635352329E-2</v>
      </c>
      <c r="G62" s="109"/>
    </row>
    <row r="63" spans="1:12" x14ac:dyDescent="0.25">
      <c r="A63" s="12">
        <v>44977</v>
      </c>
      <c r="B63" s="18">
        <v>8.09</v>
      </c>
      <c r="C63" s="126">
        <f t="shared" si="0"/>
        <v>-0.12065217391304339</v>
      </c>
      <c r="G63" s="105" t="s">
        <v>130</v>
      </c>
      <c r="H63" s="110">
        <v>22.66</v>
      </c>
    </row>
    <row r="64" spans="1:12" x14ac:dyDescent="0.25">
      <c r="A64" s="12">
        <v>44970</v>
      </c>
      <c r="B64" s="18">
        <v>9.1999999999999993</v>
      </c>
      <c r="C64" s="126">
        <f t="shared" si="0"/>
        <v>0.22503328894806929</v>
      </c>
      <c r="G64" s="111" t="s">
        <v>131</v>
      </c>
      <c r="H64" s="112">
        <f>H63*(1-H60)</f>
        <v>20.167400000000001</v>
      </c>
    </row>
    <row r="65" spans="1:8" ht="15.75" thickBot="1" x14ac:dyDescent="0.3">
      <c r="A65" s="12">
        <v>44963</v>
      </c>
      <c r="B65" s="18">
        <v>7.51</v>
      </c>
      <c r="C65" s="126">
        <f t="shared" si="0"/>
        <v>-0.1070154577883472</v>
      </c>
      <c r="G65" s="107" t="s">
        <v>132</v>
      </c>
      <c r="H65" s="113">
        <f>H63*(1+H61)</f>
        <v>30.591000000000001</v>
      </c>
    </row>
    <row r="66" spans="1:8" x14ac:dyDescent="0.25">
      <c r="A66" s="12">
        <v>44956</v>
      </c>
      <c r="B66" s="18">
        <v>8.41</v>
      </c>
      <c r="C66" s="126">
        <f t="shared" si="0"/>
        <v>0.11390728476821188</v>
      </c>
    </row>
    <row r="67" spans="1:8" x14ac:dyDescent="0.25">
      <c r="A67" s="12">
        <v>44949</v>
      </c>
      <c r="B67" s="18">
        <v>7.55</v>
      </c>
      <c r="C67" s="126">
        <f t="shared" si="0"/>
        <v>7.5498575498575526E-2</v>
      </c>
    </row>
    <row r="68" spans="1:8" x14ac:dyDescent="0.25">
      <c r="A68" s="12">
        <v>44942</v>
      </c>
      <c r="B68" s="18">
        <v>7.02</v>
      </c>
      <c r="C68" s="126">
        <f t="shared" ref="C68:C131" si="10">B68/B69-1</f>
        <v>8.6206896551723755E-3</v>
      </c>
    </row>
    <row r="69" spans="1:8" x14ac:dyDescent="0.25">
      <c r="A69" s="12">
        <v>44935</v>
      </c>
      <c r="B69" s="18">
        <v>6.96</v>
      </c>
      <c r="C69" s="126">
        <f t="shared" si="10"/>
        <v>8.7499999999999911E-2</v>
      </c>
    </row>
    <row r="70" spans="1:8" x14ac:dyDescent="0.25">
      <c r="A70" s="12">
        <v>44928</v>
      </c>
      <c r="B70" s="18">
        <v>6.4</v>
      </c>
      <c r="C70" s="126">
        <f t="shared" si="10"/>
        <v>-3.1152647975076775E-3</v>
      </c>
    </row>
    <row r="71" spans="1:8" x14ac:dyDescent="0.25">
      <c r="A71" s="12">
        <v>44921</v>
      </c>
      <c r="B71" s="18">
        <v>6.42</v>
      </c>
      <c r="C71" s="126">
        <f t="shared" si="10"/>
        <v>2.0667726550079424E-2</v>
      </c>
    </row>
    <row r="72" spans="1:8" x14ac:dyDescent="0.25">
      <c r="A72" s="12">
        <v>44914</v>
      </c>
      <c r="B72" s="18">
        <v>6.29</v>
      </c>
      <c r="C72" s="126">
        <f t="shared" si="10"/>
        <v>-8.8405797101449357E-2</v>
      </c>
    </row>
    <row r="73" spans="1:8" x14ac:dyDescent="0.25">
      <c r="A73" s="12">
        <v>44907</v>
      </c>
      <c r="B73" s="18">
        <v>6.9</v>
      </c>
      <c r="C73" s="126">
        <f t="shared" si="10"/>
        <v>-2.9535864978902926E-2</v>
      </c>
    </row>
    <row r="74" spans="1:8" x14ac:dyDescent="0.25">
      <c r="A74" s="12">
        <v>44900</v>
      </c>
      <c r="B74" s="18">
        <v>7.11</v>
      </c>
      <c r="C74" s="126">
        <f t="shared" si="10"/>
        <v>-7.1801566579634435E-2</v>
      </c>
    </row>
    <row r="75" spans="1:8" x14ac:dyDescent="0.25">
      <c r="A75" s="12">
        <v>44893</v>
      </c>
      <c r="B75" s="18">
        <v>7.66</v>
      </c>
      <c r="C75" s="126">
        <f t="shared" si="10"/>
        <v>5.2197802197802234E-2</v>
      </c>
    </row>
    <row r="76" spans="1:8" x14ac:dyDescent="0.25">
      <c r="A76" s="12">
        <v>44886</v>
      </c>
      <c r="B76" s="18">
        <v>7.28</v>
      </c>
      <c r="C76" s="126">
        <f t="shared" si="10"/>
        <v>-1.4884979702300294E-2</v>
      </c>
    </row>
    <row r="77" spans="1:8" x14ac:dyDescent="0.25">
      <c r="A77" s="12">
        <v>44879</v>
      </c>
      <c r="B77" s="18">
        <v>7.39</v>
      </c>
      <c r="C77" s="126">
        <f t="shared" si="10"/>
        <v>-0.12128418549346021</v>
      </c>
    </row>
    <row r="78" spans="1:8" x14ac:dyDescent="0.25">
      <c r="A78" s="12">
        <v>44872</v>
      </c>
      <c r="B78" s="18">
        <v>8.41</v>
      </c>
      <c r="C78" s="126">
        <f t="shared" si="10"/>
        <v>6.0529634300126256E-2</v>
      </c>
    </row>
    <row r="79" spans="1:8" x14ac:dyDescent="0.25">
      <c r="A79" s="12">
        <v>44865</v>
      </c>
      <c r="B79" s="18">
        <v>7.93</v>
      </c>
      <c r="C79" s="126">
        <f t="shared" si="10"/>
        <v>-8.2175925925926041E-2</v>
      </c>
    </row>
    <row r="80" spans="1:8" x14ac:dyDescent="0.25">
      <c r="A80" s="12">
        <v>44858</v>
      </c>
      <c r="B80" s="18">
        <v>8.64</v>
      </c>
      <c r="C80" s="126">
        <f t="shared" si="10"/>
        <v>4.2219541616405509E-2</v>
      </c>
    </row>
    <row r="81" spans="1:3" x14ac:dyDescent="0.25">
      <c r="A81" s="12">
        <v>44851</v>
      </c>
      <c r="B81" s="18">
        <v>8.2899999999999991</v>
      </c>
      <c r="C81" s="126">
        <f t="shared" si="10"/>
        <v>0.10092961487383789</v>
      </c>
    </row>
    <row r="82" spans="1:3" x14ac:dyDescent="0.25">
      <c r="A82" s="12">
        <v>44844</v>
      </c>
      <c r="B82" s="18">
        <v>7.53</v>
      </c>
      <c r="C82" s="126">
        <f t="shared" si="10"/>
        <v>-7.6073619631901845E-2</v>
      </c>
    </row>
    <row r="83" spans="1:3" x14ac:dyDescent="0.25">
      <c r="A83" s="12">
        <v>44837</v>
      </c>
      <c r="B83" s="18">
        <v>8.15</v>
      </c>
      <c r="C83" s="126">
        <f t="shared" si="10"/>
        <v>2.4600246002459691E-3</v>
      </c>
    </row>
    <row r="84" spans="1:3" x14ac:dyDescent="0.25">
      <c r="A84" s="12">
        <v>44830</v>
      </c>
      <c r="B84" s="18">
        <v>8.1300000000000008</v>
      </c>
      <c r="C84" s="126">
        <f t="shared" si="10"/>
        <v>9.864864864864864E-2</v>
      </c>
    </row>
    <row r="85" spans="1:3" x14ac:dyDescent="0.25">
      <c r="A85" s="12">
        <v>44823</v>
      </c>
      <c r="B85" s="18">
        <v>7.4</v>
      </c>
      <c r="C85" s="126">
        <f t="shared" si="10"/>
        <v>-4.8843187660668419E-2</v>
      </c>
    </row>
    <row r="86" spans="1:3" x14ac:dyDescent="0.25">
      <c r="A86" s="12">
        <v>44816</v>
      </c>
      <c r="B86" s="18">
        <v>7.78</v>
      </c>
      <c r="C86" s="126">
        <f t="shared" si="10"/>
        <v>-1.2836970474967568E-3</v>
      </c>
    </row>
    <row r="87" spans="1:3" x14ac:dyDescent="0.25">
      <c r="A87" s="12">
        <v>44809</v>
      </c>
      <c r="B87" s="18">
        <v>7.79</v>
      </c>
      <c r="C87" s="126">
        <f t="shared" si="10"/>
        <v>5.270270270270272E-2</v>
      </c>
    </row>
    <row r="88" spans="1:3" x14ac:dyDescent="0.25">
      <c r="A88" s="12">
        <v>44802</v>
      </c>
      <c r="B88" s="18">
        <v>7.4</v>
      </c>
      <c r="C88" s="126">
        <f t="shared" si="10"/>
        <v>-6.801007556675065E-2</v>
      </c>
    </row>
    <row r="89" spans="1:3" x14ac:dyDescent="0.25">
      <c r="A89" s="12">
        <v>44795</v>
      </c>
      <c r="B89" s="18">
        <v>7.94</v>
      </c>
      <c r="C89" s="126">
        <f t="shared" si="10"/>
        <v>-6.6980023501762576E-2</v>
      </c>
    </row>
    <row r="90" spans="1:3" x14ac:dyDescent="0.25">
      <c r="A90" s="12">
        <v>44788</v>
      </c>
      <c r="B90" s="18">
        <v>8.51</v>
      </c>
      <c r="C90" s="126">
        <f t="shared" si="10"/>
        <v>-0.14127144298688199</v>
      </c>
    </row>
    <row r="91" spans="1:3" x14ac:dyDescent="0.25">
      <c r="A91" s="12">
        <v>44781</v>
      </c>
      <c r="B91" s="18">
        <v>9.91</v>
      </c>
      <c r="C91" s="126">
        <f t="shared" si="10"/>
        <v>-0.13449781659388638</v>
      </c>
    </row>
    <row r="92" spans="1:3" x14ac:dyDescent="0.25">
      <c r="A92" s="12">
        <v>44774</v>
      </c>
      <c r="B92" s="18">
        <v>11.45</v>
      </c>
      <c r="C92" s="126">
        <f t="shared" si="10"/>
        <v>0.106280193236715</v>
      </c>
    </row>
    <row r="93" spans="1:3" x14ac:dyDescent="0.25">
      <c r="A93" s="12">
        <v>44767</v>
      </c>
      <c r="B93" s="18">
        <v>10.35</v>
      </c>
      <c r="C93" s="126">
        <f t="shared" si="10"/>
        <v>5.1829268292682862E-2</v>
      </c>
    </row>
    <row r="94" spans="1:3" x14ac:dyDescent="0.25">
      <c r="A94" s="12">
        <v>44760</v>
      </c>
      <c r="B94" s="18">
        <v>9.84</v>
      </c>
      <c r="C94" s="126">
        <f t="shared" si="10"/>
        <v>8.8495575221239076E-2</v>
      </c>
    </row>
    <row r="95" spans="1:3" x14ac:dyDescent="0.25">
      <c r="A95" s="12">
        <v>44753</v>
      </c>
      <c r="B95" s="18">
        <v>9.0399999999999991</v>
      </c>
      <c r="C95" s="126">
        <f t="shared" si="10"/>
        <v>-0.11111111111111116</v>
      </c>
    </row>
    <row r="96" spans="1:3" x14ac:dyDescent="0.25">
      <c r="A96" s="12">
        <v>44746</v>
      </c>
      <c r="B96" s="18">
        <v>10.17</v>
      </c>
      <c r="C96" s="126">
        <f t="shared" si="10"/>
        <v>9.7087378640776656E-2</v>
      </c>
    </row>
    <row r="97" spans="1:3" x14ac:dyDescent="0.25">
      <c r="A97" s="12">
        <v>44739</v>
      </c>
      <c r="B97" s="18">
        <v>9.27</v>
      </c>
      <c r="C97" s="126">
        <f t="shared" si="10"/>
        <v>-9.0284592737978397E-2</v>
      </c>
    </row>
    <row r="98" spans="1:3" x14ac:dyDescent="0.25">
      <c r="A98" s="12">
        <v>44732</v>
      </c>
      <c r="B98" s="18">
        <v>10.19</v>
      </c>
      <c r="C98" s="126">
        <f t="shared" si="10"/>
        <v>0.23665048543689315</v>
      </c>
    </row>
    <row r="99" spans="1:3" x14ac:dyDescent="0.25">
      <c r="A99" s="12">
        <v>44725</v>
      </c>
      <c r="B99" s="18">
        <v>8.24</v>
      </c>
      <c r="C99" s="126">
        <f t="shared" si="10"/>
        <v>-2.421307506053183E-3</v>
      </c>
    </row>
    <row r="100" spans="1:3" x14ac:dyDescent="0.25">
      <c r="A100" s="12">
        <v>44718</v>
      </c>
      <c r="B100" s="18">
        <v>8.26</v>
      </c>
      <c r="C100" s="126">
        <f t="shared" si="10"/>
        <v>-7.606263982102901E-2</v>
      </c>
    </row>
    <row r="101" spans="1:3" x14ac:dyDescent="0.25">
      <c r="A101" s="12">
        <v>44711</v>
      </c>
      <c r="B101" s="18">
        <v>8.94</v>
      </c>
      <c r="C101" s="126">
        <f t="shared" si="10"/>
        <v>1.0169491525423791E-2</v>
      </c>
    </row>
    <row r="102" spans="1:3" x14ac:dyDescent="0.25">
      <c r="A102" s="12">
        <v>44704</v>
      </c>
      <c r="B102" s="18">
        <v>8.85</v>
      </c>
      <c r="C102" s="126">
        <f t="shared" si="10"/>
        <v>9.5297029702970271E-2</v>
      </c>
    </row>
    <row r="103" spans="1:3" x14ac:dyDescent="0.25">
      <c r="A103" s="12">
        <v>44697</v>
      </c>
      <c r="B103" s="18">
        <v>8.08</v>
      </c>
      <c r="C103" s="126">
        <f t="shared" si="10"/>
        <v>-3.1175059952038398E-2</v>
      </c>
    </row>
    <row r="104" spans="1:3" x14ac:dyDescent="0.25">
      <c r="A104" s="12">
        <v>44690</v>
      </c>
      <c r="B104" s="18">
        <v>8.34</v>
      </c>
      <c r="C104" s="126">
        <f t="shared" si="10"/>
        <v>-0.12025316455696211</v>
      </c>
    </row>
    <row r="105" spans="1:3" x14ac:dyDescent="0.25">
      <c r="A105" s="12">
        <v>44683</v>
      </c>
      <c r="B105" s="18">
        <v>9.48</v>
      </c>
      <c r="C105" s="126">
        <f t="shared" si="10"/>
        <v>-8.846153846153848E-2</v>
      </c>
    </row>
    <row r="106" spans="1:3" x14ac:dyDescent="0.25">
      <c r="A106" s="12">
        <v>44676</v>
      </c>
      <c r="B106" s="18">
        <v>10.4</v>
      </c>
      <c r="C106" s="126">
        <f t="shared" si="10"/>
        <v>-0.13043478260869568</v>
      </c>
    </row>
    <row r="107" spans="1:3" x14ac:dyDescent="0.25">
      <c r="A107" s="12">
        <v>44669</v>
      </c>
      <c r="B107" s="18">
        <v>11.96</v>
      </c>
      <c r="C107" s="126">
        <f t="shared" si="10"/>
        <v>-3.7037037037036979E-2</v>
      </c>
    </row>
    <row r="108" spans="1:3" x14ac:dyDescent="0.25">
      <c r="A108" s="12">
        <v>44662</v>
      </c>
      <c r="B108" s="18">
        <v>12.42</v>
      </c>
      <c r="C108" s="126">
        <f t="shared" si="10"/>
        <v>-2.2047244094488105E-2</v>
      </c>
    </row>
    <row r="109" spans="1:3" x14ac:dyDescent="0.25">
      <c r="A109" s="12">
        <v>44655</v>
      </c>
      <c r="B109" s="18">
        <v>12.7</v>
      </c>
      <c r="C109" s="126">
        <f t="shared" si="10"/>
        <v>-8.1706435285611057E-2</v>
      </c>
    </row>
    <row r="110" spans="1:3" x14ac:dyDescent="0.25">
      <c r="A110" s="12">
        <v>44648</v>
      </c>
      <c r="B110" s="18">
        <v>13.83</v>
      </c>
      <c r="C110" s="126">
        <f t="shared" si="10"/>
        <v>6.6306861989205768E-2</v>
      </c>
    </row>
    <row r="111" spans="1:3" x14ac:dyDescent="0.25">
      <c r="A111" s="12">
        <v>44641</v>
      </c>
      <c r="B111" s="18">
        <v>12.97</v>
      </c>
      <c r="C111" s="126">
        <f t="shared" si="10"/>
        <v>1.1700468018720711E-2</v>
      </c>
    </row>
    <row r="112" spans="1:3" x14ac:dyDescent="0.25">
      <c r="A112" s="12">
        <v>44634</v>
      </c>
      <c r="B112" s="18">
        <v>12.82</v>
      </c>
      <c r="C112" s="126">
        <f t="shared" si="10"/>
        <v>0.12554872695346786</v>
      </c>
    </row>
    <row r="113" spans="1:3" x14ac:dyDescent="0.25">
      <c r="A113" s="12">
        <v>44627</v>
      </c>
      <c r="B113" s="18">
        <v>11.39</v>
      </c>
      <c r="C113" s="126">
        <f t="shared" si="10"/>
        <v>3.9233576642335732E-2</v>
      </c>
    </row>
    <row r="114" spans="1:3" x14ac:dyDescent="0.25">
      <c r="A114" s="12">
        <v>44620</v>
      </c>
      <c r="B114" s="18">
        <v>10.96</v>
      </c>
      <c r="C114" s="126">
        <f t="shared" si="10"/>
        <v>-4.4463818657367038E-2</v>
      </c>
    </row>
    <row r="115" spans="1:3" x14ac:dyDescent="0.25">
      <c r="A115" s="12">
        <v>44613</v>
      </c>
      <c r="B115" s="18">
        <v>11.47</v>
      </c>
      <c r="C115" s="126">
        <f t="shared" si="10"/>
        <v>4.0834845735027381E-2</v>
      </c>
    </row>
    <row r="116" spans="1:3" x14ac:dyDescent="0.25">
      <c r="A116" s="12">
        <v>44606</v>
      </c>
      <c r="B116" s="18">
        <v>11.02</v>
      </c>
      <c r="C116" s="126">
        <f t="shared" si="10"/>
        <v>-0.16070068545316074</v>
      </c>
    </row>
    <row r="117" spans="1:3" x14ac:dyDescent="0.25">
      <c r="A117" s="12">
        <v>44599</v>
      </c>
      <c r="B117" s="18">
        <v>13.13</v>
      </c>
      <c r="C117" s="126">
        <f t="shared" si="10"/>
        <v>1.4683153013910433E-2</v>
      </c>
    </row>
    <row r="118" spans="1:3" x14ac:dyDescent="0.25">
      <c r="A118" s="12">
        <v>44592</v>
      </c>
      <c r="B118" s="18">
        <v>12.94</v>
      </c>
      <c r="C118" s="126">
        <f t="shared" si="10"/>
        <v>1.8095987411486991E-2</v>
      </c>
    </row>
    <row r="119" spans="1:3" x14ac:dyDescent="0.25">
      <c r="A119" s="12">
        <v>44585</v>
      </c>
      <c r="B119" s="18">
        <v>12.71</v>
      </c>
      <c r="C119" s="126">
        <f t="shared" si="10"/>
        <v>-6.0606060606060552E-2</v>
      </c>
    </row>
    <row r="120" spans="1:3" x14ac:dyDescent="0.25">
      <c r="A120" s="12">
        <v>44578</v>
      </c>
      <c r="B120" s="18">
        <v>13.53</v>
      </c>
      <c r="C120" s="126">
        <f t="shared" si="10"/>
        <v>-0.15490318550905691</v>
      </c>
    </row>
    <row r="121" spans="1:3" x14ac:dyDescent="0.25">
      <c r="A121" s="12">
        <v>44571</v>
      </c>
      <c r="B121" s="18">
        <v>16.010000000000002</v>
      </c>
      <c r="C121" s="126">
        <f t="shared" si="10"/>
        <v>-3.3212502005585898E-2</v>
      </c>
    </row>
    <row r="122" spans="1:3" x14ac:dyDescent="0.25">
      <c r="A122" s="12">
        <v>44564</v>
      </c>
      <c r="B122" s="18">
        <v>16.559999000000001</v>
      </c>
      <c r="C122" s="126">
        <f t="shared" si="10"/>
        <v>-9.0609560165269554E-2</v>
      </c>
    </row>
    <row r="123" spans="1:3" x14ac:dyDescent="0.25">
      <c r="A123" s="12">
        <v>44557</v>
      </c>
      <c r="B123" s="18">
        <v>18.209999</v>
      </c>
      <c r="C123" s="126">
        <f t="shared" si="10"/>
        <v>-3.8034918119387195E-2</v>
      </c>
    </row>
    <row r="124" spans="1:3" x14ac:dyDescent="0.25">
      <c r="A124" s="12">
        <v>44550</v>
      </c>
      <c r="B124" s="18">
        <v>18.93</v>
      </c>
      <c r="C124" s="126">
        <f t="shared" si="10"/>
        <v>-6.8205145236367448E-3</v>
      </c>
    </row>
    <row r="125" spans="1:3" x14ac:dyDescent="0.25">
      <c r="A125" s="12">
        <v>44543</v>
      </c>
      <c r="B125" s="18">
        <v>19.059999000000001</v>
      </c>
      <c r="C125" s="126">
        <f t="shared" si="10"/>
        <v>6.3356913233532097E-3</v>
      </c>
    </row>
    <row r="126" spans="1:3" x14ac:dyDescent="0.25">
      <c r="A126" s="12">
        <v>44536</v>
      </c>
      <c r="B126" s="18">
        <v>18.940000999999999</v>
      </c>
      <c r="C126" s="126">
        <f t="shared" si="10"/>
        <v>-2.1074288724974855E-3</v>
      </c>
    </row>
    <row r="127" spans="1:3" x14ac:dyDescent="0.25">
      <c r="A127" s="12">
        <v>44529</v>
      </c>
      <c r="B127" s="18">
        <v>18.98</v>
      </c>
      <c r="C127" s="126">
        <f t="shared" si="10"/>
        <v>-9.747983369092561E-2</v>
      </c>
    </row>
    <row r="128" spans="1:3" x14ac:dyDescent="0.25">
      <c r="A128" s="12">
        <v>44522</v>
      </c>
      <c r="B128" s="18">
        <v>21.030000999999999</v>
      </c>
      <c r="C128" s="126">
        <f t="shared" si="10"/>
        <v>-1.7748668846333526E-2</v>
      </c>
    </row>
    <row r="129" spans="1:3" x14ac:dyDescent="0.25">
      <c r="A129" s="12">
        <v>44515</v>
      </c>
      <c r="B129" s="18">
        <v>21.41</v>
      </c>
      <c r="C129" s="126">
        <f t="shared" si="10"/>
        <v>-6.219886114761275E-2</v>
      </c>
    </row>
    <row r="130" spans="1:3" x14ac:dyDescent="0.25">
      <c r="A130" s="12">
        <v>44508</v>
      </c>
      <c r="B130" s="18">
        <v>22.83</v>
      </c>
      <c r="C130" s="126">
        <f t="shared" si="10"/>
        <v>-0.12192307692307702</v>
      </c>
    </row>
    <row r="131" spans="1:3" x14ac:dyDescent="0.25">
      <c r="A131" s="12">
        <v>44501</v>
      </c>
      <c r="B131" s="18">
        <v>26</v>
      </c>
      <c r="C131" s="126">
        <f t="shared" si="10"/>
        <v>4.6368239813301404E-3</v>
      </c>
    </row>
    <row r="132" spans="1:3" x14ac:dyDescent="0.25">
      <c r="A132" s="12">
        <v>44494</v>
      </c>
      <c r="B132" s="18">
        <v>25.879999000000002</v>
      </c>
      <c r="C132" s="126">
        <f t="shared" ref="C132:C187" si="11">B132/B133-1</f>
        <v>5.9353213262382409E-2</v>
      </c>
    </row>
    <row r="133" spans="1:3" x14ac:dyDescent="0.25">
      <c r="A133" s="12">
        <v>44487</v>
      </c>
      <c r="B133" s="18">
        <v>24.43</v>
      </c>
      <c r="C133" s="126">
        <f t="shared" si="11"/>
        <v>1.7916666666666581E-2</v>
      </c>
    </row>
    <row r="134" spans="1:3" x14ac:dyDescent="0.25">
      <c r="A134" s="12">
        <v>44480</v>
      </c>
      <c r="B134" s="18">
        <v>24</v>
      </c>
      <c r="C134" s="126">
        <f t="shared" si="11"/>
        <v>2.1276595744680771E-2</v>
      </c>
    </row>
    <row r="135" spans="1:3" x14ac:dyDescent="0.25">
      <c r="A135" s="12">
        <v>44473</v>
      </c>
      <c r="B135" s="18">
        <v>23.5</v>
      </c>
      <c r="C135" s="126">
        <f t="shared" si="11"/>
        <v>-3.4114262227702308E-2</v>
      </c>
    </row>
    <row r="136" spans="1:3" x14ac:dyDescent="0.25">
      <c r="A136" s="12">
        <v>44466</v>
      </c>
      <c r="B136" s="18">
        <v>24.33</v>
      </c>
      <c r="C136" s="126">
        <f t="shared" si="11"/>
        <v>-0.14810921386937037</v>
      </c>
    </row>
    <row r="137" spans="1:3" x14ac:dyDescent="0.25">
      <c r="A137" s="12">
        <v>44459</v>
      </c>
      <c r="B137" s="18">
        <v>28.559999000000001</v>
      </c>
      <c r="C137" s="126">
        <f t="shared" si="11"/>
        <v>-5.2246605790546852E-3</v>
      </c>
    </row>
    <row r="138" spans="1:3" x14ac:dyDescent="0.25">
      <c r="A138" s="12">
        <v>44452</v>
      </c>
      <c r="B138" s="18">
        <v>28.709999</v>
      </c>
      <c r="C138" s="126">
        <f t="shared" si="11"/>
        <v>9.2465673802676118E-2</v>
      </c>
    </row>
    <row r="139" spans="1:3" x14ac:dyDescent="0.25">
      <c r="A139" s="12">
        <v>44445</v>
      </c>
      <c r="B139" s="18">
        <v>26.280000999999999</v>
      </c>
      <c r="C139" s="126">
        <f t="shared" si="11"/>
        <v>-1.3513438945699674E-2</v>
      </c>
    </row>
    <row r="140" spans="1:3" x14ac:dyDescent="0.25">
      <c r="A140" s="12">
        <v>44438</v>
      </c>
      <c r="B140" s="18">
        <v>26.639999</v>
      </c>
      <c r="C140" s="126">
        <f t="shared" si="11"/>
        <v>3.6172696856191955E-2</v>
      </c>
    </row>
    <row r="141" spans="1:3" x14ac:dyDescent="0.25">
      <c r="A141" s="12">
        <v>44431</v>
      </c>
      <c r="B141" s="18">
        <v>25.709999</v>
      </c>
      <c r="C141" s="126">
        <f t="shared" si="11"/>
        <v>7.0803790087463403E-2</v>
      </c>
    </row>
    <row r="142" spans="1:3" x14ac:dyDescent="0.25">
      <c r="A142" s="12">
        <v>44424</v>
      </c>
      <c r="B142" s="18">
        <v>24.01</v>
      </c>
      <c r="C142" s="126">
        <f t="shared" si="11"/>
        <v>-3.5742971887550046E-2</v>
      </c>
    </row>
    <row r="143" spans="1:3" x14ac:dyDescent="0.25">
      <c r="A143" s="12">
        <v>44417</v>
      </c>
      <c r="B143" s="18">
        <v>24.9</v>
      </c>
      <c r="C143" s="126">
        <f t="shared" si="11"/>
        <v>0.14115490375801998</v>
      </c>
    </row>
    <row r="144" spans="1:3" x14ac:dyDescent="0.25">
      <c r="A144" s="12">
        <v>44410</v>
      </c>
      <c r="B144" s="18">
        <v>21.82</v>
      </c>
      <c r="C144" s="126">
        <f t="shared" si="11"/>
        <v>5.0668357930372387E-3</v>
      </c>
    </row>
    <row r="145" spans="1:3" x14ac:dyDescent="0.25">
      <c r="A145" s="12">
        <v>44403</v>
      </c>
      <c r="B145" s="18">
        <v>21.709999</v>
      </c>
      <c r="C145" s="126">
        <f t="shared" si="11"/>
        <v>-4.5850529383335559E-3</v>
      </c>
    </row>
    <row r="146" spans="1:3" x14ac:dyDescent="0.25">
      <c r="A146" s="12">
        <v>44396</v>
      </c>
      <c r="B146" s="18">
        <v>21.809999000000001</v>
      </c>
      <c r="C146" s="126">
        <f t="shared" si="11"/>
        <v>2.0589517052432615E-2</v>
      </c>
    </row>
    <row r="147" spans="1:3" x14ac:dyDescent="0.25">
      <c r="A147" s="12">
        <v>44389</v>
      </c>
      <c r="B147" s="18">
        <v>21.370000999999998</v>
      </c>
      <c r="C147" s="126">
        <f t="shared" si="11"/>
        <v>-8.2438811402369749E-2</v>
      </c>
    </row>
    <row r="148" spans="1:3" x14ac:dyDescent="0.25">
      <c r="A148" s="12">
        <v>44382</v>
      </c>
      <c r="B148" s="18">
        <v>23.290001</v>
      </c>
      <c r="C148" s="126">
        <f t="shared" si="11"/>
        <v>-4.7054007894680505E-2</v>
      </c>
    </row>
    <row r="149" spans="1:3" x14ac:dyDescent="0.25">
      <c r="A149" s="12">
        <v>44375</v>
      </c>
      <c r="B149" s="18">
        <v>24.440000999999999</v>
      </c>
      <c r="C149" s="126">
        <f t="shared" si="11"/>
        <v>-8.7378637513867208E-2</v>
      </c>
    </row>
    <row r="150" spans="1:3" x14ac:dyDescent="0.25">
      <c r="A150" s="12">
        <v>44368</v>
      </c>
      <c r="B150" s="18">
        <v>26.780000999999999</v>
      </c>
      <c r="C150" s="126">
        <f t="shared" si="11"/>
        <v>5.5577451494779107E-2</v>
      </c>
    </row>
    <row r="151" spans="1:3" x14ac:dyDescent="0.25">
      <c r="A151" s="12">
        <v>44361</v>
      </c>
      <c r="B151" s="18">
        <v>25.370000999999998</v>
      </c>
      <c r="C151" s="126">
        <f t="shared" si="11"/>
        <v>2.8374584515605816E-2</v>
      </c>
    </row>
    <row r="152" spans="1:3" x14ac:dyDescent="0.25">
      <c r="A152" s="12">
        <v>44354</v>
      </c>
      <c r="B152" s="18">
        <v>24.67</v>
      </c>
      <c r="C152" s="126">
        <f t="shared" si="11"/>
        <v>2.6633332224996753E-2</v>
      </c>
    </row>
    <row r="153" spans="1:3" x14ac:dyDescent="0.25">
      <c r="A153" s="12">
        <v>44347</v>
      </c>
      <c r="B153" s="18">
        <v>24.030000999999999</v>
      </c>
      <c r="C153" s="126">
        <f t="shared" si="11"/>
        <v>4.7058821478918489E-2</v>
      </c>
    </row>
    <row r="154" spans="1:3" x14ac:dyDescent="0.25">
      <c r="A154" s="12">
        <v>44340</v>
      </c>
      <c r="B154" s="18">
        <v>22.950001</v>
      </c>
      <c r="C154" s="126">
        <f t="shared" si="11"/>
        <v>0.10602414457831322</v>
      </c>
    </row>
    <row r="155" spans="1:3" x14ac:dyDescent="0.25">
      <c r="A155" s="12">
        <v>44333</v>
      </c>
      <c r="B155" s="18">
        <v>20.75</v>
      </c>
      <c r="C155" s="126">
        <f t="shared" si="11"/>
        <v>3.3366533864541914E-2</v>
      </c>
    </row>
    <row r="156" spans="1:3" x14ac:dyDescent="0.25">
      <c r="A156" s="12">
        <v>44326</v>
      </c>
      <c r="B156" s="18">
        <v>20.079999999999998</v>
      </c>
      <c r="C156" s="126">
        <f t="shared" si="11"/>
        <v>1.6708860759493627E-2</v>
      </c>
    </row>
    <row r="157" spans="1:3" x14ac:dyDescent="0.25">
      <c r="A157" s="12">
        <v>44319</v>
      </c>
      <c r="B157" s="18">
        <v>19.75</v>
      </c>
      <c r="C157" s="126">
        <f t="shared" si="11"/>
        <v>-0.14279517609395942</v>
      </c>
    </row>
    <row r="158" spans="1:3" x14ac:dyDescent="0.25">
      <c r="A158" s="12">
        <v>44312</v>
      </c>
      <c r="B158" s="18">
        <v>23.040001</v>
      </c>
      <c r="C158" s="126">
        <f t="shared" si="11"/>
        <v>-1.5805168731311436E-2</v>
      </c>
    </row>
    <row r="159" spans="1:3" x14ac:dyDescent="0.25">
      <c r="A159" s="12">
        <v>44305</v>
      </c>
      <c r="B159" s="18">
        <v>23.41</v>
      </c>
      <c r="C159" s="126">
        <f t="shared" si="11"/>
        <v>4.183360221778365E-2</v>
      </c>
    </row>
    <row r="160" spans="1:3" x14ac:dyDescent="0.25">
      <c r="A160" s="12">
        <v>44298</v>
      </c>
      <c r="B160" s="18">
        <v>22.469999000000001</v>
      </c>
      <c r="C160" s="126">
        <f t="shared" si="11"/>
        <v>-6.5307900777541561E-2</v>
      </c>
    </row>
    <row r="161" spans="1:3" x14ac:dyDescent="0.25">
      <c r="A161" s="12">
        <v>44291</v>
      </c>
      <c r="B161" s="18">
        <v>24.040001</v>
      </c>
      <c r="C161" s="126">
        <f t="shared" si="11"/>
        <v>4.2045990463805749E-2</v>
      </c>
    </row>
    <row r="162" spans="1:3" x14ac:dyDescent="0.25">
      <c r="A162" s="12">
        <v>44284</v>
      </c>
      <c r="B162" s="18">
        <v>23.07</v>
      </c>
      <c r="C162" s="126">
        <f t="shared" si="11"/>
        <v>2.1700620017714778E-2</v>
      </c>
    </row>
    <row r="163" spans="1:3" x14ac:dyDescent="0.25">
      <c r="A163" s="12">
        <v>44277</v>
      </c>
      <c r="B163" s="18">
        <v>22.58</v>
      </c>
      <c r="C163" s="126">
        <f t="shared" si="11"/>
        <v>-7.1546052631578982E-2</v>
      </c>
    </row>
    <row r="164" spans="1:3" x14ac:dyDescent="0.25">
      <c r="A164" s="12">
        <v>44270</v>
      </c>
      <c r="B164" s="18">
        <v>24.32</v>
      </c>
      <c r="C164" s="126">
        <f t="shared" si="11"/>
        <v>-9.6582466567607828E-2</v>
      </c>
    </row>
    <row r="165" spans="1:3" x14ac:dyDescent="0.25">
      <c r="A165" s="12">
        <v>44263</v>
      </c>
      <c r="B165" s="18">
        <v>26.92</v>
      </c>
      <c r="C165" s="126">
        <f t="shared" si="11"/>
        <v>0.12400830379923589</v>
      </c>
    </row>
    <row r="166" spans="1:3" x14ac:dyDescent="0.25">
      <c r="A166" s="12">
        <v>44256</v>
      </c>
      <c r="B166" s="18">
        <v>23.950001</v>
      </c>
      <c r="C166" s="126">
        <f t="shared" si="11"/>
        <v>2.0920920502092155E-3</v>
      </c>
    </row>
    <row r="167" spans="1:3" x14ac:dyDescent="0.25">
      <c r="A167" s="12">
        <v>44249</v>
      </c>
      <c r="B167" s="18">
        <v>23.9</v>
      </c>
      <c r="C167" s="126">
        <f t="shared" si="11"/>
        <v>-0.17586206896551726</v>
      </c>
    </row>
    <row r="168" spans="1:3" x14ac:dyDescent="0.25">
      <c r="A168" s="12">
        <v>44242</v>
      </c>
      <c r="B168" s="18">
        <v>29</v>
      </c>
      <c r="C168" s="126">
        <f t="shared" si="11"/>
        <v>-9.1193983077405227E-2</v>
      </c>
    </row>
    <row r="169" spans="1:3" x14ac:dyDescent="0.25">
      <c r="A169" s="12">
        <v>44235</v>
      </c>
      <c r="B169" s="18">
        <v>31.91</v>
      </c>
      <c r="C169" s="126">
        <f t="shared" si="11"/>
        <v>-6.2848724312737803E-2</v>
      </c>
    </row>
    <row r="170" spans="1:3" x14ac:dyDescent="0.25">
      <c r="A170" s="12">
        <v>44228</v>
      </c>
      <c r="B170" s="18">
        <v>34.049999</v>
      </c>
      <c r="C170" s="126">
        <f t="shared" si="11"/>
        <v>-3.2120551449687285E-2</v>
      </c>
    </row>
    <row r="171" spans="1:3" x14ac:dyDescent="0.25">
      <c r="A171" s="12">
        <v>44221</v>
      </c>
      <c r="B171" s="18">
        <v>35.18</v>
      </c>
      <c r="C171" s="126">
        <f t="shared" si="11"/>
        <v>7.9803494180264334E-2</v>
      </c>
    </row>
    <row r="172" spans="1:3" x14ac:dyDescent="0.25">
      <c r="A172" s="12">
        <v>44214</v>
      </c>
      <c r="B172" s="18">
        <v>32.580002</v>
      </c>
      <c r="C172" s="126">
        <f t="shared" si="11"/>
        <v>0.27067095439434308</v>
      </c>
    </row>
    <row r="173" spans="1:3" x14ac:dyDescent="0.25">
      <c r="A173" s="12">
        <v>44207</v>
      </c>
      <c r="B173" s="18">
        <v>25.639999</v>
      </c>
      <c r="C173" s="126">
        <f t="shared" si="11"/>
        <v>1.746023740237157E-2</v>
      </c>
    </row>
    <row r="174" spans="1:3" x14ac:dyDescent="0.25">
      <c r="A174" s="12">
        <v>44200</v>
      </c>
      <c r="B174" s="18">
        <v>25.200001</v>
      </c>
      <c r="C174" s="126">
        <f t="shared" si="11"/>
        <v>7.0063782168313438E-2</v>
      </c>
    </row>
    <row r="175" spans="1:3" x14ac:dyDescent="0.25">
      <c r="A175" s="12">
        <v>44193</v>
      </c>
      <c r="B175" s="18">
        <v>23.549999</v>
      </c>
      <c r="C175" s="126">
        <f t="shared" si="11"/>
        <v>-0.1513513873873874</v>
      </c>
    </row>
    <row r="176" spans="1:3" x14ac:dyDescent="0.25">
      <c r="A176" s="12">
        <v>44186</v>
      </c>
      <c r="B176" s="18">
        <v>27.75</v>
      </c>
      <c r="C176" s="126">
        <f t="shared" si="11"/>
        <v>6.8540664941881602E-2</v>
      </c>
    </row>
    <row r="177" spans="1:3" x14ac:dyDescent="0.25">
      <c r="A177" s="12">
        <v>44179</v>
      </c>
      <c r="B177" s="18">
        <v>25.969999000000001</v>
      </c>
      <c r="C177" s="126">
        <f t="shared" si="11"/>
        <v>-4.522066010218162E-2</v>
      </c>
    </row>
    <row r="178" spans="1:3" x14ac:dyDescent="0.25">
      <c r="A178" s="12">
        <v>44172</v>
      </c>
      <c r="B178" s="18">
        <v>27.200001</v>
      </c>
      <c r="C178" s="126">
        <f t="shared" si="11"/>
        <v>0.1404612578616351</v>
      </c>
    </row>
    <row r="179" spans="1:3" x14ac:dyDescent="0.25">
      <c r="A179" s="12">
        <v>44165</v>
      </c>
      <c r="B179" s="18">
        <v>23.85</v>
      </c>
      <c r="C179" s="126">
        <f t="shared" si="11"/>
        <v>-0.13774403470715835</v>
      </c>
    </row>
    <row r="180" spans="1:3" x14ac:dyDescent="0.25">
      <c r="A180" s="12">
        <v>44158</v>
      </c>
      <c r="B180" s="18">
        <v>27.66</v>
      </c>
      <c r="C180" s="126">
        <f t="shared" si="11"/>
        <v>0.5239669421487605</v>
      </c>
    </row>
    <row r="181" spans="1:3" x14ac:dyDescent="0.25">
      <c r="A181" s="12">
        <v>44151</v>
      </c>
      <c r="B181" s="18">
        <v>18.149999999999999</v>
      </c>
      <c r="C181" s="126">
        <f t="shared" si="11"/>
        <v>0.14873417721518978</v>
      </c>
    </row>
    <row r="182" spans="1:3" x14ac:dyDescent="0.25">
      <c r="A182" s="12">
        <v>44144</v>
      </c>
      <c r="B182" s="18">
        <v>15.8</v>
      </c>
      <c r="C182" s="126">
        <f t="shared" si="11"/>
        <v>0.14244396240057844</v>
      </c>
    </row>
    <row r="183" spans="1:3" x14ac:dyDescent="0.25">
      <c r="A183" s="12">
        <v>44137</v>
      </c>
      <c r="B183" s="18">
        <v>13.83</v>
      </c>
      <c r="C183" s="126">
        <f t="shared" si="11"/>
        <v>0.36525172754195445</v>
      </c>
    </row>
    <row r="184" spans="1:3" x14ac:dyDescent="0.25">
      <c r="A184" s="12">
        <v>44130</v>
      </c>
      <c r="B184" s="18">
        <v>10.130000000000001</v>
      </c>
      <c r="C184" s="126">
        <f t="shared" si="11"/>
        <v>6.7439409905163394E-2</v>
      </c>
    </row>
    <row r="185" spans="1:3" x14ac:dyDescent="0.25">
      <c r="A185" s="12">
        <v>44123</v>
      </c>
      <c r="B185" s="18">
        <v>9.49</v>
      </c>
      <c r="C185" s="126">
        <f t="shared" si="11"/>
        <v>-2.2657054582904235E-2</v>
      </c>
    </row>
    <row r="186" spans="1:3" x14ac:dyDescent="0.25">
      <c r="A186" s="12">
        <v>44116</v>
      </c>
      <c r="B186" s="18">
        <v>9.7100000000000009</v>
      </c>
      <c r="C186" s="126">
        <f t="shared" si="11"/>
        <v>-2.4120603015075237E-2</v>
      </c>
    </row>
    <row r="187" spans="1:3" x14ac:dyDescent="0.25">
      <c r="A187" s="12">
        <v>44109</v>
      </c>
      <c r="B187" s="18">
        <v>9.9499999999999993</v>
      </c>
      <c r="C187" s="126">
        <f t="shared" si="11"/>
        <v>8.1521739130434812E-2</v>
      </c>
    </row>
    <row r="188" spans="1:3" x14ac:dyDescent="0.25">
      <c r="A188" s="12">
        <v>44102</v>
      </c>
      <c r="B188" s="18">
        <v>9.1999999999999993</v>
      </c>
    </row>
  </sheetData>
  <autoFilter ref="A1:C1" xr:uid="{366AC5E7-7FF6-4287-9F23-7D3A6FE15A5F}">
    <sortState xmlns:xlrd2="http://schemas.microsoft.com/office/spreadsheetml/2017/richdata2" ref="A2:C183">
      <sortCondition descending="1" ref="A1"/>
    </sortState>
  </autoFilter>
  <mergeCells count="4">
    <mergeCell ref="G1:L1"/>
    <mergeCell ref="G43:L43"/>
    <mergeCell ref="G17:H17"/>
    <mergeCell ref="G18:H18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</vt:lpstr>
      <vt:lpstr>Model</vt:lpstr>
      <vt:lpstr>Model-graph</vt:lpstr>
      <vt:lpstr>Catalysts</vt:lpstr>
      <vt:lpstr>DoR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Burghardt</dc:creator>
  <cp:lastModifiedBy>Simon Burghardt</cp:lastModifiedBy>
  <dcterms:created xsi:type="dcterms:W3CDTF">2015-06-05T18:19:34Z</dcterms:created>
  <dcterms:modified xsi:type="dcterms:W3CDTF">2024-04-26T14:03:31Z</dcterms:modified>
</cp:coreProperties>
</file>