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90F843CD-F368-40CB-A2F2-BBF0FF5A2BB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ain" sheetId="1" r:id="rId1"/>
    <sheet name="Model" sheetId="2" r:id="rId2"/>
    <sheet name="Model-graph" sheetId="3" r:id="rId3"/>
    <sheet name="Revenue by Segment" sheetId="6" r:id="rId4"/>
    <sheet name="Catalysts" sheetId="4" r:id="rId5"/>
    <sheet name="DoR" sheetId="5" r:id="rId6"/>
  </sheets>
  <definedNames>
    <definedName name="_xlchart.v1.0" hidden="1">Model!$A$3</definedName>
    <definedName name="_xlchart.v1.1" hidden="1">Model!$A$4</definedName>
    <definedName name="_xlchart.v1.2" hidden="1">Model!$B$2:$Q$2</definedName>
    <definedName name="_xlchart.v1.3" hidden="1">Model!$B$3:$Q$3</definedName>
    <definedName name="_xlchart.v1.4" hidden="1">Model!$B$4:$Q$4</definedName>
    <definedName name="_xlchart.v1.5" hidden="1">Model!$A$20</definedName>
    <definedName name="_xlchart.v1.6" hidden="1">Model!$A$21</definedName>
    <definedName name="_xlchart.v1.7" hidden="1">Model!$B$20:$Q$20</definedName>
    <definedName name="_xlchart.v1.8" hidden="1">Model!$B$21:$Q$21</definedName>
    <definedName name="_xlchart.v1.9" hidden="1">Model!$B$2:$Q$2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3" i="5" l="1"/>
  <c r="D154" i="5"/>
  <c r="D4" i="5"/>
  <c r="D152" i="5"/>
  <c r="D3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2" i="5"/>
  <c r="J34" i="5" s="1"/>
  <c r="I65" i="5"/>
  <c r="I64" i="5"/>
  <c r="J36" i="5" l="1"/>
  <c r="I22" i="5"/>
  <c r="I26" i="5"/>
  <c r="M58" i="5"/>
  <c r="M57" i="5"/>
  <c r="K55" i="5"/>
  <c r="I19" i="5"/>
  <c r="I24" i="5"/>
  <c r="I28" i="5"/>
  <c r="M45" i="5"/>
  <c r="M47" i="5"/>
  <c r="M49" i="5"/>
  <c r="M51" i="5"/>
  <c r="M53" i="5"/>
  <c r="M55" i="5"/>
  <c r="I44" i="5"/>
  <c r="I50" i="5"/>
  <c r="I56" i="5"/>
  <c r="I21" i="5"/>
  <c r="I25" i="5"/>
  <c r="I29" i="5"/>
  <c r="I34" i="5"/>
  <c r="I58" i="5"/>
  <c r="K46" i="5"/>
  <c r="K50" i="5"/>
  <c r="K54" i="5"/>
  <c r="M44" i="5"/>
  <c r="M46" i="5"/>
  <c r="M50" i="5"/>
  <c r="M52" i="5"/>
  <c r="M54" i="5"/>
  <c r="M56" i="5"/>
  <c r="I30" i="5"/>
  <c r="K44" i="5"/>
  <c r="K48" i="5"/>
  <c r="K52" i="5"/>
  <c r="K56" i="5"/>
  <c r="M48" i="5"/>
  <c r="I23" i="5"/>
  <c r="I31" i="5"/>
  <c r="K34" i="5" s="1"/>
  <c r="I48" i="5"/>
  <c r="I54" i="5"/>
  <c r="I35" i="5"/>
  <c r="I45" i="5"/>
  <c r="I47" i="5"/>
  <c r="I49" i="5"/>
  <c r="I51" i="5"/>
  <c r="I53" i="5"/>
  <c r="I55" i="5"/>
  <c r="I57" i="5"/>
  <c r="I46" i="5"/>
  <c r="I52" i="5"/>
  <c r="I20" i="5"/>
  <c r="J35" i="5"/>
  <c r="K45" i="5"/>
  <c r="K47" i="5"/>
  <c r="K49" i="5"/>
  <c r="K51" i="5"/>
  <c r="K53" i="5"/>
  <c r="I27" i="5" l="1"/>
  <c r="K35" i="5"/>
  <c r="L35" i="5" s="1"/>
  <c r="L34" i="5"/>
  <c r="J40" i="5"/>
  <c r="J39" i="5"/>
  <c r="H10" i="5"/>
  <c r="I40" i="5"/>
  <c r="H14" i="5"/>
  <c r="H6" i="5"/>
  <c r="H9" i="5"/>
  <c r="H7" i="5"/>
  <c r="H8" i="5"/>
  <c r="J41" i="5"/>
  <c r="I41" i="5"/>
  <c r="I39" i="5"/>
  <c r="K39" i="5" s="1"/>
  <c r="L39" i="5" s="1"/>
  <c r="H11" i="5"/>
  <c r="H12" i="5"/>
  <c r="H4" i="5"/>
  <c r="H13" i="5"/>
  <c r="H5" i="5"/>
  <c r="K36" i="5"/>
  <c r="L36" i="5" s="1"/>
  <c r="K40" i="5" l="1"/>
  <c r="L40" i="5" s="1"/>
  <c r="K41" i="5"/>
  <c r="L41" i="5" s="1"/>
  <c r="J7" i="5"/>
  <c r="L7" i="5" s="1"/>
  <c r="I7" i="5"/>
  <c r="K8" i="5"/>
  <c r="J4" i="5"/>
  <c r="L4" i="5" s="1"/>
  <c r="M4" i="5" s="1"/>
  <c r="K4" i="5"/>
  <c r="I4" i="5"/>
  <c r="K5" i="5"/>
  <c r="K10" i="5"/>
  <c r="J9" i="5"/>
  <c r="L9" i="5" s="1"/>
  <c r="I9" i="5"/>
  <c r="K14" i="5"/>
  <c r="J13" i="5"/>
  <c r="L13" i="5" s="1"/>
  <c r="I13" i="5"/>
  <c r="J12" i="5"/>
  <c r="L12" i="5" s="1"/>
  <c r="I12" i="5"/>
  <c r="K13" i="5"/>
  <c r="K7" i="5"/>
  <c r="J6" i="5"/>
  <c r="L6" i="5" s="1"/>
  <c r="I6" i="5"/>
  <c r="K12" i="5"/>
  <c r="I11" i="5"/>
  <c r="J11" i="5"/>
  <c r="L11" i="5" s="1"/>
  <c r="K15" i="5"/>
  <c r="J15" i="5"/>
  <c r="L15" i="5" s="1"/>
  <c r="J14" i="5"/>
  <c r="L14" i="5" s="1"/>
  <c r="I14" i="5"/>
  <c r="I10" i="5"/>
  <c r="K11" i="5"/>
  <c r="J10" i="5"/>
  <c r="L10" i="5" s="1"/>
  <c r="K6" i="5"/>
  <c r="J5" i="5"/>
  <c r="L5" i="5" s="1"/>
  <c r="I5" i="5"/>
  <c r="K9" i="5"/>
  <c r="J8" i="5"/>
  <c r="L8" i="5" s="1"/>
  <c r="I8" i="5"/>
  <c r="M5" i="5" l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P29" i="2" l="1"/>
  <c r="X22" i="2"/>
  <c r="P25" i="2"/>
  <c r="X25" i="2"/>
  <c r="W22" i="2"/>
  <c r="V22" i="2"/>
  <c r="U22" i="2"/>
  <c r="W25" i="2"/>
  <c r="V25" i="2"/>
  <c r="W14" i="2"/>
  <c r="X17" i="2"/>
  <c r="X16" i="2"/>
  <c r="X14" i="2"/>
  <c r="W17" i="2"/>
  <c r="W16" i="2"/>
  <c r="W20" i="2"/>
  <c r="N17" i="2"/>
  <c r="M17" i="2"/>
  <c r="P17" i="2"/>
  <c r="L17" i="2"/>
  <c r="X12" i="2"/>
  <c r="X10" i="2"/>
  <c r="X8" i="2"/>
  <c r="X7" i="2"/>
  <c r="X6" i="2"/>
  <c r="X5" i="2"/>
  <c r="X3" i="2"/>
  <c r="P24" i="2"/>
  <c r="P22" i="2"/>
  <c r="P9" i="2"/>
  <c r="P11" i="2" s="1"/>
  <c r="P13" i="2" s="1"/>
  <c r="P20" i="2" s="1"/>
  <c r="O17" i="2"/>
  <c r="O24" i="2"/>
  <c r="L54" i="2"/>
  <c r="W54" i="2" s="1"/>
  <c r="W55" i="2"/>
  <c r="N54" i="2"/>
  <c r="L29" i="2"/>
  <c r="W3" i="2"/>
  <c r="W53" i="2"/>
  <c r="W52" i="2"/>
  <c r="W45" i="2"/>
  <c r="W46" i="2"/>
  <c r="W47" i="2"/>
  <c r="W48" i="2"/>
  <c r="W49" i="2"/>
  <c r="W50" i="2"/>
  <c r="W44" i="2"/>
  <c r="W39" i="2"/>
  <c r="W40" i="2"/>
  <c r="W41" i="2"/>
  <c r="W42" i="2"/>
  <c r="W38" i="2"/>
  <c r="W32" i="2"/>
  <c r="W33" i="2"/>
  <c r="W34" i="2"/>
  <c r="W35" i="2"/>
  <c r="W36" i="2"/>
  <c r="W31" i="2"/>
  <c r="W30" i="2"/>
  <c r="W12" i="2"/>
  <c r="W10" i="2"/>
  <c r="W8" i="2"/>
  <c r="W7" i="2"/>
  <c r="W6" i="2"/>
  <c r="W5" i="2"/>
  <c r="V5" i="2"/>
  <c r="V12" i="2"/>
  <c r="V10" i="2"/>
  <c r="V6" i="2"/>
  <c r="V7" i="2"/>
  <c r="V8" i="2"/>
  <c r="V3" i="2"/>
  <c r="V17" i="2"/>
  <c r="H17" i="2"/>
  <c r="V53" i="2"/>
  <c r="V54" i="2"/>
  <c r="V55" i="2"/>
  <c r="V52" i="2"/>
  <c r="V45" i="2"/>
  <c r="V46" i="2"/>
  <c r="V47" i="2"/>
  <c r="V48" i="2"/>
  <c r="V49" i="2"/>
  <c r="V50" i="2"/>
  <c r="V44" i="2"/>
  <c r="V39" i="2"/>
  <c r="V40" i="2"/>
  <c r="V41" i="2"/>
  <c r="V42" i="2"/>
  <c r="V38" i="2"/>
  <c r="V31" i="2"/>
  <c r="V32" i="2"/>
  <c r="V33" i="2"/>
  <c r="V34" i="2"/>
  <c r="V35" i="2"/>
  <c r="V36" i="2"/>
  <c r="V30" i="2"/>
  <c r="G54" i="2"/>
  <c r="U53" i="2"/>
  <c r="U54" i="2"/>
  <c r="U55" i="2"/>
  <c r="U52" i="2"/>
  <c r="U45" i="2"/>
  <c r="U46" i="2"/>
  <c r="U47" i="2"/>
  <c r="U48" i="2"/>
  <c r="U49" i="2"/>
  <c r="U50" i="2"/>
  <c r="U44" i="2"/>
  <c r="U39" i="2"/>
  <c r="U40" i="2"/>
  <c r="U41" i="2"/>
  <c r="U42" i="2"/>
  <c r="U38" i="2"/>
  <c r="U31" i="2"/>
  <c r="U32" i="2"/>
  <c r="U33" i="2"/>
  <c r="U34" i="2"/>
  <c r="U35" i="2"/>
  <c r="U36" i="2"/>
  <c r="U30" i="2"/>
  <c r="U29" i="2" s="1"/>
  <c r="D54" i="2"/>
  <c r="B29" i="2"/>
  <c r="C29" i="2"/>
  <c r="D29" i="2"/>
  <c r="E29" i="2"/>
  <c r="G29" i="2"/>
  <c r="H29" i="2"/>
  <c r="I29" i="2"/>
  <c r="J29" i="2"/>
  <c r="K29" i="2"/>
  <c r="M29" i="2"/>
  <c r="N29" i="2"/>
  <c r="O29" i="2"/>
  <c r="F29" i="2"/>
  <c r="F54" i="2"/>
  <c r="G22" i="2"/>
  <c r="H22" i="2"/>
  <c r="I22" i="2"/>
  <c r="J22" i="2"/>
  <c r="K22" i="2"/>
  <c r="L22" i="2"/>
  <c r="M22" i="2"/>
  <c r="N22" i="2"/>
  <c r="O22" i="2"/>
  <c r="B22" i="2"/>
  <c r="C22" i="2"/>
  <c r="D22" i="2"/>
  <c r="E22" i="2"/>
  <c r="F22" i="2"/>
  <c r="F9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Y13" i="2"/>
  <c r="Q13" i="2"/>
  <c r="C17" i="1"/>
  <c r="C16" i="1"/>
  <c r="Y24" i="2"/>
  <c r="Q24" i="2"/>
  <c r="X24" i="2" l="1"/>
  <c r="X9" i="2"/>
  <c r="X11" i="2" s="1"/>
  <c r="X13" i="2" s="1"/>
  <c r="X20" i="2" s="1"/>
  <c r="P23" i="2"/>
  <c r="P15" i="2"/>
  <c r="P18" i="2" s="1"/>
  <c r="W29" i="2"/>
  <c r="W9" i="2"/>
  <c r="W11" i="2" s="1"/>
  <c r="W13" i="2" s="1"/>
  <c r="C13" i="1" s="1"/>
  <c r="V29" i="2"/>
  <c r="C9" i="1"/>
  <c r="C10" i="1"/>
  <c r="N51" i="2"/>
  <c r="M51" i="2"/>
  <c r="V24" i="2"/>
  <c r="W24" i="2"/>
  <c r="K51" i="2"/>
  <c r="F24" i="2"/>
  <c r="G24" i="2"/>
  <c r="I24" i="2"/>
  <c r="J24" i="2"/>
  <c r="K24" i="2"/>
  <c r="M24" i="2"/>
  <c r="N24" i="2"/>
  <c r="U51" i="2"/>
  <c r="U56" i="2" s="1"/>
  <c r="V51" i="2"/>
  <c r="W51" i="2"/>
  <c r="U37" i="2"/>
  <c r="U43" i="2" s="1"/>
  <c r="V37" i="2"/>
  <c r="V43" i="2" s="1"/>
  <c r="W37" i="2"/>
  <c r="W43" i="2" s="1"/>
  <c r="B43" i="2"/>
  <c r="B51" i="2"/>
  <c r="B56" i="2" s="1"/>
  <c r="C51" i="2"/>
  <c r="C56" i="2" s="1"/>
  <c r="E51" i="2"/>
  <c r="F51" i="2"/>
  <c r="F56" i="2" s="1"/>
  <c r="G51" i="2"/>
  <c r="G56" i="2" s="1"/>
  <c r="I51" i="2"/>
  <c r="C43" i="2"/>
  <c r="E43" i="2"/>
  <c r="F43" i="2"/>
  <c r="G43" i="2"/>
  <c r="I43" i="2"/>
  <c r="J43" i="2"/>
  <c r="K43" i="2"/>
  <c r="M43" i="2"/>
  <c r="N43" i="2"/>
  <c r="O43" i="2"/>
  <c r="V9" i="2"/>
  <c r="V11" i="2" s="1"/>
  <c r="V13" i="2" s="1"/>
  <c r="U9" i="2"/>
  <c r="U11" i="2" s="1"/>
  <c r="U13" i="2" s="1"/>
  <c r="C9" i="2"/>
  <c r="E9" i="2"/>
  <c r="E11" i="2" s="1"/>
  <c r="E13" i="2" s="1"/>
  <c r="G9" i="2"/>
  <c r="I9" i="2"/>
  <c r="I11" i="2" s="1"/>
  <c r="I13" i="2" s="1"/>
  <c r="J9" i="2"/>
  <c r="J11" i="2" s="1"/>
  <c r="J13" i="2" s="1"/>
  <c r="K9" i="2"/>
  <c r="K11" i="2" s="1"/>
  <c r="K13" i="2" s="1"/>
  <c r="M9" i="2"/>
  <c r="M11" i="2" s="1"/>
  <c r="M13" i="2" s="1"/>
  <c r="N9" i="2"/>
  <c r="N11" i="2" s="1"/>
  <c r="N13" i="2" s="1"/>
  <c r="O9" i="2"/>
  <c r="O11" i="2" s="1"/>
  <c r="O13" i="2" s="1"/>
  <c r="O15" i="2" s="1"/>
  <c r="B9" i="2"/>
  <c r="B11" i="2" s="1"/>
  <c r="B13" i="2" s="1"/>
  <c r="E15" i="2" l="1"/>
  <c r="E18" i="2" s="1"/>
  <c r="E25" i="2" s="1"/>
  <c r="E20" i="2"/>
  <c r="U15" i="2"/>
  <c r="U18" i="2" s="1"/>
  <c r="U20" i="2"/>
  <c r="N15" i="2"/>
  <c r="N18" i="2" s="1"/>
  <c r="N25" i="2" s="1"/>
  <c r="N20" i="2"/>
  <c r="M20" i="2"/>
  <c r="M15" i="2"/>
  <c r="M18" i="2" s="1"/>
  <c r="M25" i="2" s="1"/>
  <c r="X15" i="2"/>
  <c r="X18" i="2" s="1"/>
  <c r="X23" i="2"/>
  <c r="X26" i="2"/>
  <c r="K20" i="2"/>
  <c r="K15" i="2"/>
  <c r="K18" i="2" s="1"/>
  <c r="K25" i="2" s="1"/>
  <c r="O20" i="2"/>
  <c r="O18" i="2"/>
  <c r="O25" i="2" s="1"/>
  <c r="W15" i="2"/>
  <c r="W18" i="2" s="1"/>
  <c r="J15" i="2"/>
  <c r="J18" i="2" s="1"/>
  <c r="J25" i="2" s="1"/>
  <c r="J20" i="2"/>
  <c r="I15" i="2"/>
  <c r="I18" i="2" s="1"/>
  <c r="I25" i="2" s="1"/>
  <c r="I20" i="2"/>
  <c r="V15" i="2"/>
  <c r="V18" i="2" s="1"/>
  <c r="V20" i="2"/>
  <c r="B19" i="2"/>
  <c r="B15" i="2"/>
  <c r="B18" i="2" s="1"/>
  <c r="B25" i="2" s="1"/>
  <c r="G11" i="2"/>
  <c r="G13" i="2" s="1"/>
  <c r="F11" i="2"/>
  <c r="F13" i="2" s="1"/>
  <c r="F15" i="2" s="1"/>
  <c r="F18" i="2" s="1"/>
  <c r="F25" i="2" s="1"/>
  <c r="C11" i="2"/>
  <c r="C13" i="2" s="1"/>
  <c r="O51" i="2"/>
  <c r="O56" i="2" s="1"/>
  <c r="W56" i="2"/>
  <c r="J51" i="2"/>
  <c r="J56" i="2" s="1"/>
  <c r="V56" i="2"/>
  <c r="D43" i="2"/>
  <c r="C11" i="1"/>
  <c r="N56" i="2"/>
  <c r="M56" i="2"/>
  <c r="H9" i="2"/>
  <c r="H24" i="2"/>
  <c r="L24" i="2"/>
  <c r="L9" i="2"/>
  <c r="L11" i="2" s="1"/>
  <c r="L13" i="2" s="1"/>
  <c r="L51" i="2"/>
  <c r="L56" i="2" s="1"/>
  <c r="L43" i="2"/>
  <c r="K56" i="2"/>
  <c r="I56" i="2"/>
  <c r="H51" i="2"/>
  <c r="H56" i="2" s="1"/>
  <c r="D51" i="2"/>
  <c r="D56" i="2" s="1"/>
  <c r="H43" i="2"/>
  <c r="E56" i="2"/>
  <c r="D9" i="2"/>
  <c r="C8" i="1"/>
  <c r="C12" i="1" s="1"/>
  <c r="C15" i="2" l="1"/>
  <c r="C18" i="2" s="1"/>
  <c r="C25" i="2" s="1"/>
  <c r="C19" i="2"/>
  <c r="L15" i="2"/>
  <c r="L18" i="2" s="1"/>
  <c r="L25" i="2" s="1"/>
  <c r="L20" i="2"/>
  <c r="P26" i="2"/>
  <c r="G26" i="2"/>
  <c r="G15" i="2"/>
  <c r="G18" i="2" s="1"/>
  <c r="G25" i="2" s="1"/>
  <c r="G19" i="2"/>
  <c r="F19" i="2"/>
  <c r="F23" i="2"/>
  <c r="J26" i="2"/>
  <c r="H11" i="2"/>
  <c r="H13" i="2" s="1"/>
  <c r="H15" i="2" s="1"/>
  <c r="H18" i="2" s="1"/>
  <c r="H25" i="2" s="1"/>
  <c r="D11" i="2"/>
  <c r="J23" i="2"/>
  <c r="F26" i="2"/>
  <c r="N26" i="2"/>
  <c r="O23" i="2"/>
  <c r="I23" i="2"/>
  <c r="I26" i="2"/>
  <c r="W23" i="2"/>
  <c r="N23" i="2"/>
  <c r="M23" i="2"/>
  <c r="M26" i="2"/>
  <c r="V26" i="2"/>
  <c r="W26" i="2"/>
  <c r="V23" i="2"/>
  <c r="G23" i="2"/>
  <c r="E23" i="2"/>
  <c r="U23" i="2"/>
  <c r="C23" i="2"/>
  <c r="B23" i="2"/>
  <c r="D13" i="2" l="1"/>
  <c r="D20" i="2" s="1"/>
  <c r="H23" i="2"/>
  <c r="L23" i="2"/>
  <c r="L26" i="2"/>
  <c r="K23" i="2"/>
  <c r="O26" i="2"/>
  <c r="K26" i="2"/>
  <c r="D23" i="2" l="1"/>
  <c r="D15" i="2"/>
  <c r="D18" i="2" s="1"/>
  <c r="D25" i="2" s="1"/>
  <c r="H26" i="2"/>
  <c r="H20" i="2" l="1"/>
</calcChain>
</file>

<file path=xl/sharedStrings.xml><?xml version="1.0" encoding="utf-8"?>
<sst xmlns="http://schemas.openxmlformats.org/spreadsheetml/2006/main" count="191" uniqueCount="174">
  <si>
    <t>Price</t>
  </si>
  <si>
    <t>Shares</t>
  </si>
  <si>
    <t>MC</t>
  </si>
  <si>
    <t>CASH</t>
  </si>
  <si>
    <t>DEBT</t>
  </si>
  <si>
    <t>EV</t>
  </si>
  <si>
    <t>Q222</t>
  </si>
  <si>
    <t>Q322</t>
  </si>
  <si>
    <t>Q422</t>
  </si>
  <si>
    <t>Q123</t>
  </si>
  <si>
    <t>Q221</t>
  </si>
  <si>
    <t>Q321</t>
  </si>
  <si>
    <t>Q421</t>
  </si>
  <si>
    <t>Q122</t>
  </si>
  <si>
    <t>FY21</t>
  </si>
  <si>
    <t>FY22</t>
  </si>
  <si>
    <t>FY23</t>
  </si>
  <si>
    <t>Revenue</t>
  </si>
  <si>
    <t>FY20</t>
  </si>
  <si>
    <t>EBITDA</t>
  </si>
  <si>
    <t>Income Tax</t>
  </si>
  <si>
    <t>Net Income</t>
  </si>
  <si>
    <t>EPS</t>
  </si>
  <si>
    <t>Operational Income</t>
  </si>
  <si>
    <t>D&amp;A</t>
  </si>
  <si>
    <t>Cash</t>
  </si>
  <si>
    <t>AR</t>
  </si>
  <si>
    <t>Other</t>
  </si>
  <si>
    <t>Intangible Assets</t>
  </si>
  <si>
    <t>Total Assets</t>
  </si>
  <si>
    <t>Total Liablities</t>
  </si>
  <si>
    <t>AP</t>
  </si>
  <si>
    <t>Gross Margin</t>
  </si>
  <si>
    <t>Net Margin</t>
  </si>
  <si>
    <t>Revenue y/y</t>
  </si>
  <si>
    <t>FY24</t>
  </si>
  <si>
    <t>Q121</t>
  </si>
  <si>
    <t>Q420</t>
  </si>
  <si>
    <t>Q320</t>
  </si>
  <si>
    <t>Q220</t>
  </si>
  <si>
    <t>Net Income y/y</t>
  </si>
  <si>
    <t>Q223</t>
  </si>
  <si>
    <t>Net CASH</t>
  </si>
  <si>
    <t>Main</t>
  </si>
  <si>
    <t>Net Cash</t>
  </si>
  <si>
    <t>Net Inc</t>
  </si>
  <si>
    <t>SBE</t>
  </si>
  <si>
    <t>deff. Tax</t>
  </si>
  <si>
    <t>Other Ass</t>
  </si>
  <si>
    <t>Accrued Exp</t>
  </si>
  <si>
    <t>Capex</t>
  </si>
  <si>
    <t>Proc. PP&amp;E</t>
  </si>
  <si>
    <t>Rep. Debt</t>
  </si>
  <si>
    <t>Rep. Finance</t>
  </si>
  <si>
    <t>Taxes</t>
  </si>
  <si>
    <t>FX</t>
  </si>
  <si>
    <t>Net Cash Chance</t>
  </si>
  <si>
    <t>CC EOP</t>
  </si>
  <si>
    <t>CC BOP</t>
  </si>
  <si>
    <t>Q323</t>
  </si>
  <si>
    <t>Q423</t>
  </si>
  <si>
    <t>Last Update</t>
  </si>
  <si>
    <t>Management</t>
  </si>
  <si>
    <t>EG1</t>
  </si>
  <si>
    <t>EG2</t>
  </si>
  <si>
    <t>PE1</t>
  </si>
  <si>
    <t>PE2</t>
  </si>
  <si>
    <t>PE0</t>
  </si>
  <si>
    <t>Shareholders</t>
  </si>
  <si>
    <t>% Out</t>
  </si>
  <si>
    <t>Date</t>
  </si>
  <si>
    <t>Close</t>
  </si>
  <si>
    <t>Event</t>
  </si>
  <si>
    <t>Earnings</t>
  </si>
  <si>
    <t>Driving business factors:</t>
  </si>
  <si>
    <t>xxx</t>
  </si>
  <si>
    <t>Insiders</t>
  </si>
  <si>
    <t>Comment</t>
  </si>
  <si>
    <t>Role</t>
  </si>
  <si>
    <t>COGS</t>
  </si>
  <si>
    <t>Current Assets</t>
  </si>
  <si>
    <t>Total Current Liabilities</t>
  </si>
  <si>
    <t>Q124</t>
  </si>
  <si>
    <t>EPS exp.</t>
  </si>
  <si>
    <t>Rev. Exp.</t>
  </si>
  <si>
    <t>OTLY</t>
  </si>
  <si>
    <t>Blackstone Inc</t>
  </si>
  <si>
    <t>6.71%</t>
  </si>
  <si>
    <t>Massachusetts Financial Services Co.</t>
  </si>
  <si>
    <t>1.21%</t>
  </si>
  <si>
    <t>BNP Paribas Asset Management Holding S.A.</t>
  </si>
  <si>
    <t>1.02%</t>
  </si>
  <si>
    <t>Goldman Sachs Group Inc</t>
  </si>
  <si>
    <t>0.41%</t>
  </si>
  <si>
    <t>TFG Asset Management GP Ltd</t>
  </si>
  <si>
    <t>0.35%</t>
  </si>
  <si>
    <t>IQ EQ Fund Management (Ireland) Ltd</t>
  </si>
  <si>
    <t>0.32%</t>
  </si>
  <si>
    <t>Point72 Asset Management, L.P.</t>
  </si>
  <si>
    <t>0.21%</t>
  </si>
  <si>
    <t>Prentice Capital Management, LP</t>
  </si>
  <si>
    <t>Bank of America Corporation</t>
  </si>
  <si>
    <t>0.15%</t>
  </si>
  <si>
    <t>Morgan Stanley</t>
  </si>
  <si>
    <t>0.12%</t>
  </si>
  <si>
    <t>No Data</t>
  </si>
  <si>
    <t>Insider Shares</t>
  </si>
  <si>
    <t>R&amp;D</t>
  </si>
  <si>
    <t>SG&amp;A</t>
  </si>
  <si>
    <t>Financial Income/Exp</t>
  </si>
  <si>
    <t>PP&amp;E</t>
  </si>
  <si>
    <t>Inventories</t>
  </si>
  <si>
    <t>Short-term Investments</t>
  </si>
  <si>
    <t>Prepaid Expense</t>
  </si>
  <si>
    <t>Tax</t>
  </si>
  <si>
    <t>Other + deffered Tax</t>
  </si>
  <si>
    <t>Trade receivables</t>
  </si>
  <si>
    <t>Right-of-use Asset</t>
  </si>
  <si>
    <t>Defered Tax</t>
  </si>
  <si>
    <t>Accrued Expense</t>
  </si>
  <si>
    <t>Trade Payables</t>
  </si>
  <si>
    <t>Other current</t>
  </si>
  <si>
    <t>Tax liabilities</t>
  </si>
  <si>
    <t>Credit</t>
  </si>
  <si>
    <t>Lease</t>
  </si>
  <si>
    <t>Lease Liabilities</t>
  </si>
  <si>
    <t>Debt</t>
  </si>
  <si>
    <t>Deferred Tax</t>
  </si>
  <si>
    <t>Other + Provisions</t>
  </si>
  <si>
    <t>non-GAAP EBITDA</t>
  </si>
  <si>
    <t>Share-based comp</t>
  </si>
  <si>
    <t>adj. EBITDA</t>
  </si>
  <si>
    <t>adj. EBITDA Margin</t>
  </si>
  <si>
    <t>Shareholder Loans/Conv Notes</t>
  </si>
  <si>
    <t>w/w</t>
  </si>
  <si>
    <t>Close to Close Weekly returns</t>
  </si>
  <si>
    <t>Intervals</t>
  </si>
  <si>
    <t>Bin</t>
  </si>
  <si>
    <t>Frequency</t>
  </si>
  <si>
    <t>Range</t>
  </si>
  <si>
    <t>Probability</t>
  </si>
  <si>
    <t>Cumulative Percentage</t>
  </si>
  <si>
    <t>More</t>
  </si>
  <si>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</si>
  <si>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</si>
  <si>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</si>
  <si>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</si>
  <si>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</si>
  <si>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</si>
  <si>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</si>
  <si>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</si>
  <si>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</si>
  <si>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</si>
  <si>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</si>
  <si>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</si>
  <si>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</si>
  <si>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Average Returns</t>
  </si>
  <si>
    <t>Frequency %</t>
  </si>
  <si>
    <t>Frequency Adjusted Return</t>
  </si>
  <si>
    <t>Positive Data Points</t>
  </si>
  <si>
    <t>Negative Data Points</t>
  </si>
  <si>
    <t>Zero</t>
  </si>
  <si>
    <t>Std Dev</t>
  </si>
  <si>
    <t>Upper Bound</t>
  </si>
  <si>
    <t>Lower Bound</t>
  </si>
  <si>
    <t>Actual Count</t>
  </si>
  <si>
    <t>Actual % Count</t>
  </si>
  <si>
    <t>Normal % Count</t>
  </si>
  <si>
    <t>Percentiles</t>
  </si>
  <si>
    <t>Stop %</t>
  </si>
  <si>
    <t>Target %</t>
  </si>
  <si>
    <t>Current Price</t>
  </si>
  <si>
    <t>Stop Price</t>
  </si>
  <si>
    <t>Target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</si>
</sst>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7" borderId="9" applyNumberFormat="0" applyAlignment="0" applyProtection="0"/>
  </cellStyleXfs>
  <cellXfs count="129">
    <xf numFmtId="0" fontId="0" fillId="0" borderId="0" xfId="0"/>
    <xf numFmtId="0" fontId="2" fillId="0" borderId="0" xfId="0" applyFont="1"/>
    <xf numFmtId="2" fontId="2" fillId="0" borderId="0" xfId="0" applyNumberFormat="1" applyFont="1"/>
    <xf numFmtId="9" fontId="0" fillId="0" borderId="0" xfId="1" applyFont="1"/>
    <xf numFmtId="9" fontId="0" fillId="0" borderId="0" xfId="0" applyNumberFormat="1"/>
    <xf numFmtId="0" fontId="0" fillId="0" borderId="1" xfId="0" applyBorder="1"/>
    <xf numFmtId="9" fontId="0" fillId="0" borderId="2" xfId="1" applyFont="1" applyBorder="1"/>
    <xf numFmtId="9" fontId="0" fillId="0" borderId="2" xfId="0" applyNumberFormat="1" applyBorder="1"/>
    <xf numFmtId="0" fontId="4" fillId="0" borderId="0" xfId="2"/>
    <xf numFmtId="0" fontId="5" fillId="0" borderId="0" xfId="0" applyFont="1"/>
    <xf numFmtId="3" fontId="0" fillId="0" borderId="0" xfId="0" applyNumberFormat="1"/>
    <xf numFmtId="3" fontId="2" fillId="0" borderId="0" xfId="0" applyNumberFormat="1" applyFont="1"/>
    <xf numFmtId="14" fontId="0" fillId="0" borderId="0" xfId="0" applyNumberFormat="1"/>
    <xf numFmtId="0" fontId="0" fillId="0" borderId="2" xfId="0" applyBorder="1"/>
    <xf numFmtId="3" fontId="2" fillId="0" borderId="2" xfId="0" applyNumberFormat="1" applyFont="1" applyBorder="1"/>
    <xf numFmtId="3" fontId="0" fillId="0" borderId="2" xfId="0" applyNumberFormat="1" applyBorder="1"/>
    <xf numFmtId="0" fontId="2" fillId="0" borderId="2" xfId="0" applyFont="1" applyBorder="1"/>
    <xf numFmtId="49" fontId="0" fillId="0" borderId="0" xfId="0" applyNumberFormat="1"/>
    <xf numFmtId="2" fontId="0" fillId="0" borderId="0" xfId="0" applyNumberFormat="1"/>
    <xf numFmtId="0" fontId="0" fillId="0" borderId="4" xfId="0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3" borderId="3" xfId="0" applyFill="1" applyBorder="1"/>
    <xf numFmtId="0" fontId="0" fillId="0" borderId="7" xfId="0" applyBorder="1"/>
    <xf numFmtId="0" fontId="0" fillId="3" borderId="7" xfId="0" applyFill="1" applyBorder="1"/>
    <xf numFmtId="0" fontId="0" fillId="3" borderId="4" xfId="0" applyFill="1" applyBorder="1"/>
    <xf numFmtId="0" fontId="0" fillId="0" borderId="0" xfId="0" applyAlignment="1">
      <alignment horizontal="right"/>
    </xf>
    <xf numFmtId="0" fontId="0" fillId="0" borderId="8" xfId="0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4" borderId="0" xfId="0" applyFill="1"/>
    <xf numFmtId="0" fontId="0" fillId="5" borderId="3" xfId="0" applyFill="1" applyBorder="1"/>
    <xf numFmtId="0" fontId="0" fillId="3" borderId="3" xfId="0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2" xfId="0" applyNumberFormat="1" applyFont="1" applyBorder="1"/>
    <xf numFmtId="164" fontId="0" fillId="0" borderId="2" xfId="0" applyNumberFormat="1" applyBorder="1"/>
    <xf numFmtId="0" fontId="0" fillId="0" borderId="2" xfId="0" applyBorder="1" applyAlignment="1">
      <alignment wrapText="1"/>
    </xf>
    <xf numFmtId="165" fontId="0" fillId="0" borderId="2" xfId="1" applyNumberFormat="1" applyFont="1" applyBorder="1"/>
    <xf numFmtId="9" fontId="0" fillId="0" borderId="0" xfId="1" applyFont="1" applyBorder="1"/>
    <xf numFmtId="3" fontId="5" fillId="0" borderId="0" xfId="0" applyNumberFormat="1" applyFont="1"/>
    <xf numFmtId="2" fontId="5" fillId="0" borderId="0" xfId="0" applyNumberFormat="1" applyFont="1"/>
    <xf numFmtId="164" fontId="0" fillId="0" borderId="6" xfId="0" applyNumberFormat="1" applyBorder="1"/>
    <xf numFmtId="10" fontId="0" fillId="0" borderId="2" xfId="1" applyNumberFormat="1" applyFont="1" applyBorder="1"/>
    <xf numFmtId="3" fontId="5" fillId="0" borderId="2" xfId="0" applyNumberFormat="1" applyFont="1" applyBorder="1"/>
    <xf numFmtId="2" fontId="5" fillId="0" borderId="2" xfId="0" applyNumberFormat="1" applyFont="1" applyBorder="1"/>
    <xf numFmtId="0" fontId="0" fillId="6" borderId="0" xfId="0" applyFill="1"/>
    <xf numFmtId="3" fontId="0" fillId="6" borderId="0" xfId="0" applyNumberFormat="1" applyFill="1"/>
    <xf numFmtId="0" fontId="2" fillId="6" borderId="0" xfId="0" applyFont="1" applyFill="1"/>
    <xf numFmtId="3" fontId="2" fillId="6" borderId="0" xfId="0" applyNumberFormat="1" applyFont="1" applyFill="1"/>
    <xf numFmtId="3" fontId="0" fillId="6" borderId="2" xfId="0" applyNumberFormat="1" applyFill="1" applyBorder="1"/>
    <xf numFmtId="3" fontId="2" fillId="6" borderId="2" xfId="0" applyNumberFormat="1" applyFont="1" applyFill="1" applyBorder="1"/>
    <xf numFmtId="3" fontId="0" fillId="0" borderId="0" xfId="0" applyNumberFormat="1" applyAlignment="1">
      <alignment wrapText="1"/>
    </xf>
    <xf numFmtId="0" fontId="5" fillId="0" borderId="2" xfId="0" applyFont="1" applyBorder="1"/>
    <xf numFmtId="10" fontId="0" fillId="0" borderId="0" xfId="1" applyNumberFormat="1" applyFont="1"/>
    <xf numFmtId="0" fontId="8" fillId="9" borderId="13" xfId="0" applyFont="1" applyFill="1" applyBorder="1"/>
    <xf numFmtId="0" fontId="8" fillId="9" borderId="14" xfId="0" applyFont="1" applyFill="1" applyBorder="1"/>
    <xf numFmtId="0" fontId="8" fillId="9" borderId="15" xfId="0" applyFont="1" applyFill="1" applyBorder="1"/>
    <xf numFmtId="0" fontId="8" fillId="9" borderId="16" xfId="0" applyFont="1" applyFill="1" applyBorder="1"/>
    <xf numFmtId="0" fontId="9" fillId="9" borderId="17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9" borderId="19" xfId="0" applyFont="1" applyFill="1" applyBorder="1"/>
    <xf numFmtId="0" fontId="8" fillId="9" borderId="20" xfId="0" applyFont="1" applyFill="1" applyBorder="1"/>
    <xf numFmtId="166" fontId="8" fillId="9" borderId="21" xfId="0" applyNumberFormat="1" applyFont="1" applyFill="1" applyBorder="1"/>
    <xf numFmtId="166" fontId="8" fillId="9" borderId="22" xfId="0" applyNumberFormat="1" applyFont="1" applyFill="1" applyBorder="1"/>
    <xf numFmtId="0" fontId="8" fillId="9" borderId="22" xfId="0" applyFont="1" applyFill="1" applyBorder="1"/>
    <xf numFmtId="10" fontId="8" fillId="9" borderId="22" xfId="0" applyNumberFormat="1" applyFont="1" applyFill="1" applyBorder="1"/>
    <xf numFmtId="10" fontId="8" fillId="9" borderId="23" xfId="0" applyNumberFormat="1" applyFont="1" applyFill="1" applyBorder="1"/>
    <xf numFmtId="166" fontId="8" fillId="9" borderId="24" xfId="0" applyNumberFormat="1" applyFont="1" applyFill="1" applyBorder="1"/>
    <xf numFmtId="166" fontId="8" fillId="9" borderId="25" xfId="0" applyNumberFormat="1" applyFont="1" applyFill="1" applyBorder="1"/>
    <xf numFmtId="0" fontId="8" fillId="9" borderId="25" xfId="0" applyFont="1" applyFill="1" applyBorder="1"/>
    <xf numFmtId="0" fontId="8" fillId="9" borderId="25" xfId="0" quotePrefix="1" applyFont="1" applyFill="1" applyBorder="1"/>
    <xf numFmtId="10" fontId="8" fillId="9" borderId="25" xfId="0" applyNumberFormat="1" applyFont="1" applyFill="1" applyBorder="1"/>
    <xf numFmtId="10" fontId="8" fillId="9" borderId="26" xfId="0" applyNumberFormat="1" applyFont="1" applyFill="1" applyBorder="1"/>
    <xf numFmtId="0" fontId="8" fillId="9" borderId="27" xfId="0" applyFont="1" applyFill="1" applyBorder="1"/>
    <xf numFmtId="0" fontId="8" fillId="9" borderId="28" xfId="0" applyFont="1" applyFill="1" applyBorder="1"/>
    <xf numFmtId="10" fontId="8" fillId="9" borderId="29" xfId="0" applyNumberFormat="1" applyFont="1" applyFill="1" applyBorder="1"/>
    <xf numFmtId="166" fontId="8" fillId="9" borderId="30" xfId="0" applyNumberFormat="1" applyFont="1" applyFill="1" applyBorder="1"/>
    <xf numFmtId="0" fontId="8" fillId="9" borderId="31" xfId="0" applyFont="1" applyFill="1" applyBorder="1"/>
    <xf numFmtId="166" fontId="8" fillId="9" borderId="35" xfId="0" applyNumberFormat="1" applyFont="1" applyFill="1" applyBorder="1"/>
    <xf numFmtId="165" fontId="8" fillId="9" borderId="2" xfId="0" applyNumberFormat="1" applyFont="1" applyFill="1" applyBorder="1"/>
    <xf numFmtId="2" fontId="8" fillId="9" borderId="2" xfId="0" applyNumberFormat="1" applyFont="1" applyFill="1" applyBorder="1"/>
    <xf numFmtId="166" fontId="8" fillId="9" borderId="13" xfId="0" applyNumberFormat="1" applyFont="1" applyFill="1" applyBorder="1"/>
    <xf numFmtId="0" fontId="8" fillId="9" borderId="36" xfId="0" applyFont="1" applyFill="1" applyBorder="1"/>
    <xf numFmtId="166" fontId="8" fillId="9" borderId="37" xfId="0" applyNumberFormat="1" applyFont="1" applyFill="1" applyBorder="1"/>
    <xf numFmtId="166" fontId="8" fillId="9" borderId="38" xfId="0" applyNumberFormat="1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166" fontId="10" fillId="9" borderId="24" xfId="0" applyNumberFormat="1" applyFont="1" applyFill="1" applyBorder="1"/>
    <xf numFmtId="166" fontId="10" fillId="9" borderId="30" xfId="0" applyNumberFormat="1" applyFont="1" applyFill="1" applyBorder="1"/>
    <xf numFmtId="10" fontId="8" fillId="9" borderId="28" xfId="0" applyNumberFormat="1" applyFont="1" applyFill="1" applyBorder="1"/>
    <xf numFmtId="0" fontId="8" fillId="9" borderId="0" xfId="0" applyFont="1" applyFill="1"/>
    <xf numFmtId="1" fontId="8" fillId="9" borderId="24" xfId="0" applyNumberFormat="1" applyFont="1" applyFill="1" applyBorder="1"/>
    <xf numFmtId="10" fontId="8" fillId="9" borderId="39" xfId="0" applyNumberFormat="1" applyFont="1" applyFill="1" applyBorder="1"/>
    <xf numFmtId="9" fontId="10" fillId="9" borderId="40" xfId="0" applyNumberFormat="1" applyFont="1" applyFill="1" applyBorder="1"/>
    <xf numFmtId="10" fontId="0" fillId="9" borderId="42" xfId="0" applyNumberFormat="1" applyFill="1" applyBorder="1" applyAlignment="1">
      <alignment horizontal="centerContinuous"/>
    </xf>
    <xf numFmtId="9" fontId="10" fillId="9" borderId="43" xfId="0" applyNumberFormat="1" applyFont="1" applyFill="1" applyBorder="1"/>
    <xf numFmtId="10" fontId="0" fillId="9" borderId="41" xfId="0" applyNumberFormat="1" applyFill="1" applyBorder="1" applyAlignment="1">
      <alignment horizontal="centerContinuous"/>
    </xf>
    <xf numFmtId="9" fontId="10" fillId="9" borderId="35" xfId="0" applyNumberFormat="1" applyFont="1" applyFill="1" applyBorder="1"/>
    <xf numFmtId="10" fontId="0" fillId="9" borderId="2" xfId="0" applyNumberFormat="1" applyFill="1" applyBorder="1" applyAlignment="1">
      <alignment horizontal="centerContinuous"/>
    </xf>
    <xf numFmtId="9" fontId="10" fillId="9" borderId="1" xfId="0" applyNumberFormat="1" applyFont="1" applyFill="1" applyBorder="1"/>
    <xf numFmtId="10" fontId="0" fillId="9" borderId="31" xfId="0" applyNumberFormat="1" applyFill="1" applyBorder="1" applyAlignment="1">
      <alignment horizontal="centerContinuous"/>
    </xf>
    <xf numFmtId="9" fontId="10" fillId="9" borderId="13" xfId="0" applyNumberFormat="1" applyFont="1" applyFill="1" applyBorder="1"/>
    <xf numFmtId="10" fontId="0" fillId="9" borderId="36" xfId="0" applyNumberFormat="1" applyFill="1" applyBorder="1" applyAlignment="1">
      <alignment horizontal="centerContinuous"/>
    </xf>
    <xf numFmtId="0" fontId="8" fillId="9" borderId="44" xfId="0" applyFont="1" applyFill="1" applyBorder="1"/>
    <xf numFmtId="0" fontId="0" fillId="9" borderId="36" xfId="0" applyFill="1" applyBorder="1"/>
    <xf numFmtId="9" fontId="10" fillId="9" borderId="44" xfId="0" applyNumberFormat="1" applyFont="1" applyFill="1" applyBorder="1"/>
    <xf numFmtId="10" fontId="0" fillId="9" borderId="15" xfId="0" applyNumberFormat="1" applyFill="1" applyBorder="1" applyAlignment="1">
      <alignment horizontal="centerContinuous"/>
    </xf>
    <xf numFmtId="0" fontId="10" fillId="0" borderId="21" xfId="0" applyFont="1" applyBorder="1"/>
    <xf numFmtId="9" fontId="6" fillId="7" borderId="23" xfId="3" applyNumberFormat="1" applyBorder="1"/>
    <xf numFmtId="0" fontId="10" fillId="0" borderId="27" xfId="0" applyFont="1" applyBorder="1"/>
    <xf numFmtId="9" fontId="6" fillId="7" borderId="29" xfId="3" applyNumberFormat="1" applyBorder="1"/>
    <xf numFmtId="0" fontId="8" fillId="0" borderId="0" xfId="0" applyFont="1"/>
    <xf numFmtId="2" fontId="6" fillId="7" borderId="23" xfId="3" applyNumberFormat="1" applyBorder="1"/>
    <xf numFmtId="0" fontId="10" fillId="0" borderId="24" xfId="0" applyFont="1" applyBorder="1"/>
    <xf numFmtId="2" fontId="0" fillId="0" borderId="26" xfId="0" applyNumberFormat="1" applyBorder="1"/>
    <xf numFmtId="2" fontId="0" fillId="0" borderId="29" xfId="0" applyNumberFormat="1" applyBorder="1"/>
    <xf numFmtId="0" fontId="7" fillId="8" borderId="10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166" fontId="8" fillId="9" borderId="32" xfId="0" applyNumberFormat="1" applyFont="1" applyFill="1" applyBorder="1" applyAlignment="1">
      <alignment horizontal="center"/>
    </xf>
    <xf numFmtId="166" fontId="8" fillId="9" borderId="33" xfId="0" applyNumberFormat="1" applyFont="1" applyFill="1" applyBorder="1" applyAlignment="1">
      <alignment horizontal="center"/>
    </xf>
    <xf numFmtId="166" fontId="8" fillId="9" borderId="34" xfId="0" applyNumberFormat="1" applyFont="1" applyFill="1" applyBorder="1" applyAlignment="1">
      <alignment horizontal="center"/>
    </xf>
    <xf numFmtId="166" fontId="8" fillId="9" borderId="4" xfId="0" applyNumberFormat="1" applyFont="1" applyFill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1" xfId="0" applyFont="1" applyBorder="1" applyAlignment="1">
      <alignment horizontal="center"/>
    </xf>
  </cellXfs>
  <cellStyles count="4">
    <cellStyle name="Hyperlink" xfId="2" builtinId="8"/>
    <cellStyle name="Input" xfId="3" builtinId="20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B9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Revenue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4A9-4BC3-B844-B084D47DE3AD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4A9-4BC3-B844-B084D47DE3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Model!$B$2:$Q$2</c:f>
              <c:strCache>
                <c:ptCount val="16"/>
                <c:pt idx="0">
                  <c:v>Q220</c:v>
                </c:pt>
                <c:pt idx="1">
                  <c:v>Q320</c:v>
                </c:pt>
                <c:pt idx="2">
                  <c:v>Q420</c:v>
                </c:pt>
                <c:pt idx="3">
                  <c:v>Q121</c:v>
                </c:pt>
                <c:pt idx="4">
                  <c:v>Q221</c:v>
                </c:pt>
                <c:pt idx="5">
                  <c:v>Q321</c:v>
                </c:pt>
                <c:pt idx="6">
                  <c:v>Q421</c:v>
                </c:pt>
                <c:pt idx="7">
                  <c:v>Q122</c:v>
                </c:pt>
                <c:pt idx="8">
                  <c:v>Q222</c:v>
                </c:pt>
                <c:pt idx="9">
                  <c:v>Q322</c:v>
                </c:pt>
                <c:pt idx="10">
                  <c:v>Q422</c:v>
                </c:pt>
                <c:pt idx="11">
                  <c:v>Q123</c:v>
                </c:pt>
                <c:pt idx="12">
                  <c:v>Q223</c:v>
                </c:pt>
                <c:pt idx="13">
                  <c:v>Q323</c:v>
                </c:pt>
                <c:pt idx="14">
                  <c:v>Q423</c:v>
                </c:pt>
                <c:pt idx="15">
                  <c:v>Q124</c:v>
                </c:pt>
              </c:strCache>
            </c:strRef>
          </c:cat>
          <c:val>
            <c:numRef>
              <c:f>Model!$B$3:$Q$3</c:f>
              <c:numCache>
                <c:formatCode>#,##0</c:formatCode>
                <c:ptCount val="16"/>
                <c:pt idx="0">
                  <c:v>95309</c:v>
                </c:pt>
                <c:pt idx="1">
                  <c:v>114682</c:v>
                </c:pt>
                <c:pt idx="2">
                  <c:v>127116</c:v>
                </c:pt>
                <c:pt idx="3">
                  <c:v>140052</c:v>
                </c:pt>
                <c:pt idx="4">
                  <c:v>146151</c:v>
                </c:pt>
                <c:pt idx="5">
                  <c:v>171062</c:v>
                </c:pt>
                <c:pt idx="6">
                  <c:v>185925</c:v>
                </c:pt>
                <c:pt idx="7">
                  <c:v>166186</c:v>
                </c:pt>
                <c:pt idx="8">
                  <c:v>177958</c:v>
                </c:pt>
                <c:pt idx="9">
                  <c:v>183026</c:v>
                </c:pt>
                <c:pt idx="10">
                  <c:v>195068</c:v>
                </c:pt>
                <c:pt idx="11">
                  <c:v>195645</c:v>
                </c:pt>
                <c:pt idx="12">
                  <c:v>195987</c:v>
                </c:pt>
                <c:pt idx="13">
                  <c:v>187595</c:v>
                </c:pt>
                <c:pt idx="14">
                  <c:v>204121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5-459C-BD1A-99CA96EE3A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Model!$A$24</c:f>
              <c:strCache>
                <c:ptCount val="1"/>
                <c:pt idx="0">
                  <c:v>Revenue y/y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Model!$B$24:$Q$24</c:f>
              <c:numCache>
                <c:formatCode>0%</c:formatCode>
                <c:ptCount val="16"/>
                <c:pt idx="4">
                  <c:v>0.53344385105289116</c:v>
                </c:pt>
                <c:pt idx="5">
                  <c:v>0.49162030658690981</c:v>
                </c:pt>
                <c:pt idx="6">
                  <c:v>0.46264042292079677</c:v>
                </c:pt>
                <c:pt idx="7">
                  <c:v>0.18660211921286374</c:v>
                </c:pt>
                <c:pt idx="8">
                  <c:v>0.21763108018419297</c:v>
                </c:pt>
                <c:pt idx="9">
                  <c:v>6.9939554079807342E-2</c:v>
                </c:pt>
                <c:pt idx="10">
                  <c:v>4.9175742907086262E-2</c:v>
                </c:pt>
                <c:pt idx="11">
                  <c:v>0.17726523293177521</c:v>
                </c:pt>
                <c:pt idx="12">
                  <c:v>0.10131042156014347</c:v>
                </c:pt>
                <c:pt idx="13">
                  <c:v>2.4963666364341774E-2</c:v>
                </c:pt>
                <c:pt idx="14">
                  <c:v>4.6409457214919847E-2</c:v>
                </c:pt>
                <c:pt idx="1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5-459C-BD1A-99CA96EE3A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Revenue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AB-4A81-868C-D3049273DB87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AB-4A81-868C-D3049273DB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Model!$U$2:$Y$2</c:f>
              <c:strCache>
                <c:ptCount val="5"/>
                <c:pt idx="0">
                  <c:v>FY20</c:v>
                </c:pt>
                <c:pt idx="1">
                  <c:v>FY21</c:v>
                </c:pt>
                <c:pt idx="2">
                  <c:v>FY22</c:v>
                </c:pt>
                <c:pt idx="3">
                  <c:v>FY23</c:v>
                </c:pt>
                <c:pt idx="4">
                  <c:v>FY24</c:v>
                </c:pt>
              </c:strCache>
            </c:strRef>
          </c:cat>
          <c:val>
            <c:numRef>
              <c:f>Model!$U$3:$Y$3</c:f>
              <c:numCache>
                <c:formatCode>#,##0</c:formatCode>
                <c:ptCount val="5"/>
                <c:pt idx="0">
                  <c:v>421351</c:v>
                </c:pt>
                <c:pt idx="1">
                  <c:v>643190</c:v>
                </c:pt>
                <c:pt idx="2">
                  <c:v>722238</c:v>
                </c:pt>
                <c:pt idx="3">
                  <c:v>783348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AA-4069-ADA9-98E4DBB70A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8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Model!$A$24</c:f>
              <c:strCache>
                <c:ptCount val="1"/>
                <c:pt idx="0">
                  <c:v>Revenue y/y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Model!$U$24:$Y$24</c:f>
              <c:numCache>
                <c:formatCode>0%</c:formatCode>
                <c:ptCount val="5"/>
                <c:pt idx="1">
                  <c:v>0.52649453780814581</c:v>
                </c:pt>
                <c:pt idx="2">
                  <c:v>0.12289992070772238</c:v>
                </c:pt>
                <c:pt idx="3">
                  <c:v>8.4611997707126907E-2</c:v>
                </c:pt>
                <c:pt idx="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AA-4069-ADA9-98E4DBB7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589456"/>
        <c:axId val="737536608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7375366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589456"/>
        <c:crosses val="max"/>
        <c:crossBetween val="between"/>
      </c:valAx>
      <c:catAx>
        <c:axId val="748589456"/>
        <c:scaling>
          <c:orientation val="minMax"/>
        </c:scaling>
        <c:delete val="1"/>
        <c:axPos val="b"/>
        <c:majorTickMark val="out"/>
        <c:minorTickMark val="none"/>
        <c:tickLblPos val="nextTo"/>
        <c:crossAx val="737536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 Income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Model!$A$13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D5-44A1-AF5A-01324757E5F2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D5-44A1-AF5A-01324757E5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Model!$B$2:$Q$2</c:f>
              <c:strCache>
                <c:ptCount val="16"/>
                <c:pt idx="0">
                  <c:v>Q220</c:v>
                </c:pt>
                <c:pt idx="1">
                  <c:v>Q320</c:v>
                </c:pt>
                <c:pt idx="2">
                  <c:v>Q420</c:v>
                </c:pt>
                <c:pt idx="3">
                  <c:v>Q121</c:v>
                </c:pt>
                <c:pt idx="4">
                  <c:v>Q221</c:v>
                </c:pt>
                <c:pt idx="5">
                  <c:v>Q321</c:v>
                </c:pt>
                <c:pt idx="6">
                  <c:v>Q421</c:v>
                </c:pt>
                <c:pt idx="7">
                  <c:v>Q122</c:v>
                </c:pt>
                <c:pt idx="8">
                  <c:v>Q222</c:v>
                </c:pt>
                <c:pt idx="9">
                  <c:v>Q322</c:v>
                </c:pt>
                <c:pt idx="10">
                  <c:v>Q422</c:v>
                </c:pt>
                <c:pt idx="11">
                  <c:v>Q123</c:v>
                </c:pt>
                <c:pt idx="12">
                  <c:v>Q223</c:v>
                </c:pt>
                <c:pt idx="13">
                  <c:v>Q323</c:v>
                </c:pt>
                <c:pt idx="14">
                  <c:v>Q423</c:v>
                </c:pt>
                <c:pt idx="15">
                  <c:v>Q124</c:v>
                </c:pt>
              </c:strCache>
            </c:strRef>
          </c:cat>
          <c:val>
            <c:numRef>
              <c:f>Model!$B$13:$Q$13</c:f>
              <c:numCache>
                <c:formatCode>#,##0</c:formatCode>
                <c:ptCount val="16"/>
                <c:pt idx="0">
                  <c:v>-4790</c:v>
                </c:pt>
                <c:pt idx="1">
                  <c:v>-10407</c:v>
                </c:pt>
                <c:pt idx="2">
                  <c:v>-36991</c:v>
                </c:pt>
                <c:pt idx="3">
                  <c:v>-32383</c:v>
                </c:pt>
                <c:pt idx="4">
                  <c:v>-59064</c:v>
                </c:pt>
                <c:pt idx="5">
                  <c:v>-41193</c:v>
                </c:pt>
                <c:pt idx="6">
                  <c:v>-79753</c:v>
                </c:pt>
                <c:pt idx="7">
                  <c:v>-87459</c:v>
                </c:pt>
                <c:pt idx="8">
                  <c:v>-71990</c:v>
                </c:pt>
                <c:pt idx="9">
                  <c:v>-107949</c:v>
                </c:pt>
                <c:pt idx="10">
                  <c:v>-125169</c:v>
                </c:pt>
                <c:pt idx="11">
                  <c:v>-75577</c:v>
                </c:pt>
                <c:pt idx="12">
                  <c:v>-86719</c:v>
                </c:pt>
                <c:pt idx="13">
                  <c:v>44011</c:v>
                </c:pt>
                <c:pt idx="14">
                  <c:v>-298775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D-43A5-B5F2-F97D61E0D6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Model!$A$22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Model!$B$22:$Q$22</c:f>
              <c:numCache>
                <c:formatCode>0%</c:formatCode>
                <c:ptCount val="16"/>
                <c:pt idx="0">
                  <c:v>0.32327482189509915</c:v>
                </c:pt>
                <c:pt idx="1">
                  <c:v>0.31348424338605885</c:v>
                </c:pt>
                <c:pt idx="2">
                  <c:v>0.27690455961483995</c:v>
                </c:pt>
                <c:pt idx="3">
                  <c:v>0.2994173592665581</c:v>
                </c:pt>
                <c:pt idx="4">
                  <c:v>0.26415830203009216</c:v>
                </c:pt>
                <c:pt idx="5">
                  <c:v>0.26234347780336953</c:v>
                </c:pt>
                <c:pt idx="6">
                  <c:v>0.15917708753529647</c:v>
                </c:pt>
                <c:pt idx="7">
                  <c:v>9.5363026969780829E-2</c:v>
                </c:pt>
                <c:pt idx="8">
                  <c:v>0.15814967576619199</c:v>
                </c:pt>
                <c:pt idx="9">
                  <c:v>2.7220176368384807E-2</c:v>
                </c:pt>
                <c:pt idx="10">
                  <c:v>0.1591906412122952</c:v>
                </c:pt>
                <c:pt idx="11">
                  <c:v>0.17423394413350712</c:v>
                </c:pt>
                <c:pt idx="12">
                  <c:v>0.19213519264032819</c:v>
                </c:pt>
                <c:pt idx="13">
                  <c:v>0.17357072416642239</c:v>
                </c:pt>
                <c:pt idx="14">
                  <c:v>0.23406704846635085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D-43A5-B5F2-F97D61E0D6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 Income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Model!$A$13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Model!$U$2:$Y$2</c:f>
              <c:strCache>
                <c:ptCount val="5"/>
                <c:pt idx="0">
                  <c:v>FY20</c:v>
                </c:pt>
                <c:pt idx="1">
                  <c:v>FY21</c:v>
                </c:pt>
                <c:pt idx="2">
                  <c:v>FY22</c:v>
                </c:pt>
                <c:pt idx="3">
                  <c:v>FY23</c:v>
                </c:pt>
                <c:pt idx="4">
                  <c:v>FY24</c:v>
                </c:pt>
              </c:strCache>
            </c:strRef>
          </c:cat>
          <c:val>
            <c:numRef>
              <c:f>Model!$U$13:$Y$13</c:f>
              <c:numCache>
                <c:formatCode>#,##0</c:formatCode>
                <c:ptCount val="5"/>
                <c:pt idx="0">
                  <c:v>-60361</c:v>
                </c:pt>
                <c:pt idx="1">
                  <c:v>-212393</c:v>
                </c:pt>
                <c:pt idx="2">
                  <c:v>-392567</c:v>
                </c:pt>
                <c:pt idx="3">
                  <c:v>-417060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6-4F07-B7B5-190A418C1F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Model!$A$26</c:f>
              <c:strCache>
                <c:ptCount val="1"/>
                <c:pt idx="0">
                  <c:v>Net Income y/y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Model!$U$26:$Y$26</c:f>
              <c:numCache>
                <c:formatCode>0%</c:formatCode>
                <c:ptCount val="5"/>
                <c:pt idx="1">
                  <c:v>-2.5187124136445718</c:v>
                </c:pt>
                <c:pt idx="2">
                  <c:v>-0.84830479347247789</c:v>
                </c:pt>
                <c:pt idx="3">
                  <c:v>-6.2391897434068477E-2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6-4F07-B7B5-190A418C1F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Model!$A$25</c:f>
              <c:strCache>
                <c:ptCount val="1"/>
                <c:pt idx="0">
                  <c:v>adj. EBITDA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Model!$B$2:$O$2</c15:sqref>
                  </c15:fullRef>
                </c:ext>
              </c:extLst>
              <c:f>Model!$G$2:$O$2</c:f>
              <c:strCache>
                <c:ptCount val="9"/>
                <c:pt idx="0">
                  <c:v>Q321</c:v>
                </c:pt>
                <c:pt idx="1">
                  <c:v>Q421</c:v>
                </c:pt>
                <c:pt idx="2">
                  <c:v>Q122</c:v>
                </c:pt>
                <c:pt idx="3">
                  <c:v>Q222</c:v>
                </c:pt>
                <c:pt idx="4">
                  <c:v>Q322</c:v>
                </c:pt>
                <c:pt idx="5">
                  <c:v>Q422</c:v>
                </c:pt>
                <c:pt idx="6">
                  <c:v>Q123</c:v>
                </c:pt>
                <c:pt idx="7">
                  <c:v>Q223</c:v>
                </c:pt>
                <c:pt idx="8">
                  <c:v>Q323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Model!$B$25:$O$25</c15:sqref>
                  </c15:fullRef>
                </c:ext>
              </c:extLst>
              <c:f>Model!$G$25:$O$25</c:f>
              <c:numCache>
                <c:formatCode>0%</c:formatCode>
                <c:ptCount val="9"/>
                <c:pt idx="0">
                  <c:v>-0.15764459669593481</c:v>
                </c:pt>
                <c:pt idx="1">
                  <c:v>-0.352878848998252</c:v>
                </c:pt>
                <c:pt idx="2">
                  <c:v>-0.42957288820959649</c:v>
                </c:pt>
                <c:pt idx="3">
                  <c:v>-0.29988536621000461</c:v>
                </c:pt>
                <c:pt idx="4">
                  <c:v>-0.4518647623834865</c:v>
                </c:pt>
                <c:pt idx="5">
                  <c:v>-0.30996370496442266</c:v>
                </c:pt>
                <c:pt idx="6">
                  <c:v>-0.25491579135679421</c:v>
                </c:pt>
                <c:pt idx="7">
                  <c:v>-0.26771163393490383</c:v>
                </c:pt>
                <c:pt idx="8">
                  <c:v>-0.19189210799861403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E-4BEB-944F-3D772460C6A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2211264"/>
        <c:axId val="675465584"/>
      </c:lineChart>
      <c:catAx>
        <c:axId val="61221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465584"/>
        <c:crosses val="autoZero"/>
        <c:auto val="1"/>
        <c:lblAlgn val="ctr"/>
        <c:lblOffset val="100"/>
        <c:noMultiLvlLbl val="0"/>
      </c:catAx>
      <c:valAx>
        <c:axId val="6754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221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Catalysts!$B$1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Catalysts!$A$2:$A$1147</c:f>
              <c:numCache>
                <c:formatCode>m/d/yyyy</c:formatCode>
                <c:ptCount val="1146"/>
                <c:pt idx="0">
                  <c:v>44336</c:v>
                </c:pt>
                <c:pt idx="1">
                  <c:v>44337</c:v>
                </c:pt>
                <c:pt idx="2">
                  <c:v>44340</c:v>
                </c:pt>
                <c:pt idx="3">
                  <c:v>44341</c:v>
                </c:pt>
                <c:pt idx="4">
                  <c:v>44342</c:v>
                </c:pt>
                <c:pt idx="5">
                  <c:v>44343</c:v>
                </c:pt>
                <c:pt idx="6">
                  <c:v>44344</c:v>
                </c:pt>
                <c:pt idx="7">
                  <c:v>44348</c:v>
                </c:pt>
                <c:pt idx="8">
                  <c:v>44349</c:v>
                </c:pt>
                <c:pt idx="9">
                  <c:v>44350</c:v>
                </c:pt>
                <c:pt idx="10">
                  <c:v>44351</c:v>
                </c:pt>
                <c:pt idx="11">
                  <c:v>44354</c:v>
                </c:pt>
                <c:pt idx="12">
                  <c:v>44355</c:v>
                </c:pt>
                <c:pt idx="13">
                  <c:v>44356</c:v>
                </c:pt>
                <c:pt idx="14">
                  <c:v>44357</c:v>
                </c:pt>
                <c:pt idx="15">
                  <c:v>44358</c:v>
                </c:pt>
                <c:pt idx="16">
                  <c:v>44361</c:v>
                </c:pt>
                <c:pt idx="17">
                  <c:v>44362</c:v>
                </c:pt>
                <c:pt idx="18">
                  <c:v>44363</c:v>
                </c:pt>
                <c:pt idx="19">
                  <c:v>44364</c:v>
                </c:pt>
                <c:pt idx="20">
                  <c:v>44365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44375</c:v>
                </c:pt>
                <c:pt idx="27">
                  <c:v>44376</c:v>
                </c:pt>
                <c:pt idx="28">
                  <c:v>44377</c:v>
                </c:pt>
                <c:pt idx="29">
                  <c:v>44378</c:v>
                </c:pt>
                <c:pt idx="30">
                  <c:v>44379</c:v>
                </c:pt>
                <c:pt idx="31">
                  <c:v>44383</c:v>
                </c:pt>
                <c:pt idx="32">
                  <c:v>44384</c:v>
                </c:pt>
                <c:pt idx="33">
                  <c:v>44385</c:v>
                </c:pt>
                <c:pt idx="34">
                  <c:v>44386</c:v>
                </c:pt>
                <c:pt idx="35">
                  <c:v>44389</c:v>
                </c:pt>
                <c:pt idx="36">
                  <c:v>44390</c:v>
                </c:pt>
                <c:pt idx="37">
                  <c:v>44391</c:v>
                </c:pt>
                <c:pt idx="38">
                  <c:v>44392</c:v>
                </c:pt>
                <c:pt idx="39">
                  <c:v>44393</c:v>
                </c:pt>
                <c:pt idx="40">
                  <c:v>44396</c:v>
                </c:pt>
                <c:pt idx="41">
                  <c:v>44397</c:v>
                </c:pt>
                <c:pt idx="42">
                  <c:v>44398</c:v>
                </c:pt>
                <c:pt idx="43">
                  <c:v>44399</c:v>
                </c:pt>
                <c:pt idx="44">
                  <c:v>44400</c:v>
                </c:pt>
                <c:pt idx="45">
                  <c:v>44403</c:v>
                </c:pt>
                <c:pt idx="46">
                  <c:v>44404</c:v>
                </c:pt>
                <c:pt idx="47">
                  <c:v>44405</c:v>
                </c:pt>
                <c:pt idx="48">
                  <c:v>44406</c:v>
                </c:pt>
                <c:pt idx="49">
                  <c:v>44407</c:v>
                </c:pt>
                <c:pt idx="50">
                  <c:v>44410</c:v>
                </c:pt>
                <c:pt idx="51">
                  <c:v>44411</c:v>
                </c:pt>
                <c:pt idx="52">
                  <c:v>44412</c:v>
                </c:pt>
                <c:pt idx="53">
                  <c:v>44413</c:v>
                </c:pt>
                <c:pt idx="54">
                  <c:v>44414</c:v>
                </c:pt>
                <c:pt idx="55">
                  <c:v>44417</c:v>
                </c:pt>
                <c:pt idx="56">
                  <c:v>44418</c:v>
                </c:pt>
                <c:pt idx="57">
                  <c:v>44419</c:v>
                </c:pt>
                <c:pt idx="58">
                  <c:v>44420</c:v>
                </c:pt>
                <c:pt idx="59">
                  <c:v>44421</c:v>
                </c:pt>
                <c:pt idx="60">
                  <c:v>44424</c:v>
                </c:pt>
                <c:pt idx="61">
                  <c:v>44425</c:v>
                </c:pt>
                <c:pt idx="62">
                  <c:v>44426</c:v>
                </c:pt>
                <c:pt idx="63">
                  <c:v>44427</c:v>
                </c:pt>
                <c:pt idx="64">
                  <c:v>44428</c:v>
                </c:pt>
                <c:pt idx="65">
                  <c:v>44431</c:v>
                </c:pt>
                <c:pt idx="66">
                  <c:v>44432</c:v>
                </c:pt>
                <c:pt idx="67">
                  <c:v>44433</c:v>
                </c:pt>
                <c:pt idx="68">
                  <c:v>44434</c:v>
                </c:pt>
                <c:pt idx="69">
                  <c:v>44435</c:v>
                </c:pt>
                <c:pt idx="70">
                  <c:v>44438</c:v>
                </c:pt>
                <c:pt idx="71">
                  <c:v>44439</c:v>
                </c:pt>
                <c:pt idx="72">
                  <c:v>44440</c:v>
                </c:pt>
                <c:pt idx="73">
                  <c:v>44441</c:v>
                </c:pt>
                <c:pt idx="74">
                  <c:v>44442</c:v>
                </c:pt>
                <c:pt idx="75">
                  <c:v>44446</c:v>
                </c:pt>
                <c:pt idx="76">
                  <c:v>44447</c:v>
                </c:pt>
                <c:pt idx="77">
                  <c:v>44448</c:v>
                </c:pt>
                <c:pt idx="78">
                  <c:v>44449</c:v>
                </c:pt>
                <c:pt idx="79">
                  <c:v>44452</c:v>
                </c:pt>
                <c:pt idx="80">
                  <c:v>44453</c:v>
                </c:pt>
                <c:pt idx="81">
                  <c:v>44454</c:v>
                </c:pt>
                <c:pt idx="82">
                  <c:v>44455</c:v>
                </c:pt>
                <c:pt idx="83">
                  <c:v>44456</c:v>
                </c:pt>
                <c:pt idx="84">
                  <c:v>44459</c:v>
                </c:pt>
                <c:pt idx="85">
                  <c:v>44460</c:v>
                </c:pt>
                <c:pt idx="86">
                  <c:v>44461</c:v>
                </c:pt>
                <c:pt idx="87">
                  <c:v>44462</c:v>
                </c:pt>
                <c:pt idx="88">
                  <c:v>44463</c:v>
                </c:pt>
                <c:pt idx="89">
                  <c:v>44466</c:v>
                </c:pt>
                <c:pt idx="90">
                  <c:v>44467</c:v>
                </c:pt>
                <c:pt idx="91">
                  <c:v>44468</c:v>
                </c:pt>
                <c:pt idx="92">
                  <c:v>44469</c:v>
                </c:pt>
                <c:pt idx="93">
                  <c:v>44470</c:v>
                </c:pt>
                <c:pt idx="94">
                  <c:v>44473</c:v>
                </c:pt>
                <c:pt idx="95">
                  <c:v>44474</c:v>
                </c:pt>
                <c:pt idx="96">
                  <c:v>44475</c:v>
                </c:pt>
                <c:pt idx="97">
                  <c:v>44476</c:v>
                </c:pt>
                <c:pt idx="98">
                  <c:v>44477</c:v>
                </c:pt>
                <c:pt idx="99">
                  <c:v>44480</c:v>
                </c:pt>
                <c:pt idx="100">
                  <c:v>44481</c:v>
                </c:pt>
                <c:pt idx="101">
                  <c:v>44482</c:v>
                </c:pt>
                <c:pt idx="102">
                  <c:v>44483</c:v>
                </c:pt>
                <c:pt idx="103">
                  <c:v>44484</c:v>
                </c:pt>
                <c:pt idx="104">
                  <c:v>44487</c:v>
                </c:pt>
                <c:pt idx="105">
                  <c:v>44488</c:v>
                </c:pt>
                <c:pt idx="106">
                  <c:v>44489</c:v>
                </c:pt>
                <c:pt idx="107">
                  <c:v>44490</c:v>
                </c:pt>
                <c:pt idx="108">
                  <c:v>44491</c:v>
                </c:pt>
                <c:pt idx="109">
                  <c:v>44494</c:v>
                </c:pt>
                <c:pt idx="110">
                  <c:v>44495</c:v>
                </c:pt>
                <c:pt idx="111">
                  <c:v>44496</c:v>
                </c:pt>
                <c:pt idx="112">
                  <c:v>44497</c:v>
                </c:pt>
                <c:pt idx="113">
                  <c:v>44498</c:v>
                </c:pt>
                <c:pt idx="114">
                  <c:v>44501</c:v>
                </c:pt>
                <c:pt idx="115">
                  <c:v>44502</c:v>
                </c:pt>
                <c:pt idx="116">
                  <c:v>44503</c:v>
                </c:pt>
                <c:pt idx="117">
                  <c:v>44504</c:v>
                </c:pt>
                <c:pt idx="118">
                  <c:v>44505</c:v>
                </c:pt>
                <c:pt idx="119">
                  <c:v>44508</c:v>
                </c:pt>
                <c:pt idx="120">
                  <c:v>44509</c:v>
                </c:pt>
                <c:pt idx="121">
                  <c:v>44510</c:v>
                </c:pt>
                <c:pt idx="122">
                  <c:v>44511</c:v>
                </c:pt>
                <c:pt idx="123">
                  <c:v>44512</c:v>
                </c:pt>
                <c:pt idx="124">
                  <c:v>44515</c:v>
                </c:pt>
                <c:pt idx="125">
                  <c:v>44516</c:v>
                </c:pt>
                <c:pt idx="126">
                  <c:v>44517</c:v>
                </c:pt>
                <c:pt idx="127">
                  <c:v>44518</c:v>
                </c:pt>
                <c:pt idx="128">
                  <c:v>44519</c:v>
                </c:pt>
                <c:pt idx="129">
                  <c:v>44522</c:v>
                </c:pt>
                <c:pt idx="130">
                  <c:v>44523</c:v>
                </c:pt>
                <c:pt idx="131">
                  <c:v>44524</c:v>
                </c:pt>
                <c:pt idx="132">
                  <c:v>44526</c:v>
                </c:pt>
                <c:pt idx="133">
                  <c:v>44529</c:v>
                </c:pt>
                <c:pt idx="134">
                  <c:v>44530</c:v>
                </c:pt>
                <c:pt idx="135">
                  <c:v>44531</c:v>
                </c:pt>
                <c:pt idx="136">
                  <c:v>44532</c:v>
                </c:pt>
                <c:pt idx="137">
                  <c:v>44533</c:v>
                </c:pt>
                <c:pt idx="138">
                  <c:v>44536</c:v>
                </c:pt>
                <c:pt idx="139">
                  <c:v>44537</c:v>
                </c:pt>
                <c:pt idx="140">
                  <c:v>44538</c:v>
                </c:pt>
                <c:pt idx="141">
                  <c:v>44539</c:v>
                </c:pt>
                <c:pt idx="142">
                  <c:v>44540</c:v>
                </c:pt>
                <c:pt idx="143">
                  <c:v>44543</c:v>
                </c:pt>
                <c:pt idx="144">
                  <c:v>44544</c:v>
                </c:pt>
                <c:pt idx="145">
                  <c:v>44545</c:v>
                </c:pt>
                <c:pt idx="146">
                  <c:v>44546</c:v>
                </c:pt>
                <c:pt idx="147">
                  <c:v>44547</c:v>
                </c:pt>
                <c:pt idx="148">
                  <c:v>44550</c:v>
                </c:pt>
                <c:pt idx="149">
                  <c:v>44551</c:v>
                </c:pt>
                <c:pt idx="150">
                  <c:v>44552</c:v>
                </c:pt>
                <c:pt idx="151">
                  <c:v>44553</c:v>
                </c:pt>
                <c:pt idx="152">
                  <c:v>44557</c:v>
                </c:pt>
                <c:pt idx="153">
                  <c:v>44558</c:v>
                </c:pt>
                <c:pt idx="154">
                  <c:v>44559</c:v>
                </c:pt>
                <c:pt idx="155">
                  <c:v>44560</c:v>
                </c:pt>
                <c:pt idx="156">
                  <c:v>44561</c:v>
                </c:pt>
                <c:pt idx="157">
                  <c:v>44564</c:v>
                </c:pt>
                <c:pt idx="158">
                  <c:v>44565</c:v>
                </c:pt>
                <c:pt idx="159">
                  <c:v>44566</c:v>
                </c:pt>
                <c:pt idx="160">
                  <c:v>44567</c:v>
                </c:pt>
                <c:pt idx="161">
                  <c:v>44568</c:v>
                </c:pt>
                <c:pt idx="162">
                  <c:v>44571</c:v>
                </c:pt>
                <c:pt idx="163">
                  <c:v>44572</c:v>
                </c:pt>
                <c:pt idx="164">
                  <c:v>44573</c:v>
                </c:pt>
                <c:pt idx="165">
                  <c:v>44574</c:v>
                </c:pt>
                <c:pt idx="166">
                  <c:v>44575</c:v>
                </c:pt>
                <c:pt idx="167">
                  <c:v>44579</c:v>
                </c:pt>
                <c:pt idx="168">
                  <c:v>44580</c:v>
                </c:pt>
                <c:pt idx="169">
                  <c:v>44581</c:v>
                </c:pt>
                <c:pt idx="170">
                  <c:v>44582</c:v>
                </c:pt>
                <c:pt idx="171">
                  <c:v>44585</c:v>
                </c:pt>
                <c:pt idx="172">
                  <c:v>44586</c:v>
                </c:pt>
                <c:pt idx="173">
                  <c:v>44587</c:v>
                </c:pt>
                <c:pt idx="174">
                  <c:v>44588</c:v>
                </c:pt>
                <c:pt idx="175">
                  <c:v>44589</c:v>
                </c:pt>
                <c:pt idx="176">
                  <c:v>44592</c:v>
                </c:pt>
                <c:pt idx="177">
                  <c:v>44593</c:v>
                </c:pt>
                <c:pt idx="178">
                  <c:v>44594</c:v>
                </c:pt>
                <c:pt idx="179">
                  <c:v>44595</c:v>
                </c:pt>
                <c:pt idx="180">
                  <c:v>44596</c:v>
                </c:pt>
                <c:pt idx="181">
                  <c:v>44599</c:v>
                </c:pt>
                <c:pt idx="182">
                  <c:v>44600</c:v>
                </c:pt>
                <c:pt idx="183">
                  <c:v>44601</c:v>
                </c:pt>
                <c:pt idx="184">
                  <c:v>44602</c:v>
                </c:pt>
                <c:pt idx="185">
                  <c:v>44603</c:v>
                </c:pt>
                <c:pt idx="186">
                  <c:v>44606</c:v>
                </c:pt>
                <c:pt idx="187">
                  <c:v>44607</c:v>
                </c:pt>
                <c:pt idx="188">
                  <c:v>44608</c:v>
                </c:pt>
                <c:pt idx="189">
                  <c:v>44609</c:v>
                </c:pt>
                <c:pt idx="190">
                  <c:v>44610</c:v>
                </c:pt>
                <c:pt idx="191">
                  <c:v>44614</c:v>
                </c:pt>
                <c:pt idx="192">
                  <c:v>44615</c:v>
                </c:pt>
                <c:pt idx="193">
                  <c:v>44616</c:v>
                </c:pt>
                <c:pt idx="194">
                  <c:v>44617</c:v>
                </c:pt>
                <c:pt idx="195">
                  <c:v>44620</c:v>
                </c:pt>
                <c:pt idx="196">
                  <c:v>44621</c:v>
                </c:pt>
                <c:pt idx="197">
                  <c:v>44622</c:v>
                </c:pt>
                <c:pt idx="198">
                  <c:v>44623</c:v>
                </c:pt>
                <c:pt idx="199">
                  <c:v>44624</c:v>
                </c:pt>
                <c:pt idx="200">
                  <c:v>44627</c:v>
                </c:pt>
                <c:pt idx="201">
                  <c:v>44628</c:v>
                </c:pt>
                <c:pt idx="202">
                  <c:v>44629</c:v>
                </c:pt>
                <c:pt idx="203">
                  <c:v>44630</c:v>
                </c:pt>
                <c:pt idx="204">
                  <c:v>44631</c:v>
                </c:pt>
                <c:pt idx="205">
                  <c:v>44634</c:v>
                </c:pt>
                <c:pt idx="206">
                  <c:v>44635</c:v>
                </c:pt>
                <c:pt idx="207">
                  <c:v>44636</c:v>
                </c:pt>
                <c:pt idx="208">
                  <c:v>44637</c:v>
                </c:pt>
                <c:pt idx="209">
                  <c:v>44638</c:v>
                </c:pt>
                <c:pt idx="210">
                  <c:v>44641</c:v>
                </c:pt>
                <c:pt idx="211">
                  <c:v>44642</c:v>
                </c:pt>
                <c:pt idx="212">
                  <c:v>44643</c:v>
                </c:pt>
                <c:pt idx="213">
                  <c:v>44644</c:v>
                </c:pt>
                <c:pt idx="214">
                  <c:v>44645</c:v>
                </c:pt>
                <c:pt idx="215">
                  <c:v>44648</c:v>
                </c:pt>
                <c:pt idx="216">
                  <c:v>44649</c:v>
                </c:pt>
                <c:pt idx="217">
                  <c:v>44650</c:v>
                </c:pt>
                <c:pt idx="218">
                  <c:v>44651</c:v>
                </c:pt>
                <c:pt idx="219">
                  <c:v>44652</c:v>
                </c:pt>
                <c:pt idx="220">
                  <c:v>44655</c:v>
                </c:pt>
                <c:pt idx="221">
                  <c:v>44656</c:v>
                </c:pt>
                <c:pt idx="222">
                  <c:v>44657</c:v>
                </c:pt>
                <c:pt idx="223">
                  <c:v>44658</c:v>
                </c:pt>
                <c:pt idx="224">
                  <c:v>44659</c:v>
                </c:pt>
                <c:pt idx="225">
                  <c:v>44662</c:v>
                </c:pt>
                <c:pt idx="226">
                  <c:v>44663</c:v>
                </c:pt>
                <c:pt idx="227">
                  <c:v>44664</c:v>
                </c:pt>
                <c:pt idx="228">
                  <c:v>44665</c:v>
                </c:pt>
                <c:pt idx="229">
                  <c:v>44669</c:v>
                </c:pt>
                <c:pt idx="230">
                  <c:v>44670</c:v>
                </c:pt>
                <c:pt idx="231">
                  <c:v>44671</c:v>
                </c:pt>
                <c:pt idx="232">
                  <c:v>44672</c:v>
                </c:pt>
                <c:pt idx="233">
                  <c:v>44673</c:v>
                </c:pt>
                <c:pt idx="234">
                  <c:v>44676</c:v>
                </c:pt>
                <c:pt idx="235">
                  <c:v>44677</c:v>
                </c:pt>
                <c:pt idx="236">
                  <c:v>44678</c:v>
                </c:pt>
                <c:pt idx="237">
                  <c:v>44679</c:v>
                </c:pt>
                <c:pt idx="238">
                  <c:v>44680</c:v>
                </c:pt>
                <c:pt idx="239">
                  <c:v>44683</c:v>
                </c:pt>
                <c:pt idx="240">
                  <c:v>44684</c:v>
                </c:pt>
                <c:pt idx="241">
                  <c:v>44685</c:v>
                </c:pt>
                <c:pt idx="242">
                  <c:v>44686</c:v>
                </c:pt>
                <c:pt idx="243">
                  <c:v>44687</c:v>
                </c:pt>
                <c:pt idx="244">
                  <c:v>44690</c:v>
                </c:pt>
                <c:pt idx="245">
                  <c:v>44691</c:v>
                </c:pt>
                <c:pt idx="246">
                  <c:v>44692</c:v>
                </c:pt>
                <c:pt idx="247">
                  <c:v>44693</c:v>
                </c:pt>
                <c:pt idx="248">
                  <c:v>44694</c:v>
                </c:pt>
                <c:pt idx="249">
                  <c:v>44697</c:v>
                </c:pt>
                <c:pt idx="250">
                  <c:v>44698</c:v>
                </c:pt>
                <c:pt idx="251">
                  <c:v>44699</c:v>
                </c:pt>
                <c:pt idx="252">
                  <c:v>44700</c:v>
                </c:pt>
                <c:pt idx="253">
                  <c:v>44701</c:v>
                </c:pt>
                <c:pt idx="254">
                  <c:v>44704</c:v>
                </c:pt>
                <c:pt idx="255">
                  <c:v>44705</c:v>
                </c:pt>
                <c:pt idx="256">
                  <c:v>44706</c:v>
                </c:pt>
                <c:pt idx="257">
                  <c:v>44707</c:v>
                </c:pt>
                <c:pt idx="258">
                  <c:v>44708</c:v>
                </c:pt>
                <c:pt idx="259">
                  <c:v>44712</c:v>
                </c:pt>
                <c:pt idx="260">
                  <c:v>44713</c:v>
                </c:pt>
                <c:pt idx="261">
                  <c:v>44714</c:v>
                </c:pt>
                <c:pt idx="262">
                  <c:v>44715</c:v>
                </c:pt>
                <c:pt idx="263">
                  <c:v>44718</c:v>
                </c:pt>
                <c:pt idx="264">
                  <c:v>44719</c:v>
                </c:pt>
                <c:pt idx="265">
                  <c:v>44720</c:v>
                </c:pt>
                <c:pt idx="266">
                  <c:v>44721</c:v>
                </c:pt>
                <c:pt idx="267">
                  <c:v>44722</c:v>
                </c:pt>
                <c:pt idx="268">
                  <c:v>44725</c:v>
                </c:pt>
                <c:pt idx="269">
                  <c:v>44726</c:v>
                </c:pt>
                <c:pt idx="270">
                  <c:v>44727</c:v>
                </c:pt>
                <c:pt idx="271">
                  <c:v>44728</c:v>
                </c:pt>
                <c:pt idx="272">
                  <c:v>44729</c:v>
                </c:pt>
                <c:pt idx="273">
                  <c:v>44733</c:v>
                </c:pt>
                <c:pt idx="274">
                  <c:v>44734</c:v>
                </c:pt>
                <c:pt idx="275">
                  <c:v>44735</c:v>
                </c:pt>
                <c:pt idx="276">
                  <c:v>44736</c:v>
                </c:pt>
                <c:pt idx="277">
                  <c:v>44739</c:v>
                </c:pt>
                <c:pt idx="278">
                  <c:v>44740</c:v>
                </c:pt>
                <c:pt idx="279">
                  <c:v>44741</c:v>
                </c:pt>
                <c:pt idx="280">
                  <c:v>44742</c:v>
                </c:pt>
                <c:pt idx="281">
                  <c:v>44743</c:v>
                </c:pt>
                <c:pt idx="282">
                  <c:v>44747</c:v>
                </c:pt>
                <c:pt idx="283">
                  <c:v>44748</c:v>
                </c:pt>
                <c:pt idx="284">
                  <c:v>44749</c:v>
                </c:pt>
                <c:pt idx="285">
                  <c:v>44750</c:v>
                </c:pt>
                <c:pt idx="286">
                  <c:v>44753</c:v>
                </c:pt>
                <c:pt idx="287">
                  <c:v>44754</c:v>
                </c:pt>
                <c:pt idx="288">
                  <c:v>44755</c:v>
                </c:pt>
                <c:pt idx="289">
                  <c:v>44756</c:v>
                </c:pt>
                <c:pt idx="290">
                  <c:v>44757</c:v>
                </c:pt>
                <c:pt idx="291">
                  <c:v>44760</c:v>
                </c:pt>
                <c:pt idx="292">
                  <c:v>44761</c:v>
                </c:pt>
                <c:pt idx="293">
                  <c:v>44762</c:v>
                </c:pt>
                <c:pt idx="294">
                  <c:v>44763</c:v>
                </c:pt>
                <c:pt idx="295">
                  <c:v>44764</c:v>
                </c:pt>
                <c:pt idx="296">
                  <c:v>44767</c:v>
                </c:pt>
                <c:pt idx="297">
                  <c:v>44768</c:v>
                </c:pt>
                <c:pt idx="298">
                  <c:v>44769</c:v>
                </c:pt>
                <c:pt idx="299">
                  <c:v>44770</c:v>
                </c:pt>
                <c:pt idx="300">
                  <c:v>44771</c:v>
                </c:pt>
                <c:pt idx="301">
                  <c:v>44774</c:v>
                </c:pt>
                <c:pt idx="302">
                  <c:v>44775</c:v>
                </c:pt>
                <c:pt idx="303">
                  <c:v>44776</c:v>
                </c:pt>
                <c:pt idx="304">
                  <c:v>44777</c:v>
                </c:pt>
                <c:pt idx="305">
                  <c:v>44778</c:v>
                </c:pt>
                <c:pt idx="306">
                  <c:v>44781</c:v>
                </c:pt>
                <c:pt idx="307">
                  <c:v>44782</c:v>
                </c:pt>
                <c:pt idx="308">
                  <c:v>44783</c:v>
                </c:pt>
                <c:pt idx="309">
                  <c:v>44784</c:v>
                </c:pt>
                <c:pt idx="310">
                  <c:v>44785</c:v>
                </c:pt>
                <c:pt idx="311">
                  <c:v>44788</c:v>
                </c:pt>
                <c:pt idx="312">
                  <c:v>44789</c:v>
                </c:pt>
                <c:pt idx="313">
                  <c:v>44790</c:v>
                </c:pt>
                <c:pt idx="314">
                  <c:v>44791</c:v>
                </c:pt>
                <c:pt idx="315">
                  <c:v>44792</c:v>
                </c:pt>
                <c:pt idx="316">
                  <c:v>44795</c:v>
                </c:pt>
                <c:pt idx="317">
                  <c:v>44796</c:v>
                </c:pt>
                <c:pt idx="318">
                  <c:v>44797</c:v>
                </c:pt>
                <c:pt idx="319">
                  <c:v>44798</c:v>
                </c:pt>
                <c:pt idx="320">
                  <c:v>44799</c:v>
                </c:pt>
                <c:pt idx="321">
                  <c:v>44802</c:v>
                </c:pt>
                <c:pt idx="322">
                  <c:v>44803</c:v>
                </c:pt>
                <c:pt idx="323">
                  <c:v>44804</c:v>
                </c:pt>
                <c:pt idx="324">
                  <c:v>44805</c:v>
                </c:pt>
                <c:pt idx="325">
                  <c:v>44806</c:v>
                </c:pt>
                <c:pt idx="326">
                  <c:v>44810</c:v>
                </c:pt>
                <c:pt idx="327">
                  <c:v>44811</c:v>
                </c:pt>
                <c:pt idx="328">
                  <c:v>44812</c:v>
                </c:pt>
                <c:pt idx="329">
                  <c:v>44813</c:v>
                </c:pt>
                <c:pt idx="330">
                  <c:v>44816</c:v>
                </c:pt>
                <c:pt idx="331">
                  <c:v>44817</c:v>
                </c:pt>
                <c:pt idx="332">
                  <c:v>44818</c:v>
                </c:pt>
                <c:pt idx="333">
                  <c:v>44819</c:v>
                </c:pt>
                <c:pt idx="334">
                  <c:v>44820</c:v>
                </c:pt>
                <c:pt idx="335">
                  <c:v>44823</c:v>
                </c:pt>
                <c:pt idx="336">
                  <c:v>44824</c:v>
                </c:pt>
                <c:pt idx="337">
                  <c:v>44825</c:v>
                </c:pt>
                <c:pt idx="338">
                  <c:v>44826</c:v>
                </c:pt>
                <c:pt idx="339">
                  <c:v>44827</c:v>
                </c:pt>
                <c:pt idx="340">
                  <c:v>44830</c:v>
                </c:pt>
                <c:pt idx="341">
                  <c:v>44831</c:v>
                </c:pt>
                <c:pt idx="342">
                  <c:v>44832</c:v>
                </c:pt>
                <c:pt idx="343">
                  <c:v>44833</c:v>
                </c:pt>
                <c:pt idx="344">
                  <c:v>44834</c:v>
                </c:pt>
                <c:pt idx="345">
                  <c:v>44837</c:v>
                </c:pt>
                <c:pt idx="346">
                  <c:v>44838</c:v>
                </c:pt>
                <c:pt idx="347">
                  <c:v>44839</c:v>
                </c:pt>
                <c:pt idx="348">
                  <c:v>44840</c:v>
                </c:pt>
                <c:pt idx="349">
                  <c:v>44841</c:v>
                </c:pt>
                <c:pt idx="350">
                  <c:v>44844</c:v>
                </c:pt>
                <c:pt idx="351">
                  <c:v>44845</c:v>
                </c:pt>
                <c:pt idx="352">
                  <c:v>44846</c:v>
                </c:pt>
                <c:pt idx="353">
                  <c:v>44847</c:v>
                </c:pt>
                <c:pt idx="354">
                  <c:v>44848</c:v>
                </c:pt>
                <c:pt idx="355">
                  <c:v>44851</c:v>
                </c:pt>
                <c:pt idx="356">
                  <c:v>44852</c:v>
                </c:pt>
                <c:pt idx="357">
                  <c:v>44853</c:v>
                </c:pt>
                <c:pt idx="358">
                  <c:v>44854</c:v>
                </c:pt>
                <c:pt idx="359">
                  <c:v>44855</c:v>
                </c:pt>
                <c:pt idx="360">
                  <c:v>44858</c:v>
                </c:pt>
                <c:pt idx="361">
                  <c:v>44859</c:v>
                </c:pt>
                <c:pt idx="362">
                  <c:v>44860</c:v>
                </c:pt>
                <c:pt idx="363">
                  <c:v>44861</c:v>
                </c:pt>
                <c:pt idx="364">
                  <c:v>44862</c:v>
                </c:pt>
                <c:pt idx="365">
                  <c:v>44865</c:v>
                </c:pt>
                <c:pt idx="366">
                  <c:v>44866</c:v>
                </c:pt>
                <c:pt idx="367">
                  <c:v>44867</c:v>
                </c:pt>
                <c:pt idx="368">
                  <c:v>44868</c:v>
                </c:pt>
                <c:pt idx="369">
                  <c:v>44869</c:v>
                </c:pt>
                <c:pt idx="370">
                  <c:v>44872</c:v>
                </c:pt>
                <c:pt idx="371">
                  <c:v>44873</c:v>
                </c:pt>
                <c:pt idx="372">
                  <c:v>44874</c:v>
                </c:pt>
                <c:pt idx="373">
                  <c:v>44875</c:v>
                </c:pt>
                <c:pt idx="374">
                  <c:v>44876</c:v>
                </c:pt>
                <c:pt idx="375">
                  <c:v>44879</c:v>
                </c:pt>
                <c:pt idx="376">
                  <c:v>44880</c:v>
                </c:pt>
                <c:pt idx="377">
                  <c:v>44881</c:v>
                </c:pt>
                <c:pt idx="378">
                  <c:v>44882</c:v>
                </c:pt>
                <c:pt idx="379">
                  <c:v>44883</c:v>
                </c:pt>
                <c:pt idx="380">
                  <c:v>44886</c:v>
                </c:pt>
                <c:pt idx="381">
                  <c:v>44887</c:v>
                </c:pt>
                <c:pt idx="382">
                  <c:v>44888</c:v>
                </c:pt>
                <c:pt idx="383">
                  <c:v>44890</c:v>
                </c:pt>
                <c:pt idx="384">
                  <c:v>44893</c:v>
                </c:pt>
                <c:pt idx="385">
                  <c:v>44894</c:v>
                </c:pt>
                <c:pt idx="386">
                  <c:v>44895</c:v>
                </c:pt>
                <c:pt idx="387">
                  <c:v>44896</c:v>
                </c:pt>
                <c:pt idx="388">
                  <c:v>44897</c:v>
                </c:pt>
                <c:pt idx="389">
                  <c:v>44900</c:v>
                </c:pt>
                <c:pt idx="390">
                  <c:v>44901</c:v>
                </c:pt>
                <c:pt idx="391">
                  <c:v>44902</c:v>
                </c:pt>
                <c:pt idx="392">
                  <c:v>44903</c:v>
                </c:pt>
                <c:pt idx="393">
                  <c:v>44904</c:v>
                </c:pt>
                <c:pt idx="394">
                  <c:v>44907</c:v>
                </c:pt>
                <c:pt idx="395">
                  <c:v>44908</c:v>
                </c:pt>
                <c:pt idx="396">
                  <c:v>44909</c:v>
                </c:pt>
                <c:pt idx="397">
                  <c:v>44910</c:v>
                </c:pt>
                <c:pt idx="398">
                  <c:v>44911</c:v>
                </c:pt>
                <c:pt idx="399">
                  <c:v>44914</c:v>
                </c:pt>
                <c:pt idx="400">
                  <c:v>44915</c:v>
                </c:pt>
                <c:pt idx="401">
                  <c:v>44916</c:v>
                </c:pt>
                <c:pt idx="402">
                  <c:v>44917</c:v>
                </c:pt>
                <c:pt idx="403">
                  <c:v>44918</c:v>
                </c:pt>
                <c:pt idx="404">
                  <c:v>44922</c:v>
                </c:pt>
                <c:pt idx="405">
                  <c:v>44923</c:v>
                </c:pt>
                <c:pt idx="406">
                  <c:v>44924</c:v>
                </c:pt>
                <c:pt idx="407">
                  <c:v>44925</c:v>
                </c:pt>
                <c:pt idx="408">
                  <c:v>44929</c:v>
                </c:pt>
                <c:pt idx="409">
                  <c:v>44930</c:v>
                </c:pt>
                <c:pt idx="410">
                  <c:v>44931</c:v>
                </c:pt>
                <c:pt idx="411">
                  <c:v>44932</c:v>
                </c:pt>
                <c:pt idx="412">
                  <c:v>44935</c:v>
                </c:pt>
                <c:pt idx="413">
                  <c:v>44936</c:v>
                </c:pt>
                <c:pt idx="414">
                  <c:v>44937</c:v>
                </c:pt>
                <c:pt idx="415">
                  <c:v>44938</c:v>
                </c:pt>
                <c:pt idx="416">
                  <c:v>44939</c:v>
                </c:pt>
                <c:pt idx="417">
                  <c:v>44943</c:v>
                </c:pt>
                <c:pt idx="418">
                  <c:v>44944</c:v>
                </c:pt>
                <c:pt idx="419">
                  <c:v>44945</c:v>
                </c:pt>
                <c:pt idx="420">
                  <c:v>44946</c:v>
                </c:pt>
                <c:pt idx="421">
                  <c:v>44949</c:v>
                </c:pt>
                <c:pt idx="422">
                  <c:v>44950</c:v>
                </c:pt>
                <c:pt idx="423">
                  <c:v>44951</c:v>
                </c:pt>
                <c:pt idx="424">
                  <c:v>44952</c:v>
                </c:pt>
                <c:pt idx="425">
                  <c:v>44953</c:v>
                </c:pt>
                <c:pt idx="426">
                  <c:v>44956</c:v>
                </c:pt>
                <c:pt idx="427">
                  <c:v>44957</c:v>
                </c:pt>
                <c:pt idx="428">
                  <c:v>44958</c:v>
                </c:pt>
                <c:pt idx="429">
                  <c:v>44959</c:v>
                </c:pt>
                <c:pt idx="430">
                  <c:v>44960</c:v>
                </c:pt>
                <c:pt idx="431">
                  <c:v>44963</c:v>
                </c:pt>
                <c:pt idx="432">
                  <c:v>44964</c:v>
                </c:pt>
                <c:pt idx="433">
                  <c:v>44965</c:v>
                </c:pt>
                <c:pt idx="434">
                  <c:v>44966</c:v>
                </c:pt>
                <c:pt idx="435">
                  <c:v>44967</c:v>
                </c:pt>
                <c:pt idx="436">
                  <c:v>44970</c:v>
                </c:pt>
                <c:pt idx="437">
                  <c:v>44971</c:v>
                </c:pt>
                <c:pt idx="438">
                  <c:v>44972</c:v>
                </c:pt>
                <c:pt idx="439">
                  <c:v>44973</c:v>
                </c:pt>
                <c:pt idx="440">
                  <c:v>44974</c:v>
                </c:pt>
                <c:pt idx="441">
                  <c:v>44978</c:v>
                </c:pt>
                <c:pt idx="442">
                  <c:v>44979</c:v>
                </c:pt>
                <c:pt idx="443">
                  <c:v>44980</c:v>
                </c:pt>
                <c:pt idx="444">
                  <c:v>44981</c:v>
                </c:pt>
                <c:pt idx="445">
                  <c:v>44984</c:v>
                </c:pt>
                <c:pt idx="446">
                  <c:v>44985</c:v>
                </c:pt>
                <c:pt idx="447">
                  <c:v>44986</c:v>
                </c:pt>
                <c:pt idx="448">
                  <c:v>44987</c:v>
                </c:pt>
                <c:pt idx="449">
                  <c:v>44988</c:v>
                </c:pt>
                <c:pt idx="450">
                  <c:v>44991</c:v>
                </c:pt>
                <c:pt idx="451">
                  <c:v>44992</c:v>
                </c:pt>
                <c:pt idx="452">
                  <c:v>44993</c:v>
                </c:pt>
                <c:pt idx="453">
                  <c:v>44994</c:v>
                </c:pt>
                <c:pt idx="454">
                  <c:v>44995</c:v>
                </c:pt>
                <c:pt idx="455">
                  <c:v>44998</c:v>
                </c:pt>
                <c:pt idx="456">
                  <c:v>44999</c:v>
                </c:pt>
                <c:pt idx="457">
                  <c:v>45000</c:v>
                </c:pt>
                <c:pt idx="458">
                  <c:v>45001</c:v>
                </c:pt>
                <c:pt idx="459">
                  <c:v>45002</c:v>
                </c:pt>
                <c:pt idx="460">
                  <c:v>45005</c:v>
                </c:pt>
                <c:pt idx="461">
                  <c:v>45006</c:v>
                </c:pt>
                <c:pt idx="462">
                  <c:v>45007</c:v>
                </c:pt>
                <c:pt idx="463">
                  <c:v>45008</c:v>
                </c:pt>
                <c:pt idx="464">
                  <c:v>45009</c:v>
                </c:pt>
                <c:pt idx="465">
                  <c:v>45012</c:v>
                </c:pt>
                <c:pt idx="466">
                  <c:v>45013</c:v>
                </c:pt>
                <c:pt idx="467">
                  <c:v>45014</c:v>
                </c:pt>
                <c:pt idx="468">
                  <c:v>45015</c:v>
                </c:pt>
                <c:pt idx="469">
                  <c:v>45016</c:v>
                </c:pt>
                <c:pt idx="470">
                  <c:v>45019</c:v>
                </c:pt>
                <c:pt idx="471">
                  <c:v>45020</c:v>
                </c:pt>
                <c:pt idx="472">
                  <c:v>45021</c:v>
                </c:pt>
                <c:pt idx="473">
                  <c:v>45022</c:v>
                </c:pt>
                <c:pt idx="474">
                  <c:v>45026</c:v>
                </c:pt>
                <c:pt idx="475">
                  <c:v>45027</c:v>
                </c:pt>
                <c:pt idx="476">
                  <c:v>45028</c:v>
                </c:pt>
                <c:pt idx="477">
                  <c:v>45029</c:v>
                </c:pt>
                <c:pt idx="478">
                  <c:v>45030</c:v>
                </c:pt>
                <c:pt idx="479">
                  <c:v>45033</c:v>
                </c:pt>
                <c:pt idx="480">
                  <c:v>45034</c:v>
                </c:pt>
                <c:pt idx="481">
                  <c:v>45035</c:v>
                </c:pt>
                <c:pt idx="482">
                  <c:v>45036</c:v>
                </c:pt>
                <c:pt idx="483">
                  <c:v>45037</c:v>
                </c:pt>
                <c:pt idx="484">
                  <c:v>45040</c:v>
                </c:pt>
                <c:pt idx="485">
                  <c:v>45041</c:v>
                </c:pt>
                <c:pt idx="486">
                  <c:v>45042</c:v>
                </c:pt>
                <c:pt idx="487">
                  <c:v>45043</c:v>
                </c:pt>
                <c:pt idx="488">
                  <c:v>45044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45054</c:v>
                </c:pt>
                <c:pt idx="495">
                  <c:v>45055</c:v>
                </c:pt>
                <c:pt idx="496">
                  <c:v>45056</c:v>
                </c:pt>
                <c:pt idx="497">
                  <c:v>45057</c:v>
                </c:pt>
                <c:pt idx="498">
                  <c:v>45058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45068</c:v>
                </c:pt>
                <c:pt idx="505">
                  <c:v>45069</c:v>
                </c:pt>
                <c:pt idx="506">
                  <c:v>45070</c:v>
                </c:pt>
                <c:pt idx="507">
                  <c:v>45071</c:v>
                </c:pt>
                <c:pt idx="508">
                  <c:v>45072</c:v>
                </c:pt>
                <c:pt idx="509">
                  <c:v>45076</c:v>
                </c:pt>
                <c:pt idx="510">
                  <c:v>45077</c:v>
                </c:pt>
                <c:pt idx="511">
                  <c:v>45078</c:v>
                </c:pt>
                <c:pt idx="512">
                  <c:v>45079</c:v>
                </c:pt>
                <c:pt idx="513">
                  <c:v>45082</c:v>
                </c:pt>
                <c:pt idx="514">
                  <c:v>45083</c:v>
                </c:pt>
                <c:pt idx="515">
                  <c:v>45084</c:v>
                </c:pt>
                <c:pt idx="516">
                  <c:v>45085</c:v>
                </c:pt>
                <c:pt idx="517">
                  <c:v>45086</c:v>
                </c:pt>
                <c:pt idx="518">
                  <c:v>45089</c:v>
                </c:pt>
                <c:pt idx="519">
                  <c:v>45090</c:v>
                </c:pt>
                <c:pt idx="520">
                  <c:v>45091</c:v>
                </c:pt>
                <c:pt idx="521">
                  <c:v>45092</c:v>
                </c:pt>
                <c:pt idx="522">
                  <c:v>45093</c:v>
                </c:pt>
                <c:pt idx="523">
                  <c:v>45097</c:v>
                </c:pt>
                <c:pt idx="524">
                  <c:v>45098</c:v>
                </c:pt>
                <c:pt idx="525">
                  <c:v>45099</c:v>
                </c:pt>
                <c:pt idx="526">
                  <c:v>45100</c:v>
                </c:pt>
                <c:pt idx="527">
                  <c:v>45103</c:v>
                </c:pt>
                <c:pt idx="528">
                  <c:v>45104</c:v>
                </c:pt>
                <c:pt idx="529">
                  <c:v>45105</c:v>
                </c:pt>
                <c:pt idx="530">
                  <c:v>45106</c:v>
                </c:pt>
                <c:pt idx="531">
                  <c:v>45107</c:v>
                </c:pt>
                <c:pt idx="532">
                  <c:v>45110</c:v>
                </c:pt>
                <c:pt idx="533">
                  <c:v>45112</c:v>
                </c:pt>
                <c:pt idx="534">
                  <c:v>45113</c:v>
                </c:pt>
                <c:pt idx="535">
                  <c:v>45114</c:v>
                </c:pt>
                <c:pt idx="536">
                  <c:v>45117</c:v>
                </c:pt>
                <c:pt idx="537">
                  <c:v>45118</c:v>
                </c:pt>
                <c:pt idx="538">
                  <c:v>45119</c:v>
                </c:pt>
                <c:pt idx="539">
                  <c:v>45120</c:v>
                </c:pt>
                <c:pt idx="540">
                  <c:v>45121</c:v>
                </c:pt>
                <c:pt idx="541">
                  <c:v>45124</c:v>
                </c:pt>
                <c:pt idx="542">
                  <c:v>45125</c:v>
                </c:pt>
                <c:pt idx="543">
                  <c:v>45126</c:v>
                </c:pt>
                <c:pt idx="544">
                  <c:v>45127</c:v>
                </c:pt>
                <c:pt idx="545">
                  <c:v>45128</c:v>
                </c:pt>
                <c:pt idx="546">
                  <c:v>45131</c:v>
                </c:pt>
                <c:pt idx="547">
                  <c:v>45132</c:v>
                </c:pt>
                <c:pt idx="548">
                  <c:v>45133</c:v>
                </c:pt>
                <c:pt idx="549">
                  <c:v>45134</c:v>
                </c:pt>
                <c:pt idx="550">
                  <c:v>45135</c:v>
                </c:pt>
                <c:pt idx="551">
                  <c:v>45138</c:v>
                </c:pt>
                <c:pt idx="552">
                  <c:v>45139</c:v>
                </c:pt>
                <c:pt idx="553">
                  <c:v>45140</c:v>
                </c:pt>
                <c:pt idx="554">
                  <c:v>45141</c:v>
                </c:pt>
                <c:pt idx="555">
                  <c:v>45142</c:v>
                </c:pt>
                <c:pt idx="556">
                  <c:v>45145</c:v>
                </c:pt>
                <c:pt idx="557">
                  <c:v>45146</c:v>
                </c:pt>
                <c:pt idx="558">
                  <c:v>45147</c:v>
                </c:pt>
                <c:pt idx="559">
                  <c:v>45148</c:v>
                </c:pt>
                <c:pt idx="560">
                  <c:v>45149</c:v>
                </c:pt>
                <c:pt idx="561">
                  <c:v>45152</c:v>
                </c:pt>
                <c:pt idx="562">
                  <c:v>45153</c:v>
                </c:pt>
                <c:pt idx="563">
                  <c:v>45154</c:v>
                </c:pt>
                <c:pt idx="564">
                  <c:v>45155</c:v>
                </c:pt>
                <c:pt idx="565">
                  <c:v>45156</c:v>
                </c:pt>
                <c:pt idx="566">
                  <c:v>45159</c:v>
                </c:pt>
                <c:pt idx="567">
                  <c:v>45160</c:v>
                </c:pt>
                <c:pt idx="568">
                  <c:v>45161</c:v>
                </c:pt>
                <c:pt idx="569">
                  <c:v>45162</c:v>
                </c:pt>
                <c:pt idx="570">
                  <c:v>45163</c:v>
                </c:pt>
                <c:pt idx="571">
                  <c:v>45166</c:v>
                </c:pt>
                <c:pt idx="572">
                  <c:v>45167</c:v>
                </c:pt>
                <c:pt idx="573">
                  <c:v>45168</c:v>
                </c:pt>
                <c:pt idx="574">
                  <c:v>45169</c:v>
                </c:pt>
                <c:pt idx="575">
                  <c:v>45170</c:v>
                </c:pt>
                <c:pt idx="576">
                  <c:v>45174</c:v>
                </c:pt>
                <c:pt idx="577">
                  <c:v>45175</c:v>
                </c:pt>
                <c:pt idx="578">
                  <c:v>45176</c:v>
                </c:pt>
                <c:pt idx="579">
                  <c:v>45177</c:v>
                </c:pt>
                <c:pt idx="580">
                  <c:v>45180</c:v>
                </c:pt>
                <c:pt idx="581">
                  <c:v>45181</c:v>
                </c:pt>
                <c:pt idx="582">
                  <c:v>45182</c:v>
                </c:pt>
                <c:pt idx="583">
                  <c:v>45183</c:v>
                </c:pt>
                <c:pt idx="584">
                  <c:v>45184</c:v>
                </c:pt>
                <c:pt idx="585">
                  <c:v>45187</c:v>
                </c:pt>
                <c:pt idx="586">
                  <c:v>45188</c:v>
                </c:pt>
                <c:pt idx="587">
                  <c:v>45189</c:v>
                </c:pt>
                <c:pt idx="588">
                  <c:v>45190</c:v>
                </c:pt>
                <c:pt idx="589">
                  <c:v>45191</c:v>
                </c:pt>
                <c:pt idx="590">
                  <c:v>45194</c:v>
                </c:pt>
                <c:pt idx="591">
                  <c:v>45195</c:v>
                </c:pt>
                <c:pt idx="592">
                  <c:v>45196</c:v>
                </c:pt>
                <c:pt idx="593">
                  <c:v>45197</c:v>
                </c:pt>
                <c:pt idx="594">
                  <c:v>45198</c:v>
                </c:pt>
                <c:pt idx="595">
                  <c:v>45201</c:v>
                </c:pt>
                <c:pt idx="596">
                  <c:v>45202</c:v>
                </c:pt>
                <c:pt idx="597">
                  <c:v>45203</c:v>
                </c:pt>
                <c:pt idx="598">
                  <c:v>45204</c:v>
                </c:pt>
                <c:pt idx="599">
                  <c:v>45205</c:v>
                </c:pt>
                <c:pt idx="600">
                  <c:v>45208</c:v>
                </c:pt>
                <c:pt idx="601">
                  <c:v>45209</c:v>
                </c:pt>
                <c:pt idx="602">
                  <c:v>45210</c:v>
                </c:pt>
                <c:pt idx="603">
                  <c:v>45211</c:v>
                </c:pt>
                <c:pt idx="604">
                  <c:v>45212</c:v>
                </c:pt>
                <c:pt idx="605">
                  <c:v>45215</c:v>
                </c:pt>
                <c:pt idx="606">
                  <c:v>45216</c:v>
                </c:pt>
                <c:pt idx="607">
                  <c:v>45217</c:v>
                </c:pt>
                <c:pt idx="608">
                  <c:v>45218</c:v>
                </c:pt>
                <c:pt idx="609">
                  <c:v>45219</c:v>
                </c:pt>
                <c:pt idx="610">
                  <c:v>45222</c:v>
                </c:pt>
                <c:pt idx="611">
                  <c:v>45223</c:v>
                </c:pt>
                <c:pt idx="612">
                  <c:v>45224</c:v>
                </c:pt>
                <c:pt idx="613">
                  <c:v>45225</c:v>
                </c:pt>
                <c:pt idx="614">
                  <c:v>45226</c:v>
                </c:pt>
                <c:pt idx="615">
                  <c:v>45229</c:v>
                </c:pt>
                <c:pt idx="616">
                  <c:v>45230</c:v>
                </c:pt>
                <c:pt idx="617">
                  <c:v>45231</c:v>
                </c:pt>
                <c:pt idx="618">
                  <c:v>45232</c:v>
                </c:pt>
                <c:pt idx="619">
                  <c:v>45233</c:v>
                </c:pt>
                <c:pt idx="620">
                  <c:v>45236</c:v>
                </c:pt>
                <c:pt idx="621">
                  <c:v>45237</c:v>
                </c:pt>
                <c:pt idx="622">
                  <c:v>45238</c:v>
                </c:pt>
                <c:pt idx="623">
                  <c:v>45239</c:v>
                </c:pt>
                <c:pt idx="624">
                  <c:v>45240</c:v>
                </c:pt>
                <c:pt idx="625">
                  <c:v>45243</c:v>
                </c:pt>
                <c:pt idx="626">
                  <c:v>45244</c:v>
                </c:pt>
                <c:pt idx="627">
                  <c:v>45245</c:v>
                </c:pt>
                <c:pt idx="628">
                  <c:v>45246</c:v>
                </c:pt>
                <c:pt idx="629">
                  <c:v>45247</c:v>
                </c:pt>
                <c:pt idx="630">
                  <c:v>45250</c:v>
                </c:pt>
                <c:pt idx="631">
                  <c:v>45251</c:v>
                </c:pt>
                <c:pt idx="632">
                  <c:v>45252</c:v>
                </c:pt>
                <c:pt idx="633">
                  <c:v>45254</c:v>
                </c:pt>
                <c:pt idx="634">
                  <c:v>45257</c:v>
                </c:pt>
                <c:pt idx="635">
                  <c:v>45258</c:v>
                </c:pt>
                <c:pt idx="636">
                  <c:v>45259</c:v>
                </c:pt>
                <c:pt idx="637">
                  <c:v>45260</c:v>
                </c:pt>
                <c:pt idx="638">
                  <c:v>45261</c:v>
                </c:pt>
                <c:pt idx="639">
                  <c:v>45264</c:v>
                </c:pt>
                <c:pt idx="640">
                  <c:v>45265</c:v>
                </c:pt>
                <c:pt idx="641">
                  <c:v>45266</c:v>
                </c:pt>
                <c:pt idx="642">
                  <c:v>45267</c:v>
                </c:pt>
                <c:pt idx="643">
                  <c:v>45268</c:v>
                </c:pt>
                <c:pt idx="644">
                  <c:v>45271</c:v>
                </c:pt>
                <c:pt idx="645">
                  <c:v>45272</c:v>
                </c:pt>
                <c:pt idx="646">
                  <c:v>45273</c:v>
                </c:pt>
                <c:pt idx="647">
                  <c:v>45274</c:v>
                </c:pt>
                <c:pt idx="648">
                  <c:v>45275</c:v>
                </c:pt>
                <c:pt idx="649">
                  <c:v>45278</c:v>
                </c:pt>
                <c:pt idx="650">
                  <c:v>45279</c:v>
                </c:pt>
                <c:pt idx="651">
                  <c:v>45280</c:v>
                </c:pt>
                <c:pt idx="652">
                  <c:v>45281</c:v>
                </c:pt>
                <c:pt idx="653">
                  <c:v>45282</c:v>
                </c:pt>
                <c:pt idx="654">
                  <c:v>45286</c:v>
                </c:pt>
                <c:pt idx="655">
                  <c:v>45287</c:v>
                </c:pt>
                <c:pt idx="656">
                  <c:v>45288</c:v>
                </c:pt>
                <c:pt idx="657">
                  <c:v>45289</c:v>
                </c:pt>
                <c:pt idx="658">
                  <c:v>45293</c:v>
                </c:pt>
                <c:pt idx="659">
                  <c:v>45294</c:v>
                </c:pt>
                <c:pt idx="660">
                  <c:v>45295</c:v>
                </c:pt>
                <c:pt idx="661">
                  <c:v>45296</c:v>
                </c:pt>
                <c:pt idx="662">
                  <c:v>45299</c:v>
                </c:pt>
                <c:pt idx="663">
                  <c:v>45300</c:v>
                </c:pt>
                <c:pt idx="664">
                  <c:v>45301</c:v>
                </c:pt>
                <c:pt idx="665">
                  <c:v>45302</c:v>
                </c:pt>
                <c:pt idx="666">
                  <c:v>45303</c:v>
                </c:pt>
                <c:pt idx="667">
                  <c:v>45307</c:v>
                </c:pt>
                <c:pt idx="668">
                  <c:v>45308</c:v>
                </c:pt>
                <c:pt idx="669">
                  <c:v>45309</c:v>
                </c:pt>
                <c:pt idx="670">
                  <c:v>45310</c:v>
                </c:pt>
                <c:pt idx="671">
                  <c:v>45313</c:v>
                </c:pt>
                <c:pt idx="672">
                  <c:v>45314</c:v>
                </c:pt>
                <c:pt idx="673">
                  <c:v>45315</c:v>
                </c:pt>
                <c:pt idx="674">
                  <c:v>45316</c:v>
                </c:pt>
                <c:pt idx="675">
                  <c:v>45317</c:v>
                </c:pt>
                <c:pt idx="676">
                  <c:v>45320</c:v>
                </c:pt>
                <c:pt idx="677">
                  <c:v>45321</c:v>
                </c:pt>
                <c:pt idx="678">
                  <c:v>45322</c:v>
                </c:pt>
                <c:pt idx="679">
                  <c:v>45323</c:v>
                </c:pt>
                <c:pt idx="680">
                  <c:v>45324</c:v>
                </c:pt>
                <c:pt idx="681">
                  <c:v>45327</c:v>
                </c:pt>
                <c:pt idx="682">
                  <c:v>45328</c:v>
                </c:pt>
                <c:pt idx="683">
                  <c:v>45329</c:v>
                </c:pt>
                <c:pt idx="684">
                  <c:v>45330</c:v>
                </c:pt>
                <c:pt idx="685">
                  <c:v>45331</c:v>
                </c:pt>
                <c:pt idx="686">
                  <c:v>45334</c:v>
                </c:pt>
                <c:pt idx="687">
                  <c:v>45335</c:v>
                </c:pt>
              </c:numCache>
            </c:numRef>
          </c:cat>
          <c:val>
            <c:numRef>
              <c:f>Catalysts!$B$2:$B$1147</c:f>
              <c:numCache>
                <c:formatCode>0.00</c:formatCode>
                <c:ptCount val="1146"/>
                <c:pt idx="0">
                  <c:v>20.200001</c:v>
                </c:pt>
                <c:pt idx="1">
                  <c:v>22.459999</c:v>
                </c:pt>
                <c:pt idx="2">
                  <c:v>20.73</c:v>
                </c:pt>
                <c:pt idx="3">
                  <c:v>21.200001</c:v>
                </c:pt>
                <c:pt idx="4">
                  <c:v>21.620000999999998</c:v>
                </c:pt>
                <c:pt idx="5">
                  <c:v>22.120000999999998</c:v>
                </c:pt>
                <c:pt idx="6">
                  <c:v>23.709999</c:v>
                </c:pt>
                <c:pt idx="7">
                  <c:v>25.15</c:v>
                </c:pt>
                <c:pt idx="8">
                  <c:v>23.809999000000001</c:v>
                </c:pt>
                <c:pt idx="9">
                  <c:v>23.879999000000002</c:v>
                </c:pt>
                <c:pt idx="10">
                  <c:v>23.83</c:v>
                </c:pt>
                <c:pt idx="11">
                  <c:v>25</c:v>
                </c:pt>
                <c:pt idx="12">
                  <c:v>26.99</c:v>
                </c:pt>
                <c:pt idx="13">
                  <c:v>26.309999000000001</c:v>
                </c:pt>
                <c:pt idx="14">
                  <c:v>26.65</c:v>
                </c:pt>
                <c:pt idx="15">
                  <c:v>28.73</c:v>
                </c:pt>
                <c:pt idx="16">
                  <c:v>27.370000999999998</c:v>
                </c:pt>
                <c:pt idx="17">
                  <c:v>27.82</c:v>
                </c:pt>
                <c:pt idx="18">
                  <c:v>27.49</c:v>
                </c:pt>
                <c:pt idx="19">
                  <c:v>26.73</c:v>
                </c:pt>
                <c:pt idx="20">
                  <c:v>26</c:v>
                </c:pt>
                <c:pt idx="21">
                  <c:v>26.33</c:v>
                </c:pt>
                <c:pt idx="22">
                  <c:v>25.799999</c:v>
                </c:pt>
                <c:pt idx="23">
                  <c:v>25.84</c:v>
                </c:pt>
                <c:pt idx="24">
                  <c:v>24.809999000000001</c:v>
                </c:pt>
                <c:pt idx="25">
                  <c:v>24.4</c:v>
                </c:pt>
                <c:pt idx="26">
                  <c:v>25.299999</c:v>
                </c:pt>
                <c:pt idx="27">
                  <c:v>25.75</c:v>
                </c:pt>
                <c:pt idx="28">
                  <c:v>24.459999</c:v>
                </c:pt>
                <c:pt idx="29">
                  <c:v>23.4</c:v>
                </c:pt>
                <c:pt idx="30">
                  <c:v>23.09</c:v>
                </c:pt>
                <c:pt idx="31">
                  <c:v>22.209999</c:v>
                </c:pt>
                <c:pt idx="32">
                  <c:v>22.450001</c:v>
                </c:pt>
                <c:pt idx="33">
                  <c:v>23.440000999999999</c:v>
                </c:pt>
                <c:pt idx="34">
                  <c:v>23</c:v>
                </c:pt>
                <c:pt idx="35">
                  <c:v>22.42</c:v>
                </c:pt>
                <c:pt idx="36">
                  <c:v>21.129999000000002</c:v>
                </c:pt>
                <c:pt idx="37">
                  <c:v>20.540001</c:v>
                </c:pt>
                <c:pt idx="38">
                  <c:v>19.48</c:v>
                </c:pt>
                <c:pt idx="39">
                  <c:v>19.280000999999999</c:v>
                </c:pt>
                <c:pt idx="40">
                  <c:v>19.68</c:v>
                </c:pt>
                <c:pt idx="41">
                  <c:v>19.450001</c:v>
                </c:pt>
                <c:pt idx="42">
                  <c:v>18.870000999999998</c:v>
                </c:pt>
                <c:pt idx="43">
                  <c:v>19.040001</c:v>
                </c:pt>
                <c:pt idx="44">
                  <c:v>18.469999000000001</c:v>
                </c:pt>
                <c:pt idx="45">
                  <c:v>18.649999999999999</c:v>
                </c:pt>
                <c:pt idx="46">
                  <c:v>17.5</c:v>
                </c:pt>
                <c:pt idx="47">
                  <c:v>18.120000999999998</c:v>
                </c:pt>
                <c:pt idx="48">
                  <c:v>18.290001</c:v>
                </c:pt>
                <c:pt idx="49">
                  <c:v>17.75</c:v>
                </c:pt>
                <c:pt idx="50">
                  <c:v>18.5</c:v>
                </c:pt>
                <c:pt idx="51">
                  <c:v>18.450001</c:v>
                </c:pt>
                <c:pt idx="52">
                  <c:v>18.040001</c:v>
                </c:pt>
                <c:pt idx="53">
                  <c:v>18.190000999999999</c:v>
                </c:pt>
                <c:pt idx="54">
                  <c:v>18.469999000000001</c:v>
                </c:pt>
                <c:pt idx="55">
                  <c:v>19.120000999999998</c:v>
                </c:pt>
                <c:pt idx="56">
                  <c:v>19.07</c:v>
                </c:pt>
                <c:pt idx="57">
                  <c:v>17.41</c:v>
                </c:pt>
                <c:pt idx="58">
                  <c:v>16.989999999999998</c:v>
                </c:pt>
                <c:pt idx="59">
                  <c:v>16.870000999999998</c:v>
                </c:pt>
                <c:pt idx="60">
                  <c:v>16.43</c:v>
                </c:pt>
                <c:pt idx="61">
                  <c:v>15.93</c:v>
                </c:pt>
                <c:pt idx="62">
                  <c:v>15.16</c:v>
                </c:pt>
                <c:pt idx="63">
                  <c:v>15.74</c:v>
                </c:pt>
                <c:pt idx="64">
                  <c:v>15.63</c:v>
                </c:pt>
                <c:pt idx="65">
                  <c:v>16.190000999999999</c:v>
                </c:pt>
                <c:pt idx="66">
                  <c:v>17.399999999999999</c:v>
                </c:pt>
                <c:pt idx="67">
                  <c:v>17.690000999999999</c:v>
                </c:pt>
                <c:pt idx="68">
                  <c:v>17.850000000000001</c:v>
                </c:pt>
                <c:pt idx="69">
                  <c:v>18.299999</c:v>
                </c:pt>
                <c:pt idx="70">
                  <c:v>18.809999000000001</c:v>
                </c:pt>
                <c:pt idx="71">
                  <c:v>18.219999000000001</c:v>
                </c:pt>
                <c:pt idx="72">
                  <c:v>17.829999999999998</c:v>
                </c:pt>
                <c:pt idx="73">
                  <c:v>17.66</c:v>
                </c:pt>
                <c:pt idx="74">
                  <c:v>16.84</c:v>
                </c:pt>
                <c:pt idx="75">
                  <c:v>17.16</c:v>
                </c:pt>
                <c:pt idx="76">
                  <c:v>16.889999</c:v>
                </c:pt>
                <c:pt idx="77">
                  <c:v>16.489999999999998</c:v>
                </c:pt>
                <c:pt idx="78">
                  <c:v>17.450001</c:v>
                </c:pt>
                <c:pt idx="79">
                  <c:v>17.870000999999998</c:v>
                </c:pt>
                <c:pt idx="80">
                  <c:v>16.93</c:v>
                </c:pt>
                <c:pt idx="81">
                  <c:v>16.969999000000001</c:v>
                </c:pt>
                <c:pt idx="82">
                  <c:v>16.309999000000001</c:v>
                </c:pt>
                <c:pt idx="83">
                  <c:v>16.27</c:v>
                </c:pt>
                <c:pt idx="84">
                  <c:v>16.049999</c:v>
                </c:pt>
                <c:pt idx="85">
                  <c:v>16.48</c:v>
                </c:pt>
                <c:pt idx="86">
                  <c:v>16.48</c:v>
                </c:pt>
                <c:pt idx="87">
                  <c:v>16.620000999999998</c:v>
                </c:pt>
                <c:pt idx="88">
                  <c:v>16.299999</c:v>
                </c:pt>
                <c:pt idx="89">
                  <c:v>16.030000999999999</c:v>
                </c:pt>
                <c:pt idx="90">
                  <c:v>15.91</c:v>
                </c:pt>
                <c:pt idx="91">
                  <c:v>15.11</c:v>
                </c:pt>
                <c:pt idx="92">
                  <c:v>15.12</c:v>
                </c:pt>
                <c:pt idx="93">
                  <c:v>14.75</c:v>
                </c:pt>
                <c:pt idx="94">
                  <c:v>13.81</c:v>
                </c:pt>
                <c:pt idx="95">
                  <c:v>13.63</c:v>
                </c:pt>
                <c:pt idx="96">
                  <c:v>13.5</c:v>
                </c:pt>
                <c:pt idx="97">
                  <c:v>14.73</c:v>
                </c:pt>
                <c:pt idx="98">
                  <c:v>14.6</c:v>
                </c:pt>
                <c:pt idx="99">
                  <c:v>14.15</c:v>
                </c:pt>
                <c:pt idx="100">
                  <c:v>14.19</c:v>
                </c:pt>
                <c:pt idx="101">
                  <c:v>14.33</c:v>
                </c:pt>
                <c:pt idx="102">
                  <c:v>14.87</c:v>
                </c:pt>
                <c:pt idx="103">
                  <c:v>14.51</c:v>
                </c:pt>
                <c:pt idx="104">
                  <c:v>14.28</c:v>
                </c:pt>
                <c:pt idx="105">
                  <c:v>14.63</c:v>
                </c:pt>
                <c:pt idx="106">
                  <c:v>14.51</c:v>
                </c:pt>
                <c:pt idx="107">
                  <c:v>14.17</c:v>
                </c:pt>
                <c:pt idx="108">
                  <c:v>14.01</c:v>
                </c:pt>
                <c:pt idx="109">
                  <c:v>14.17</c:v>
                </c:pt>
                <c:pt idx="110">
                  <c:v>13.89</c:v>
                </c:pt>
                <c:pt idx="111">
                  <c:v>12.99</c:v>
                </c:pt>
                <c:pt idx="112">
                  <c:v>13.33</c:v>
                </c:pt>
                <c:pt idx="113">
                  <c:v>12.89</c:v>
                </c:pt>
                <c:pt idx="114">
                  <c:v>13.19</c:v>
                </c:pt>
                <c:pt idx="115">
                  <c:v>12.83</c:v>
                </c:pt>
                <c:pt idx="116">
                  <c:v>13.67</c:v>
                </c:pt>
                <c:pt idx="117">
                  <c:v>13.19</c:v>
                </c:pt>
                <c:pt idx="118">
                  <c:v>13.15</c:v>
                </c:pt>
                <c:pt idx="119">
                  <c:v>12.67</c:v>
                </c:pt>
                <c:pt idx="120">
                  <c:v>12.9</c:v>
                </c:pt>
                <c:pt idx="121">
                  <c:v>12.36</c:v>
                </c:pt>
                <c:pt idx="122">
                  <c:v>11.3</c:v>
                </c:pt>
                <c:pt idx="123">
                  <c:v>11.82</c:v>
                </c:pt>
                <c:pt idx="124">
                  <c:v>9.36</c:v>
                </c:pt>
                <c:pt idx="125">
                  <c:v>10.18</c:v>
                </c:pt>
                <c:pt idx="126">
                  <c:v>9.44</c:v>
                </c:pt>
                <c:pt idx="127">
                  <c:v>9.8699999999999992</c:v>
                </c:pt>
                <c:pt idx="128">
                  <c:v>10.050000000000001</c:v>
                </c:pt>
                <c:pt idx="129">
                  <c:v>9.1999999999999993</c:v>
                </c:pt>
                <c:pt idx="130">
                  <c:v>9.52</c:v>
                </c:pt>
                <c:pt idx="131">
                  <c:v>9.81</c:v>
                </c:pt>
                <c:pt idx="132">
                  <c:v>9.67</c:v>
                </c:pt>
                <c:pt idx="133">
                  <c:v>9.31</c:v>
                </c:pt>
                <c:pt idx="134">
                  <c:v>8.9499999999999993</c:v>
                </c:pt>
                <c:pt idx="135">
                  <c:v>8.4</c:v>
                </c:pt>
                <c:pt idx="136">
                  <c:v>8.23</c:v>
                </c:pt>
                <c:pt idx="137">
                  <c:v>8</c:v>
                </c:pt>
                <c:pt idx="138">
                  <c:v>8.0299999999999994</c:v>
                </c:pt>
                <c:pt idx="139">
                  <c:v>8.77</c:v>
                </c:pt>
                <c:pt idx="140">
                  <c:v>8.8000000000000007</c:v>
                </c:pt>
                <c:pt idx="141">
                  <c:v>8.6300000000000008</c:v>
                </c:pt>
                <c:pt idx="142">
                  <c:v>8.5</c:v>
                </c:pt>
                <c:pt idx="143">
                  <c:v>8.19</c:v>
                </c:pt>
                <c:pt idx="144">
                  <c:v>8.1999999999999993</c:v>
                </c:pt>
                <c:pt idx="145">
                  <c:v>8.1</c:v>
                </c:pt>
                <c:pt idx="146">
                  <c:v>7.9</c:v>
                </c:pt>
                <c:pt idx="147">
                  <c:v>7.99</c:v>
                </c:pt>
                <c:pt idx="148">
                  <c:v>7.69</c:v>
                </c:pt>
                <c:pt idx="149">
                  <c:v>7.88</c:v>
                </c:pt>
                <c:pt idx="150">
                  <c:v>7.61</c:v>
                </c:pt>
                <c:pt idx="151">
                  <c:v>8.14</c:v>
                </c:pt>
                <c:pt idx="152">
                  <c:v>8.01</c:v>
                </c:pt>
                <c:pt idx="153">
                  <c:v>7.8</c:v>
                </c:pt>
                <c:pt idx="154">
                  <c:v>7.88</c:v>
                </c:pt>
                <c:pt idx="155">
                  <c:v>8.0399999999999991</c:v>
                </c:pt>
                <c:pt idx="156">
                  <c:v>7.96</c:v>
                </c:pt>
                <c:pt idx="157">
                  <c:v>8.3699999999999992</c:v>
                </c:pt>
                <c:pt idx="158">
                  <c:v>8.0399999999999991</c:v>
                </c:pt>
                <c:pt idx="159">
                  <c:v>7.9</c:v>
                </c:pt>
                <c:pt idx="160">
                  <c:v>8.1199999999999992</c:v>
                </c:pt>
                <c:pt idx="161">
                  <c:v>7.98</c:v>
                </c:pt>
                <c:pt idx="162">
                  <c:v>7.25</c:v>
                </c:pt>
                <c:pt idx="163">
                  <c:v>8.2100000000000009</c:v>
                </c:pt>
                <c:pt idx="164">
                  <c:v>7.82</c:v>
                </c:pt>
                <c:pt idx="165">
                  <c:v>7.72</c:v>
                </c:pt>
                <c:pt idx="166">
                  <c:v>7.41</c:v>
                </c:pt>
                <c:pt idx="167">
                  <c:v>7</c:v>
                </c:pt>
                <c:pt idx="168">
                  <c:v>6.91</c:v>
                </c:pt>
                <c:pt idx="169">
                  <c:v>6.83</c:v>
                </c:pt>
                <c:pt idx="170">
                  <c:v>6.53</c:v>
                </c:pt>
                <c:pt idx="171">
                  <c:v>6.88</c:v>
                </c:pt>
                <c:pt idx="172">
                  <c:v>6.85</c:v>
                </c:pt>
                <c:pt idx="173">
                  <c:v>6.68</c:v>
                </c:pt>
                <c:pt idx="174">
                  <c:v>6.25</c:v>
                </c:pt>
                <c:pt idx="175">
                  <c:v>6.65</c:v>
                </c:pt>
                <c:pt idx="176">
                  <c:v>7.11</c:v>
                </c:pt>
                <c:pt idx="177">
                  <c:v>7.3</c:v>
                </c:pt>
                <c:pt idx="178">
                  <c:v>7</c:v>
                </c:pt>
                <c:pt idx="179">
                  <c:v>6.73</c:v>
                </c:pt>
                <c:pt idx="180">
                  <c:v>6.88</c:v>
                </c:pt>
                <c:pt idx="181">
                  <c:v>7.1</c:v>
                </c:pt>
                <c:pt idx="182">
                  <c:v>7.25</c:v>
                </c:pt>
                <c:pt idx="183">
                  <c:v>7.62</c:v>
                </c:pt>
                <c:pt idx="184">
                  <c:v>7.53</c:v>
                </c:pt>
                <c:pt idx="185">
                  <c:v>7.33</c:v>
                </c:pt>
                <c:pt idx="186">
                  <c:v>7.36</c:v>
                </c:pt>
                <c:pt idx="187">
                  <c:v>7.87</c:v>
                </c:pt>
                <c:pt idx="188">
                  <c:v>7.8</c:v>
                </c:pt>
                <c:pt idx="189">
                  <c:v>7.31</c:v>
                </c:pt>
                <c:pt idx="190">
                  <c:v>6.97</c:v>
                </c:pt>
                <c:pt idx="191">
                  <c:v>6.83</c:v>
                </c:pt>
                <c:pt idx="192">
                  <c:v>6.36</c:v>
                </c:pt>
                <c:pt idx="193">
                  <c:v>6.82</c:v>
                </c:pt>
                <c:pt idx="194">
                  <c:v>6.73</c:v>
                </c:pt>
                <c:pt idx="195">
                  <c:v>6.75</c:v>
                </c:pt>
                <c:pt idx="196">
                  <c:v>6.7</c:v>
                </c:pt>
                <c:pt idx="197">
                  <c:v>6.73</c:v>
                </c:pt>
                <c:pt idx="198">
                  <c:v>6.66</c:v>
                </c:pt>
                <c:pt idx="199">
                  <c:v>6.18</c:v>
                </c:pt>
                <c:pt idx="200">
                  <c:v>5.71</c:v>
                </c:pt>
                <c:pt idx="201">
                  <c:v>5.73</c:v>
                </c:pt>
                <c:pt idx="202">
                  <c:v>5.72</c:v>
                </c:pt>
                <c:pt idx="203">
                  <c:v>5.37</c:v>
                </c:pt>
                <c:pt idx="204">
                  <c:v>4.99</c:v>
                </c:pt>
                <c:pt idx="205">
                  <c:v>4.71</c:v>
                </c:pt>
                <c:pt idx="206">
                  <c:v>4.8</c:v>
                </c:pt>
                <c:pt idx="207">
                  <c:v>5.23</c:v>
                </c:pt>
                <c:pt idx="208">
                  <c:v>5.29</c:v>
                </c:pt>
                <c:pt idx="209">
                  <c:v>5.72</c:v>
                </c:pt>
                <c:pt idx="210">
                  <c:v>5.49</c:v>
                </c:pt>
                <c:pt idx="211">
                  <c:v>5.53</c:v>
                </c:pt>
                <c:pt idx="212">
                  <c:v>5.31</c:v>
                </c:pt>
                <c:pt idx="213">
                  <c:v>5.19</c:v>
                </c:pt>
                <c:pt idx="214">
                  <c:v>5.12</c:v>
                </c:pt>
                <c:pt idx="215">
                  <c:v>5.03</c:v>
                </c:pt>
                <c:pt idx="216">
                  <c:v>5.4</c:v>
                </c:pt>
                <c:pt idx="217">
                  <c:v>5.04</c:v>
                </c:pt>
                <c:pt idx="218">
                  <c:v>5.01</c:v>
                </c:pt>
                <c:pt idx="219">
                  <c:v>5.08</c:v>
                </c:pt>
                <c:pt idx="220">
                  <c:v>5.33</c:v>
                </c:pt>
                <c:pt idx="221">
                  <c:v>5.1100000000000003</c:v>
                </c:pt>
                <c:pt idx="222">
                  <c:v>4.68</c:v>
                </c:pt>
                <c:pt idx="223">
                  <c:v>4.5199999999999996</c:v>
                </c:pt>
                <c:pt idx="224">
                  <c:v>4.45</c:v>
                </c:pt>
                <c:pt idx="225">
                  <c:v>4.46</c:v>
                </c:pt>
                <c:pt idx="226">
                  <c:v>4.3099999999999996</c:v>
                </c:pt>
                <c:pt idx="227">
                  <c:v>4.37</c:v>
                </c:pt>
                <c:pt idx="228">
                  <c:v>4.34</c:v>
                </c:pt>
                <c:pt idx="229">
                  <c:v>4.12</c:v>
                </c:pt>
                <c:pt idx="230">
                  <c:v>4.26</c:v>
                </c:pt>
                <c:pt idx="231">
                  <c:v>4.0599999999999996</c:v>
                </c:pt>
                <c:pt idx="232">
                  <c:v>3.85</c:v>
                </c:pt>
                <c:pt idx="233">
                  <c:v>3.83</c:v>
                </c:pt>
                <c:pt idx="234">
                  <c:v>3.83</c:v>
                </c:pt>
                <c:pt idx="235">
                  <c:v>3.5</c:v>
                </c:pt>
                <c:pt idx="236">
                  <c:v>3.57</c:v>
                </c:pt>
                <c:pt idx="237">
                  <c:v>3.68</c:v>
                </c:pt>
                <c:pt idx="238">
                  <c:v>3.56</c:v>
                </c:pt>
                <c:pt idx="239">
                  <c:v>3.68</c:v>
                </c:pt>
                <c:pt idx="240">
                  <c:v>3.49</c:v>
                </c:pt>
                <c:pt idx="241">
                  <c:v>3.94</c:v>
                </c:pt>
                <c:pt idx="242">
                  <c:v>3.6</c:v>
                </c:pt>
                <c:pt idx="243">
                  <c:v>3.32</c:v>
                </c:pt>
                <c:pt idx="244">
                  <c:v>3.04</c:v>
                </c:pt>
                <c:pt idx="245">
                  <c:v>2.95</c:v>
                </c:pt>
                <c:pt idx="246">
                  <c:v>2.85</c:v>
                </c:pt>
                <c:pt idx="247">
                  <c:v>3.07</c:v>
                </c:pt>
                <c:pt idx="248">
                  <c:v>3.71</c:v>
                </c:pt>
                <c:pt idx="249">
                  <c:v>3.63</c:v>
                </c:pt>
                <c:pt idx="250">
                  <c:v>3.69</c:v>
                </c:pt>
                <c:pt idx="251">
                  <c:v>3.58</c:v>
                </c:pt>
                <c:pt idx="252">
                  <c:v>3.56</c:v>
                </c:pt>
                <c:pt idx="253">
                  <c:v>3.66</c:v>
                </c:pt>
                <c:pt idx="254">
                  <c:v>3.7</c:v>
                </c:pt>
                <c:pt idx="255">
                  <c:v>3.44</c:v>
                </c:pt>
                <c:pt idx="256">
                  <c:v>3.72</c:v>
                </c:pt>
                <c:pt idx="257">
                  <c:v>3.85</c:v>
                </c:pt>
                <c:pt idx="258">
                  <c:v>4.1900000000000004</c:v>
                </c:pt>
                <c:pt idx="259">
                  <c:v>4.13</c:v>
                </c:pt>
                <c:pt idx="260">
                  <c:v>4.05</c:v>
                </c:pt>
                <c:pt idx="261">
                  <c:v>4.12</c:v>
                </c:pt>
                <c:pt idx="262">
                  <c:v>4.05</c:v>
                </c:pt>
                <c:pt idx="263">
                  <c:v>4.12</c:v>
                </c:pt>
                <c:pt idx="264">
                  <c:v>4.17</c:v>
                </c:pt>
                <c:pt idx="265">
                  <c:v>4.32</c:v>
                </c:pt>
                <c:pt idx="266">
                  <c:v>4.0999999999999996</c:v>
                </c:pt>
                <c:pt idx="267">
                  <c:v>3.89</c:v>
                </c:pt>
                <c:pt idx="268">
                  <c:v>3.69</c:v>
                </c:pt>
                <c:pt idx="269">
                  <c:v>3.76</c:v>
                </c:pt>
                <c:pt idx="270">
                  <c:v>4.04</c:v>
                </c:pt>
                <c:pt idx="271">
                  <c:v>3.77</c:v>
                </c:pt>
                <c:pt idx="272">
                  <c:v>3.73</c:v>
                </c:pt>
                <c:pt idx="273">
                  <c:v>3.94</c:v>
                </c:pt>
                <c:pt idx="274">
                  <c:v>3.8</c:v>
                </c:pt>
                <c:pt idx="275">
                  <c:v>3.94</c:v>
                </c:pt>
                <c:pt idx="276">
                  <c:v>4.08</c:v>
                </c:pt>
                <c:pt idx="277">
                  <c:v>3.96</c:v>
                </c:pt>
                <c:pt idx="278">
                  <c:v>3.69</c:v>
                </c:pt>
                <c:pt idx="279">
                  <c:v>3.52</c:v>
                </c:pt>
                <c:pt idx="280">
                  <c:v>3.46</c:v>
                </c:pt>
                <c:pt idx="281">
                  <c:v>3.64</c:v>
                </c:pt>
                <c:pt idx="282">
                  <c:v>3.96</c:v>
                </c:pt>
                <c:pt idx="283">
                  <c:v>4.07</c:v>
                </c:pt>
                <c:pt idx="284">
                  <c:v>4.1100000000000003</c:v>
                </c:pt>
                <c:pt idx="285">
                  <c:v>4.09</c:v>
                </c:pt>
                <c:pt idx="286">
                  <c:v>3.85</c:v>
                </c:pt>
                <c:pt idx="287">
                  <c:v>3.82</c:v>
                </c:pt>
                <c:pt idx="288">
                  <c:v>3.83</c:v>
                </c:pt>
                <c:pt idx="289">
                  <c:v>3.58</c:v>
                </c:pt>
                <c:pt idx="290">
                  <c:v>3.59</c:v>
                </c:pt>
                <c:pt idx="291">
                  <c:v>3.64</c:v>
                </c:pt>
                <c:pt idx="292">
                  <c:v>4.0599999999999996</c:v>
                </c:pt>
                <c:pt idx="293">
                  <c:v>4.18</c:v>
                </c:pt>
                <c:pt idx="294">
                  <c:v>4.12</c:v>
                </c:pt>
                <c:pt idx="295">
                  <c:v>3.78</c:v>
                </c:pt>
                <c:pt idx="296">
                  <c:v>3.69</c:v>
                </c:pt>
                <c:pt idx="297">
                  <c:v>3.5</c:v>
                </c:pt>
                <c:pt idx="298">
                  <c:v>3.58</c:v>
                </c:pt>
                <c:pt idx="299">
                  <c:v>3.75</c:v>
                </c:pt>
                <c:pt idx="300">
                  <c:v>3.72</c:v>
                </c:pt>
                <c:pt idx="301">
                  <c:v>3.92</c:v>
                </c:pt>
                <c:pt idx="302">
                  <c:v>3.24</c:v>
                </c:pt>
                <c:pt idx="303">
                  <c:v>3.53</c:v>
                </c:pt>
                <c:pt idx="304">
                  <c:v>3.73</c:v>
                </c:pt>
                <c:pt idx="305">
                  <c:v>3.97</c:v>
                </c:pt>
                <c:pt idx="306">
                  <c:v>4.04</c:v>
                </c:pt>
                <c:pt idx="307">
                  <c:v>3.73</c:v>
                </c:pt>
                <c:pt idx="308">
                  <c:v>3.89</c:v>
                </c:pt>
                <c:pt idx="309">
                  <c:v>4.01</c:v>
                </c:pt>
                <c:pt idx="310">
                  <c:v>4.0999999999999996</c:v>
                </c:pt>
                <c:pt idx="311">
                  <c:v>4.07</c:v>
                </c:pt>
                <c:pt idx="312">
                  <c:v>3.99</c:v>
                </c:pt>
                <c:pt idx="313">
                  <c:v>3.77</c:v>
                </c:pt>
                <c:pt idx="314">
                  <c:v>3.68</c:v>
                </c:pt>
                <c:pt idx="315">
                  <c:v>3.39</c:v>
                </c:pt>
                <c:pt idx="316">
                  <c:v>3.28</c:v>
                </c:pt>
                <c:pt idx="317">
                  <c:v>3.31</c:v>
                </c:pt>
                <c:pt idx="318">
                  <c:v>3.33</c:v>
                </c:pt>
                <c:pt idx="319">
                  <c:v>3.51</c:v>
                </c:pt>
                <c:pt idx="320">
                  <c:v>3.25</c:v>
                </c:pt>
                <c:pt idx="321">
                  <c:v>3.27</c:v>
                </c:pt>
                <c:pt idx="322">
                  <c:v>3.22</c:v>
                </c:pt>
                <c:pt idx="323">
                  <c:v>3.23</c:v>
                </c:pt>
                <c:pt idx="324">
                  <c:v>3.16</c:v>
                </c:pt>
                <c:pt idx="325">
                  <c:v>3.03</c:v>
                </c:pt>
                <c:pt idx="326">
                  <c:v>2.94</c:v>
                </c:pt>
                <c:pt idx="327">
                  <c:v>3.13</c:v>
                </c:pt>
                <c:pt idx="328">
                  <c:v>3.21</c:v>
                </c:pt>
                <c:pt idx="329">
                  <c:v>3.27</c:v>
                </c:pt>
                <c:pt idx="330">
                  <c:v>3.3</c:v>
                </c:pt>
                <c:pt idx="331">
                  <c:v>3.06</c:v>
                </c:pt>
                <c:pt idx="332">
                  <c:v>2.99</c:v>
                </c:pt>
                <c:pt idx="333">
                  <c:v>2.98</c:v>
                </c:pt>
                <c:pt idx="334">
                  <c:v>2.99</c:v>
                </c:pt>
                <c:pt idx="335">
                  <c:v>2.94</c:v>
                </c:pt>
                <c:pt idx="336">
                  <c:v>2.75</c:v>
                </c:pt>
                <c:pt idx="337">
                  <c:v>2.8</c:v>
                </c:pt>
                <c:pt idx="338">
                  <c:v>2.68</c:v>
                </c:pt>
                <c:pt idx="339">
                  <c:v>2.69</c:v>
                </c:pt>
                <c:pt idx="340">
                  <c:v>2.59</c:v>
                </c:pt>
                <c:pt idx="341">
                  <c:v>2.69</c:v>
                </c:pt>
                <c:pt idx="342">
                  <c:v>2.79</c:v>
                </c:pt>
                <c:pt idx="343">
                  <c:v>2.56</c:v>
                </c:pt>
                <c:pt idx="344">
                  <c:v>2.63</c:v>
                </c:pt>
                <c:pt idx="345">
                  <c:v>2.68</c:v>
                </c:pt>
                <c:pt idx="346">
                  <c:v>2.85</c:v>
                </c:pt>
                <c:pt idx="347">
                  <c:v>2.77</c:v>
                </c:pt>
                <c:pt idx="348">
                  <c:v>2.75</c:v>
                </c:pt>
                <c:pt idx="349">
                  <c:v>2.5499999999999998</c:v>
                </c:pt>
                <c:pt idx="350">
                  <c:v>2.48</c:v>
                </c:pt>
                <c:pt idx="351">
                  <c:v>2.4700000000000002</c:v>
                </c:pt>
                <c:pt idx="352">
                  <c:v>2.4300000000000002</c:v>
                </c:pt>
                <c:pt idx="353">
                  <c:v>2.4</c:v>
                </c:pt>
                <c:pt idx="354">
                  <c:v>2.25</c:v>
                </c:pt>
                <c:pt idx="355">
                  <c:v>2.2400000000000002</c:v>
                </c:pt>
                <c:pt idx="356">
                  <c:v>2.2400000000000002</c:v>
                </c:pt>
                <c:pt idx="357">
                  <c:v>2.13</c:v>
                </c:pt>
                <c:pt idx="358">
                  <c:v>2.11</c:v>
                </c:pt>
                <c:pt idx="359">
                  <c:v>2.0499999999999998</c:v>
                </c:pt>
                <c:pt idx="360">
                  <c:v>2.0099999999999998</c:v>
                </c:pt>
                <c:pt idx="361">
                  <c:v>2.12</c:v>
                </c:pt>
                <c:pt idx="362">
                  <c:v>2.11</c:v>
                </c:pt>
                <c:pt idx="363">
                  <c:v>2.12</c:v>
                </c:pt>
                <c:pt idx="364">
                  <c:v>2.17</c:v>
                </c:pt>
                <c:pt idx="365">
                  <c:v>2.2000000000000002</c:v>
                </c:pt>
                <c:pt idx="366">
                  <c:v>2.17</c:v>
                </c:pt>
                <c:pt idx="367">
                  <c:v>2.04</c:v>
                </c:pt>
                <c:pt idx="368">
                  <c:v>1.97</c:v>
                </c:pt>
                <c:pt idx="369">
                  <c:v>2.04</c:v>
                </c:pt>
                <c:pt idx="370">
                  <c:v>1.99</c:v>
                </c:pt>
                <c:pt idx="371">
                  <c:v>2.02</c:v>
                </c:pt>
                <c:pt idx="372">
                  <c:v>1.88</c:v>
                </c:pt>
                <c:pt idx="373">
                  <c:v>2.11</c:v>
                </c:pt>
                <c:pt idx="374">
                  <c:v>2.4500000000000002</c:v>
                </c:pt>
                <c:pt idx="375">
                  <c:v>2.14</c:v>
                </c:pt>
                <c:pt idx="376">
                  <c:v>2.04</c:v>
                </c:pt>
                <c:pt idx="377">
                  <c:v>1.94</c:v>
                </c:pt>
                <c:pt idx="378">
                  <c:v>1.88</c:v>
                </c:pt>
                <c:pt idx="379">
                  <c:v>1.95</c:v>
                </c:pt>
                <c:pt idx="380">
                  <c:v>1.83</c:v>
                </c:pt>
                <c:pt idx="381">
                  <c:v>1.67</c:v>
                </c:pt>
                <c:pt idx="382">
                  <c:v>1.6</c:v>
                </c:pt>
                <c:pt idx="383">
                  <c:v>1.6</c:v>
                </c:pt>
                <c:pt idx="384">
                  <c:v>1.58</c:v>
                </c:pt>
                <c:pt idx="385">
                  <c:v>1.56</c:v>
                </c:pt>
                <c:pt idx="386">
                  <c:v>1.63</c:v>
                </c:pt>
                <c:pt idx="387">
                  <c:v>1.65</c:v>
                </c:pt>
                <c:pt idx="388">
                  <c:v>1.62</c:v>
                </c:pt>
                <c:pt idx="389">
                  <c:v>1.54</c:v>
                </c:pt>
                <c:pt idx="390">
                  <c:v>1.49</c:v>
                </c:pt>
                <c:pt idx="391">
                  <c:v>1.41</c:v>
                </c:pt>
                <c:pt idx="392">
                  <c:v>1.42</c:v>
                </c:pt>
                <c:pt idx="393">
                  <c:v>1.42</c:v>
                </c:pt>
                <c:pt idx="394">
                  <c:v>1.36</c:v>
                </c:pt>
                <c:pt idx="395">
                  <c:v>1.4</c:v>
                </c:pt>
                <c:pt idx="396">
                  <c:v>1.35</c:v>
                </c:pt>
                <c:pt idx="397">
                  <c:v>1.33</c:v>
                </c:pt>
                <c:pt idx="398">
                  <c:v>1.36</c:v>
                </c:pt>
                <c:pt idx="399">
                  <c:v>1.34</c:v>
                </c:pt>
                <c:pt idx="400">
                  <c:v>1.37</c:v>
                </c:pt>
                <c:pt idx="401">
                  <c:v>1.52</c:v>
                </c:pt>
                <c:pt idx="402">
                  <c:v>1.52</c:v>
                </c:pt>
                <c:pt idx="403">
                  <c:v>1.42</c:v>
                </c:pt>
                <c:pt idx="404">
                  <c:v>1.41</c:v>
                </c:pt>
                <c:pt idx="405">
                  <c:v>1.56</c:v>
                </c:pt>
                <c:pt idx="406">
                  <c:v>1.75</c:v>
                </c:pt>
                <c:pt idx="407">
                  <c:v>1.74</c:v>
                </c:pt>
                <c:pt idx="408">
                  <c:v>2.0099999999999998</c:v>
                </c:pt>
                <c:pt idx="409">
                  <c:v>2.29</c:v>
                </c:pt>
                <c:pt idx="410">
                  <c:v>2.33</c:v>
                </c:pt>
                <c:pt idx="411">
                  <c:v>2.54</c:v>
                </c:pt>
                <c:pt idx="412">
                  <c:v>2.38</c:v>
                </c:pt>
                <c:pt idx="413">
                  <c:v>2.7</c:v>
                </c:pt>
                <c:pt idx="414">
                  <c:v>2.75</c:v>
                </c:pt>
                <c:pt idx="415">
                  <c:v>2.65</c:v>
                </c:pt>
                <c:pt idx="416">
                  <c:v>2.52</c:v>
                </c:pt>
                <c:pt idx="417">
                  <c:v>2.69</c:v>
                </c:pt>
                <c:pt idx="418">
                  <c:v>2.58</c:v>
                </c:pt>
                <c:pt idx="419">
                  <c:v>2.4900000000000002</c:v>
                </c:pt>
                <c:pt idx="420">
                  <c:v>2.54</c:v>
                </c:pt>
                <c:pt idx="421">
                  <c:v>2.63</c:v>
                </c:pt>
                <c:pt idx="422">
                  <c:v>2.41</c:v>
                </c:pt>
                <c:pt idx="423">
                  <c:v>2.21</c:v>
                </c:pt>
                <c:pt idx="424">
                  <c:v>2.2000000000000002</c:v>
                </c:pt>
                <c:pt idx="425">
                  <c:v>2.33</c:v>
                </c:pt>
                <c:pt idx="426">
                  <c:v>2.34</c:v>
                </c:pt>
                <c:pt idx="427">
                  <c:v>2.44</c:v>
                </c:pt>
                <c:pt idx="428">
                  <c:v>2.59</c:v>
                </c:pt>
                <c:pt idx="429">
                  <c:v>2.7</c:v>
                </c:pt>
                <c:pt idx="430">
                  <c:v>2.63</c:v>
                </c:pt>
                <c:pt idx="431">
                  <c:v>2.4300000000000002</c:v>
                </c:pt>
                <c:pt idx="432">
                  <c:v>2.31</c:v>
                </c:pt>
                <c:pt idx="433">
                  <c:v>2.2200000000000002</c:v>
                </c:pt>
                <c:pt idx="434">
                  <c:v>2.15</c:v>
                </c:pt>
                <c:pt idx="435">
                  <c:v>2.09</c:v>
                </c:pt>
                <c:pt idx="436">
                  <c:v>2.13</c:v>
                </c:pt>
                <c:pt idx="437">
                  <c:v>2.13</c:v>
                </c:pt>
                <c:pt idx="438">
                  <c:v>2.2200000000000002</c:v>
                </c:pt>
                <c:pt idx="439">
                  <c:v>2.0699999999999998</c:v>
                </c:pt>
                <c:pt idx="440">
                  <c:v>2.21</c:v>
                </c:pt>
                <c:pt idx="441">
                  <c:v>2.06</c:v>
                </c:pt>
                <c:pt idx="442">
                  <c:v>2.19</c:v>
                </c:pt>
                <c:pt idx="443">
                  <c:v>2.27</c:v>
                </c:pt>
                <c:pt idx="444">
                  <c:v>2.13</c:v>
                </c:pt>
                <c:pt idx="445">
                  <c:v>2.23</c:v>
                </c:pt>
                <c:pt idx="446">
                  <c:v>2.2000000000000002</c:v>
                </c:pt>
                <c:pt idx="447">
                  <c:v>2.17</c:v>
                </c:pt>
                <c:pt idx="448">
                  <c:v>2.27</c:v>
                </c:pt>
                <c:pt idx="449">
                  <c:v>2.39</c:v>
                </c:pt>
                <c:pt idx="450">
                  <c:v>2.2999999999999998</c:v>
                </c:pt>
                <c:pt idx="451">
                  <c:v>2.33</c:v>
                </c:pt>
                <c:pt idx="452">
                  <c:v>2.27</c:v>
                </c:pt>
                <c:pt idx="453">
                  <c:v>2.16</c:v>
                </c:pt>
                <c:pt idx="454">
                  <c:v>2.02</c:v>
                </c:pt>
                <c:pt idx="455">
                  <c:v>2</c:v>
                </c:pt>
                <c:pt idx="456">
                  <c:v>2.06</c:v>
                </c:pt>
                <c:pt idx="457">
                  <c:v>2.13</c:v>
                </c:pt>
                <c:pt idx="458">
                  <c:v>2.17</c:v>
                </c:pt>
                <c:pt idx="459">
                  <c:v>2.31</c:v>
                </c:pt>
                <c:pt idx="460">
                  <c:v>2.4300000000000002</c:v>
                </c:pt>
                <c:pt idx="461">
                  <c:v>2.64</c:v>
                </c:pt>
                <c:pt idx="462">
                  <c:v>2.5</c:v>
                </c:pt>
                <c:pt idx="463">
                  <c:v>2.4</c:v>
                </c:pt>
                <c:pt idx="464">
                  <c:v>2.39</c:v>
                </c:pt>
                <c:pt idx="465">
                  <c:v>2.37</c:v>
                </c:pt>
                <c:pt idx="466">
                  <c:v>2.36</c:v>
                </c:pt>
                <c:pt idx="467">
                  <c:v>2.3199999999999998</c:v>
                </c:pt>
                <c:pt idx="468">
                  <c:v>2.39</c:v>
                </c:pt>
                <c:pt idx="469">
                  <c:v>2.42</c:v>
                </c:pt>
                <c:pt idx="470">
                  <c:v>2.56</c:v>
                </c:pt>
                <c:pt idx="471">
                  <c:v>2.54</c:v>
                </c:pt>
                <c:pt idx="472">
                  <c:v>2.34</c:v>
                </c:pt>
                <c:pt idx="473">
                  <c:v>2.2799999999999998</c:v>
                </c:pt>
                <c:pt idx="474">
                  <c:v>2.31</c:v>
                </c:pt>
                <c:pt idx="475">
                  <c:v>2.2799999999999998</c:v>
                </c:pt>
                <c:pt idx="476">
                  <c:v>2.25</c:v>
                </c:pt>
                <c:pt idx="477">
                  <c:v>2.29</c:v>
                </c:pt>
                <c:pt idx="478">
                  <c:v>2.2799999999999998</c:v>
                </c:pt>
                <c:pt idx="479">
                  <c:v>2.27</c:v>
                </c:pt>
                <c:pt idx="480">
                  <c:v>2.39</c:v>
                </c:pt>
                <c:pt idx="481">
                  <c:v>2.36</c:v>
                </c:pt>
                <c:pt idx="482">
                  <c:v>2.2200000000000002</c:v>
                </c:pt>
                <c:pt idx="483">
                  <c:v>2.25</c:v>
                </c:pt>
                <c:pt idx="484">
                  <c:v>2.2799999999999998</c:v>
                </c:pt>
                <c:pt idx="485">
                  <c:v>2.21</c:v>
                </c:pt>
                <c:pt idx="486">
                  <c:v>2.33</c:v>
                </c:pt>
                <c:pt idx="487">
                  <c:v>2.38</c:v>
                </c:pt>
                <c:pt idx="488">
                  <c:v>2.33</c:v>
                </c:pt>
                <c:pt idx="489">
                  <c:v>2.2400000000000002</c:v>
                </c:pt>
                <c:pt idx="490">
                  <c:v>2.2000000000000002</c:v>
                </c:pt>
                <c:pt idx="491">
                  <c:v>2.12</c:v>
                </c:pt>
                <c:pt idx="492">
                  <c:v>2.09</c:v>
                </c:pt>
                <c:pt idx="493">
                  <c:v>2.1</c:v>
                </c:pt>
                <c:pt idx="494">
                  <c:v>2.15</c:v>
                </c:pt>
                <c:pt idx="495">
                  <c:v>2.19</c:v>
                </c:pt>
                <c:pt idx="496">
                  <c:v>2.25</c:v>
                </c:pt>
                <c:pt idx="497">
                  <c:v>2.12</c:v>
                </c:pt>
                <c:pt idx="498">
                  <c:v>2.1</c:v>
                </c:pt>
                <c:pt idx="499">
                  <c:v>2</c:v>
                </c:pt>
                <c:pt idx="500">
                  <c:v>1.86</c:v>
                </c:pt>
                <c:pt idx="501">
                  <c:v>1.93</c:v>
                </c:pt>
                <c:pt idx="502">
                  <c:v>1.9</c:v>
                </c:pt>
                <c:pt idx="503">
                  <c:v>1.78</c:v>
                </c:pt>
                <c:pt idx="504">
                  <c:v>1.85</c:v>
                </c:pt>
                <c:pt idx="505">
                  <c:v>1.86</c:v>
                </c:pt>
                <c:pt idx="506">
                  <c:v>1.78</c:v>
                </c:pt>
                <c:pt idx="507">
                  <c:v>1.71</c:v>
                </c:pt>
                <c:pt idx="508">
                  <c:v>1.76</c:v>
                </c:pt>
                <c:pt idx="509">
                  <c:v>1.65</c:v>
                </c:pt>
                <c:pt idx="510">
                  <c:v>1.58</c:v>
                </c:pt>
                <c:pt idx="511">
                  <c:v>1.61</c:v>
                </c:pt>
                <c:pt idx="512">
                  <c:v>1.72</c:v>
                </c:pt>
                <c:pt idx="513">
                  <c:v>1.69</c:v>
                </c:pt>
                <c:pt idx="514">
                  <c:v>1.79</c:v>
                </c:pt>
                <c:pt idx="515">
                  <c:v>1.88</c:v>
                </c:pt>
                <c:pt idx="516">
                  <c:v>1.95</c:v>
                </c:pt>
                <c:pt idx="517">
                  <c:v>2.0099999999999998</c:v>
                </c:pt>
                <c:pt idx="518">
                  <c:v>2.04</c:v>
                </c:pt>
                <c:pt idx="519">
                  <c:v>2.08</c:v>
                </c:pt>
                <c:pt idx="520">
                  <c:v>2.0099999999999998</c:v>
                </c:pt>
                <c:pt idx="521">
                  <c:v>1.94</c:v>
                </c:pt>
                <c:pt idx="522">
                  <c:v>1.87</c:v>
                </c:pt>
                <c:pt idx="523">
                  <c:v>1.78</c:v>
                </c:pt>
                <c:pt idx="524">
                  <c:v>1.75</c:v>
                </c:pt>
                <c:pt idx="525">
                  <c:v>1.81</c:v>
                </c:pt>
                <c:pt idx="526">
                  <c:v>1.81</c:v>
                </c:pt>
                <c:pt idx="527">
                  <c:v>1.82</c:v>
                </c:pt>
                <c:pt idx="528">
                  <c:v>1.82</c:v>
                </c:pt>
                <c:pt idx="529">
                  <c:v>1.89</c:v>
                </c:pt>
                <c:pt idx="530">
                  <c:v>2.04</c:v>
                </c:pt>
                <c:pt idx="531">
                  <c:v>2.0499999999999998</c:v>
                </c:pt>
                <c:pt idx="532">
                  <c:v>2.0099999999999998</c:v>
                </c:pt>
                <c:pt idx="533">
                  <c:v>1.95</c:v>
                </c:pt>
                <c:pt idx="534">
                  <c:v>1.88</c:v>
                </c:pt>
                <c:pt idx="535">
                  <c:v>1.98</c:v>
                </c:pt>
                <c:pt idx="536">
                  <c:v>1.95</c:v>
                </c:pt>
                <c:pt idx="537">
                  <c:v>1.92</c:v>
                </c:pt>
                <c:pt idx="538">
                  <c:v>2.0699999999999998</c:v>
                </c:pt>
                <c:pt idx="539">
                  <c:v>2.2000000000000002</c:v>
                </c:pt>
                <c:pt idx="540">
                  <c:v>2.09</c:v>
                </c:pt>
                <c:pt idx="541">
                  <c:v>2.1800000000000002</c:v>
                </c:pt>
                <c:pt idx="542">
                  <c:v>2.17</c:v>
                </c:pt>
                <c:pt idx="543">
                  <c:v>2.2599999999999998</c:v>
                </c:pt>
                <c:pt idx="544">
                  <c:v>2.17</c:v>
                </c:pt>
                <c:pt idx="545">
                  <c:v>2.16</c:v>
                </c:pt>
                <c:pt idx="546">
                  <c:v>2.11</c:v>
                </c:pt>
                <c:pt idx="547">
                  <c:v>2.1</c:v>
                </c:pt>
                <c:pt idx="548">
                  <c:v>2.17</c:v>
                </c:pt>
                <c:pt idx="549">
                  <c:v>1.65</c:v>
                </c:pt>
                <c:pt idx="550">
                  <c:v>1.64</c:v>
                </c:pt>
                <c:pt idx="551">
                  <c:v>1.59</c:v>
                </c:pt>
                <c:pt idx="552">
                  <c:v>1.53</c:v>
                </c:pt>
                <c:pt idx="553">
                  <c:v>1.43</c:v>
                </c:pt>
                <c:pt idx="554">
                  <c:v>1.47</c:v>
                </c:pt>
                <c:pt idx="555">
                  <c:v>1.45</c:v>
                </c:pt>
                <c:pt idx="556">
                  <c:v>1.46</c:v>
                </c:pt>
                <c:pt idx="557">
                  <c:v>1.41</c:v>
                </c:pt>
                <c:pt idx="558">
                  <c:v>1.35</c:v>
                </c:pt>
                <c:pt idx="559">
                  <c:v>1.39</c:v>
                </c:pt>
                <c:pt idx="560">
                  <c:v>1.45</c:v>
                </c:pt>
                <c:pt idx="561">
                  <c:v>1.44</c:v>
                </c:pt>
                <c:pt idx="562">
                  <c:v>1.37</c:v>
                </c:pt>
                <c:pt idx="563">
                  <c:v>1.32</c:v>
                </c:pt>
                <c:pt idx="564">
                  <c:v>1.33</c:v>
                </c:pt>
                <c:pt idx="565">
                  <c:v>1.3</c:v>
                </c:pt>
                <c:pt idx="566">
                  <c:v>1.29</c:v>
                </c:pt>
                <c:pt idx="567">
                  <c:v>1.25</c:v>
                </c:pt>
                <c:pt idx="568">
                  <c:v>1.24</c:v>
                </c:pt>
                <c:pt idx="569">
                  <c:v>1.21</c:v>
                </c:pt>
                <c:pt idx="570">
                  <c:v>1.25</c:v>
                </c:pt>
                <c:pt idx="571">
                  <c:v>1.23</c:v>
                </c:pt>
                <c:pt idx="572">
                  <c:v>1.34</c:v>
                </c:pt>
                <c:pt idx="573">
                  <c:v>1.28</c:v>
                </c:pt>
                <c:pt idx="574">
                  <c:v>1.23</c:v>
                </c:pt>
                <c:pt idx="575">
                  <c:v>1.26</c:v>
                </c:pt>
                <c:pt idx="576">
                  <c:v>1.23</c:v>
                </c:pt>
                <c:pt idx="577">
                  <c:v>1.21</c:v>
                </c:pt>
                <c:pt idx="578">
                  <c:v>1.1499999999999999</c:v>
                </c:pt>
                <c:pt idx="579">
                  <c:v>1.1200000000000001</c:v>
                </c:pt>
                <c:pt idx="580">
                  <c:v>1.02</c:v>
                </c:pt>
                <c:pt idx="581">
                  <c:v>1.03</c:v>
                </c:pt>
                <c:pt idx="582">
                  <c:v>1.02</c:v>
                </c:pt>
                <c:pt idx="583">
                  <c:v>0.996</c:v>
                </c:pt>
                <c:pt idx="584">
                  <c:v>1.04</c:v>
                </c:pt>
                <c:pt idx="585">
                  <c:v>1.01</c:v>
                </c:pt>
                <c:pt idx="586">
                  <c:v>0.98599999999999999</c:v>
                </c:pt>
                <c:pt idx="587">
                  <c:v>1</c:v>
                </c:pt>
                <c:pt idx="588">
                  <c:v>0.98499999999999999</c:v>
                </c:pt>
                <c:pt idx="589">
                  <c:v>0.92700000000000005</c:v>
                </c:pt>
                <c:pt idx="590">
                  <c:v>0.90400000000000003</c:v>
                </c:pt>
                <c:pt idx="591">
                  <c:v>0.88400000000000001</c:v>
                </c:pt>
                <c:pt idx="592">
                  <c:v>0.88500000000000001</c:v>
                </c:pt>
                <c:pt idx="593">
                  <c:v>0.88</c:v>
                </c:pt>
                <c:pt idx="594">
                  <c:v>0.89600000000000002</c:v>
                </c:pt>
                <c:pt idx="595">
                  <c:v>0.86399999999999999</c:v>
                </c:pt>
                <c:pt idx="596">
                  <c:v>0.81499999999999995</c:v>
                </c:pt>
                <c:pt idx="597">
                  <c:v>0.79</c:v>
                </c:pt>
                <c:pt idx="598">
                  <c:v>0.73299999999999998</c:v>
                </c:pt>
                <c:pt idx="599">
                  <c:v>0.69</c:v>
                </c:pt>
                <c:pt idx="600">
                  <c:v>0.68899999999999995</c:v>
                </c:pt>
                <c:pt idx="601">
                  <c:v>0.745</c:v>
                </c:pt>
                <c:pt idx="602">
                  <c:v>0.67300000000000004</c:v>
                </c:pt>
                <c:pt idx="603">
                  <c:v>0.64400000000000002</c:v>
                </c:pt>
                <c:pt idx="604">
                  <c:v>0.64400000000000002</c:v>
                </c:pt>
                <c:pt idx="605">
                  <c:v>0.66300000000000003</c:v>
                </c:pt>
                <c:pt idx="606">
                  <c:v>0.65200000000000002</c:v>
                </c:pt>
                <c:pt idx="607">
                  <c:v>0.623</c:v>
                </c:pt>
                <c:pt idx="608">
                  <c:v>0.56000000000000005</c:v>
                </c:pt>
                <c:pt idx="609">
                  <c:v>0.54700000000000004</c:v>
                </c:pt>
                <c:pt idx="610">
                  <c:v>0.50600000000000001</c:v>
                </c:pt>
                <c:pt idx="611">
                  <c:v>0.50800000000000001</c:v>
                </c:pt>
                <c:pt idx="612">
                  <c:v>0.48</c:v>
                </c:pt>
                <c:pt idx="613">
                  <c:v>0.46899999999999997</c:v>
                </c:pt>
                <c:pt idx="614">
                  <c:v>0.45500000000000002</c:v>
                </c:pt>
                <c:pt idx="615">
                  <c:v>0.47699999999999998</c:v>
                </c:pt>
                <c:pt idx="616">
                  <c:v>0.48499999999999999</c:v>
                </c:pt>
                <c:pt idx="617">
                  <c:v>0.47</c:v>
                </c:pt>
                <c:pt idx="618">
                  <c:v>0.52800000000000002</c:v>
                </c:pt>
                <c:pt idx="619">
                  <c:v>0.63</c:v>
                </c:pt>
                <c:pt idx="620">
                  <c:v>0.625</c:v>
                </c:pt>
                <c:pt idx="621">
                  <c:v>0.6</c:v>
                </c:pt>
                <c:pt idx="622">
                  <c:v>0.6</c:v>
                </c:pt>
                <c:pt idx="623">
                  <c:v>0.55100000000000005</c:v>
                </c:pt>
                <c:pt idx="624">
                  <c:v>0.54</c:v>
                </c:pt>
                <c:pt idx="625">
                  <c:v>0.5</c:v>
                </c:pt>
                <c:pt idx="626">
                  <c:v>0.53</c:v>
                </c:pt>
                <c:pt idx="627">
                  <c:v>0.53</c:v>
                </c:pt>
                <c:pt idx="628">
                  <c:v>0.76100000000000001</c:v>
                </c:pt>
                <c:pt idx="629">
                  <c:v>0.82399999999999995</c:v>
                </c:pt>
                <c:pt idx="630">
                  <c:v>0.78300000000000003</c:v>
                </c:pt>
                <c:pt idx="631">
                  <c:v>0.70199999999999996</c:v>
                </c:pt>
                <c:pt idx="632">
                  <c:v>0.70199999999999996</c:v>
                </c:pt>
                <c:pt idx="633">
                  <c:v>0.76400000000000001</c:v>
                </c:pt>
                <c:pt idx="634">
                  <c:v>0.79100000000000004</c:v>
                </c:pt>
                <c:pt idx="635">
                  <c:v>0.85</c:v>
                </c:pt>
                <c:pt idx="636">
                  <c:v>1</c:v>
                </c:pt>
                <c:pt idx="637">
                  <c:v>0.91</c:v>
                </c:pt>
                <c:pt idx="638">
                  <c:v>1.03</c:v>
                </c:pt>
                <c:pt idx="639">
                  <c:v>1.05</c:v>
                </c:pt>
                <c:pt idx="640">
                  <c:v>1.21</c:v>
                </c:pt>
                <c:pt idx="641">
                  <c:v>1.21</c:v>
                </c:pt>
                <c:pt idx="642">
                  <c:v>1.1399999999999999</c:v>
                </c:pt>
                <c:pt idx="643">
                  <c:v>1.1100000000000001</c:v>
                </c:pt>
                <c:pt idx="644">
                  <c:v>1.1399999999999999</c:v>
                </c:pt>
                <c:pt idx="645">
                  <c:v>1.1100000000000001</c:v>
                </c:pt>
                <c:pt idx="646">
                  <c:v>1.19</c:v>
                </c:pt>
                <c:pt idx="647">
                  <c:v>1.37</c:v>
                </c:pt>
                <c:pt idx="648">
                  <c:v>1.22</c:v>
                </c:pt>
                <c:pt idx="649">
                  <c:v>1.21</c:v>
                </c:pt>
                <c:pt idx="650">
                  <c:v>1.27</c:v>
                </c:pt>
                <c:pt idx="651">
                  <c:v>1.19</c:v>
                </c:pt>
                <c:pt idx="652">
                  <c:v>1.31</c:v>
                </c:pt>
                <c:pt idx="653">
                  <c:v>1.24</c:v>
                </c:pt>
                <c:pt idx="654">
                  <c:v>1.32</c:v>
                </c:pt>
                <c:pt idx="655">
                  <c:v>1.3</c:v>
                </c:pt>
                <c:pt idx="656">
                  <c:v>1.24</c:v>
                </c:pt>
                <c:pt idx="657">
                  <c:v>1.18</c:v>
                </c:pt>
                <c:pt idx="658">
                  <c:v>1.23</c:v>
                </c:pt>
                <c:pt idx="659">
                  <c:v>1.18</c:v>
                </c:pt>
                <c:pt idx="660">
                  <c:v>1.18</c:v>
                </c:pt>
                <c:pt idx="661">
                  <c:v>1.18</c:v>
                </c:pt>
                <c:pt idx="662">
                  <c:v>1.25</c:v>
                </c:pt>
                <c:pt idx="663">
                  <c:v>1.24</c:v>
                </c:pt>
                <c:pt idx="664">
                  <c:v>1.24</c:v>
                </c:pt>
                <c:pt idx="665">
                  <c:v>1.17</c:v>
                </c:pt>
                <c:pt idx="666">
                  <c:v>1.1000000000000001</c:v>
                </c:pt>
                <c:pt idx="667">
                  <c:v>1.06</c:v>
                </c:pt>
                <c:pt idx="668">
                  <c:v>1.05</c:v>
                </c:pt>
                <c:pt idx="669">
                  <c:v>1.04</c:v>
                </c:pt>
                <c:pt idx="670">
                  <c:v>1.05</c:v>
                </c:pt>
                <c:pt idx="671">
                  <c:v>1.18</c:v>
                </c:pt>
                <c:pt idx="672">
                  <c:v>1.1599999999999999</c:v>
                </c:pt>
                <c:pt idx="673">
                  <c:v>1.1299999999999999</c:v>
                </c:pt>
                <c:pt idx="674">
                  <c:v>1.1499999999999999</c:v>
                </c:pt>
                <c:pt idx="675">
                  <c:v>1.1399999999999999</c:v>
                </c:pt>
                <c:pt idx="676">
                  <c:v>1.19</c:v>
                </c:pt>
                <c:pt idx="677">
                  <c:v>1.17</c:v>
                </c:pt>
                <c:pt idx="678">
                  <c:v>1.1299999999999999</c:v>
                </c:pt>
                <c:pt idx="679">
                  <c:v>1.1399999999999999</c:v>
                </c:pt>
                <c:pt idx="680">
                  <c:v>1.1499999999999999</c:v>
                </c:pt>
                <c:pt idx="681">
                  <c:v>1.1499999999999999</c:v>
                </c:pt>
                <c:pt idx="682">
                  <c:v>1.1299999999999999</c:v>
                </c:pt>
                <c:pt idx="683">
                  <c:v>1.1200000000000001</c:v>
                </c:pt>
                <c:pt idx="684">
                  <c:v>1.1100000000000001</c:v>
                </c:pt>
                <c:pt idx="685">
                  <c:v>1.1299999999999999</c:v>
                </c:pt>
                <c:pt idx="686">
                  <c:v>1.27</c:v>
                </c:pt>
                <c:pt idx="68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E-4DBD-9840-358B77AFB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83327"/>
        <c:axId val="737522224"/>
      </c:lineChart>
      <c:dateAx>
        <c:axId val="6939833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7522224"/>
        <c:crosses val="autoZero"/>
        <c:auto val="1"/>
        <c:lblOffset val="100"/>
        <c:baseTimeUnit val="days"/>
        <c:majorUnit val="15"/>
        <c:majorTimeUnit val="days"/>
        <c:minorUnit val="1"/>
        <c:minorTimeUnit val="days"/>
      </c:dateAx>
      <c:valAx>
        <c:axId val="7375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398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DoR!$J$3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DoR!$K$4:$K$15</c:f>
              <c:strCache>
                <c:ptCount val="12"/>
                <c:pt idx="0">
                  <c:v>Less than -36,13%</c:v>
                </c:pt>
                <c:pt idx="1">
                  <c:v>-36,13% to -29,19%</c:v>
                </c:pt>
                <c:pt idx="2">
                  <c:v>-29,19% to -22,25%</c:v>
                </c:pt>
                <c:pt idx="3">
                  <c:v>-22,25% to -15,32%</c:v>
                </c:pt>
                <c:pt idx="4">
                  <c:v>-15,32% to -8,38%</c:v>
                </c:pt>
                <c:pt idx="5">
                  <c:v>-8,38% to -1,44%</c:v>
                </c:pt>
                <c:pt idx="6">
                  <c:v>-1,44% to 5,49%</c:v>
                </c:pt>
                <c:pt idx="7">
                  <c:v>5,49% to 12,43%</c:v>
                </c:pt>
                <c:pt idx="8">
                  <c:v>12,43% to 19,37%</c:v>
                </c:pt>
                <c:pt idx="9">
                  <c:v>19,37% to 26,30%</c:v>
                </c:pt>
                <c:pt idx="10">
                  <c:v>26,30% to 33,24%</c:v>
                </c:pt>
                <c:pt idx="11">
                  <c:v>Greater than 33,24%</c:v>
                </c:pt>
              </c:strCache>
            </c:strRef>
          </c:cat>
          <c:val>
            <c:numRef>
              <c:f>DoR!$J$4:$J$15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9</c:v>
                </c:pt>
                <c:pt idx="4">
                  <c:v>25</c:v>
                </c:pt>
                <c:pt idx="5">
                  <c:v>52</c:v>
                </c:pt>
                <c:pt idx="6">
                  <c:v>34</c:v>
                </c:pt>
                <c:pt idx="7">
                  <c:v>17</c:v>
                </c:pt>
                <c:pt idx="8">
                  <c:v>7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F-4BFC-BC2A-530771AA8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29205823"/>
        <c:axId val="1429206303"/>
      </c:barChart>
      <c:catAx>
        <c:axId val="142920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206303"/>
        <c:crosses val="autoZero"/>
        <c:auto val="1"/>
        <c:lblAlgn val="ctr"/>
        <c:lblOffset val="100"/>
        <c:noMultiLvlLbl val="0"/>
      </c:catAx>
      <c:valAx>
        <c:axId val="14292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2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_xlchart.v1.9</cx:f>
      </cx:strDim>
      <cx:numDim type="val">
        <cx:f dir="row">_xlchart.v1.8</cx:f>
      </cx:numDim>
    </cx:data>
    <cx:data id="1">
      <cx:strDim type="cat">
        <cx:f dir="row">_xlchart.v1.9</cx:f>
      </cx:strDim>
      <cx:numDim type="val">
        <cx:f dir="row">_xlchart.v1.7</cx:f>
      </cx:numDim>
    </cx:data>
  </cx:chartData>
  <cx:chart>
    <cx:title pos="t" align="ctr" overlay="0">
      <cx:tx>
        <cx:txData>
          <cx:v>Earning Reportings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Earning Reportings</a:t>
          </a:r>
        </a:p>
      </cx:txPr>
    </cx:title>
    <cx:plotArea>
      <cx:plotAreaRegion>
        <cx:series layoutId="boxWhisker" uniqueId="{006F4749-938E-4621-8334-C74E7B83CC40}">
          <cx:tx>
            <cx:txData>
              <cx:f>_xlchart.v1.6</cx:f>
              <cx:v>EPS exp.</cx:v>
            </cx:txData>
          </cx:tx>
          <cx:spPr>
            <a:ln w="19050">
              <a:solidFill>
                <a:schemeClr val="accent1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C8A70830-D21B-405F-8F13-72F0AC678416}">
          <cx:tx>
            <cx:txData>
              <cx:f>_xlchart.v1.5</cx:f>
              <cx:v>EPS</cx:v>
            </cx:txData>
          </cx:tx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_xlchart.v1.4</cx:f>
      </cx:numDim>
    </cx:data>
    <cx:data id="1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Revenue Reportings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Revenue Reportings</a:t>
          </a:r>
        </a:p>
      </cx:txPr>
    </cx:title>
    <cx:plotArea>
      <cx:plotAreaRegion>
        <cx:series layoutId="boxWhisker" uniqueId="{006F4749-938E-4621-8334-C74E7B83CC40}">
          <cx:tx>
            <cx:txData>
              <cx:f>_xlchart.v1.1</cx:f>
              <cx:v>Rev. Exp.</cx:v>
            </cx:txData>
          </cx:tx>
          <cx:spPr>
            <a:ln w="19050">
              <a:solidFill>
                <a:schemeClr val="accent1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C8A70830-D21B-405F-8F13-72F0AC678416}">
          <cx:tx>
            <cx:txData>
              <cx:f>_xlchart.v1.0</cx:f>
              <cx:v>Revenue</cx:v>
            </cx:txData>
          </cx:tx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.39999998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42862</xdr:rowOff>
    </xdr:from>
    <xdr:to>
      <xdr:col>10</xdr:col>
      <xdr:colOff>590550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4D5D-26F5-0FED-D6A6-811BC639C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</xdr:row>
      <xdr:rowOff>38100</xdr:rowOff>
    </xdr:from>
    <xdr:to>
      <xdr:col>20</xdr:col>
      <xdr:colOff>19050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860D4-A5CC-43C6-93F1-A9AA6236F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15</xdr:row>
      <xdr:rowOff>152400</xdr:rowOff>
    </xdr:from>
    <xdr:to>
      <xdr:col>10</xdr:col>
      <xdr:colOff>600075</xdr:colOff>
      <xdr:row>30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244996-57D9-4900-A31C-F45BDAD55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</xdr:colOff>
      <xdr:row>15</xdr:row>
      <xdr:rowOff>133350</xdr:rowOff>
    </xdr:from>
    <xdr:to>
      <xdr:col>20</xdr:col>
      <xdr:colOff>47625</xdr:colOff>
      <xdr:row>30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3312E1-BE90-420D-A470-4B22F9C07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1</xdr:row>
      <xdr:rowOff>52387</xdr:rowOff>
    </xdr:from>
    <xdr:to>
      <xdr:col>27</xdr:col>
      <xdr:colOff>342900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6B5C94-7DE1-FBD4-886C-765E7EB85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228599</xdr:colOff>
      <xdr:row>30</xdr:row>
      <xdr:rowOff>61912</xdr:rowOff>
    </xdr:from>
    <xdr:to>
      <xdr:col>11</xdr:col>
      <xdr:colOff>9524</xdr:colOff>
      <xdr:row>47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2BD79DE-6BE5-19E2-6CBE-9442C7A732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199" y="5776912"/>
              <a:ext cx="5876925" cy="3290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30</xdr:row>
      <xdr:rowOff>66675</xdr:rowOff>
    </xdr:from>
    <xdr:to>
      <xdr:col>20</xdr:col>
      <xdr:colOff>428625</xdr:colOff>
      <xdr:row>47</xdr:row>
      <xdr:rowOff>119063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B11E3F9-A5D3-4E61-8332-833055A25E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3700" y="5781675"/>
              <a:ext cx="5876925" cy="3290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13</xdr:row>
      <xdr:rowOff>33337</xdr:rowOff>
    </xdr:from>
    <xdr:to>
      <xdr:col>25</xdr:col>
      <xdr:colOff>485774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8C129C-DBE3-1F2F-B16B-A26ABC76A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15</xdr:row>
      <xdr:rowOff>195261</xdr:rowOff>
    </xdr:from>
    <xdr:to>
      <xdr:col>12</xdr:col>
      <xdr:colOff>1438274</xdr:colOff>
      <xdr:row>31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C12E0-A9ED-4B10-9477-A62354266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H23" sqref="H23"/>
    </sheetView>
  </sheetViews>
  <sheetFormatPr defaultColWidth="9.140625" defaultRowHeight="15" x14ac:dyDescent="0.25"/>
  <cols>
    <col min="2" max="2" width="15.85546875" customWidth="1"/>
    <col min="3" max="3" width="14.140625" customWidth="1"/>
    <col min="4" max="4" width="10.140625" customWidth="1"/>
    <col min="5" max="5" width="37" customWidth="1"/>
    <col min="7" max="7" width="5.28515625" customWidth="1"/>
    <col min="8" max="8" width="35.5703125" customWidth="1"/>
    <col min="9" max="9" width="11.28515625" customWidth="1"/>
    <col min="10" max="10" width="18.42578125" bestFit="1" customWidth="1"/>
    <col min="11" max="11" width="5.28515625" customWidth="1"/>
    <col min="12" max="12" width="25" customWidth="1"/>
    <col min="13" max="13" width="26" customWidth="1"/>
    <col min="14" max="14" width="39.42578125" customWidth="1"/>
  </cols>
  <sheetData>
    <row r="2" spans="2:14" x14ac:dyDescent="0.25">
      <c r="B2" s="34" t="s">
        <v>85</v>
      </c>
      <c r="C2" s="19"/>
      <c r="E2" s="24" t="s">
        <v>68</v>
      </c>
      <c r="F2" s="35" t="s">
        <v>69</v>
      </c>
      <c r="G2" s="25"/>
      <c r="H2" s="26" t="s">
        <v>76</v>
      </c>
      <c r="I2" s="26" t="s">
        <v>1</v>
      </c>
      <c r="J2" s="27" t="s">
        <v>69</v>
      </c>
      <c r="L2" s="30" t="s">
        <v>62</v>
      </c>
      <c r="M2" s="31" t="s">
        <v>78</v>
      </c>
      <c r="N2" s="32" t="s">
        <v>77</v>
      </c>
    </row>
    <row r="3" spans="2:14" x14ac:dyDescent="0.25">
      <c r="B3" s="5" t="s">
        <v>61</v>
      </c>
      <c r="C3" s="20">
        <v>45336</v>
      </c>
      <c r="E3" s="5" t="s">
        <v>86</v>
      </c>
      <c r="F3" s="28" t="s">
        <v>87</v>
      </c>
      <c r="H3" t="s">
        <v>105</v>
      </c>
      <c r="I3" s="10"/>
      <c r="J3" s="40"/>
      <c r="L3" s="5"/>
      <c r="N3" s="39"/>
    </row>
    <row r="4" spans="2:14" x14ac:dyDescent="0.25">
      <c r="B4" s="5"/>
      <c r="C4" s="21">
        <v>0.84861111111111109</v>
      </c>
      <c r="E4" s="5" t="s">
        <v>88</v>
      </c>
      <c r="F4" s="28" t="s">
        <v>89</v>
      </c>
      <c r="H4" t="s">
        <v>106</v>
      </c>
      <c r="I4" s="10"/>
      <c r="J4" s="45">
        <v>1.66E-2</v>
      </c>
      <c r="L4" s="5"/>
      <c r="N4" s="13"/>
    </row>
    <row r="5" spans="2:14" x14ac:dyDescent="0.25">
      <c r="B5" s="5"/>
      <c r="C5" s="13"/>
      <c r="E5" s="5" t="s">
        <v>90</v>
      </c>
      <c r="F5" s="28" t="s">
        <v>91</v>
      </c>
      <c r="I5" s="10"/>
      <c r="J5" s="40"/>
      <c r="L5" s="5"/>
      <c r="N5" s="13"/>
    </row>
    <row r="6" spans="2:14" x14ac:dyDescent="0.25">
      <c r="B6" s="5" t="s">
        <v>0</v>
      </c>
      <c r="C6" s="13">
        <v>1.38</v>
      </c>
      <c r="E6" s="5" t="s">
        <v>92</v>
      </c>
      <c r="F6" s="28" t="s">
        <v>93</v>
      </c>
      <c r="I6" s="10"/>
      <c r="J6" s="40"/>
      <c r="L6" s="5"/>
      <c r="N6" s="13"/>
    </row>
    <row r="7" spans="2:14" x14ac:dyDescent="0.25">
      <c r="B7" s="5" t="s">
        <v>1</v>
      </c>
      <c r="C7" s="15"/>
      <c r="E7" s="5" t="s">
        <v>94</v>
      </c>
      <c r="F7" s="28" t="s">
        <v>95</v>
      </c>
      <c r="I7" s="10"/>
      <c r="J7" s="40"/>
      <c r="L7" s="5"/>
      <c r="N7" s="13"/>
    </row>
    <row r="8" spans="2:14" x14ac:dyDescent="0.25">
      <c r="B8" s="5" t="s">
        <v>2</v>
      </c>
      <c r="C8" s="15">
        <f>C6*C7</f>
        <v>0</v>
      </c>
      <c r="E8" s="5" t="s">
        <v>96</v>
      </c>
      <c r="F8" s="28" t="s">
        <v>97</v>
      </c>
      <c r="I8" s="10"/>
      <c r="J8" s="40"/>
      <c r="L8" s="5"/>
      <c r="N8" s="13"/>
    </row>
    <row r="9" spans="2:14" x14ac:dyDescent="0.25">
      <c r="B9" s="5" t="s">
        <v>3</v>
      </c>
      <c r="C9" s="15">
        <f>Model!O30+Model!O31+Model!O32</f>
        <v>0</v>
      </c>
      <c r="E9" s="5" t="s">
        <v>98</v>
      </c>
      <c r="F9" s="28" t="s">
        <v>99</v>
      </c>
      <c r="I9" s="10"/>
      <c r="J9" s="40"/>
      <c r="L9" s="5"/>
      <c r="N9" s="13"/>
    </row>
    <row r="10" spans="2:14" x14ac:dyDescent="0.25">
      <c r="B10" s="5" t="s">
        <v>4</v>
      </c>
      <c r="C10" s="15">
        <f>Model!O44+Model!O45+Model!O50</f>
        <v>0</v>
      </c>
      <c r="E10" s="5" t="s">
        <v>100</v>
      </c>
      <c r="F10" s="28" t="s">
        <v>99</v>
      </c>
      <c r="I10" s="10"/>
      <c r="J10" s="40"/>
      <c r="L10" s="5"/>
      <c r="N10" s="13"/>
    </row>
    <row r="11" spans="2:14" x14ac:dyDescent="0.25">
      <c r="B11" s="5" t="s">
        <v>42</v>
      </c>
      <c r="C11" s="15">
        <f>C9-C10</f>
        <v>0</v>
      </c>
      <c r="E11" s="5" t="s">
        <v>101</v>
      </c>
      <c r="F11" s="28" t="s">
        <v>102</v>
      </c>
      <c r="I11" s="10"/>
      <c r="J11" s="40"/>
      <c r="L11" s="5"/>
      <c r="N11" s="13"/>
    </row>
    <row r="12" spans="2:14" x14ac:dyDescent="0.25">
      <c r="B12" s="5" t="s">
        <v>5</v>
      </c>
      <c r="C12" s="15">
        <f>C8-C9+C10</f>
        <v>0</v>
      </c>
      <c r="E12" s="5" t="s">
        <v>103</v>
      </c>
      <c r="F12" s="28" t="s">
        <v>104</v>
      </c>
      <c r="J12" s="13"/>
      <c r="L12" s="5"/>
      <c r="N12" s="13"/>
    </row>
    <row r="13" spans="2:14" x14ac:dyDescent="0.25">
      <c r="B13" s="5" t="s">
        <v>67</v>
      </c>
      <c r="C13" s="38">
        <f>C6/Model!W20</f>
        <v>-2.0811804863883103</v>
      </c>
      <c r="E13" s="5"/>
      <c r="J13" s="13"/>
      <c r="L13" s="5"/>
      <c r="N13" s="13"/>
    </row>
    <row r="14" spans="2:14" x14ac:dyDescent="0.25">
      <c r="B14" s="5" t="s">
        <v>63</v>
      </c>
      <c r="C14" s="6"/>
      <c r="E14" s="22"/>
      <c r="F14" s="29"/>
      <c r="G14" s="29"/>
      <c r="H14" s="29"/>
      <c r="I14" s="29"/>
      <c r="J14" s="23"/>
      <c r="L14" s="22"/>
      <c r="M14" s="29"/>
      <c r="N14" s="23"/>
    </row>
    <row r="15" spans="2:14" x14ac:dyDescent="0.25">
      <c r="B15" s="5" t="s">
        <v>64</v>
      </c>
      <c r="C15" s="13"/>
    </row>
    <row r="16" spans="2:14" x14ac:dyDescent="0.25">
      <c r="B16" s="5" t="s">
        <v>65</v>
      </c>
      <c r="C16" s="38" t="e">
        <f>C6/Model!X21</f>
        <v>#DIV/0!</v>
      </c>
    </row>
    <row r="17" spans="2:5" x14ac:dyDescent="0.25">
      <c r="B17" s="22" t="s">
        <v>66</v>
      </c>
      <c r="C17" s="44" t="e">
        <f>C6/Model!Y21</f>
        <v>#DIV/0!</v>
      </c>
      <c r="E17" s="33" t="s">
        <v>74</v>
      </c>
    </row>
    <row r="20" spans="2:5" x14ac:dyDescent="0.25">
      <c r="C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45E9-1C5F-45F5-BD7C-66FA029FFFF4}">
  <dimension ref="A1:Y78"/>
  <sheetViews>
    <sheetView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P30" sqref="P30"/>
    </sheetView>
  </sheetViews>
  <sheetFormatPr defaultColWidth="11.42578125" defaultRowHeight="15" x14ac:dyDescent="0.25"/>
  <cols>
    <col min="1" max="1" width="27.28515625" customWidth="1"/>
    <col min="16" max="16" width="11.42578125" style="13"/>
    <col min="24" max="24" width="11.42578125" style="13"/>
  </cols>
  <sheetData>
    <row r="1" spans="1:25" x14ac:dyDescent="0.25">
      <c r="A1" s="8" t="s">
        <v>43</v>
      </c>
    </row>
    <row r="2" spans="1:25" x14ac:dyDescent="0.25">
      <c r="B2" t="s">
        <v>39</v>
      </c>
      <c r="C2" t="s">
        <v>38</v>
      </c>
      <c r="D2" t="s">
        <v>37</v>
      </c>
      <c r="E2" t="s">
        <v>36</v>
      </c>
      <c r="F2" t="s">
        <v>10</v>
      </c>
      <c r="G2" t="s">
        <v>11</v>
      </c>
      <c r="H2" t="s">
        <v>12</v>
      </c>
      <c r="I2" t="s">
        <v>13</v>
      </c>
      <c r="J2" t="s">
        <v>6</v>
      </c>
      <c r="K2" t="s">
        <v>7</v>
      </c>
      <c r="L2" t="s">
        <v>8</v>
      </c>
      <c r="M2" t="s">
        <v>9</v>
      </c>
      <c r="N2" t="s">
        <v>41</v>
      </c>
      <c r="O2" t="s">
        <v>59</v>
      </c>
      <c r="P2" s="13" t="s">
        <v>60</v>
      </c>
      <c r="Q2" t="s">
        <v>82</v>
      </c>
      <c r="U2" t="s">
        <v>18</v>
      </c>
      <c r="V2" t="s">
        <v>14</v>
      </c>
      <c r="W2" t="s">
        <v>15</v>
      </c>
      <c r="X2" s="13" t="s">
        <v>16</v>
      </c>
      <c r="Y2" t="s">
        <v>35</v>
      </c>
    </row>
    <row r="3" spans="1:25" x14ac:dyDescent="0.25">
      <c r="A3" t="s">
        <v>17</v>
      </c>
      <c r="B3" s="10">
        <v>95309</v>
      </c>
      <c r="C3" s="10">
        <v>114682</v>
      </c>
      <c r="D3" s="10">
        <v>127116</v>
      </c>
      <c r="E3" s="10">
        <v>140052</v>
      </c>
      <c r="F3" s="10">
        <v>146151</v>
      </c>
      <c r="G3" s="10">
        <v>171062</v>
      </c>
      <c r="H3" s="10">
        <v>185925</v>
      </c>
      <c r="I3" s="10">
        <v>166186</v>
      </c>
      <c r="J3" s="10">
        <v>177958</v>
      </c>
      <c r="K3" s="10">
        <v>183026</v>
      </c>
      <c r="L3" s="10">
        <v>195068</v>
      </c>
      <c r="M3" s="10">
        <v>195645</v>
      </c>
      <c r="N3" s="10">
        <v>195987</v>
      </c>
      <c r="O3" s="10">
        <v>187595</v>
      </c>
      <c r="P3" s="15">
        <v>204121</v>
      </c>
      <c r="Q3" s="10"/>
      <c r="U3" s="10">
        <v>421351</v>
      </c>
      <c r="V3" s="10">
        <f>SUM(E3:H3)</f>
        <v>643190</v>
      </c>
      <c r="W3" s="10">
        <f>SUM(I3:L3)</f>
        <v>722238</v>
      </c>
      <c r="X3" s="15">
        <f>SUM(M3:P3)</f>
        <v>783348</v>
      </c>
      <c r="Y3" s="10"/>
    </row>
    <row r="4" spans="1:25" x14ac:dyDescent="0.25">
      <c r="A4" s="9" t="s">
        <v>84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6"/>
      <c r="Q4" s="10"/>
      <c r="U4" s="10"/>
      <c r="V4" s="10"/>
      <c r="W4" s="10"/>
      <c r="X4" s="15"/>
      <c r="Y4" s="10"/>
    </row>
    <row r="5" spans="1:25" x14ac:dyDescent="0.25">
      <c r="A5" t="s">
        <v>79</v>
      </c>
      <c r="B5" s="10">
        <v>64498</v>
      </c>
      <c r="C5" s="10">
        <v>78731</v>
      </c>
      <c r="D5" s="10">
        <v>91917</v>
      </c>
      <c r="E5" s="10">
        <v>98118</v>
      </c>
      <c r="F5" s="10">
        <v>107544</v>
      </c>
      <c r="G5" s="10">
        <v>126185</v>
      </c>
      <c r="H5" s="10">
        <v>156330</v>
      </c>
      <c r="I5" s="10">
        <v>150338</v>
      </c>
      <c r="J5" s="10">
        <v>149814</v>
      </c>
      <c r="K5" s="10">
        <v>178044</v>
      </c>
      <c r="L5" s="10">
        <v>164015</v>
      </c>
      <c r="M5" s="10">
        <v>161557</v>
      </c>
      <c r="N5" s="10">
        <v>158331</v>
      </c>
      <c r="O5" s="10">
        <v>155034</v>
      </c>
      <c r="P5" s="15">
        <v>156343</v>
      </c>
      <c r="U5" s="10">
        <v>292107</v>
      </c>
      <c r="V5" s="10">
        <f>SUM(E5:H5)</f>
        <v>488177</v>
      </c>
      <c r="W5" s="10">
        <f>SUM(I5:L5)</f>
        <v>642211</v>
      </c>
      <c r="X5" s="15">
        <f>SUM(M5:P5)</f>
        <v>631265</v>
      </c>
      <c r="Y5" s="10"/>
    </row>
    <row r="6" spans="1:25" x14ac:dyDescent="0.25">
      <c r="A6" t="s">
        <v>107</v>
      </c>
      <c r="B6" s="10">
        <v>1303</v>
      </c>
      <c r="C6" s="10">
        <v>1692</v>
      </c>
      <c r="D6" s="10">
        <v>2657</v>
      </c>
      <c r="E6" s="10">
        <v>3092</v>
      </c>
      <c r="F6" s="10">
        <v>3952</v>
      </c>
      <c r="G6" s="10">
        <v>4052</v>
      </c>
      <c r="H6" s="10">
        <v>5675</v>
      </c>
      <c r="I6" s="10">
        <v>4264</v>
      </c>
      <c r="J6" s="10">
        <v>5718</v>
      </c>
      <c r="K6" s="10">
        <v>5245</v>
      </c>
      <c r="L6" s="10">
        <v>7035</v>
      </c>
      <c r="M6" s="10">
        <v>5714</v>
      </c>
      <c r="N6" s="10">
        <v>5321</v>
      </c>
      <c r="O6" s="10">
        <v>4684</v>
      </c>
      <c r="P6" s="15">
        <v>5328</v>
      </c>
      <c r="U6" s="10">
        <v>6831</v>
      </c>
      <c r="V6" s="10">
        <f t="shared" ref="V6:V10" si="0">SUM(E6:H6)</f>
        <v>16771</v>
      </c>
      <c r="W6" s="10">
        <f>SUM(I6:L6)</f>
        <v>22262</v>
      </c>
      <c r="X6" s="15">
        <f>SUM(M6:P6)</f>
        <v>21047</v>
      </c>
      <c r="Y6" s="10"/>
    </row>
    <row r="7" spans="1:25" x14ac:dyDescent="0.25">
      <c r="A7" t="s">
        <v>108</v>
      </c>
      <c r="B7" s="10">
        <v>33345</v>
      </c>
      <c r="C7" s="10">
        <v>40591</v>
      </c>
      <c r="D7" s="10">
        <v>63015</v>
      </c>
      <c r="E7" s="10">
        <v>66807</v>
      </c>
      <c r="F7" s="10">
        <v>83132</v>
      </c>
      <c r="G7" s="10">
        <v>85090</v>
      </c>
      <c r="H7" s="10">
        <v>118900</v>
      </c>
      <c r="I7" s="10">
        <v>104073</v>
      </c>
      <c r="J7" s="10">
        <v>97060</v>
      </c>
      <c r="K7" s="10">
        <v>103765</v>
      </c>
      <c r="L7" s="10">
        <v>107901</v>
      </c>
      <c r="M7" s="10">
        <v>98855</v>
      </c>
      <c r="N7" s="10">
        <v>106695</v>
      </c>
      <c r="O7" s="10">
        <v>87125</v>
      </c>
      <c r="P7" s="15">
        <v>80721</v>
      </c>
      <c r="U7" s="10">
        <v>167792</v>
      </c>
      <c r="V7" s="10">
        <f t="shared" si="0"/>
        <v>353929</v>
      </c>
      <c r="W7" s="10">
        <f>SUM(I7:L7)</f>
        <v>412799</v>
      </c>
      <c r="X7" s="15">
        <f>SUM(M7:P7)</f>
        <v>373396</v>
      </c>
      <c r="Y7" s="10"/>
    </row>
    <row r="8" spans="1:25" x14ac:dyDescent="0.25">
      <c r="A8" t="s">
        <v>27</v>
      </c>
      <c r="B8" s="10">
        <v>510</v>
      </c>
      <c r="C8" s="10">
        <v>1550</v>
      </c>
      <c r="D8" s="10">
        <v>-780</v>
      </c>
      <c r="E8" s="10">
        <v>550</v>
      </c>
      <c r="F8" s="10">
        <v>-373</v>
      </c>
      <c r="G8" s="10">
        <v>192</v>
      </c>
      <c r="H8" s="10">
        <v>-2313</v>
      </c>
      <c r="I8" s="10">
        <v>-332</v>
      </c>
      <c r="J8" s="10">
        <v>-205</v>
      </c>
      <c r="K8" s="10">
        <v>340</v>
      </c>
      <c r="L8" s="10">
        <v>41148</v>
      </c>
      <c r="M8" s="10">
        <v>1088</v>
      </c>
      <c r="N8" s="10">
        <v>1120</v>
      </c>
      <c r="O8" s="10">
        <v>8100</v>
      </c>
      <c r="P8" s="15">
        <v>204344</v>
      </c>
      <c r="U8" s="10">
        <v>1714</v>
      </c>
      <c r="V8" s="10">
        <f t="shared" si="0"/>
        <v>-1944</v>
      </c>
      <c r="W8" s="10">
        <f>SUM(I8:L8)</f>
        <v>40951</v>
      </c>
      <c r="X8" s="15">
        <f>SUM(M8:P8)</f>
        <v>214652</v>
      </c>
      <c r="Y8" s="10"/>
    </row>
    <row r="9" spans="1:25" s="1" customFormat="1" x14ac:dyDescent="0.25">
      <c r="A9" s="1" t="s">
        <v>23</v>
      </c>
      <c r="B9" s="11">
        <f>B3-B5-B6-B7-B8</f>
        <v>-4347</v>
      </c>
      <c r="C9" s="11">
        <f t="shared" ref="C9:P9" si="1">C3-C5-C6-C7-C8</f>
        <v>-7882</v>
      </c>
      <c r="D9" s="11">
        <f t="shared" si="1"/>
        <v>-29693</v>
      </c>
      <c r="E9" s="11">
        <f t="shared" si="1"/>
        <v>-28515</v>
      </c>
      <c r="F9" s="11">
        <f>F3-F5-F6-F7-F8</f>
        <v>-48104</v>
      </c>
      <c r="G9" s="11">
        <f t="shared" si="1"/>
        <v>-44457</v>
      </c>
      <c r="H9" s="11">
        <f t="shared" si="1"/>
        <v>-92667</v>
      </c>
      <c r="I9" s="11">
        <f t="shared" si="1"/>
        <v>-92157</v>
      </c>
      <c r="J9" s="11">
        <f t="shared" si="1"/>
        <v>-74429</v>
      </c>
      <c r="K9" s="11">
        <f t="shared" si="1"/>
        <v>-104368</v>
      </c>
      <c r="L9" s="11">
        <f t="shared" si="1"/>
        <v>-125031</v>
      </c>
      <c r="M9" s="11">
        <f t="shared" si="1"/>
        <v>-71569</v>
      </c>
      <c r="N9" s="11">
        <f t="shared" si="1"/>
        <v>-75480</v>
      </c>
      <c r="O9" s="11">
        <f t="shared" si="1"/>
        <v>-67348</v>
      </c>
      <c r="P9" s="14">
        <f t="shared" si="1"/>
        <v>-242615</v>
      </c>
      <c r="U9" s="11">
        <f t="shared" ref="U9:X9" si="2">U3-U5-U6-U7-U8</f>
        <v>-47093</v>
      </c>
      <c r="V9" s="11">
        <f t="shared" si="2"/>
        <v>-213743</v>
      </c>
      <c r="W9" s="11">
        <f t="shared" si="2"/>
        <v>-395985</v>
      </c>
      <c r="X9" s="14">
        <f t="shared" si="2"/>
        <v>-457012</v>
      </c>
      <c r="Y9" s="11"/>
    </row>
    <row r="10" spans="1:25" x14ac:dyDescent="0.25">
      <c r="A10" t="s">
        <v>109</v>
      </c>
      <c r="B10" s="10">
        <v>-23</v>
      </c>
      <c r="C10" s="10">
        <v>-1971</v>
      </c>
      <c r="D10" s="10">
        <v>-6213</v>
      </c>
      <c r="E10" s="10">
        <v>-1920</v>
      </c>
      <c r="F10" s="10">
        <v>-10696</v>
      </c>
      <c r="G10" s="10">
        <v>3831</v>
      </c>
      <c r="H10" s="10">
        <v>7480</v>
      </c>
      <c r="I10" s="10">
        <v>3577</v>
      </c>
      <c r="J10" s="10">
        <v>-593</v>
      </c>
      <c r="K10" s="10">
        <v>-7491</v>
      </c>
      <c r="L10" s="10">
        <v>3098</v>
      </c>
      <c r="M10" s="10">
        <v>-1996</v>
      </c>
      <c r="N10" s="10">
        <v>-11512</v>
      </c>
      <c r="O10" s="10">
        <v>112841</v>
      </c>
      <c r="P10" s="15">
        <v>-50486</v>
      </c>
      <c r="U10" s="10">
        <v>-10857</v>
      </c>
      <c r="V10" s="10">
        <f t="shared" si="0"/>
        <v>-1305</v>
      </c>
      <c r="W10" s="10">
        <f>SUM(I10:L10)</f>
        <v>-1409</v>
      </c>
      <c r="X10" s="15">
        <f>SUM(M10:P10)</f>
        <v>48847</v>
      </c>
      <c r="Y10" s="10"/>
    </row>
    <row r="11" spans="1:25" s="1" customFormat="1" x14ac:dyDescent="0.25">
      <c r="A11" s="1" t="s">
        <v>19</v>
      </c>
      <c r="B11" s="11">
        <f t="shared" ref="B11:P11" si="3">B9+B10</f>
        <v>-4370</v>
      </c>
      <c r="C11" s="11">
        <f t="shared" si="3"/>
        <v>-9853</v>
      </c>
      <c r="D11" s="11">
        <f t="shared" si="3"/>
        <v>-35906</v>
      </c>
      <c r="E11" s="11">
        <f t="shared" si="3"/>
        <v>-30435</v>
      </c>
      <c r="F11" s="11">
        <f t="shared" si="3"/>
        <v>-58800</v>
      </c>
      <c r="G11" s="11">
        <f t="shared" si="3"/>
        <v>-40626</v>
      </c>
      <c r="H11" s="11">
        <f t="shared" si="3"/>
        <v>-85187</v>
      </c>
      <c r="I11" s="11">
        <f t="shared" si="3"/>
        <v>-88580</v>
      </c>
      <c r="J11" s="11">
        <f t="shared" si="3"/>
        <v>-75022</v>
      </c>
      <c r="K11" s="11">
        <f t="shared" si="3"/>
        <v>-111859</v>
      </c>
      <c r="L11" s="11">
        <f t="shared" si="3"/>
        <v>-121933</v>
      </c>
      <c r="M11" s="11">
        <f t="shared" si="3"/>
        <v>-73565</v>
      </c>
      <c r="N11" s="11">
        <f t="shared" si="3"/>
        <v>-86992</v>
      </c>
      <c r="O11" s="11">
        <f t="shared" si="3"/>
        <v>45493</v>
      </c>
      <c r="P11" s="14">
        <f t="shared" si="3"/>
        <v>-293101</v>
      </c>
      <c r="U11" s="11">
        <f t="shared" ref="U11:X11" si="4">U9+U10</f>
        <v>-57950</v>
      </c>
      <c r="V11" s="11">
        <f t="shared" si="4"/>
        <v>-215048</v>
      </c>
      <c r="W11" s="11">
        <f t="shared" si="4"/>
        <v>-397394</v>
      </c>
      <c r="X11" s="14">
        <f t="shared" si="4"/>
        <v>-408165</v>
      </c>
      <c r="Y11" s="11"/>
    </row>
    <row r="12" spans="1:25" x14ac:dyDescent="0.25">
      <c r="A12" t="s">
        <v>20</v>
      </c>
      <c r="B12" s="10">
        <v>-420</v>
      </c>
      <c r="C12" s="10">
        <v>-554</v>
      </c>
      <c r="D12" s="10">
        <v>-1085</v>
      </c>
      <c r="E12" s="10">
        <v>-1948</v>
      </c>
      <c r="F12" s="10">
        <v>-264</v>
      </c>
      <c r="G12" s="10">
        <v>-567</v>
      </c>
      <c r="H12" s="10">
        <v>5434</v>
      </c>
      <c r="I12" s="10">
        <v>1121</v>
      </c>
      <c r="J12" s="10">
        <v>3032</v>
      </c>
      <c r="K12" s="10">
        <v>3910</v>
      </c>
      <c r="L12" s="10">
        <v>-3236</v>
      </c>
      <c r="M12" s="10">
        <v>-2012</v>
      </c>
      <c r="N12" s="10">
        <v>273</v>
      </c>
      <c r="O12" s="10">
        <v>-1482</v>
      </c>
      <c r="P12" s="15">
        <v>-5674</v>
      </c>
      <c r="U12" s="10">
        <v>-2411</v>
      </c>
      <c r="V12" s="10">
        <f>SUM(E12:H12)</f>
        <v>2655</v>
      </c>
      <c r="W12" s="10">
        <f>SUM(I12:L12)</f>
        <v>4827</v>
      </c>
      <c r="X12" s="15">
        <f>SUM(M12:P12)</f>
        <v>-8895</v>
      </c>
      <c r="Y12" s="10"/>
    </row>
    <row r="13" spans="1:25" s="1" customFormat="1" x14ac:dyDescent="0.25">
      <c r="A13" s="1" t="s">
        <v>21</v>
      </c>
      <c r="B13" s="11">
        <f t="shared" ref="B13:Q13" si="5">B11+B12</f>
        <v>-4790</v>
      </c>
      <c r="C13" s="11">
        <f t="shared" si="5"/>
        <v>-10407</v>
      </c>
      <c r="D13" s="11">
        <f t="shared" si="5"/>
        <v>-36991</v>
      </c>
      <c r="E13" s="11">
        <f t="shared" si="5"/>
        <v>-32383</v>
      </c>
      <c r="F13" s="11">
        <f t="shared" si="5"/>
        <v>-59064</v>
      </c>
      <c r="G13" s="11">
        <f t="shared" si="5"/>
        <v>-41193</v>
      </c>
      <c r="H13" s="11">
        <f t="shared" si="5"/>
        <v>-79753</v>
      </c>
      <c r="I13" s="11">
        <f t="shared" si="5"/>
        <v>-87459</v>
      </c>
      <c r="J13" s="11">
        <f t="shared" si="5"/>
        <v>-71990</v>
      </c>
      <c r="K13" s="11">
        <f t="shared" si="5"/>
        <v>-107949</v>
      </c>
      <c r="L13" s="11">
        <f t="shared" si="5"/>
        <v>-125169</v>
      </c>
      <c r="M13" s="11">
        <f t="shared" si="5"/>
        <v>-75577</v>
      </c>
      <c r="N13" s="11">
        <f t="shared" si="5"/>
        <v>-86719</v>
      </c>
      <c r="O13" s="11">
        <f t="shared" si="5"/>
        <v>44011</v>
      </c>
      <c r="P13" s="14">
        <f t="shared" si="5"/>
        <v>-298775</v>
      </c>
      <c r="Q13" s="11">
        <f t="shared" si="5"/>
        <v>0</v>
      </c>
      <c r="R13" s="11"/>
      <c r="U13" s="11">
        <f t="shared" ref="U13:Y13" si="6">U11+U12</f>
        <v>-60361</v>
      </c>
      <c r="V13" s="11">
        <f t="shared" si="6"/>
        <v>-212393</v>
      </c>
      <c r="W13" s="11">
        <f t="shared" si="6"/>
        <v>-392567</v>
      </c>
      <c r="X13" s="14">
        <f t="shared" si="6"/>
        <v>-417060</v>
      </c>
      <c r="Y13" s="11">
        <f t="shared" si="6"/>
        <v>0</v>
      </c>
    </row>
    <row r="14" spans="1:25" x14ac:dyDescent="0.25">
      <c r="A14" s="48" t="s">
        <v>24</v>
      </c>
      <c r="B14" s="49">
        <v>3113</v>
      </c>
      <c r="C14" s="49">
        <v>3256</v>
      </c>
      <c r="D14" s="49">
        <v>3898</v>
      </c>
      <c r="E14" s="49">
        <v>3822</v>
      </c>
      <c r="F14" s="49">
        <v>4642</v>
      </c>
      <c r="G14" s="49">
        <v>7922</v>
      </c>
      <c r="H14" s="49">
        <v>10836</v>
      </c>
      <c r="I14" s="49">
        <v>10731</v>
      </c>
      <c r="J14" s="49">
        <v>11877</v>
      </c>
      <c r="K14" s="49">
        <v>12157</v>
      </c>
      <c r="L14" s="49">
        <v>13835</v>
      </c>
      <c r="M14" s="49">
        <v>12233</v>
      </c>
      <c r="N14" s="49">
        <v>12464</v>
      </c>
      <c r="O14" s="49">
        <v>12559</v>
      </c>
      <c r="P14" s="52">
        <v>14618</v>
      </c>
      <c r="Q14" s="49"/>
      <c r="R14" s="49"/>
      <c r="S14" s="48"/>
      <c r="T14" s="48"/>
      <c r="U14" s="49">
        <v>13118</v>
      </c>
      <c r="V14" s="49">
        <v>27222</v>
      </c>
      <c r="W14" s="49">
        <f>SUM(I14:L14)</f>
        <v>48600</v>
      </c>
      <c r="X14" s="52">
        <f>SUM(M14:P14)</f>
        <v>51874</v>
      </c>
      <c r="Y14" s="49"/>
    </row>
    <row r="15" spans="1:25" s="1" customFormat="1" x14ac:dyDescent="0.25">
      <c r="A15" s="50" t="s">
        <v>129</v>
      </c>
      <c r="B15" s="51">
        <f>B13+B14-B12-B10</f>
        <v>-1234</v>
      </c>
      <c r="C15" s="51">
        <f>C13+C14-C12-C10</f>
        <v>-4626</v>
      </c>
      <c r="D15" s="51">
        <f t="shared" ref="D15:N15" si="7">D13+D14-D12-D10</f>
        <v>-25795</v>
      </c>
      <c r="E15" s="51">
        <f t="shared" si="7"/>
        <v>-24693</v>
      </c>
      <c r="F15" s="51">
        <f t="shared" si="7"/>
        <v>-43462</v>
      </c>
      <c r="G15" s="51">
        <f t="shared" si="7"/>
        <v>-36535</v>
      </c>
      <c r="H15" s="51">
        <f t="shared" si="7"/>
        <v>-81831</v>
      </c>
      <c r="I15" s="51">
        <f t="shared" si="7"/>
        <v>-81426</v>
      </c>
      <c r="J15" s="51">
        <f t="shared" si="7"/>
        <v>-62552</v>
      </c>
      <c r="K15" s="51">
        <f t="shared" si="7"/>
        <v>-92211</v>
      </c>
      <c r="L15" s="51">
        <f t="shared" si="7"/>
        <v>-111196</v>
      </c>
      <c r="M15" s="51">
        <f t="shared" si="7"/>
        <v>-59336</v>
      </c>
      <c r="N15" s="51">
        <f t="shared" si="7"/>
        <v>-63016</v>
      </c>
      <c r="O15" s="51">
        <f>O13+O14-O12-O10</f>
        <v>-54789</v>
      </c>
      <c r="P15" s="53">
        <f>P13+P14-P12-P10</f>
        <v>-227997</v>
      </c>
      <c r="Q15" s="51"/>
      <c r="R15" s="51"/>
      <c r="S15" s="50"/>
      <c r="T15" s="50"/>
      <c r="U15" s="51">
        <f t="shared" ref="U15:X15" si="8">U13+U14-U12-U10</f>
        <v>-33975</v>
      </c>
      <c r="V15" s="51">
        <f t="shared" si="8"/>
        <v>-186521</v>
      </c>
      <c r="W15" s="51">
        <f t="shared" si="8"/>
        <v>-347385</v>
      </c>
      <c r="X15" s="53">
        <f t="shared" si="8"/>
        <v>-405138</v>
      </c>
      <c r="Y15" s="51"/>
    </row>
    <row r="16" spans="1:25" x14ac:dyDescent="0.25">
      <c r="A16" s="48" t="s">
        <v>130</v>
      </c>
      <c r="B16" s="49"/>
      <c r="C16" s="49"/>
      <c r="D16" s="49"/>
      <c r="E16" s="49"/>
      <c r="F16" s="49">
        <v>4466</v>
      </c>
      <c r="G16" s="49">
        <v>9568</v>
      </c>
      <c r="H16" s="49">
        <v>9598</v>
      </c>
      <c r="I16" s="49">
        <v>10037</v>
      </c>
      <c r="J16" s="49">
        <v>9185</v>
      </c>
      <c r="K16" s="49">
        <v>8503</v>
      </c>
      <c r="L16" s="49">
        <v>7741</v>
      </c>
      <c r="M16" s="49">
        <v>8047</v>
      </c>
      <c r="N16" s="49">
        <v>2422</v>
      </c>
      <c r="O16" s="49">
        <v>6290</v>
      </c>
      <c r="P16" s="52">
        <v>4587</v>
      </c>
      <c r="Q16" s="49"/>
      <c r="R16" s="49"/>
      <c r="S16" s="48"/>
      <c r="T16" s="48"/>
      <c r="U16" s="49">
        <v>1014</v>
      </c>
      <c r="V16" s="49">
        <v>9598</v>
      </c>
      <c r="W16" s="49">
        <f>SUM(I16:L16)</f>
        <v>35466</v>
      </c>
      <c r="X16" s="52">
        <f>SUM(M16:P16)</f>
        <v>21346</v>
      </c>
      <c r="Y16" s="49"/>
    </row>
    <row r="17" spans="1:25" x14ac:dyDescent="0.25">
      <c r="A17" s="48" t="s">
        <v>27</v>
      </c>
      <c r="B17" s="49"/>
      <c r="C17" s="49">
        <v>11</v>
      </c>
      <c r="D17" s="49">
        <v>668</v>
      </c>
      <c r="E17" s="49">
        <v>2223</v>
      </c>
      <c r="F17" s="49">
        <v>7065</v>
      </c>
      <c r="G17" s="49"/>
      <c r="H17" s="49">
        <f>1654+4970</f>
        <v>6624</v>
      </c>
      <c r="I17" s="49"/>
      <c r="J17" s="49"/>
      <c r="K17" s="49">
        <v>1005</v>
      </c>
      <c r="L17" s="49">
        <f>3410+39581</f>
        <v>42991</v>
      </c>
      <c r="M17" s="49">
        <f>1195+221</f>
        <v>1416</v>
      </c>
      <c r="N17" s="49">
        <f>7972+154</f>
        <v>8126</v>
      </c>
      <c r="O17" s="49">
        <f>3177+9250+74</f>
        <v>12501</v>
      </c>
      <c r="P17" s="52">
        <f>2416+201560</f>
        <v>203976</v>
      </c>
      <c r="Q17" s="49"/>
      <c r="R17" s="49"/>
      <c r="S17" s="48"/>
      <c r="T17" s="48"/>
      <c r="U17" s="49">
        <v>679</v>
      </c>
      <c r="V17" s="49">
        <f>1654+4970</f>
        <v>6624</v>
      </c>
      <c r="W17" s="49">
        <f>SUM(I17:L17)</f>
        <v>43996</v>
      </c>
      <c r="X17" s="52">
        <f>SUM(M17:P17)</f>
        <v>226019</v>
      </c>
      <c r="Y17" s="49"/>
    </row>
    <row r="18" spans="1:25" s="1" customFormat="1" x14ac:dyDescent="0.25">
      <c r="A18" s="50" t="s">
        <v>131</v>
      </c>
      <c r="B18" s="51">
        <f>B15+B16+B17</f>
        <v>-1234</v>
      </c>
      <c r="C18" s="51">
        <f t="shared" ref="C18:P18" si="9">C15+C16+C17</f>
        <v>-4615</v>
      </c>
      <c r="D18" s="51">
        <f t="shared" si="9"/>
        <v>-25127</v>
      </c>
      <c r="E18" s="51">
        <f t="shared" si="9"/>
        <v>-22470</v>
      </c>
      <c r="F18" s="51">
        <f t="shared" si="9"/>
        <v>-31931</v>
      </c>
      <c r="G18" s="51">
        <f t="shared" si="9"/>
        <v>-26967</v>
      </c>
      <c r="H18" s="51">
        <f t="shared" si="9"/>
        <v>-65609</v>
      </c>
      <c r="I18" s="51">
        <f t="shared" si="9"/>
        <v>-71389</v>
      </c>
      <c r="J18" s="51">
        <f t="shared" si="9"/>
        <v>-53367</v>
      </c>
      <c r="K18" s="51">
        <f t="shared" si="9"/>
        <v>-82703</v>
      </c>
      <c r="L18" s="51">
        <f t="shared" si="9"/>
        <v>-60464</v>
      </c>
      <c r="M18" s="51">
        <f t="shared" si="9"/>
        <v>-49873</v>
      </c>
      <c r="N18" s="51">
        <f t="shared" si="9"/>
        <v>-52468</v>
      </c>
      <c r="O18" s="51">
        <f t="shared" si="9"/>
        <v>-35998</v>
      </c>
      <c r="P18" s="53">
        <f t="shared" si="9"/>
        <v>-19434</v>
      </c>
      <c r="Q18" s="51"/>
      <c r="R18" s="51"/>
      <c r="S18" s="50"/>
      <c r="T18" s="50"/>
      <c r="U18" s="51">
        <f t="shared" ref="U18:X18" si="10">U15+U16+U17</f>
        <v>-32282</v>
      </c>
      <c r="V18" s="51">
        <f t="shared" si="10"/>
        <v>-170299</v>
      </c>
      <c r="W18" s="51">
        <f t="shared" si="10"/>
        <v>-267923</v>
      </c>
      <c r="X18" s="53">
        <f t="shared" si="10"/>
        <v>-157773</v>
      </c>
      <c r="Y18" s="51"/>
    </row>
    <row r="19" spans="1:25" x14ac:dyDescent="0.25">
      <c r="A19" t="s">
        <v>1</v>
      </c>
      <c r="B19" s="10">
        <f>B13/B20</f>
        <v>479000</v>
      </c>
      <c r="C19" s="10">
        <f>C13/C20</f>
        <v>520350</v>
      </c>
      <c r="D19" s="10">
        <v>480229</v>
      </c>
      <c r="E19" s="10">
        <v>480299</v>
      </c>
      <c r="F19" s="10">
        <f>F13/F20</f>
        <v>536945.45454545459</v>
      </c>
      <c r="G19" s="10">
        <f>G13/G20</f>
        <v>588471.42857142852</v>
      </c>
      <c r="H19" s="10">
        <v>591777</v>
      </c>
      <c r="I19" s="10">
        <v>591777</v>
      </c>
      <c r="J19" s="10">
        <v>591945</v>
      </c>
      <c r="K19" s="10">
        <v>592163</v>
      </c>
      <c r="L19" s="10">
        <v>592234</v>
      </c>
      <c r="M19" s="10">
        <v>592319</v>
      </c>
      <c r="N19" s="10">
        <v>593189</v>
      </c>
      <c r="O19" s="10">
        <v>594255</v>
      </c>
      <c r="P19" s="15">
        <v>594606</v>
      </c>
      <c r="Q19" s="10"/>
      <c r="R19" s="10"/>
      <c r="U19" s="10">
        <v>454266</v>
      </c>
      <c r="V19" s="10">
        <v>549080</v>
      </c>
      <c r="W19" s="10">
        <v>592031</v>
      </c>
      <c r="X19" s="15">
        <v>593600</v>
      </c>
      <c r="Y19" s="10"/>
    </row>
    <row r="20" spans="1:25" s="1" customFormat="1" x14ac:dyDescent="0.25">
      <c r="A20" s="1" t="s">
        <v>22</v>
      </c>
      <c r="B20" s="2">
        <v>-0.01</v>
      </c>
      <c r="C20" s="2">
        <v>-0.02</v>
      </c>
      <c r="D20" s="2">
        <f>D13/D19</f>
        <v>-7.7027834637225151E-2</v>
      </c>
      <c r="E20" s="2">
        <f>E13/E19</f>
        <v>-6.7422584681625403E-2</v>
      </c>
      <c r="F20" s="2">
        <v>-0.11</v>
      </c>
      <c r="G20" s="2">
        <v>-7.0000000000000007E-2</v>
      </c>
      <c r="H20" s="2">
        <f>H13/H19</f>
        <v>-0.13476867130692813</v>
      </c>
      <c r="I20" s="2">
        <f>I13/I19</f>
        <v>-0.14779046836899712</v>
      </c>
      <c r="J20" s="2">
        <f t="shared" ref="J20:P20" si="11">J13/J19</f>
        <v>-0.12161602851616282</v>
      </c>
      <c r="K20" s="2">
        <f t="shared" si="11"/>
        <v>-0.18229609077230424</v>
      </c>
      <c r="L20" s="2">
        <f t="shared" si="11"/>
        <v>-0.21135058102033993</v>
      </c>
      <c r="M20" s="2">
        <f t="shared" si="11"/>
        <v>-0.12759509656114357</v>
      </c>
      <c r="N20" s="2">
        <f t="shared" si="11"/>
        <v>-0.1461911802140633</v>
      </c>
      <c r="O20" s="2">
        <f t="shared" si="11"/>
        <v>7.4060798815323389E-2</v>
      </c>
      <c r="P20" s="37">
        <f t="shared" si="11"/>
        <v>-0.50247558887734067</v>
      </c>
      <c r="Q20" s="36"/>
      <c r="R20" s="36"/>
      <c r="U20" s="2">
        <f>U13/U19</f>
        <v>-0.13287589209846212</v>
      </c>
      <c r="V20" s="2">
        <f>V13/V19</f>
        <v>-0.38681612879726085</v>
      </c>
      <c r="W20" s="2">
        <f>W13/W19</f>
        <v>-0.66308521006501353</v>
      </c>
      <c r="X20" s="37">
        <f>X13/X19</f>
        <v>-0.70259433962264151</v>
      </c>
      <c r="Y20" s="2"/>
    </row>
    <row r="21" spans="1:25" s="1" customFormat="1" x14ac:dyDescent="0.25">
      <c r="A21" s="9" t="s">
        <v>83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7"/>
      <c r="Q21" s="36"/>
      <c r="R21" s="36"/>
      <c r="U21" s="2"/>
      <c r="V21" s="2"/>
      <c r="W21" s="2"/>
      <c r="X21" s="37"/>
      <c r="Y21" s="2"/>
    </row>
    <row r="22" spans="1:25" s="1" customFormat="1" x14ac:dyDescent="0.25">
      <c r="A22" t="s">
        <v>32</v>
      </c>
      <c r="B22" s="3">
        <f>1-B5/B3</f>
        <v>0.32327482189509915</v>
      </c>
      <c r="C22" s="3">
        <f>1-C5/C3</f>
        <v>0.31348424338605885</v>
      </c>
      <c r="D22" s="3">
        <f>1-D5/D3</f>
        <v>0.27690455961483995</v>
      </c>
      <c r="E22" s="3">
        <f>1-E5/E3</f>
        <v>0.2994173592665581</v>
      </c>
      <c r="F22" s="3">
        <f>1-F5/F3</f>
        <v>0.26415830203009216</v>
      </c>
      <c r="G22" s="3">
        <f t="shared" ref="G22:P22" si="12">1-G5/G3</f>
        <v>0.26234347780336953</v>
      </c>
      <c r="H22" s="3">
        <f t="shared" si="12"/>
        <v>0.15917708753529647</v>
      </c>
      <c r="I22" s="3">
        <f t="shared" si="12"/>
        <v>9.5363026969780829E-2</v>
      </c>
      <c r="J22" s="3">
        <f t="shared" si="12"/>
        <v>0.15814967576619199</v>
      </c>
      <c r="K22" s="3">
        <f t="shared" si="12"/>
        <v>2.7220176368384807E-2</v>
      </c>
      <c r="L22" s="3">
        <f t="shared" si="12"/>
        <v>0.1591906412122952</v>
      </c>
      <c r="M22" s="3">
        <f t="shared" si="12"/>
        <v>0.17423394413350712</v>
      </c>
      <c r="N22" s="3">
        <f t="shared" si="12"/>
        <v>0.19213519264032819</v>
      </c>
      <c r="O22" s="41">
        <f t="shared" si="12"/>
        <v>0.17357072416642239</v>
      </c>
      <c r="P22" s="6">
        <f t="shared" si="12"/>
        <v>0.23406704846635085</v>
      </c>
      <c r="U22" s="3">
        <f t="shared" ref="U22:W22" si="13">1-U5/U3</f>
        <v>0.30673713839530459</v>
      </c>
      <c r="V22" s="3">
        <f t="shared" si="13"/>
        <v>0.24100654549977452</v>
      </c>
      <c r="W22" s="3">
        <f t="shared" si="13"/>
        <v>0.11080419473913028</v>
      </c>
      <c r="X22" s="6">
        <f>1-X5/X3</f>
        <v>0.19414487558530824</v>
      </c>
      <c r="Y22" s="3"/>
    </row>
    <row r="23" spans="1:25" x14ac:dyDescent="0.25">
      <c r="A23" t="s">
        <v>33</v>
      </c>
      <c r="B23" s="4">
        <f t="shared" ref="B23:P23" si="14">B13/B3</f>
        <v>-5.02575832292858E-2</v>
      </c>
      <c r="C23" s="4">
        <f t="shared" si="14"/>
        <v>-9.0746586212308814E-2</v>
      </c>
      <c r="D23" s="4">
        <f t="shared" si="14"/>
        <v>-0.29100191950659238</v>
      </c>
      <c r="E23" s="4">
        <f t="shared" si="14"/>
        <v>-0.23122126067460658</v>
      </c>
      <c r="F23" s="4">
        <f t="shared" si="14"/>
        <v>-0.40412997516267424</v>
      </c>
      <c r="G23" s="4">
        <f t="shared" si="14"/>
        <v>-0.24080742654709988</v>
      </c>
      <c r="H23" s="4">
        <f t="shared" si="14"/>
        <v>-0.42895253462417643</v>
      </c>
      <c r="I23" s="4">
        <f t="shared" si="14"/>
        <v>-0.52627176777827256</v>
      </c>
      <c r="J23" s="4">
        <f t="shared" si="14"/>
        <v>-0.40453365400824914</v>
      </c>
      <c r="K23" s="4">
        <f t="shared" si="14"/>
        <v>-0.58980144897446263</v>
      </c>
      <c r="L23" s="4">
        <f t="shared" si="14"/>
        <v>-0.64166854635306658</v>
      </c>
      <c r="M23" s="4">
        <f t="shared" si="14"/>
        <v>-0.38629660865342841</v>
      </c>
      <c r="N23" s="4">
        <f t="shared" si="14"/>
        <v>-0.44247322526494104</v>
      </c>
      <c r="O23" s="4">
        <f t="shared" si="14"/>
        <v>0.23460646605719768</v>
      </c>
      <c r="P23" s="7">
        <f t="shared" si="14"/>
        <v>-1.4637151493476908</v>
      </c>
      <c r="U23" s="4">
        <f>U13/U3</f>
        <v>-0.14325586031598359</v>
      </c>
      <c r="V23" s="4">
        <f>V13/V3</f>
        <v>-0.3302181315008007</v>
      </c>
      <c r="W23" s="4">
        <f>W13/W3</f>
        <v>-0.5435424333806862</v>
      </c>
      <c r="X23" s="7">
        <f>X13/X3</f>
        <v>-0.53240705280411771</v>
      </c>
      <c r="Y23" s="4"/>
    </row>
    <row r="24" spans="1:25" x14ac:dyDescent="0.25">
      <c r="A24" t="s">
        <v>34</v>
      </c>
      <c r="B24" s="4"/>
      <c r="C24" s="4"/>
      <c r="D24" s="4"/>
      <c r="E24" s="4"/>
      <c r="F24" s="4">
        <f t="shared" ref="F24:N24" si="15">F3/B3-1</f>
        <v>0.53344385105289116</v>
      </c>
      <c r="G24" s="4">
        <f t="shared" si="15"/>
        <v>0.49162030658690981</v>
      </c>
      <c r="H24" s="4">
        <f t="shared" si="15"/>
        <v>0.46264042292079677</v>
      </c>
      <c r="I24" s="4">
        <f t="shared" si="15"/>
        <v>0.18660211921286374</v>
      </c>
      <c r="J24" s="4">
        <f t="shared" si="15"/>
        <v>0.21763108018419297</v>
      </c>
      <c r="K24" s="4">
        <f t="shared" si="15"/>
        <v>6.9939554079807342E-2</v>
      </c>
      <c r="L24" s="4">
        <f t="shared" si="15"/>
        <v>4.9175742907086262E-2</v>
      </c>
      <c r="M24" s="4">
        <f t="shared" si="15"/>
        <v>0.17726523293177521</v>
      </c>
      <c r="N24" s="4">
        <f t="shared" si="15"/>
        <v>0.10131042156014347</v>
      </c>
      <c r="O24" s="4">
        <f>O3/K3-1</f>
        <v>2.4963666364341774E-2</v>
      </c>
      <c r="P24" s="7">
        <f>P3/L3-1</f>
        <v>4.6409457214919847E-2</v>
      </c>
      <c r="Q24" s="4">
        <f>Q4/M3-1</f>
        <v>-1</v>
      </c>
      <c r="U24" s="3"/>
      <c r="V24" s="3">
        <f>V3/U3-1</f>
        <v>0.52649453780814581</v>
      </c>
      <c r="W24" s="41">
        <f>W3/V3-1</f>
        <v>0.12289992070772238</v>
      </c>
      <c r="X24" s="6">
        <f>X3/W3-1</f>
        <v>8.4611997707126907E-2</v>
      </c>
      <c r="Y24" s="4">
        <f>Y4/U3-1</f>
        <v>-1</v>
      </c>
    </row>
    <row r="25" spans="1:25" x14ac:dyDescent="0.25">
      <c r="A25" t="s">
        <v>132</v>
      </c>
      <c r="B25" s="3">
        <f>B18/B3</f>
        <v>-1.294736068996632E-2</v>
      </c>
      <c r="C25" s="3">
        <f t="shared" ref="C25:O25" si="16">C18/C3</f>
        <v>-4.0241711864111192E-2</v>
      </c>
      <c r="D25" s="3">
        <f t="shared" si="16"/>
        <v>-0.19766984486610656</v>
      </c>
      <c r="E25" s="3">
        <f t="shared" si="16"/>
        <v>-0.16044040784851341</v>
      </c>
      <c r="F25" s="3">
        <f t="shared" si="16"/>
        <v>-0.21847951775903005</v>
      </c>
      <c r="G25" s="3">
        <f t="shared" si="16"/>
        <v>-0.15764459669593481</v>
      </c>
      <c r="H25" s="3">
        <f t="shared" si="16"/>
        <v>-0.352878848998252</v>
      </c>
      <c r="I25" s="3">
        <f t="shared" si="16"/>
        <v>-0.42957288820959649</v>
      </c>
      <c r="J25" s="3">
        <f t="shared" si="16"/>
        <v>-0.29988536621000461</v>
      </c>
      <c r="K25" s="3">
        <f t="shared" si="16"/>
        <v>-0.4518647623834865</v>
      </c>
      <c r="L25" s="3">
        <f t="shared" si="16"/>
        <v>-0.30996370496442266</v>
      </c>
      <c r="M25" s="3">
        <f t="shared" si="16"/>
        <v>-0.25491579135679421</v>
      </c>
      <c r="N25" s="3">
        <f t="shared" si="16"/>
        <v>-0.26771163393490383</v>
      </c>
      <c r="O25" s="41">
        <f t="shared" si="16"/>
        <v>-0.19189210799861403</v>
      </c>
      <c r="P25" s="6">
        <f>P18/P3</f>
        <v>-9.5208234331597433E-2</v>
      </c>
      <c r="V25" s="41">
        <f t="shared" ref="V25:W25" si="17">V18/V3</f>
        <v>-0.26477246225843065</v>
      </c>
      <c r="W25" s="41">
        <f t="shared" si="17"/>
        <v>-0.37096220359493687</v>
      </c>
      <c r="X25" s="6">
        <f>X18/X3</f>
        <v>-0.20140856937146709</v>
      </c>
    </row>
    <row r="26" spans="1:25" x14ac:dyDescent="0.25">
      <c r="A26" t="s">
        <v>40</v>
      </c>
      <c r="B26" s="4"/>
      <c r="C26" s="4"/>
      <c r="D26" s="4"/>
      <c r="E26" s="4"/>
      <c r="F26" s="4">
        <f t="shared" ref="F26:P26" si="18">F13/B13-1</f>
        <v>11.330688935281836</v>
      </c>
      <c r="G26" s="4">
        <f>G13/C13-1</f>
        <v>2.9582012107235514</v>
      </c>
      <c r="H26" s="4">
        <f t="shared" si="18"/>
        <v>1.1560109215755183</v>
      </c>
      <c r="I26" s="4">
        <f t="shared" si="18"/>
        <v>1.7007689219652287</v>
      </c>
      <c r="J26" s="4">
        <f t="shared" si="18"/>
        <v>0.21884735202492211</v>
      </c>
      <c r="K26" s="4">
        <f t="shared" si="18"/>
        <v>1.6205666011215496</v>
      </c>
      <c r="L26" s="4">
        <f t="shared" si="18"/>
        <v>0.56945820219929022</v>
      </c>
      <c r="M26" s="4">
        <f t="shared" si="18"/>
        <v>-0.13585794486559422</v>
      </c>
      <c r="N26" s="4">
        <f>N13/J13-1</f>
        <v>0.204597860814002</v>
      </c>
      <c r="O26" s="4">
        <f t="shared" si="18"/>
        <v>-1.4077017851022242</v>
      </c>
      <c r="P26" s="7">
        <f t="shared" si="18"/>
        <v>1.3869728127571523</v>
      </c>
      <c r="Q26" s="4"/>
      <c r="U26" s="3"/>
      <c r="V26" s="3">
        <f t="shared" ref="V26:X26" si="19">-(V13/U13-1)</f>
        <v>-2.5187124136445718</v>
      </c>
      <c r="W26" s="41">
        <f t="shared" si="19"/>
        <v>-0.84830479347247789</v>
      </c>
      <c r="X26" s="6">
        <f t="shared" si="19"/>
        <v>-6.2391897434068477E-2</v>
      </c>
      <c r="Y26" s="3"/>
    </row>
    <row r="27" spans="1:2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1"/>
    </row>
    <row r="29" spans="1:25" s="1" customFormat="1" x14ac:dyDescent="0.25">
      <c r="A29" s="1" t="s">
        <v>44</v>
      </c>
      <c r="B29" s="11">
        <f t="shared" ref="B29:E29" si="20">B30+B31+B32-B44-B45-B48-B47-B46-B49-B53</f>
        <v>0</v>
      </c>
      <c r="C29" s="11">
        <f t="shared" si="20"/>
        <v>0</v>
      </c>
      <c r="D29" s="11">
        <f t="shared" si="20"/>
        <v>-197156</v>
      </c>
      <c r="E29" s="11">
        <f t="shared" si="20"/>
        <v>0</v>
      </c>
      <c r="F29" s="11">
        <f>F30+F31+F32-F44-F45-F48-F47-F46-F49-F53</f>
        <v>696398</v>
      </c>
      <c r="G29" s="11">
        <f t="shared" ref="G29:P29" si="21">G30+G31+G32-G44-G45-G48-G47-G46-G49-G53</f>
        <v>563269</v>
      </c>
      <c r="H29" s="11">
        <f t="shared" si="21"/>
        <v>346536</v>
      </c>
      <c r="I29" s="11">
        <f t="shared" si="21"/>
        <v>213236</v>
      </c>
      <c r="J29" s="11">
        <f t="shared" si="21"/>
        <v>0</v>
      </c>
      <c r="K29" s="11">
        <f t="shared" si="21"/>
        <v>0</v>
      </c>
      <c r="L29" s="11">
        <f>L30+L31+L32-L44-L45-L48-L47-L46-L49-L53</f>
        <v>-75192</v>
      </c>
      <c r="M29" s="11">
        <f t="shared" si="21"/>
        <v>0</v>
      </c>
      <c r="N29" s="11">
        <f t="shared" si="21"/>
        <v>-376432</v>
      </c>
      <c r="O29" s="11">
        <f t="shared" si="21"/>
        <v>0</v>
      </c>
      <c r="P29" s="14">
        <f t="shared" si="21"/>
        <v>0</v>
      </c>
      <c r="U29" s="11">
        <f t="shared" ref="U29:W29" si="22">U30+U31+U32-U44-U45-U48-U47-U46-U49-U53</f>
        <v>-197156</v>
      </c>
      <c r="V29" s="11">
        <f t="shared" si="22"/>
        <v>346536</v>
      </c>
      <c r="W29" s="11">
        <f t="shared" si="22"/>
        <v>-75192</v>
      </c>
      <c r="X29" s="16"/>
    </row>
    <row r="30" spans="1:25" x14ac:dyDescent="0.25">
      <c r="A30" t="s">
        <v>25</v>
      </c>
      <c r="B30" s="10"/>
      <c r="C30" s="10"/>
      <c r="D30" s="10">
        <v>105364</v>
      </c>
      <c r="E30" s="10"/>
      <c r="F30" s="10">
        <v>524238</v>
      </c>
      <c r="G30" s="10">
        <v>403054</v>
      </c>
      <c r="H30" s="10">
        <v>295572</v>
      </c>
      <c r="I30" s="10">
        <v>219045</v>
      </c>
      <c r="J30" s="10"/>
      <c r="K30" s="10"/>
      <c r="L30" s="10">
        <v>82644</v>
      </c>
      <c r="M30" s="10"/>
      <c r="N30" s="10">
        <v>340730</v>
      </c>
      <c r="O30" s="10"/>
      <c r="U30" s="10">
        <f>D30</f>
        <v>105364</v>
      </c>
      <c r="V30" s="10">
        <f>H30</f>
        <v>295572</v>
      </c>
      <c r="W30" s="10">
        <f>L30</f>
        <v>82644</v>
      </c>
    </row>
    <row r="31" spans="1:25" x14ac:dyDescent="0.25">
      <c r="A31" t="s">
        <v>112</v>
      </c>
      <c r="B31" s="10"/>
      <c r="C31" s="10"/>
      <c r="D31" s="10"/>
      <c r="E31" s="10"/>
      <c r="F31" s="10">
        <v>322685</v>
      </c>
      <c r="G31" s="10">
        <v>305165</v>
      </c>
      <c r="H31" s="10">
        <v>249937</v>
      </c>
      <c r="I31" s="10">
        <v>192233</v>
      </c>
      <c r="J31" s="10"/>
      <c r="K31" s="10"/>
      <c r="L31" s="10">
        <v>142703</v>
      </c>
      <c r="M31" s="10"/>
      <c r="N31" s="10"/>
      <c r="O31" s="10"/>
      <c r="U31" s="10">
        <f t="shared" ref="U31:U55" si="23">D31</f>
        <v>0</v>
      </c>
      <c r="V31" s="10">
        <f t="shared" ref="V31:V55" si="24">H31</f>
        <v>249937</v>
      </c>
      <c r="W31" s="10">
        <f>L31</f>
        <v>142703</v>
      </c>
    </row>
    <row r="32" spans="1:25" x14ac:dyDescent="0.25">
      <c r="A32" t="s">
        <v>113</v>
      </c>
      <c r="B32" s="10"/>
      <c r="C32" s="10"/>
      <c r="D32" s="10">
        <v>11509</v>
      </c>
      <c r="E32" s="10"/>
      <c r="F32" s="10">
        <v>26876</v>
      </c>
      <c r="G32" s="10">
        <v>33166</v>
      </c>
      <c r="H32" s="10">
        <v>27711</v>
      </c>
      <c r="I32" s="10">
        <v>21317</v>
      </c>
      <c r="J32" s="10"/>
      <c r="K32" s="10"/>
      <c r="L32" s="10">
        <v>23413</v>
      </c>
      <c r="M32" s="10"/>
      <c r="N32" s="10">
        <v>22244</v>
      </c>
      <c r="O32" s="10"/>
      <c r="U32" s="10">
        <f t="shared" si="23"/>
        <v>11509</v>
      </c>
      <c r="V32" s="10">
        <f t="shared" si="24"/>
        <v>27711</v>
      </c>
      <c r="W32" s="10">
        <f t="shared" ref="W32:W55" si="25">L32</f>
        <v>23413</v>
      </c>
    </row>
    <row r="33" spans="1:24" x14ac:dyDescent="0.25">
      <c r="A33" t="s">
        <v>115</v>
      </c>
      <c r="B33" s="10"/>
      <c r="C33" s="10"/>
      <c r="D33" s="10">
        <v>12363</v>
      </c>
      <c r="E33" s="10"/>
      <c r="F33" s="10">
        <v>31244</v>
      </c>
      <c r="G33" s="10">
        <v>33179</v>
      </c>
      <c r="H33" s="10">
        <v>32229</v>
      </c>
      <c r="I33" s="10">
        <v>35227</v>
      </c>
      <c r="J33" s="10"/>
      <c r="K33" s="10"/>
      <c r="L33" s="10">
        <v>17818</v>
      </c>
      <c r="M33" s="10"/>
      <c r="N33" s="10">
        <v>33925</v>
      </c>
      <c r="O33" s="10"/>
      <c r="U33" s="10">
        <f t="shared" si="23"/>
        <v>12363</v>
      </c>
      <c r="V33" s="10">
        <f t="shared" si="24"/>
        <v>32229</v>
      </c>
      <c r="W33" s="10">
        <f t="shared" si="25"/>
        <v>17818</v>
      </c>
    </row>
    <row r="34" spans="1:24" x14ac:dyDescent="0.25">
      <c r="A34" t="s">
        <v>114</v>
      </c>
      <c r="B34" s="10"/>
      <c r="C34" s="10"/>
      <c r="D34" s="10">
        <v>514</v>
      </c>
      <c r="E34" s="10"/>
      <c r="F34" s="10">
        <v>235</v>
      </c>
      <c r="G34" s="10">
        <v>467</v>
      </c>
      <c r="H34" s="10">
        <v>435</v>
      </c>
      <c r="I34" s="10">
        <v>569</v>
      </c>
      <c r="J34" s="10"/>
      <c r="K34" s="10"/>
      <c r="L34" s="10">
        <v>243</v>
      </c>
      <c r="M34" s="10"/>
      <c r="N34" s="10">
        <v>307</v>
      </c>
      <c r="O34" s="10"/>
      <c r="U34" s="10">
        <f t="shared" si="23"/>
        <v>514</v>
      </c>
      <c r="V34" s="10">
        <f t="shared" si="24"/>
        <v>435</v>
      </c>
      <c r="W34" s="10">
        <f t="shared" si="25"/>
        <v>243</v>
      </c>
    </row>
    <row r="35" spans="1:24" x14ac:dyDescent="0.25">
      <c r="A35" t="s">
        <v>116</v>
      </c>
      <c r="B35" s="10"/>
      <c r="C35" s="10"/>
      <c r="D35" s="10">
        <v>71297</v>
      </c>
      <c r="E35" s="10"/>
      <c r="F35" s="10">
        <v>82458</v>
      </c>
      <c r="G35" s="10">
        <v>88697</v>
      </c>
      <c r="H35" s="10">
        <v>105519</v>
      </c>
      <c r="I35" s="10">
        <v>98864</v>
      </c>
      <c r="J35" s="10"/>
      <c r="K35" s="10"/>
      <c r="L35" s="10">
        <v>100955</v>
      </c>
      <c r="M35" s="10"/>
      <c r="N35" s="10">
        <v>102835</v>
      </c>
      <c r="O35" s="10"/>
      <c r="U35" s="10">
        <f t="shared" si="23"/>
        <v>71297</v>
      </c>
      <c r="V35" s="10">
        <f t="shared" si="24"/>
        <v>105519</v>
      </c>
      <c r="W35" s="10">
        <f t="shared" si="25"/>
        <v>100955</v>
      </c>
    </row>
    <row r="36" spans="1:24" x14ac:dyDescent="0.25">
      <c r="A36" t="s">
        <v>111</v>
      </c>
      <c r="B36" s="10"/>
      <c r="C36" s="10"/>
      <c r="D36" s="10">
        <v>39115</v>
      </c>
      <c r="E36" s="10"/>
      <c r="F36" s="10">
        <v>57074</v>
      </c>
      <c r="G36" s="10">
        <v>78023</v>
      </c>
      <c r="H36" s="10">
        <v>95661</v>
      </c>
      <c r="I36" s="10">
        <v>98933</v>
      </c>
      <c r="J36" s="10"/>
      <c r="K36" s="10"/>
      <c r="L36" s="10">
        <v>114475</v>
      </c>
      <c r="M36" s="10"/>
      <c r="N36" s="10">
        <v>102825</v>
      </c>
      <c r="O36" s="10"/>
      <c r="U36" s="10">
        <f t="shared" si="23"/>
        <v>39115</v>
      </c>
      <c r="V36" s="10">
        <f t="shared" si="24"/>
        <v>95661</v>
      </c>
      <c r="W36" s="10">
        <f t="shared" si="25"/>
        <v>114475</v>
      </c>
    </row>
    <row r="37" spans="1:24" s="1" customFormat="1" x14ac:dyDescent="0.25">
      <c r="A37" s="1" t="s">
        <v>80</v>
      </c>
      <c r="B37" s="11">
        <f t="shared" ref="B37:O37" si="26">SUM(B30:B36)</f>
        <v>0</v>
      </c>
      <c r="C37" s="11">
        <f t="shared" si="26"/>
        <v>0</v>
      </c>
      <c r="D37" s="11">
        <f t="shared" si="26"/>
        <v>240162</v>
      </c>
      <c r="E37" s="11">
        <f t="shared" si="26"/>
        <v>0</v>
      </c>
      <c r="F37" s="11">
        <f t="shared" si="26"/>
        <v>1044810</v>
      </c>
      <c r="G37" s="11">
        <f t="shared" si="26"/>
        <v>941751</v>
      </c>
      <c r="H37" s="11">
        <f t="shared" si="26"/>
        <v>807064</v>
      </c>
      <c r="I37" s="11">
        <f t="shared" si="26"/>
        <v>666188</v>
      </c>
      <c r="J37" s="11">
        <f t="shared" si="26"/>
        <v>0</v>
      </c>
      <c r="K37" s="11">
        <f t="shared" si="26"/>
        <v>0</v>
      </c>
      <c r="L37" s="11">
        <f t="shared" si="26"/>
        <v>482251</v>
      </c>
      <c r="M37" s="11">
        <f t="shared" si="26"/>
        <v>0</v>
      </c>
      <c r="N37" s="11">
        <f t="shared" si="26"/>
        <v>602866</v>
      </c>
      <c r="O37" s="11">
        <f t="shared" si="26"/>
        <v>0</v>
      </c>
      <c r="P37" s="16"/>
      <c r="U37" s="11">
        <f t="shared" ref="U37" si="27">SUM(U30:U36)</f>
        <v>240162</v>
      </c>
      <c r="V37" s="11">
        <f t="shared" ref="V37" si="28">SUM(V30:V36)</f>
        <v>807064</v>
      </c>
      <c r="W37" s="11">
        <f t="shared" ref="W37" si="29">SUM(W30:W36)</f>
        <v>482251</v>
      </c>
      <c r="X37" s="16"/>
    </row>
    <row r="38" spans="1:24" x14ac:dyDescent="0.25">
      <c r="A38" t="s">
        <v>28</v>
      </c>
      <c r="B38" s="10"/>
      <c r="C38" s="10"/>
      <c r="D38" s="10">
        <v>156463</v>
      </c>
      <c r="E38" s="10"/>
      <c r="F38" s="10">
        <v>154804</v>
      </c>
      <c r="G38" s="10">
        <v>151594</v>
      </c>
      <c r="H38" s="10">
        <v>145925</v>
      </c>
      <c r="I38" s="10">
        <v>142244</v>
      </c>
      <c r="J38" s="10"/>
      <c r="K38" s="10"/>
      <c r="L38" s="10">
        <v>127688</v>
      </c>
      <c r="M38" s="10"/>
      <c r="N38" s="10">
        <v>122171</v>
      </c>
      <c r="O38" s="10"/>
      <c r="U38" s="10">
        <f t="shared" si="23"/>
        <v>156463</v>
      </c>
      <c r="V38" s="10">
        <f t="shared" si="24"/>
        <v>145925</v>
      </c>
      <c r="W38" s="10">
        <f t="shared" si="25"/>
        <v>127688</v>
      </c>
    </row>
    <row r="39" spans="1:24" x14ac:dyDescent="0.25">
      <c r="A39" t="s">
        <v>110</v>
      </c>
      <c r="B39" s="10"/>
      <c r="C39" s="10"/>
      <c r="D39" s="10">
        <v>237625</v>
      </c>
      <c r="E39" s="10"/>
      <c r="F39" s="10">
        <v>373059</v>
      </c>
      <c r="G39" s="10">
        <v>426228</v>
      </c>
      <c r="H39" s="10">
        <v>509648</v>
      </c>
      <c r="I39" s="10">
        <v>547131</v>
      </c>
      <c r="J39" s="10"/>
      <c r="K39" s="10"/>
      <c r="L39" s="10">
        <v>492952</v>
      </c>
      <c r="M39" s="10"/>
      <c r="N39" s="10">
        <v>504743</v>
      </c>
      <c r="O39" s="10"/>
      <c r="U39" s="10">
        <f t="shared" si="23"/>
        <v>237625</v>
      </c>
      <c r="V39" s="10">
        <f t="shared" si="24"/>
        <v>509648</v>
      </c>
      <c r="W39" s="10">
        <f t="shared" si="25"/>
        <v>492952</v>
      </c>
    </row>
    <row r="40" spans="1:24" x14ac:dyDescent="0.25">
      <c r="A40" t="s">
        <v>117</v>
      </c>
      <c r="B40" s="10"/>
      <c r="C40" s="10"/>
      <c r="D40" s="10">
        <v>38103</v>
      </c>
      <c r="E40" s="10"/>
      <c r="F40" s="10">
        <v>82774</v>
      </c>
      <c r="G40" s="10">
        <v>129434</v>
      </c>
      <c r="H40" s="10">
        <v>158448</v>
      </c>
      <c r="I40" s="10">
        <v>165724</v>
      </c>
      <c r="J40" s="10"/>
      <c r="K40" s="10"/>
      <c r="L40" s="10">
        <v>108598</v>
      </c>
      <c r="M40" s="10"/>
      <c r="N40" s="10">
        <v>109379</v>
      </c>
      <c r="O40" s="10"/>
      <c r="U40" s="10">
        <f t="shared" si="23"/>
        <v>38103</v>
      </c>
      <c r="V40" s="10">
        <f t="shared" si="24"/>
        <v>158448</v>
      </c>
      <c r="W40" s="10">
        <f t="shared" si="25"/>
        <v>108598</v>
      </c>
    </row>
    <row r="41" spans="1:24" x14ac:dyDescent="0.25">
      <c r="A41" t="s">
        <v>27</v>
      </c>
      <c r="B41" s="10"/>
      <c r="C41" s="10"/>
      <c r="D41" s="10">
        <v>6550</v>
      </c>
      <c r="E41" s="10"/>
      <c r="F41" s="10">
        <v>730</v>
      </c>
      <c r="G41" s="10">
        <v>977</v>
      </c>
      <c r="H41" s="10">
        <v>5534</v>
      </c>
      <c r="I41" s="10">
        <v>5526</v>
      </c>
      <c r="J41" s="10"/>
      <c r="K41" s="10"/>
      <c r="L41" s="10">
        <v>7848</v>
      </c>
      <c r="M41" s="10"/>
      <c r="N41" s="10">
        <v>47240</v>
      </c>
      <c r="O41" s="10"/>
      <c r="U41" s="10">
        <f t="shared" si="23"/>
        <v>6550</v>
      </c>
      <c r="V41" s="10">
        <f t="shared" si="24"/>
        <v>5534</v>
      </c>
      <c r="W41" s="10">
        <f t="shared" si="25"/>
        <v>7848</v>
      </c>
    </row>
    <row r="42" spans="1:24" s="1" customFormat="1" x14ac:dyDescent="0.25">
      <c r="A42" t="s">
        <v>118</v>
      </c>
      <c r="B42" s="10"/>
      <c r="C42" s="10"/>
      <c r="D42" s="10">
        <v>26</v>
      </c>
      <c r="E42" s="10"/>
      <c r="F42" s="10">
        <v>253</v>
      </c>
      <c r="G42" s="10">
        <v>435</v>
      </c>
      <c r="H42" s="10">
        <v>2293</v>
      </c>
      <c r="I42" s="10">
        <v>2469</v>
      </c>
      <c r="J42" s="10"/>
      <c r="K42" s="10"/>
      <c r="L42" s="10">
        <v>5860</v>
      </c>
      <c r="M42" s="10"/>
      <c r="N42" s="10">
        <v>14717</v>
      </c>
      <c r="O42" s="10"/>
      <c r="P42" s="16"/>
      <c r="U42" s="10">
        <f t="shared" si="23"/>
        <v>26</v>
      </c>
      <c r="V42" s="10">
        <f t="shared" si="24"/>
        <v>2293</v>
      </c>
      <c r="W42" s="10">
        <f t="shared" si="25"/>
        <v>5860</v>
      </c>
      <c r="X42" s="16"/>
    </row>
    <row r="43" spans="1:24" x14ac:dyDescent="0.25">
      <c r="A43" s="1" t="s">
        <v>29</v>
      </c>
      <c r="B43" s="11">
        <f t="shared" ref="B43:O43" si="30">SUM(B37:B42)</f>
        <v>0</v>
      </c>
      <c r="C43" s="11">
        <f t="shared" si="30"/>
        <v>0</v>
      </c>
      <c r="D43" s="11">
        <f t="shared" si="30"/>
        <v>678929</v>
      </c>
      <c r="E43" s="11">
        <f t="shared" si="30"/>
        <v>0</v>
      </c>
      <c r="F43" s="11">
        <f t="shared" si="30"/>
        <v>1656430</v>
      </c>
      <c r="G43" s="11">
        <f t="shared" si="30"/>
        <v>1650419</v>
      </c>
      <c r="H43" s="11">
        <f t="shared" si="30"/>
        <v>1628912</v>
      </c>
      <c r="I43" s="11">
        <f t="shared" si="30"/>
        <v>1529282</v>
      </c>
      <c r="J43" s="11">
        <f t="shared" si="30"/>
        <v>0</v>
      </c>
      <c r="K43" s="11">
        <f t="shared" si="30"/>
        <v>0</v>
      </c>
      <c r="L43" s="11">
        <f t="shared" si="30"/>
        <v>1225197</v>
      </c>
      <c r="M43" s="11">
        <f t="shared" si="30"/>
        <v>0</v>
      </c>
      <c r="N43" s="11">
        <f t="shared" si="30"/>
        <v>1401116</v>
      </c>
      <c r="O43" s="11">
        <f t="shared" si="30"/>
        <v>0</v>
      </c>
      <c r="U43" s="11">
        <f>SUM(U37:U42)</f>
        <v>678929</v>
      </c>
      <c r="V43" s="11">
        <f>SUM(V37:V42)</f>
        <v>1628912</v>
      </c>
      <c r="W43" s="11">
        <f>SUM(W37:W42)</f>
        <v>1225197</v>
      </c>
    </row>
    <row r="44" spans="1:24" x14ac:dyDescent="0.25">
      <c r="A44" t="s">
        <v>119</v>
      </c>
      <c r="B44" s="10"/>
      <c r="C44" s="10"/>
      <c r="D44" s="10">
        <v>59945</v>
      </c>
      <c r="E44" s="10"/>
      <c r="F44" s="10">
        <v>84705</v>
      </c>
      <c r="G44" s="10">
        <v>91195</v>
      </c>
      <c r="H44" s="10">
        <v>117473</v>
      </c>
      <c r="I44" s="10">
        <v>123292</v>
      </c>
      <c r="J44" s="10"/>
      <c r="K44" s="10"/>
      <c r="L44" s="10">
        <v>123037</v>
      </c>
      <c r="M44" s="10"/>
      <c r="N44" s="10">
        <v>116475</v>
      </c>
      <c r="O44" s="10"/>
      <c r="U44" s="10">
        <f t="shared" si="23"/>
        <v>59945</v>
      </c>
      <c r="V44" s="10">
        <f t="shared" si="24"/>
        <v>117473</v>
      </c>
      <c r="W44" s="10">
        <f t="shared" si="25"/>
        <v>123037</v>
      </c>
    </row>
    <row r="45" spans="1:24" x14ac:dyDescent="0.25">
      <c r="A45" t="s">
        <v>121</v>
      </c>
      <c r="B45" s="10"/>
      <c r="C45" s="10"/>
      <c r="D45" s="10">
        <v>4632</v>
      </c>
      <c r="E45" s="10"/>
      <c r="F45" s="10">
        <v>20567</v>
      </c>
      <c r="G45" s="10">
        <v>8631</v>
      </c>
      <c r="H45" s="10">
        <v>9614</v>
      </c>
      <c r="I45" s="10">
        <v>14392</v>
      </c>
      <c r="J45" s="10"/>
      <c r="K45" s="10"/>
      <c r="L45" s="10">
        <v>11823</v>
      </c>
      <c r="M45" s="10"/>
      <c r="N45" s="10">
        <v>11644</v>
      </c>
      <c r="O45" s="10"/>
      <c r="U45" s="10">
        <f t="shared" si="23"/>
        <v>4632</v>
      </c>
      <c r="V45" s="10">
        <f t="shared" si="24"/>
        <v>9614</v>
      </c>
      <c r="W45" s="10">
        <f t="shared" si="25"/>
        <v>11823</v>
      </c>
    </row>
    <row r="46" spans="1:24" x14ac:dyDescent="0.25">
      <c r="A46" t="s">
        <v>122</v>
      </c>
      <c r="B46" s="10"/>
      <c r="C46" s="10"/>
      <c r="D46" s="10">
        <v>852</v>
      </c>
      <c r="E46" s="10"/>
      <c r="F46" s="10">
        <v>768</v>
      </c>
      <c r="G46" s="10">
        <v>679</v>
      </c>
      <c r="H46" s="10">
        <v>567</v>
      </c>
      <c r="I46" s="10">
        <v>742</v>
      </c>
      <c r="J46" s="10"/>
      <c r="K46" s="10"/>
      <c r="L46" s="10">
        <v>5515</v>
      </c>
      <c r="M46" s="10"/>
      <c r="N46" s="10">
        <v>4299</v>
      </c>
      <c r="O46" s="10"/>
      <c r="U46" s="10">
        <f t="shared" si="23"/>
        <v>852</v>
      </c>
      <c r="V46" s="10">
        <f t="shared" si="24"/>
        <v>567</v>
      </c>
      <c r="W46" s="10">
        <f t="shared" si="25"/>
        <v>5515</v>
      </c>
    </row>
    <row r="47" spans="1:24" x14ac:dyDescent="0.25">
      <c r="A47" t="s">
        <v>120</v>
      </c>
      <c r="B47" s="10"/>
      <c r="C47" s="10"/>
      <c r="D47" s="10">
        <v>45295</v>
      </c>
      <c r="E47" s="10"/>
      <c r="F47" s="10">
        <v>64316</v>
      </c>
      <c r="G47" s="10">
        <v>70929</v>
      </c>
      <c r="H47" s="10">
        <v>93043</v>
      </c>
      <c r="I47" s="10">
        <v>75621</v>
      </c>
      <c r="J47" s="10"/>
      <c r="K47" s="10"/>
      <c r="L47" s="10">
        <v>82516</v>
      </c>
      <c r="M47" s="10"/>
      <c r="N47" s="10">
        <v>81201</v>
      </c>
      <c r="O47" s="10"/>
      <c r="U47" s="10">
        <f t="shared" si="23"/>
        <v>45295</v>
      </c>
      <c r="V47" s="10">
        <f t="shared" si="24"/>
        <v>93043</v>
      </c>
      <c r="W47" s="10">
        <f t="shared" si="25"/>
        <v>82516</v>
      </c>
    </row>
    <row r="48" spans="1:24" x14ac:dyDescent="0.25">
      <c r="A48" t="s">
        <v>133</v>
      </c>
      <c r="B48" s="10"/>
      <c r="C48" s="10"/>
      <c r="D48" s="10">
        <v>106118</v>
      </c>
      <c r="E48" s="10"/>
      <c r="F48" s="10">
        <v>0</v>
      </c>
      <c r="G48" s="10">
        <v>0</v>
      </c>
      <c r="H48" s="10">
        <v>0</v>
      </c>
      <c r="I48" s="10"/>
      <c r="J48" s="10"/>
      <c r="K48" s="10"/>
      <c r="L48" s="10">
        <v>48471</v>
      </c>
      <c r="M48" s="10"/>
      <c r="N48" s="10">
        <v>400244</v>
      </c>
      <c r="O48" s="10"/>
      <c r="U48" s="10">
        <f t="shared" si="23"/>
        <v>106118</v>
      </c>
      <c r="V48" s="10">
        <f t="shared" si="24"/>
        <v>0</v>
      </c>
      <c r="W48" s="10">
        <f t="shared" si="25"/>
        <v>48471</v>
      </c>
    </row>
    <row r="49" spans="1:24" x14ac:dyDescent="0.25">
      <c r="A49" t="s">
        <v>123</v>
      </c>
      <c r="B49" s="10"/>
      <c r="C49" s="10"/>
      <c r="D49" s="10">
        <v>5532</v>
      </c>
      <c r="E49" s="10"/>
      <c r="F49" s="10">
        <v>2591</v>
      </c>
      <c r="G49" s="54">
        <v>2880</v>
      </c>
      <c r="H49" s="10">
        <v>5987</v>
      </c>
      <c r="I49" s="10">
        <v>5312</v>
      </c>
      <c r="J49" s="10"/>
      <c r="K49" s="10"/>
      <c r="L49" s="10">
        <v>49922</v>
      </c>
      <c r="M49" s="10"/>
      <c r="N49" s="10">
        <v>10332</v>
      </c>
      <c r="O49" s="10"/>
      <c r="U49" s="10">
        <f t="shared" si="23"/>
        <v>5532</v>
      </c>
      <c r="V49" s="10">
        <f t="shared" si="24"/>
        <v>5987</v>
      </c>
      <c r="W49" s="10">
        <f t="shared" si="25"/>
        <v>49922</v>
      </c>
    </row>
    <row r="50" spans="1:24" x14ac:dyDescent="0.25">
      <c r="A50" t="s">
        <v>124</v>
      </c>
      <c r="B50" s="10"/>
      <c r="C50" s="10"/>
      <c r="D50" s="10">
        <v>6261</v>
      </c>
      <c r="E50" s="10"/>
      <c r="F50" s="10">
        <v>7546</v>
      </c>
      <c r="G50" s="10">
        <v>12679</v>
      </c>
      <c r="H50" s="10">
        <v>16703</v>
      </c>
      <c r="I50" s="10">
        <v>20751</v>
      </c>
      <c r="J50" s="10"/>
      <c r="K50" s="10"/>
      <c r="L50" s="10">
        <v>16823</v>
      </c>
      <c r="M50" s="10"/>
      <c r="N50" s="10">
        <v>14720</v>
      </c>
      <c r="O50" s="10"/>
      <c r="U50" s="10">
        <f t="shared" si="23"/>
        <v>6261</v>
      </c>
      <c r="V50" s="10">
        <f t="shared" si="24"/>
        <v>16703</v>
      </c>
      <c r="W50" s="10">
        <f t="shared" si="25"/>
        <v>16823</v>
      </c>
    </row>
    <row r="51" spans="1:24" s="1" customFormat="1" x14ac:dyDescent="0.25">
      <c r="A51" s="1" t="s">
        <v>81</v>
      </c>
      <c r="B51" s="11">
        <f t="shared" ref="B51:O51" si="31">SUM(B44:B50)</f>
        <v>0</v>
      </c>
      <c r="C51" s="11">
        <f t="shared" si="31"/>
        <v>0</v>
      </c>
      <c r="D51" s="11">
        <f t="shared" si="31"/>
        <v>228635</v>
      </c>
      <c r="E51" s="11">
        <f t="shared" si="31"/>
        <v>0</v>
      </c>
      <c r="F51" s="11">
        <f t="shared" si="31"/>
        <v>180493</v>
      </c>
      <c r="G51" s="11">
        <f t="shared" si="31"/>
        <v>186993</v>
      </c>
      <c r="H51" s="11">
        <f t="shared" si="31"/>
        <v>243387</v>
      </c>
      <c r="I51" s="11">
        <f>SUM(I44:I50)</f>
        <v>240110</v>
      </c>
      <c r="J51" s="11">
        <f t="shared" si="31"/>
        <v>0</v>
      </c>
      <c r="K51" s="11">
        <f t="shared" si="31"/>
        <v>0</v>
      </c>
      <c r="L51" s="11">
        <f t="shared" si="31"/>
        <v>338107</v>
      </c>
      <c r="M51" s="11">
        <f t="shared" si="31"/>
        <v>0</v>
      </c>
      <c r="N51" s="11">
        <f t="shared" si="31"/>
        <v>638915</v>
      </c>
      <c r="O51" s="11">
        <f t="shared" si="31"/>
        <v>0</v>
      </c>
      <c r="P51" s="14"/>
      <c r="Q51" s="11"/>
      <c r="R51" s="11"/>
      <c r="S51" s="11"/>
      <c r="T51" s="11"/>
      <c r="U51" s="11">
        <f t="shared" ref="U51" si="32">SUM(U44:U50)</f>
        <v>228635</v>
      </c>
      <c r="V51" s="11">
        <f t="shared" ref="V51" si="33">SUM(V44:V50)</f>
        <v>243387</v>
      </c>
      <c r="W51" s="11">
        <f t="shared" ref="W51" si="34">SUM(W44:W50)</f>
        <v>338107</v>
      </c>
      <c r="X51" s="16"/>
    </row>
    <row r="52" spans="1:24" x14ac:dyDescent="0.25">
      <c r="A52" t="s">
        <v>125</v>
      </c>
      <c r="B52" s="10"/>
      <c r="C52" s="10"/>
      <c r="D52" s="10">
        <v>23883</v>
      </c>
      <c r="E52" s="10"/>
      <c r="F52" s="10">
        <v>65666</v>
      </c>
      <c r="G52" s="10">
        <v>108469</v>
      </c>
      <c r="H52" s="10">
        <v>126516</v>
      </c>
      <c r="I52" s="10">
        <v>128662</v>
      </c>
      <c r="J52" s="10"/>
      <c r="K52" s="10"/>
      <c r="L52" s="10">
        <v>82285</v>
      </c>
      <c r="M52" s="10"/>
      <c r="N52" s="10">
        <v>87418</v>
      </c>
      <c r="O52" s="10"/>
      <c r="U52" s="10">
        <f t="shared" si="23"/>
        <v>23883</v>
      </c>
      <c r="V52" s="10">
        <f t="shared" si="24"/>
        <v>126516</v>
      </c>
      <c r="W52" s="10">
        <f t="shared" si="25"/>
        <v>82285</v>
      </c>
    </row>
    <row r="53" spans="1:24" x14ac:dyDescent="0.25">
      <c r="A53" t="s">
        <v>126</v>
      </c>
      <c r="B53" s="10"/>
      <c r="C53" s="10"/>
      <c r="D53" s="10">
        <v>91655</v>
      </c>
      <c r="E53" s="10"/>
      <c r="F53" s="10">
        <v>4454</v>
      </c>
      <c r="G53" s="10">
        <v>3802</v>
      </c>
      <c r="H53" s="10">
        <v>0</v>
      </c>
      <c r="I53" s="10">
        <v>0</v>
      </c>
      <c r="J53" s="10"/>
      <c r="K53" s="10"/>
      <c r="L53" s="10">
        <v>2668</v>
      </c>
      <c r="M53" s="10"/>
      <c r="N53" s="10">
        <v>115211</v>
      </c>
      <c r="O53" s="10"/>
      <c r="U53" s="10">
        <f t="shared" si="23"/>
        <v>91655</v>
      </c>
      <c r="V53" s="10">
        <f t="shared" si="24"/>
        <v>0</v>
      </c>
      <c r="W53" s="10">
        <f t="shared" si="25"/>
        <v>2668</v>
      </c>
    </row>
    <row r="54" spans="1:24" x14ac:dyDescent="0.25">
      <c r="A54" t="s">
        <v>128</v>
      </c>
      <c r="B54" s="10"/>
      <c r="C54" s="10"/>
      <c r="D54" s="10">
        <f>233+7121</f>
        <v>7354</v>
      </c>
      <c r="E54" s="10"/>
      <c r="F54" s="10">
        <f>11+8163</f>
        <v>8174</v>
      </c>
      <c r="G54" s="10">
        <f>11+8204</f>
        <v>8215</v>
      </c>
      <c r="H54" s="10">
        <v>11033</v>
      </c>
      <c r="I54" s="10">
        <v>12977</v>
      </c>
      <c r="J54" s="10"/>
      <c r="K54" s="10"/>
      <c r="L54" s="10">
        <f>3800+7194</f>
        <v>10994</v>
      </c>
      <c r="M54" s="10"/>
      <c r="N54" s="10">
        <f>6538+6600</f>
        <v>13138</v>
      </c>
      <c r="O54" s="10"/>
      <c r="U54" s="10">
        <f t="shared" si="23"/>
        <v>7354</v>
      </c>
      <c r="V54" s="10">
        <f t="shared" si="24"/>
        <v>11033</v>
      </c>
      <c r="W54" s="10">
        <f t="shared" si="25"/>
        <v>10994</v>
      </c>
    </row>
    <row r="55" spans="1:24" x14ac:dyDescent="0.25">
      <c r="A55" t="s">
        <v>127</v>
      </c>
      <c r="B55" s="10"/>
      <c r="C55" s="10"/>
      <c r="D55" s="10">
        <v>1307</v>
      </c>
      <c r="E55" s="10"/>
      <c r="F55" s="10">
        <v>2670</v>
      </c>
      <c r="G55" s="10">
        <v>2797</v>
      </c>
      <c r="H55" s="10">
        <v>2677</v>
      </c>
      <c r="I55" s="10">
        <v>2610</v>
      </c>
      <c r="J55" s="10"/>
      <c r="K55" s="10"/>
      <c r="L55" s="10">
        <v>0</v>
      </c>
      <c r="M55" s="10"/>
      <c r="N55" s="10">
        <v>637</v>
      </c>
      <c r="O55" s="10"/>
      <c r="U55" s="10">
        <f t="shared" si="23"/>
        <v>1307</v>
      </c>
      <c r="V55" s="10">
        <f t="shared" si="24"/>
        <v>2677</v>
      </c>
      <c r="W55" s="10">
        <f t="shared" si="25"/>
        <v>0</v>
      </c>
    </row>
    <row r="56" spans="1:24" x14ac:dyDescent="0.25">
      <c r="A56" s="1" t="s">
        <v>30</v>
      </c>
      <c r="B56" s="11">
        <f t="shared" ref="B56:O56" si="35">SUM(B51:B55)</f>
        <v>0</v>
      </c>
      <c r="C56" s="11">
        <f t="shared" si="35"/>
        <v>0</v>
      </c>
      <c r="D56" s="11">
        <f t="shared" si="35"/>
        <v>352834</v>
      </c>
      <c r="E56" s="11">
        <f t="shared" si="35"/>
        <v>0</v>
      </c>
      <c r="F56" s="11">
        <f t="shared" si="35"/>
        <v>261457</v>
      </c>
      <c r="G56" s="11">
        <f t="shared" si="35"/>
        <v>310276</v>
      </c>
      <c r="H56" s="11">
        <f t="shared" si="35"/>
        <v>383613</v>
      </c>
      <c r="I56" s="11">
        <f t="shared" si="35"/>
        <v>384359</v>
      </c>
      <c r="J56" s="11">
        <f t="shared" si="35"/>
        <v>0</v>
      </c>
      <c r="K56" s="11">
        <f t="shared" si="35"/>
        <v>0</v>
      </c>
      <c r="L56" s="11">
        <f>SUM(L51:L55)</f>
        <v>434054</v>
      </c>
      <c r="M56" s="11">
        <f t="shared" si="35"/>
        <v>0</v>
      </c>
      <c r="N56" s="11">
        <f t="shared" si="35"/>
        <v>855319</v>
      </c>
      <c r="O56" s="11">
        <f t="shared" si="35"/>
        <v>0</v>
      </c>
      <c r="U56" s="11">
        <f t="shared" ref="U56:W56" si="36">SUM(U51:U55)</f>
        <v>352834</v>
      </c>
      <c r="V56" s="11">
        <f t="shared" si="36"/>
        <v>383613</v>
      </c>
      <c r="W56" s="11">
        <f t="shared" si="36"/>
        <v>434054</v>
      </c>
    </row>
    <row r="57" spans="1:24" x14ac:dyDescent="0.25">
      <c r="U57" s="11"/>
      <c r="V57" s="11"/>
      <c r="W57" s="11"/>
    </row>
    <row r="59" spans="1:24" s="1" customFormat="1" x14ac:dyDescent="0.25">
      <c r="A59" s="1" t="s">
        <v>58</v>
      </c>
      <c r="P59" s="16"/>
      <c r="X59" s="16"/>
    </row>
    <row r="60" spans="1:24" x14ac:dyDescent="0.25">
      <c r="A60" t="s">
        <v>45</v>
      </c>
    </row>
    <row r="61" spans="1:24" x14ac:dyDescent="0.25">
      <c r="A61" t="s">
        <v>24</v>
      </c>
    </row>
    <row r="62" spans="1:24" x14ac:dyDescent="0.25">
      <c r="A62" t="s">
        <v>46</v>
      </c>
    </row>
    <row r="63" spans="1:24" x14ac:dyDescent="0.25">
      <c r="A63" t="s">
        <v>47</v>
      </c>
    </row>
    <row r="64" spans="1:24" x14ac:dyDescent="0.25">
      <c r="A64" t="s">
        <v>27</v>
      </c>
    </row>
    <row r="65" spans="1:24" x14ac:dyDescent="0.25">
      <c r="A65" t="s">
        <v>26</v>
      </c>
    </row>
    <row r="66" spans="1:24" x14ac:dyDescent="0.25">
      <c r="A66" t="s">
        <v>48</v>
      </c>
    </row>
    <row r="67" spans="1:24" x14ac:dyDescent="0.25">
      <c r="A67" t="s">
        <v>31</v>
      </c>
    </row>
    <row r="68" spans="1:24" x14ac:dyDescent="0.25">
      <c r="A68" t="s">
        <v>49</v>
      </c>
    </row>
    <row r="69" spans="1:24" x14ac:dyDescent="0.25">
      <c r="A69" t="s">
        <v>50</v>
      </c>
    </row>
    <row r="70" spans="1:24" x14ac:dyDescent="0.25">
      <c r="A70" t="s">
        <v>51</v>
      </c>
    </row>
    <row r="71" spans="1:24" x14ac:dyDescent="0.25">
      <c r="A71" t="s">
        <v>27</v>
      </c>
    </row>
    <row r="72" spans="1:24" x14ac:dyDescent="0.25">
      <c r="A72" t="s">
        <v>52</v>
      </c>
    </row>
    <row r="73" spans="1:24" x14ac:dyDescent="0.25">
      <c r="A73" t="s">
        <v>53</v>
      </c>
    </row>
    <row r="74" spans="1:24" x14ac:dyDescent="0.25">
      <c r="A74" t="s">
        <v>54</v>
      </c>
    </row>
    <row r="75" spans="1:24" x14ac:dyDescent="0.25">
      <c r="A75" t="s">
        <v>27</v>
      </c>
    </row>
    <row r="76" spans="1:24" x14ac:dyDescent="0.25">
      <c r="A76" t="s">
        <v>55</v>
      </c>
    </row>
    <row r="77" spans="1:24" s="9" customFormat="1" x14ac:dyDescent="0.25">
      <c r="A77" s="9" t="s">
        <v>56</v>
      </c>
      <c r="P77" s="55"/>
      <c r="X77" s="55"/>
    </row>
    <row r="78" spans="1:24" s="1" customFormat="1" x14ac:dyDescent="0.25">
      <c r="A78" s="1" t="s">
        <v>57</v>
      </c>
      <c r="P78" s="16"/>
      <c r="X78" s="16"/>
    </row>
  </sheetData>
  <phoneticPr fontId="3" type="noConversion"/>
  <hyperlinks>
    <hyperlink ref="A1" location="Main!A1" display="Main" xr:uid="{A5C06EBA-D952-421E-93A2-3BF49E6344BF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03BE-2423-4BDB-9A98-002F9CED8953}">
  <dimension ref="A1"/>
  <sheetViews>
    <sheetView topLeftCell="A16" workbookViewId="0">
      <selection activeCell="X27" sqref="X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874F-29D3-4A78-A5E5-1177859C39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C602-D7CA-409B-9962-CCABA92C723B}">
  <dimension ref="A1:L1147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6.85546875" customWidth="1"/>
    <col min="4" max="4" width="12.140625" customWidth="1"/>
    <col min="5" max="5" width="17.28515625" customWidth="1"/>
    <col min="10" max="10" width="10.140625" bestFit="1" customWidth="1"/>
    <col min="12" max="12" width="12.42578125" customWidth="1"/>
    <col min="19" max="19" width="10.140625" customWidth="1"/>
  </cols>
  <sheetData>
    <row r="1" spans="1:12" x14ac:dyDescent="0.25">
      <c r="A1" t="s">
        <v>70</v>
      </c>
      <c r="B1" s="17" t="s">
        <v>71</v>
      </c>
    </row>
    <row r="2" spans="1:12" x14ac:dyDescent="0.25">
      <c r="A2" s="12">
        <v>44336</v>
      </c>
      <c r="B2" s="18">
        <v>20.200001</v>
      </c>
      <c r="D2" t="s">
        <v>70</v>
      </c>
      <c r="E2" t="s">
        <v>72</v>
      </c>
      <c r="L2" t="s">
        <v>73</v>
      </c>
    </row>
    <row r="3" spans="1:12" x14ac:dyDescent="0.25">
      <c r="A3" s="12">
        <v>44337</v>
      </c>
      <c r="B3" s="18">
        <v>22.459999</v>
      </c>
      <c r="D3" s="12">
        <v>45328</v>
      </c>
      <c r="E3" t="s">
        <v>75</v>
      </c>
      <c r="L3" s="12"/>
    </row>
    <row r="4" spans="1:12" x14ac:dyDescent="0.25">
      <c r="A4" s="12">
        <v>44340</v>
      </c>
      <c r="B4" s="18">
        <v>20.73</v>
      </c>
      <c r="D4" s="12">
        <v>45302</v>
      </c>
      <c r="E4" t="s">
        <v>75</v>
      </c>
      <c r="L4" s="12"/>
    </row>
    <row r="5" spans="1:12" x14ac:dyDescent="0.25">
      <c r="A5" s="12">
        <v>44341</v>
      </c>
      <c r="B5" s="18">
        <v>21.200001</v>
      </c>
      <c r="L5" s="12"/>
    </row>
    <row r="6" spans="1:12" x14ac:dyDescent="0.25">
      <c r="A6" s="12">
        <v>44342</v>
      </c>
      <c r="B6" s="18">
        <v>21.620000999999998</v>
      </c>
      <c r="L6" s="12"/>
    </row>
    <row r="7" spans="1:12" x14ac:dyDescent="0.25">
      <c r="A7" s="12">
        <v>44343</v>
      </c>
      <c r="B7" s="18">
        <v>22.120000999999998</v>
      </c>
      <c r="L7" s="12"/>
    </row>
    <row r="8" spans="1:12" x14ac:dyDescent="0.25">
      <c r="A8" s="12">
        <v>44344</v>
      </c>
      <c r="B8" s="18">
        <v>23.709999</v>
      </c>
      <c r="L8" s="12"/>
    </row>
    <row r="9" spans="1:12" x14ac:dyDescent="0.25">
      <c r="A9" s="12">
        <v>44348</v>
      </c>
      <c r="B9" s="18">
        <v>25.15</v>
      </c>
      <c r="L9" s="12"/>
    </row>
    <row r="10" spans="1:12" x14ac:dyDescent="0.25">
      <c r="A10" s="12">
        <v>44349</v>
      </c>
      <c r="B10" s="18">
        <v>23.809999000000001</v>
      </c>
      <c r="L10" s="12"/>
    </row>
    <row r="11" spans="1:12" x14ac:dyDescent="0.25">
      <c r="A11" s="12">
        <v>44350</v>
      </c>
      <c r="B11" s="18">
        <v>23.879999000000002</v>
      </c>
      <c r="L11" s="12"/>
    </row>
    <row r="12" spans="1:12" x14ac:dyDescent="0.25">
      <c r="A12" s="12">
        <v>44351</v>
      </c>
      <c r="B12" s="18">
        <v>23.83</v>
      </c>
      <c r="L12" s="12"/>
    </row>
    <row r="13" spans="1:12" x14ac:dyDescent="0.25">
      <c r="A13" s="12">
        <v>44354</v>
      </c>
      <c r="B13" s="18">
        <v>25</v>
      </c>
    </row>
    <row r="14" spans="1:12" x14ac:dyDescent="0.25">
      <c r="A14" s="12">
        <v>44355</v>
      </c>
      <c r="B14" s="18">
        <v>26.99</v>
      </c>
    </row>
    <row r="15" spans="1:12" x14ac:dyDescent="0.25">
      <c r="A15" s="12">
        <v>44356</v>
      </c>
      <c r="B15" s="18">
        <v>26.309999000000001</v>
      </c>
    </row>
    <row r="16" spans="1:12" x14ac:dyDescent="0.25">
      <c r="A16" s="12">
        <v>44357</v>
      </c>
      <c r="B16" s="18">
        <v>26.65</v>
      </c>
    </row>
    <row r="17" spans="1:2" x14ac:dyDescent="0.25">
      <c r="A17" s="12">
        <v>44358</v>
      </c>
      <c r="B17" s="18">
        <v>28.73</v>
      </c>
    </row>
    <row r="18" spans="1:2" x14ac:dyDescent="0.25">
      <c r="A18" s="12">
        <v>44361</v>
      </c>
      <c r="B18" s="18">
        <v>27.370000999999998</v>
      </c>
    </row>
    <row r="19" spans="1:2" x14ac:dyDescent="0.25">
      <c r="A19" s="12">
        <v>44362</v>
      </c>
      <c r="B19" s="18">
        <v>27.82</v>
      </c>
    </row>
    <row r="20" spans="1:2" x14ac:dyDescent="0.25">
      <c r="A20" s="12">
        <v>44363</v>
      </c>
      <c r="B20" s="18">
        <v>27.49</v>
      </c>
    </row>
    <row r="21" spans="1:2" x14ac:dyDescent="0.25">
      <c r="A21" s="12">
        <v>44364</v>
      </c>
      <c r="B21" s="18">
        <v>26.73</v>
      </c>
    </row>
    <row r="22" spans="1:2" x14ac:dyDescent="0.25">
      <c r="A22" s="12">
        <v>44365</v>
      </c>
      <c r="B22" s="18">
        <v>26</v>
      </c>
    </row>
    <row r="23" spans="1:2" x14ac:dyDescent="0.25">
      <c r="A23" s="12">
        <v>44368</v>
      </c>
      <c r="B23" s="18">
        <v>26.33</v>
      </c>
    </row>
    <row r="24" spans="1:2" x14ac:dyDescent="0.25">
      <c r="A24" s="12">
        <v>44369</v>
      </c>
      <c r="B24" s="18">
        <v>25.799999</v>
      </c>
    </row>
    <row r="25" spans="1:2" x14ac:dyDescent="0.25">
      <c r="A25" s="12">
        <v>44370</v>
      </c>
      <c r="B25" s="18">
        <v>25.84</v>
      </c>
    </row>
    <row r="26" spans="1:2" x14ac:dyDescent="0.25">
      <c r="A26" s="12">
        <v>44371</v>
      </c>
      <c r="B26" s="18">
        <v>24.809999000000001</v>
      </c>
    </row>
    <row r="27" spans="1:2" x14ac:dyDescent="0.25">
      <c r="A27" s="12">
        <v>44372</v>
      </c>
      <c r="B27" s="18">
        <v>24.4</v>
      </c>
    </row>
    <row r="28" spans="1:2" x14ac:dyDescent="0.25">
      <c r="A28" s="12">
        <v>44375</v>
      </c>
      <c r="B28" s="18">
        <v>25.299999</v>
      </c>
    </row>
    <row r="29" spans="1:2" x14ac:dyDescent="0.25">
      <c r="A29" s="12">
        <v>44376</v>
      </c>
      <c r="B29" s="18">
        <v>25.75</v>
      </c>
    </row>
    <row r="30" spans="1:2" x14ac:dyDescent="0.25">
      <c r="A30" s="12">
        <v>44377</v>
      </c>
      <c r="B30" s="18">
        <v>24.459999</v>
      </c>
    </row>
    <row r="31" spans="1:2" x14ac:dyDescent="0.25">
      <c r="A31" s="12">
        <v>44378</v>
      </c>
      <c r="B31" s="18">
        <v>23.4</v>
      </c>
    </row>
    <row r="32" spans="1:2" x14ac:dyDescent="0.25">
      <c r="A32" s="12">
        <v>44379</v>
      </c>
      <c r="B32" s="18">
        <v>23.09</v>
      </c>
    </row>
    <row r="33" spans="1:2" x14ac:dyDescent="0.25">
      <c r="A33" s="12">
        <v>44383</v>
      </c>
      <c r="B33" s="18">
        <v>22.209999</v>
      </c>
    </row>
    <row r="34" spans="1:2" x14ac:dyDescent="0.25">
      <c r="A34" s="12">
        <v>44384</v>
      </c>
      <c r="B34" s="18">
        <v>22.450001</v>
      </c>
    </row>
    <row r="35" spans="1:2" x14ac:dyDescent="0.25">
      <c r="A35" s="12">
        <v>44385</v>
      </c>
      <c r="B35" s="18">
        <v>23.440000999999999</v>
      </c>
    </row>
    <row r="36" spans="1:2" x14ac:dyDescent="0.25">
      <c r="A36" s="12">
        <v>44386</v>
      </c>
      <c r="B36" s="18">
        <v>23</v>
      </c>
    </row>
    <row r="37" spans="1:2" x14ac:dyDescent="0.25">
      <c r="A37" s="12">
        <v>44389</v>
      </c>
      <c r="B37" s="18">
        <v>22.42</v>
      </c>
    </row>
    <row r="38" spans="1:2" x14ac:dyDescent="0.25">
      <c r="A38" s="12">
        <v>44390</v>
      </c>
      <c r="B38" s="18">
        <v>21.129999000000002</v>
      </c>
    </row>
    <row r="39" spans="1:2" x14ac:dyDescent="0.25">
      <c r="A39" s="12">
        <v>44391</v>
      </c>
      <c r="B39" s="18">
        <v>20.540001</v>
      </c>
    </row>
    <row r="40" spans="1:2" x14ac:dyDescent="0.25">
      <c r="A40" s="12">
        <v>44392</v>
      </c>
      <c r="B40" s="18">
        <v>19.48</v>
      </c>
    </row>
    <row r="41" spans="1:2" x14ac:dyDescent="0.25">
      <c r="A41" s="12">
        <v>44393</v>
      </c>
      <c r="B41" s="18">
        <v>19.280000999999999</v>
      </c>
    </row>
    <row r="42" spans="1:2" x14ac:dyDescent="0.25">
      <c r="A42" s="12">
        <v>44396</v>
      </c>
      <c r="B42" s="18">
        <v>19.68</v>
      </c>
    </row>
    <row r="43" spans="1:2" x14ac:dyDescent="0.25">
      <c r="A43" s="12">
        <v>44397</v>
      </c>
      <c r="B43" s="18">
        <v>19.450001</v>
      </c>
    </row>
    <row r="44" spans="1:2" x14ac:dyDescent="0.25">
      <c r="A44" s="12">
        <v>44398</v>
      </c>
      <c r="B44" s="18">
        <v>18.870000999999998</v>
      </c>
    </row>
    <row r="45" spans="1:2" x14ac:dyDescent="0.25">
      <c r="A45" s="12">
        <v>44399</v>
      </c>
      <c r="B45" s="18">
        <v>19.040001</v>
      </c>
    </row>
    <row r="46" spans="1:2" x14ac:dyDescent="0.25">
      <c r="A46" s="12">
        <v>44400</v>
      </c>
      <c r="B46" s="18">
        <v>18.469999000000001</v>
      </c>
    </row>
    <row r="47" spans="1:2" x14ac:dyDescent="0.25">
      <c r="A47" s="12">
        <v>44403</v>
      </c>
      <c r="B47" s="18">
        <v>18.649999999999999</v>
      </c>
    </row>
    <row r="48" spans="1:2" x14ac:dyDescent="0.25">
      <c r="A48" s="12">
        <v>44404</v>
      </c>
      <c r="B48" s="18">
        <v>17.5</v>
      </c>
    </row>
    <row r="49" spans="1:2" x14ac:dyDescent="0.25">
      <c r="A49" s="12">
        <v>44405</v>
      </c>
      <c r="B49" s="18">
        <v>18.120000999999998</v>
      </c>
    </row>
    <row r="50" spans="1:2" x14ac:dyDescent="0.25">
      <c r="A50" s="12">
        <v>44406</v>
      </c>
      <c r="B50" s="18">
        <v>18.290001</v>
      </c>
    </row>
    <row r="51" spans="1:2" x14ac:dyDescent="0.25">
      <c r="A51" s="12">
        <v>44407</v>
      </c>
      <c r="B51" s="18">
        <v>17.75</v>
      </c>
    </row>
    <row r="52" spans="1:2" x14ac:dyDescent="0.25">
      <c r="A52" s="12">
        <v>44410</v>
      </c>
      <c r="B52" s="18">
        <v>18.5</v>
      </c>
    </row>
    <row r="53" spans="1:2" x14ac:dyDescent="0.25">
      <c r="A53" s="12">
        <v>44411</v>
      </c>
      <c r="B53" s="18">
        <v>18.450001</v>
      </c>
    </row>
    <row r="54" spans="1:2" x14ac:dyDescent="0.25">
      <c r="A54" s="12">
        <v>44412</v>
      </c>
      <c r="B54" s="18">
        <v>18.040001</v>
      </c>
    </row>
    <row r="55" spans="1:2" x14ac:dyDescent="0.25">
      <c r="A55" s="12">
        <v>44413</v>
      </c>
      <c r="B55" s="18">
        <v>18.190000999999999</v>
      </c>
    </row>
    <row r="56" spans="1:2" x14ac:dyDescent="0.25">
      <c r="A56" s="12">
        <v>44414</v>
      </c>
      <c r="B56" s="18">
        <v>18.469999000000001</v>
      </c>
    </row>
    <row r="57" spans="1:2" x14ac:dyDescent="0.25">
      <c r="A57" s="12">
        <v>44417</v>
      </c>
      <c r="B57" s="18">
        <v>19.120000999999998</v>
      </c>
    </row>
    <row r="58" spans="1:2" x14ac:dyDescent="0.25">
      <c r="A58" s="12">
        <v>44418</v>
      </c>
      <c r="B58" s="18">
        <v>19.07</v>
      </c>
    </row>
    <row r="59" spans="1:2" x14ac:dyDescent="0.25">
      <c r="A59" s="12">
        <v>44419</v>
      </c>
      <c r="B59" s="18">
        <v>17.41</v>
      </c>
    </row>
    <row r="60" spans="1:2" x14ac:dyDescent="0.25">
      <c r="A60" s="12">
        <v>44420</v>
      </c>
      <c r="B60" s="18">
        <v>16.989999999999998</v>
      </c>
    </row>
    <row r="61" spans="1:2" x14ac:dyDescent="0.25">
      <c r="A61" s="12">
        <v>44421</v>
      </c>
      <c r="B61" s="18">
        <v>16.870000999999998</v>
      </c>
    </row>
    <row r="62" spans="1:2" x14ac:dyDescent="0.25">
      <c r="A62" s="12">
        <v>44424</v>
      </c>
      <c r="B62" s="18">
        <v>16.43</v>
      </c>
    </row>
    <row r="63" spans="1:2" x14ac:dyDescent="0.25">
      <c r="A63" s="12">
        <v>44425</v>
      </c>
      <c r="B63" s="18">
        <v>15.93</v>
      </c>
    </row>
    <row r="64" spans="1:2" x14ac:dyDescent="0.25">
      <c r="A64" s="12">
        <v>44426</v>
      </c>
      <c r="B64" s="18">
        <v>15.16</v>
      </c>
    </row>
    <row r="65" spans="1:2" x14ac:dyDescent="0.25">
      <c r="A65" s="12">
        <v>44427</v>
      </c>
      <c r="B65" s="18">
        <v>15.74</v>
      </c>
    </row>
    <row r="66" spans="1:2" x14ac:dyDescent="0.25">
      <c r="A66" s="12">
        <v>44428</v>
      </c>
      <c r="B66" s="18">
        <v>15.63</v>
      </c>
    </row>
    <row r="67" spans="1:2" x14ac:dyDescent="0.25">
      <c r="A67" s="12">
        <v>44431</v>
      </c>
      <c r="B67" s="18">
        <v>16.190000999999999</v>
      </c>
    </row>
    <row r="68" spans="1:2" x14ac:dyDescent="0.25">
      <c r="A68" s="12">
        <v>44432</v>
      </c>
      <c r="B68" s="18">
        <v>17.399999999999999</v>
      </c>
    </row>
    <row r="69" spans="1:2" x14ac:dyDescent="0.25">
      <c r="A69" s="12">
        <v>44433</v>
      </c>
      <c r="B69" s="18">
        <v>17.690000999999999</v>
      </c>
    </row>
    <row r="70" spans="1:2" x14ac:dyDescent="0.25">
      <c r="A70" s="12">
        <v>44434</v>
      </c>
      <c r="B70" s="18">
        <v>17.850000000000001</v>
      </c>
    </row>
    <row r="71" spans="1:2" x14ac:dyDescent="0.25">
      <c r="A71" s="12">
        <v>44435</v>
      </c>
      <c r="B71" s="18">
        <v>18.299999</v>
      </c>
    </row>
    <row r="72" spans="1:2" x14ac:dyDescent="0.25">
      <c r="A72" s="12">
        <v>44438</v>
      </c>
      <c r="B72" s="18">
        <v>18.809999000000001</v>
      </c>
    </row>
    <row r="73" spans="1:2" x14ac:dyDescent="0.25">
      <c r="A73" s="12">
        <v>44439</v>
      </c>
      <c r="B73" s="18">
        <v>18.219999000000001</v>
      </c>
    </row>
    <row r="74" spans="1:2" x14ac:dyDescent="0.25">
      <c r="A74" s="12">
        <v>44440</v>
      </c>
      <c r="B74" s="18">
        <v>17.829999999999998</v>
      </c>
    </row>
    <row r="75" spans="1:2" x14ac:dyDescent="0.25">
      <c r="A75" s="12">
        <v>44441</v>
      </c>
      <c r="B75" s="18">
        <v>17.66</v>
      </c>
    </row>
    <row r="76" spans="1:2" x14ac:dyDescent="0.25">
      <c r="A76" s="12">
        <v>44442</v>
      </c>
      <c r="B76" s="18">
        <v>16.84</v>
      </c>
    </row>
    <row r="77" spans="1:2" x14ac:dyDescent="0.25">
      <c r="A77" s="12">
        <v>44446</v>
      </c>
      <c r="B77" s="18">
        <v>17.16</v>
      </c>
    </row>
    <row r="78" spans="1:2" x14ac:dyDescent="0.25">
      <c r="A78" s="12">
        <v>44447</v>
      </c>
      <c r="B78" s="18">
        <v>16.889999</v>
      </c>
    </row>
    <row r="79" spans="1:2" x14ac:dyDescent="0.25">
      <c r="A79" s="12">
        <v>44448</v>
      </c>
      <c r="B79" s="18">
        <v>16.489999999999998</v>
      </c>
    </row>
    <row r="80" spans="1:2" x14ac:dyDescent="0.25">
      <c r="A80" s="12">
        <v>44449</v>
      </c>
      <c r="B80" s="18">
        <v>17.450001</v>
      </c>
    </row>
    <row r="81" spans="1:2" x14ac:dyDescent="0.25">
      <c r="A81" s="12">
        <v>44452</v>
      </c>
      <c r="B81" s="18">
        <v>17.870000999999998</v>
      </c>
    </row>
    <row r="82" spans="1:2" x14ac:dyDescent="0.25">
      <c r="A82" s="12">
        <v>44453</v>
      </c>
      <c r="B82" s="18">
        <v>16.93</v>
      </c>
    </row>
    <row r="83" spans="1:2" x14ac:dyDescent="0.25">
      <c r="A83" s="12">
        <v>44454</v>
      </c>
      <c r="B83" s="18">
        <v>16.969999000000001</v>
      </c>
    </row>
    <row r="84" spans="1:2" x14ac:dyDescent="0.25">
      <c r="A84" s="12">
        <v>44455</v>
      </c>
      <c r="B84" s="18">
        <v>16.309999000000001</v>
      </c>
    </row>
    <row r="85" spans="1:2" x14ac:dyDescent="0.25">
      <c r="A85" s="12">
        <v>44456</v>
      </c>
      <c r="B85" s="18">
        <v>16.27</v>
      </c>
    </row>
    <row r="86" spans="1:2" x14ac:dyDescent="0.25">
      <c r="A86" s="12">
        <v>44459</v>
      </c>
      <c r="B86" s="18">
        <v>16.049999</v>
      </c>
    </row>
    <row r="87" spans="1:2" x14ac:dyDescent="0.25">
      <c r="A87" s="12">
        <v>44460</v>
      </c>
      <c r="B87" s="18">
        <v>16.48</v>
      </c>
    </row>
    <row r="88" spans="1:2" x14ac:dyDescent="0.25">
      <c r="A88" s="12">
        <v>44461</v>
      </c>
      <c r="B88" s="18">
        <v>16.48</v>
      </c>
    </row>
    <row r="89" spans="1:2" x14ac:dyDescent="0.25">
      <c r="A89" s="12">
        <v>44462</v>
      </c>
      <c r="B89" s="18">
        <v>16.620000999999998</v>
      </c>
    </row>
    <row r="90" spans="1:2" x14ac:dyDescent="0.25">
      <c r="A90" s="12">
        <v>44463</v>
      </c>
      <c r="B90" s="18">
        <v>16.299999</v>
      </c>
    </row>
    <row r="91" spans="1:2" x14ac:dyDescent="0.25">
      <c r="A91" s="12">
        <v>44466</v>
      </c>
      <c r="B91" s="18">
        <v>16.030000999999999</v>
      </c>
    </row>
    <row r="92" spans="1:2" x14ac:dyDescent="0.25">
      <c r="A92" s="12">
        <v>44467</v>
      </c>
      <c r="B92" s="18">
        <v>15.91</v>
      </c>
    </row>
    <row r="93" spans="1:2" x14ac:dyDescent="0.25">
      <c r="A93" s="12">
        <v>44468</v>
      </c>
      <c r="B93" s="18">
        <v>15.11</v>
      </c>
    </row>
    <row r="94" spans="1:2" x14ac:dyDescent="0.25">
      <c r="A94" s="12">
        <v>44469</v>
      </c>
      <c r="B94" s="18">
        <v>15.12</v>
      </c>
    </row>
    <row r="95" spans="1:2" x14ac:dyDescent="0.25">
      <c r="A95" s="12">
        <v>44470</v>
      </c>
      <c r="B95" s="18">
        <v>14.75</v>
      </c>
    </row>
    <row r="96" spans="1:2" x14ac:dyDescent="0.25">
      <c r="A96" s="12">
        <v>44473</v>
      </c>
      <c r="B96" s="18">
        <v>13.81</v>
      </c>
    </row>
    <row r="97" spans="1:2" x14ac:dyDescent="0.25">
      <c r="A97" s="12">
        <v>44474</v>
      </c>
      <c r="B97" s="18">
        <v>13.63</v>
      </c>
    </row>
    <row r="98" spans="1:2" x14ac:dyDescent="0.25">
      <c r="A98" s="12">
        <v>44475</v>
      </c>
      <c r="B98" s="18">
        <v>13.5</v>
      </c>
    </row>
    <row r="99" spans="1:2" x14ac:dyDescent="0.25">
      <c r="A99" s="12">
        <v>44476</v>
      </c>
      <c r="B99" s="18">
        <v>14.73</v>
      </c>
    </row>
    <row r="100" spans="1:2" x14ac:dyDescent="0.25">
      <c r="A100" s="12">
        <v>44477</v>
      </c>
      <c r="B100" s="18">
        <v>14.6</v>
      </c>
    </row>
    <row r="101" spans="1:2" x14ac:dyDescent="0.25">
      <c r="A101" s="12">
        <v>44480</v>
      </c>
      <c r="B101" s="18">
        <v>14.15</v>
      </c>
    </row>
    <row r="102" spans="1:2" x14ac:dyDescent="0.25">
      <c r="A102" s="12">
        <v>44481</v>
      </c>
      <c r="B102" s="18">
        <v>14.19</v>
      </c>
    </row>
    <row r="103" spans="1:2" x14ac:dyDescent="0.25">
      <c r="A103" s="12">
        <v>44482</v>
      </c>
      <c r="B103" s="18">
        <v>14.33</v>
      </c>
    </row>
    <row r="104" spans="1:2" x14ac:dyDescent="0.25">
      <c r="A104" s="12">
        <v>44483</v>
      </c>
      <c r="B104" s="18">
        <v>14.87</v>
      </c>
    </row>
    <row r="105" spans="1:2" x14ac:dyDescent="0.25">
      <c r="A105" s="12">
        <v>44484</v>
      </c>
      <c r="B105" s="18">
        <v>14.51</v>
      </c>
    </row>
    <row r="106" spans="1:2" x14ac:dyDescent="0.25">
      <c r="A106" s="12">
        <v>44487</v>
      </c>
      <c r="B106" s="18">
        <v>14.28</v>
      </c>
    </row>
    <row r="107" spans="1:2" x14ac:dyDescent="0.25">
      <c r="A107" s="12">
        <v>44488</v>
      </c>
      <c r="B107" s="18">
        <v>14.63</v>
      </c>
    </row>
    <row r="108" spans="1:2" x14ac:dyDescent="0.25">
      <c r="A108" s="12">
        <v>44489</v>
      </c>
      <c r="B108" s="18">
        <v>14.51</v>
      </c>
    </row>
    <row r="109" spans="1:2" x14ac:dyDescent="0.25">
      <c r="A109" s="12">
        <v>44490</v>
      </c>
      <c r="B109" s="18">
        <v>14.17</v>
      </c>
    </row>
    <row r="110" spans="1:2" x14ac:dyDescent="0.25">
      <c r="A110" s="12">
        <v>44491</v>
      </c>
      <c r="B110" s="18">
        <v>14.01</v>
      </c>
    </row>
    <row r="111" spans="1:2" x14ac:dyDescent="0.25">
      <c r="A111" s="12">
        <v>44494</v>
      </c>
      <c r="B111" s="18">
        <v>14.17</v>
      </c>
    </row>
    <row r="112" spans="1:2" x14ac:dyDescent="0.25">
      <c r="A112" s="12">
        <v>44495</v>
      </c>
      <c r="B112" s="18">
        <v>13.89</v>
      </c>
    </row>
    <row r="113" spans="1:2" x14ac:dyDescent="0.25">
      <c r="A113" s="12">
        <v>44496</v>
      </c>
      <c r="B113" s="18">
        <v>12.99</v>
      </c>
    </row>
    <row r="114" spans="1:2" x14ac:dyDescent="0.25">
      <c r="A114" s="12">
        <v>44497</v>
      </c>
      <c r="B114" s="18">
        <v>13.33</v>
      </c>
    </row>
    <row r="115" spans="1:2" x14ac:dyDescent="0.25">
      <c r="A115" s="12">
        <v>44498</v>
      </c>
      <c r="B115" s="18">
        <v>12.89</v>
      </c>
    </row>
    <row r="116" spans="1:2" x14ac:dyDescent="0.25">
      <c r="A116" s="12">
        <v>44501</v>
      </c>
      <c r="B116" s="18">
        <v>13.19</v>
      </c>
    </row>
    <row r="117" spans="1:2" x14ac:dyDescent="0.25">
      <c r="A117" s="12">
        <v>44502</v>
      </c>
      <c r="B117" s="18">
        <v>12.83</v>
      </c>
    </row>
    <row r="118" spans="1:2" x14ac:dyDescent="0.25">
      <c r="A118" s="12">
        <v>44503</v>
      </c>
      <c r="B118" s="18">
        <v>13.67</v>
      </c>
    </row>
    <row r="119" spans="1:2" x14ac:dyDescent="0.25">
      <c r="A119" s="12">
        <v>44504</v>
      </c>
      <c r="B119" s="18">
        <v>13.19</v>
      </c>
    </row>
    <row r="120" spans="1:2" x14ac:dyDescent="0.25">
      <c r="A120" s="12">
        <v>44505</v>
      </c>
      <c r="B120" s="18">
        <v>13.15</v>
      </c>
    </row>
    <row r="121" spans="1:2" x14ac:dyDescent="0.25">
      <c r="A121" s="12">
        <v>44508</v>
      </c>
      <c r="B121" s="18">
        <v>12.67</v>
      </c>
    </row>
    <row r="122" spans="1:2" x14ac:dyDescent="0.25">
      <c r="A122" s="12">
        <v>44509</v>
      </c>
      <c r="B122" s="18">
        <v>12.9</v>
      </c>
    </row>
    <row r="123" spans="1:2" x14ac:dyDescent="0.25">
      <c r="A123" s="12">
        <v>44510</v>
      </c>
      <c r="B123" s="18">
        <v>12.36</v>
      </c>
    </row>
    <row r="124" spans="1:2" x14ac:dyDescent="0.25">
      <c r="A124" s="12">
        <v>44511</v>
      </c>
      <c r="B124" s="18">
        <v>11.3</v>
      </c>
    </row>
    <row r="125" spans="1:2" x14ac:dyDescent="0.25">
      <c r="A125" s="12">
        <v>44512</v>
      </c>
      <c r="B125" s="18">
        <v>11.82</v>
      </c>
    </row>
    <row r="126" spans="1:2" x14ac:dyDescent="0.25">
      <c r="A126" s="12">
        <v>44515</v>
      </c>
      <c r="B126" s="18">
        <v>9.36</v>
      </c>
    </row>
    <row r="127" spans="1:2" x14ac:dyDescent="0.25">
      <c r="A127" s="12">
        <v>44516</v>
      </c>
      <c r="B127" s="18">
        <v>10.18</v>
      </c>
    </row>
    <row r="128" spans="1:2" x14ac:dyDescent="0.25">
      <c r="A128" s="12">
        <v>44517</v>
      </c>
      <c r="B128" s="18">
        <v>9.44</v>
      </c>
    </row>
    <row r="129" spans="1:2" x14ac:dyDescent="0.25">
      <c r="A129" s="12">
        <v>44518</v>
      </c>
      <c r="B129" s="18">
        <v>9.8699999999999992</v>
      </c>
    </row>
    <row r="130" spans="1:2" x14ac:dyDescent="0.25">
      <c r="A130" s="12">
        <v>44519</v>
      </c>
      <c r="B130" s="18">
        <v>10.050000000000001</v>
      </c>
    </row>
    <row r="131" spans="1:2" x14ac:dyDescent="0.25">
      <c r="A131" s="12">
        <v>44522</v>
      </c>
      <c r="B131" s="18">
        <v>9.1999999999999993</v>
      </c>
    </row>
    <row r="132" spans="1:2" x14ac:dyDescent="0.25">
      <c r="A132" s="12">
        <v>44523</v>
      </c>
      <c r="B132" s="18">
        <v>9.52</v>
      </c>
    </row>
    <row r="133" spans="1:2" x14ac:dyDescent="0.25">
      <c r="A133" s="12">
        <v>44524</v>
      </c>
      <c r="B133" s="18">
        <v>9.81</v>
      </c>
    </row>
    <row r="134" spans="1:2" x14ac:dyDescent="0.25">
      <c r="A134" s="12">
        <v>44526</v>
      </c>
      <c r="B134" s="18">
        <v>9.67</v>
      </c>
    </row>
    <row r="135" spans="1:2" x14ac:dyDescent="0.25">
      <c r="A135" s="12">
        <v>44529</v>
      </c>
      <c r="B135" s="18">
        <v>9.31</v>
      </c>
    </row>
    <row r="136" spans="1:2" x14ac:dyDescent="0.25">
      <c r="A136" s="12">
        <v>44530</v>
      </c>
      <c r="B136" s="18">
        <v>8.9499999999999993</v>
      </c>
    </row>
    <row r="137" spans="1:2" x14ac:dyDescent="0.25">
      <c r="A137" s="12">
        <v>44531</v>
      </c>
      <c r="B137" s="18">
        <v>8.4</v>
      </c>
    </row>
    <row r="138" spans="1:2" x14ac:dyDescent="0.25">
      <c r="A138" s="12">
        <v>44532</v>
      </c>
      <c r="B138" s="18">
        <v>8.23</v>
      </c>
    </row>
    <row r="139" spans="1:2" x14ac:dyDescent="0.25">
      <c r="A139" s="12">
        <v>44533</v>
      </c>
      <c r="B139" s="18">
        <v>8</v>
      </c>
    </row>
    <row r="140" spans="1:2" x14ac:dyDescent="0.25">
      <c r="A140" s="12">
        <v>44536</v>
      </c>
      <c r="B140" s="18">
        <v>8.0299999999999994</v>
      </c>
    </row>
    <row r="141" spans="1:2" x14ac:dyDescent="0.25">
      <c r="A141" s="12">
        <v>44537</v>
      </c>
      <c r="B141" s="18">
        <v>8.77</v>
      </c>
    </row>
    <row r="142" spans="1:2" x14ac:dyDescent="0.25">
      <c r="A142" s="12">
        <v>44538</v>
      </c>
      <c r="B142" s="18">
        <v>8.8000000000000007</v>
      </c>
    </row>
    <row r="143" spans="1:2" x14ac:dyDescent="0.25">
      <c r="A143" s="12">
        <v>44539</v>
      </c>
      <c r="B143" s="18">
        <v>8.6300000000000008</v>
      </c>
    </row>
    <row r="144" spans="1:2" x14ac:dyDescent="0.25">
      <c r="A144" s="12">
        <v>44540</v>
      </c>
      <c r="B144" s="18">
        <v>8.5</v>
      </c>
    </row>
    <row r="145" spans="1:2" x14ac:dyDescent="0.25">
      <c r="A145" s="12">
        <v>44543</v>
      </c>
      <c r="B145" s="18">
        <v>8.19</v>
      </c>
    </row>
    <row r="146" spans="1:2" x14ac:dyDescent="0.25">
      <c r="A146" s="12">
        <v>44544</v>
      </c>
      <c r="B146" s="18">
        <v>8.1999999999999993</v>
      </c>
    </row>
    <row r="147" spans="1:2" x14ac:dyDescent="0.25">
      <c r="A147" s="12">
        <v>44545</v>
      </c>
      <c r="B147" s="18">
        <v>8.1</v>
      </c>
    </row>
    <row r="148" spans="1:2" x14ac:dyDescent="0.25">
      <c r="A148" s="12">
        <v>44546</v>
      </c>
      <c r="B148" s="18">
        <v>7.9</v>
      </c>
    </row>
    <row r="149" spans="1:2" x14ac:dyDescent="0.25">
      <c r="A149" s="12">
        <v>44547</v>
      </c>
      <c r="B149" s="18">
        <v>7.99</v>
      </c>
    </row>
    <row r="150" spans="1:2" x14ac:dyDescent="0.25">
      <c r="A150" s="12">
        <v>44550</v>
      </c>
      <c r="B150" s="18">
        <v>7.69</v>
      </c>
    </row>
    <row r="151" spans="1:2" x14ac:dyDescent="0.25">
      <c r="A151" s="12">
        <v>44551</v>
      </c>
      <c r="B151" s="18">
        <v>7.88</v>
      </c>
    </row>
    <row r="152" spans="1:2" x14ac:dyDescent="0.25">
      <c r="A152" s="12">
        <v>44552</v>
      </c>
      <c r="B152" s="18">
        <v>7.61</v>
      </c>
    </row>
    <row r="153" spans="1:2" x14ac:dyDescent="0.25">
      <c r="A153" s="12">
        <v>44553</v>
      </c>
      <c r="B153" s="18">
        <v>8.14</v>
      </c>
    </row>
    <row r="154" spans="1:2" x14ac:dyDescent="0.25">
      <c r="A154" s="12">
        <v>44557</v>
      </c>
      <c r="B154" s="18">
        <v>8.01</v>
      </c>
    </row>
    <row r="155" spans="1:2" x14ac:dyDescent="0.25">
      <c r="A155" s="12">
        <v>44558</v>
      </c>
      <c r="B155" s="18">
        <v>7.8</v>
      </c>
    </row>
    <row r="156" spans="1:2" x14ac:dyDescent="0.25">
      <c r="A156" s="12">
        <v>44559</v>
      </c>
      <c r="B156" s="18">
        <v>7.88</v>
      </c>
    </row>
    <row r="157" spans="1:2" x14ac:dyDescent="0.25">
      <c r="A157" s="12">
        <v>44560</v>
      </c>
      <c r="B157" s="18">
        <v>8.0399999999999991</v>
      </c>
    </row>
    <row r="158" spans="1:2" x14ac:dyDescent="0.25">
      <c r="A158" s="12">
        <v>44561</v>
      </c>
      <c r="B158" s="18">
        <v>7.96</v>
      </c>
    </row>
    <row r="159" spans="1:2" x14ac:dyDescent="0.25">
      <c r="A159" s="12">
        <v>44564</v>
      </c>
      <c r="B159" s="18">
        <v>8.3699999999999992</v>
      </c>
    </row>
    <row r="160" spans="1:2" x14ac:dyDescent="0.25">
      <c r="A160" s="12">
        <v>44565</v>
      </c>
      <c r="B160" s="18">
        <v>8.0399999999999991</v>
      </c>
    </row>
    <row r="161" spans="1:2" x14ac:dyDescent="0.25">
      <c r="A161" s="12">
        <v>44566</v>
      </c>
      <c r="B161" s="18">
        <v>7.9</v>
      </c>
    </row>
    <row r="162" spans="1:2" x14ac:dyDescent="0.25">
      <c r="A162" s="12">
        <v>44567</v>
      </c>
      <c r="B162" s="18">
        <v>8.1199999999999992</v>
      </c>
    </row>
    <row r="163" spans="1:2" x14ac:dyDescent="0.25">
      <c r="A163" s="12">
        <v>44568</v>
      </c>
      <c r="B163" s="18">
        <v>7.98</v>
      </c>
    </row>
    <row r="164" spans="1:2" x14ac:dyDescent="0.25">
      <c r="A164" s="12">
        <v>44571</v>
      </c>
      <c r="B164" s="18">
        <v>7.25</v>
      </c>
    </row>
    <row r="165" spans="1:2" x14ac:dyDescent="0.25">
      <c r="A165" s="12">
        <v>44572</v>
      </c>
      <c r="B165" s="18">
        <v>8.2100000000000009</v>
      </c>
    </row>
    <row r="166" spans="1:2" x14ac:dyDescent="0.25">
      <c r="A166" s="12">
        <v>44573</v>
      </c>
      <c r="B166" s="18">
        <v>7.82</v>
      </c>
    </row>
    <row r="167" spans="1:2" x14ac:dyDescent="0.25">
      <c r="A167" s="12">
        <v>44574</v>
      </c>
      <c r="B167" s="18">
        <v>7.72</v>
      </c>
    </row>
    <row r="168" spans="1:2" x14ac:dyDescent="0.25">
      <c r="A168" s="12">
        <v>44575</v>
      </c>
      <c r="B168" s="18">
        <v>7.41</v>
      </c>
    </row>
    <row r="169" spans="1:2" x14ac:dyDescent="0.25">
      <c r="A169" s="12">
        <v>44579</v>
      </c>
      <c r="B169" s="18">
        <v>7</v>
      </c>
    </row>
    <row r="170" spans="1:2" x14ac:dyDescent="0.25">
      <c r="A170" s="12">
        <v>44580</v>
      </c>
      <c r="B170" s="18">
        <v>6.91</v>
      </c>
    </row>
    <row r="171" spans="1:2" x14ac:dyDescent="0.25">
      <c r="A171" s="12">
        <v>44581</v>
      </c>
      <c r="B171" s="18">
        <v>6.83</v>
      </c>
    </row>
    <row r="172" spans="1:2" x14ac:dyDescent="0.25">
      <c r="A172" s="12">
        <v>44582</v>
      </c>
      <c r="B172" s="18">
        <v>6.53</v>
      </c>
    </row>
    <row r="173" spans="1:2" x14ac:dyDescent="0.25">
      <c r="A173" s="12">
        <v>44585</v>
      </c>
      <c r="B173" s="18">
        <v>6.88</v>
      </c>
    </row>
    <row r="174" spans="1:2" x14ac:dyDescent="0.25">
      <c r="A174" s="12">
        <v>44586</v>
      </c>
      <c r="B174" s="18">
        <v>6.85</v>
      </c>
    </row>
    <row r="175" spans="1:2" x14ac:dyDescent="0.25">
      <c r="A175" s="12">
        <v>44587</v>
      </c>
      <c r="B175" s="18">
        <v>6.68</v>
      </c>
    </row>
    <row r="176" spans="1:2" x14ac:dyDescent="0.25">
      <c r="A176" s="12">
        <v>44588</v>
      </c>
      <c r="B176" s="18">
        <v>6.25</v>
      </c>
    </row>
    <row r="177" spans="1:2" x14ac:dyDescent="0.25">
      <c r="A177" s="12">
        <v>44589</v>
      </c>
      <c r="B177" s="18">
        <v>6.65</v>
      </c>
    </row>
    <row r="178" spans="1:2" x14ac:dyDescent="0.25">
      <c r="A178" s="12">
        <v>44592</v>
      </c>
      <c r="B178" s="18">
        <v>7.11</v>
      </c>
    </row>
    <row r="179" spans="1:2" x14ac:dyDescent="0.25">
      <c r="A179" s="12">
        <v>44593</v>
      </c>
      <c r="B179" s="18">
        <v>7.3</v>
      </c>
    </row>
    <row r="180" spans="1:2" x14ac:dyDescent="0.25">
      <c r="A180" s="12">
        <v>44594</v>
      </c>
      <c r="B180" s="18">
        <v>7</v>
      </c>
    </row>
    <row r="181" spans="1:2" x14ac:dyDescent="0.25">
      <c r="A181" s="12">
        <v>44595</v>
      </c>
      <c r="B181" s="18">
        <v>6.73</v>
      </c>
    </row>
    <row r="182" spans="1:2" x14ac:dyDescent="0.25">
      <c r="A182" s="12">
        <v>44596</v>
      </c>
      <c r="B182" s="18">
        <v>6.88</v>
      </c>
    </row>
    <row r="183" spans="1:2" x14ac:dyDescent="0.25">
      <c r="A183" s="12">
        <v>44599</v>
      </c>
      <c r="B183" s="18">
        <v>7.1</v>
      </c>
    </row>
    <row r="184" spans="1:2" x14ac:dyDescent="0.25">
      <c r="A184" s="12">
        <v>44600</v>
      </c>
      <c r="B184" s="18">
        <v>7.25</v>
      </c>
    </row>
    <row r="185" spans="1:2" x14ac:dyDescent="0.25">
      <c r="A185" s="12">
        <v>44601</v>
      </c>
      <c r="B185" s="18">
        <v>7.62</v>
      </c>
    </row>
    <row r="186" spans="1:2" x14ac:dyDescent="0.25">
      <c r="A186" s="12">
        <v>44602</v>
      </c>
      <c r="B186" s="18">
        <v>7.53</v>
      </c>
    </row>
    <row r="187" spans="1:2" x14ac:dyDescent="0.25">
      <c r="A187" s="12">
        <v>44603</v>
      </c>
      <c r="B187" s="18">
        <v>7.33</v>
      </c>
    </row>
    <row r="188" spans="1:2" x14ac:dyDescent="0.25">
      <c r="A188" s="12">
        <v>44606</v>
      </c>
      <c r="B188" s="18">
        <v>7.36</v>
      </c>
    </row>
    <row r="189" spans="1:2" x14ac:dyDescent="0.25">
      <c r="A189" s="12">
        <v>44607</v>
      </c>
      <c r="B189" s="18">
        <v>7.87</v>
      </c>
    </row>
    <row r="190" spans="1:2" x14ac:dyDescent="0.25">
      <c r="A190" s="12">
        <v>44608</v>
      </c>
      <c r="B190" s="18">
        <v>7.8</v>
      </c>
    </row>
    <row r="191" spans="1:2" x14ac:dyDescent="0.25">
      <c r="A191" s="12">
        <v>44609</v>
      </c>
      <c r="B191" s="18">
        <v>7.31</v>
      </c>
    </row>
    <row r="192" spans="1:2" x14ac:dyDescent="0.25">
      <c r="A192" s="12">
        <v>44610</v>
      </c>
      <c r="B192" s="18">
        <v>6.97</v>
      </c>
    </row>
    <row r="193" spans="1:2" x14ac:dyDescent="0.25">
      <c r="A193" s="12">
        <v>44614</v>
      </c>
      <c r="B193" s="18">
        <v>6.83</v>
      </c>
    </row>
    <row r="194" spans="1:2" x14ac:dyDescent="0.25">
      <c r="A194" s="12">
        <v>44615</v>
      </c>
      <c r="B194" s="18">
        <v>6.36</v>
      </c>
    </row>
    <row r="195" spans="1:2" x14ac:dyDescent="0.25">
      <c r="A195" s="12">
        <v>44616</v>
      </c>
      <c r="B195" s="18">
        <v>6.82</v>
      </c>
    </row>
    <row r="196" spans="1:2" x14ac:dyDescent="0.25">
      <c r="A196" s="12">
        <v>44617</v>
      </c>
      <c r="B196" s="18">
        <v>6.73</v>
      </c>
    </row>
    <row r="197" spans="1:2" x14ac:dyDescent="0.25">
      <c r="A197" s="12">
        <v>44620</v>
      </c>
      <c r="B197" s="18">
        <v>6.75</v>
      </c>
    </row>
    <row r="198" spans="1:2" x14ac:dyDescent="0.25">
      <c r="A198" s="12">
        <v>44621</v>
      </c>
      <c r="B198" s="18">
        <v>6.7</v>
      </c>
    </row>
    <row r="199" spans="1:2" x14ac:dyDescent="0.25">
      <c r="A199" s="12">
        <v>44622</v>
      </c>
      <c r="B199" s="18">
        <v>6.73</v>
      </c>
    </row>
    <row r="200" spans="1:2" x14ac:dyDescent="0.25">
      <c r="A200" s="12">
        <v>44623</v>
      </c>
      <c r="B200" s="18">
        <v>6.66</v>
      </c>
    </row>
    <row r="201" spans="1:2" x14ac:dyDescent="0.25">
      <c r="A201" s="12">
        <v>44624</v>
      </c>
      <c r="B201" s="18">
        <v>6.18</v>
      </c>
    </row>
    <row r="202" spans="1:2" x14ac:dyDescent="0.25">
      <c r="A202" s="12">
        <v>44627</v>
      </c>
      <c r="B202" s="18">
        <v>5.71</v>
      </c>
    </row>
    <row r="203" spans="1:2" x14ac:dyDescent="0.25">
      <c r="A203" s="12">
        <v>44628</v>
      </c>
      <c r="B203" s="18">
        <v>5.73</v>
      </c>
    </row>
    <row r="204" spans="1:2" x14ac:dyDescent="0.25">
      <c r="A204" s="12">
        <v>44629</v>
      </c>
      <c r="B204" s="18">
        <v>5.72</v>
      </c>
    </row>
    <row r="205" spans="1:2" x14ac:dyDescent="0.25">
      <c r="A205" s="12">
        <v>44630</v>
      </c>
      <c r="B205" s="18">
        <v>5.37</v>
      </c>
    </row>
    <row r="206" spans="1:2" x14ac:dyDescent="0.25">
      <c r="A206" s="12">
        <v>44631</v>
      </c>
      <c r="B206" s="18">
        <v>4.99</v>
      </c>
    </row>
    <row r="207" spans="1:2" x14ac:dyDescent="0.25">
      <c r="A207" s="12">
        <v>44634</v>
      </c>
      <c r="B207" s="18">
        <v>4.71</v>
      </c>
    </row>
    <row r="208" spans="1:2" x14ac:dyDescent="0.25">
      <c r="A208" s="12">
        <v>44635</v>
      </c>
      <c r="B208" s="18">
        <v>4.8</v>
      </c>
    </row>
    <row r="209" spans="1:2" x14ac:dyDescent="0.25">
      <c r="A209" s="12">
        <v>44636</v>
      </c>
      <c r="B209" s="18">
        <v>5.23</v>
      </c>
    </row>
    <row r="210" spans="1:2" x14ac:dyDescent="0.25">
      <c r="A210" s="12">
        <v>44637</v>
      </c>
      <c r="B210" s="18">
        <v>5.29</v>
      </c>
    </row>
    <row r="211" spans="1:2" x14ac:dyDescent="0.25">
      <c r="A211" s="12">
        <v>44638</v>
      </c>
      <c r="B211" s="18">
        <v>5.72</v>
      </c>
    </row>
    <row r="212" spans="1:2" x14ac:dyDescent="0.25">
      <c r="A212" s="12">
        <v>44641</v>
      </c>
      <c r="B212" s="18">
        <v>5.49</v>
      </c>
    </row>
    <row r="213" spans="1:2" x14ac:dyDescent="0.25">
      <c r="A213" s="12">
        <v>44642</v>
      </c>
      <c r="B213" s="18">
        <v>5.53</v>
      </c>
    </row>
    <row r="214" spans="1:2" x14ac:dyDescent="0.25">
      <c r="A214" s="12">
        <v>44643</v>
      </c>
      <c r="B214" s="18">
        <v>5.31</v>
      </c>
    </row>
    <row r="215" spans="1:2" x14ac:dyDescent="0.25">
      <c r="A215" s="12">
        <v>44644</v>
      </c>
      <c r="B215" s="18">
        <v>5.19</v>
      </c>
    </row>
    <row r="216" spans="1:2" x14ac:dyDescent="0.25">
      <c r="A216" s="12">
        <v>44645</v>
      </c>
      <c r="B216" s="18">
        <v>5.12</v>
      </c>
    </row>
    <row r="217" spans="1:2" x14ac:dyDescent="0.25">
      <c r="A217" s="12">
        <v>44648</v>
      </c>
      <c r="B217" s="18">
        <v>5.03</v>
      </c>
    </row>
    <row r="218" spans="1:2" x14ac:dyDescent="0.25">
      <c r="A218" s="12">
        <v>44649</v>
      </c>
      <c r="B218" s="18">
        <v>5.4</v>
      </c>
    </row>
    <row r="219" spans="1:2" x14ac:dyDescent="0.25">
      <c r="A219" s="12">
        <v>44650</v>
      </c>
      <c r="B219" s="18">
        <v>5.04</v>
      </c>
    </row>
    <row r="220" spans="1:2" x14ac:dyDescent="0.25">
      <c r="A220" s="12">
        <v>44651</v>
      </c>
      <c r="B220" s="18">
        <v>5.01</v>
      </c>
    </row>
    <row r="221" spans="1:2" x14ac:dyDescent="0.25">
      <c r="A221" s="12">
        <v>44652</v>
      </c>
      <c r="B221" s="18">
        <v>5.08</v>
      </c>
    </row>
    <row r="222" spans="1:2" x14ac:dyDescent="0.25">
      <c r="A222" s="12">
        <v>44655</v>
      </c>
      <c r="B222" s="18">
        <v>5.33</v>
      </c>
    </row>
    <row r="223" spans="1:2" x14ac:dyDescent="0.25">
      <c r="A223" s="12">
        <v>44656</v>
      </c>
      <c r="B223" s="18">
        <v>5.1100000000000003</v>
      </c>
    </row>
    <row r="224" spans="1:2" x14ac:dyDescent="0.25">
      <c r="A224" s="12">
        <v>44657</v>
      </c>
      <c r="B224" s="18">
        <v>4.68</v>
      </c>
    </row>
    <row r="225" spans="1:2" x14ac:dyDescent="0.25">
      <c r="A225" s="12">
        <v>44658</v>
      </c>
      <c r="B225" s="18">
        <v>4.5199999999999996</v>
      </c>
    </row>
    <row r="226" spans="1:2" x14ac:dyDescent="0.25">
      <c r="A226" s="12">
        <v>44659</v>
      </c>
      <c r="B226" s="18">
        <v>4.45</v>
      </c>
    </row>
    <row r="227" spans="1:2" x14ac:dyDescent="0.25">
      <c r="A227" s="12">
        <v>44662</v>
      </c>
      <c r="B227" s="18">
        <v>4.46</v>
      </c>
    </row>
    <row r="228" spans="1:2" x14ac:dyDescent="0.25">
      <c r="A228" s="12">
        <v>44663</v>
      </c>
      <c r="B228" s="18">
        <v>4.3099999999999996</v>
      </c>
    </row>
    <row r="229" spans="1:2" x14ac:dyDescent="0.25">
      <c r="A229" s="12">
        <v>44664</v>
      </c>
      <c r="B229" s="18">
        <v>4.37</v>
      </c>
    </row>
    <row r="230" spans="1:2" x14ac:dyDescent="0.25">
      <c r="A230" s="12">
        <v>44665</v>
      </c>
      <c r="B230" s="18">
        <v>4.34</v>
      </c>
    </row>
    <row r="231" spans="1:2" x14ac:dyDescent="0.25">
      <c r="A231" s="12">
        <v>44669</v>
      </c>
      <c r="B231" s="18">
        <v>4.12</v>
      </c>
    </row>
    <row r="232" spans="1:2" x14ac:dyDescent="0.25">
      <c r="A232" s="12">
        <v>44670</v>
      </c>
      <c r="B232" s="18">
        <v>4.26</v>
      </c>
    </row>
    <row r="233" spans="1:2" x14ac:dyDescent="0.25">
      <c r="A233" s="12">
        <v>44671</v>
      </c>
      <c r="B233" s="18">
        <v>4.0599999999999996</v>
      </c>
    </row>
    <row r="234" spans="1:2" x14ac:dyDescent="0.25">
      <c r="A234" s="12">
        <v>44672</v>
      </c>
      <c r="B234" s="18">
        <v>3.85</v>
      </c>
    </row>
    <row r="235" spans="1:2" x14ac:dyDescent="0.25">
      <c r="A235" s="12">
        <v>44673</v>
      </c>
      <c r="B235" s="18">
        <v>3.83</v>
      </c>
    </row>
    <row r="236" spans="1:2" x14ac:dyDescent="0.25">
      <c r="A236" s="12">
        <v>44676</v>
      </c>
      <c r="B236" s="18">
        <v>3.83</v>
      </c>
    </row>
    <row r="237" spans="1:2" x14ac:dyDescent="0.25">
      <c r="A237" s="12">
        <v>44677</v>
      </c>
      <c r="B237" s="18">
        <v>3.5</v>
      </c>
    </row>
    <row r="238" spans="1:2" x14ac:dyDescent="0.25">
      <c r="A238" s="12">
        <v>44678</v>
      </c>
      <c r="B238" s="18">
        <v>3.57</v>
      </c>
    </row>
    <row r="239" spans="1:2" x14ac:dyDescent="0.25">
      <c r="A239" s="12">
        <v>44679</v>
      </c>
      <c r="B239" s="18">
        <v>3.68</v>
      </c>
    </row>
    <row r="240" spans="1:2" x14ac:dyDescent="0.25">
      <c r="A240" s="12">
        <v>44680</v>
      </c>
      <c r="B240" s="18">
        <v>3.56</v>
      </c>
    </row>
    <row r="241" spans="1:2" x14ac:dyDescent="0.25">
      <c r="A241" s="12">
        <v>44683</v>
      </c>
      <c r="B241" s="18">
        <v>3.68</v>
      </c>
    </row>
    <row r="242" spans="1:2" x14ac:dyDescent="0.25">
      <c r="A242" s="12">
        <v>44684</v>
      </c>
      <c r="B242" s="18">
        <v>3.49</v>
      </c>
    </row>
    <row r="243" spans="1:2" x14ac:dyDescent="0.25">
      <c r="A243" s="12">
        <v>44685</v>
      </c>
      <c r="B243" s="18">
        <v>3.94</v>
      </c>
    </row>
    <row r="244" spans="1:2" x14ac:dyDescent="0.25">
      <c r="A244" s="12">
        <v>44686</v>
      </c>
      <c r="B244" s="18">
        <v>3.6</v>
      </c>
    </row>
    <row r="245" spans="1:2" x14ac:dyDescent="0.25">
      <c r="A245" s="12">
        <v>44687</v>
      </c>
      <c r="B245" s="18">
        <v>3.32</v>
      </c>
    </row>
    <row r="246" spans="1:2" x14ac:dyDescent="0.25">
      <c r="A246" s="12">
        <v>44690</v>
      </c>
      <c r="B246" s="18">
        <v>3.04</v>
      </c>
    </row>
    <row r="247" spans="1:2" x14ac:dyDescent="0.25">
      <c r="A247" s="12">
        <v>44691</v>
      </c>
      <c r="B247" s="18">
        <v>2.95</v>
      </c>
    </row>
    <row r="248" spans="1:2" x14ac:dyDescent="0.25">
      <c r="A248" s="12">
        <v>44692</v>
      </c>
      <c r="B248" s="18">
        <v>2.85</v>
      </c>
    </row>
    <row r="249" spans="1:2" x14ac:dyDescent="0.25">
      <c r="A249" s="12">
        <v>44693</v>
      </c>
      <c r="B249" s="18">
        <v>3.07</v>
      </c>
    </row>
    <row r="250" spans="1:2" x14ac:dyDescent="0.25">
      <c r="A250" s="12">
        <v>44694</v>
      </c>
      <c r="B250" s="18">
        <v>3.71</v>
      </c>
    </row>
    <row r="251" spans="1:2" x14ac:dyDescent="0.25">
      <c r="A251" s="12">
        <v>44697</v>
      </c>
      <c r="B251" s="18">
        <v>3.63</v>
      </c>
    </row>
    <row r="252" spans="1:2" x14ac:dyDescent="0.25">
      <c r="A252" s="12">
        <v>44698</v>
      </c>
      <c r="B252" s="18">
        <v>3.69</v>
      </c>
    </row>
    <row r="253" spans="1:2" x14ac:dyDescent="0.25">
      <c r="A253" s="12">
        <v>44699</v>
      </c>
      <c r="B253" s="18">
        <v>3.58</v>
      </c>
    </row>
    <row r="254" spans="1:2" x14ac:dyDescent="0.25">
      <c r="A254" s="12">
        <v>44700</v>
      </c>
      <c r="B254" s="18">
        <v>3.56</v>
      </c>
    </row>
    <row r="255" spans="1:2" x14ac:dyDescent="0.25">
      <c r="A255" s="12">
        <v>44701</v>
      </c>
      <c r="B255" s="18">
        <v>3.66</v>
      </c>
    </row>
    <row r="256" spans="1:2" x14ac:dyDescent="0.25">
      <c r="A256" s="12">
        <v>44704</v>
      </c>
      <c r="B256" s="18">
        <v>3.7</v>
      </c>
    </row>
    <row r="257" spans="1:2" x14ac:dyDescent="0.25">
      <c r="A257" s="12">
        <v>44705</v>
      </c>
      <c r="B257" s="18">
        <v>3.44</v>
      </c>
    </row>
    <row r="258" spans="1:2" x14ac:dyDescent="0.25">
      <c r="A258" s="12">
        <v>44706</v>
      </c>
      <c r="B258" s="18">
        <v>3.72</v>
      </c>
    </row>
    <row r="259" spans="1:2" x14ac:dyDescent="0.25">
      <c r="A259" s="12">
        <v>44707</v>
      </c>
      <c r="B259" s="18">
        <v>3.85</v>
      </c>
    </row>
    <row r="260" spans="1:2" x14ac:dyDescent="0.25">
      <c r="A260" s="12">
        <v>44708</v>
      </c>
      <c r="B260" s="18">
        <v>4.1900000000000004</v>
      </c>
    </row>
    <row r="261" spans="1:2" x14ac:dyDescent="0.25">
      <c r="A261" s="12">
        <v>44712</v>
      </c>
      <c r="B261" s="18">
        <v>4.13</v>
      </c>
    </row>
    <row r="262" spans="1:2" x14ac:dyDescent="0.25">
      <c r="A262" s="12">
        <v>44713</v>
      </c>
      <c r="B262" s="18">
        <v>4.05</v>
      </c>
    </row>
    <row r="263" spans="1:2" x14ac:dyDescent="0.25">
      <c r="A263" s="12">
        <v>44714</v>
      </c>
      <c r="B263" s="18">
        <v>4.12</v>
      </c>
    </row>
    <row r="264" spans="1:2" x14ac:dyDescent="0.25">
      <c r="A264" s="12">
        <v>44715</v>
      </c>
      <c r="B264" s="18">
        <v>4.05</v>
      </c>
    </row>
    <row r="265" spans="1:2" x14ac:dyDescent="0.25">
      <c r="A265" s="12">
        <v>44718</v>
      </c>
      <c r="B265" s="18">
        <v>4.12</v>
      </c>
    </row>
    <row r="266" spans="1:2" x14ac:dyDescent="0.25">
      <c r="A266" s="12">
        <v>44719</v>
      </c>
      <c r="B266" s="18">
        <v>4.17</v>
      </c>
    </row>
    <row r="267" spans="1:2" x14ac:dyDescent="0.25">
      <c r="A267" s="12">
        <v>44720</v>
      </c>
      <c r="B267" s="18">
        <v>4.32</v>
      </c>
    </row>
    <row r="268" spans="1:2" x14ac:dyDescent="0.25">
      <c r="A268" s="12">
        <v>44721</v>
      </c>
      <c r="B268" s="18">
        <v>4.0999999999999996</v>
      </c>
    </row>
    <row r="269" spans="1:2" x14ac:dyDescent="0.25">
      <c r="A269" s="12">
        <v>44722</v>
      </c>
      <c r="B269" s="18">
        <v>3.89</v>
      </c>
    </row>
    <row r="270" spans="1:2" x14ac:dyDescent="0.25">
      <c r="A270" s="12">
        <v>44725</v>
      </c>
      <c r="B270" s="18">
        <v>3.69</v>
      </c>
    </row>
    <row r="271" spans="1:2" x14ac:dyDescent="0.25">
      <c r="A271" s="12">
        <v>44726</v>
      </c>
      <c r="B271" s="18">
        <v>3.76</v>
      </c>
    </row>
    <row r="272" spans="1:2" x14ac:dyDescent="0.25">
      <c r="A272" s="12">
        <v>44727</v>
      </c>
      <c r="B272" s="18">
        <v>4.04</v>
      </c>
    </row>
    <row r="273" spans="1:2" x14ac:dyDescent="0.25">
      <c r="A273" s="12">
        <v>44728</v>
      </c>
      <c r="B273" s="18">
        <v>3.77</v>
      </c>
    </row>
    <row r="274" spans="1:2" x14ac:dyDescent="0.25">
      <c r="A274" s="12">
        <v>44729</v>
      </c>
      <c r="B274" s="18">
        <v>3.73</v>
      </c>
    </row>
    <row r="275" spans="1:2" x14ac:dyDescent="0.25">
      <c r="A275" s="12">
        <v>44733</v>
      </c>
      <c r="B275" s="18">
        <v>3.94</v>
      </c>
    </row>
    <row r="276" spans="1:2" x14ac:dyDescent="0.25">
      <c r="A276" s="12">
        <v>44734</v>
      </c>
      <c r="B276" s="18">
        <v>3.8</v>
      </c>
    </row>
    <row r="277" spans="1:2" x14ac:dyDescent="0.25">
      <c r="A277" s="12">
        <v>44735</v>
      </c>
      <c r="B277" s="18">
        <v>3.94</v>
      </c>
    </row>
    <row r="278" spans="1:2" x14ac:dyDescent="0.25">
      <c r="A278" s="12">
        <v>44736</v>
      </c>
      <c r="B278" s="18">
        <v>4.08</v>
      </c>
    </row>
    <row r="279" spans="1:2" x14ac:dyDescent="0.25">
      <c r="A279" s="12">
        <v>44739</v>
      </c>
      <c r="B279" s="18">
        <v>3.96</v>
      </c>
    </row>
    <row r="280" spans="1:2" x14ac:dyDescent="0.25">
      <c r="A280" s="12">
        <v>44740</v>
      </c>
      <c r="B280" s="18">
        <v>3.69</v>
      </c>
    </row>
    <row r="281" spans="1:2" x14ac:dyDescent="0.25">
      <c r="A281" s="12">
        <v>44741</v>
      </c>
      <c r="B281" s="18">
        <v>3.52</v>
      </c>
    </row>
    <row r="282" spans="1:2" x14ac:dyDescent="0.25">
      <c r="A282" s="12">
        <v>44742</v>
      </c>
      <c r="B282" s="18">
        <v>3.46</v>
      </c>
    </row>
    <row r="283" spans="1:2" x14ac:dyDescent="0.25">
      <c r="A283" s="12">
        <v>44743</v>
      </c>
      <c r="B283" s="18">
        <v>3.64</v>
      </c>
    </row>
    <row r="284" spans="1:2" x14ac:dyDescent="0.25">
      <c r="A284" s="12">
        <v>44747</v>
      </c>
      <c r="B284" s="18">
        <v>3.96</v>
      </c>
    </row>
    <row r="285" spans="1:2" x14ac:dyDescent="0.25">
      <c r="A285" s="12">
        <v>44748</v>
      </c>
      <c r="B285" s="18">
        <v>4.07</v>
      </c>
    </row>
    <row r="286" spans="1:2" x14ac:dyDescent="0.25">
      <c r="A286" s="12">
        <v>44749</v>
      </c>
      <c r="B286" s="18">
        <v>4.1100000000000003</v>
      </c>
    </row>
    <row r="287" spans="1:2" x14ac:dyDescent="0.25">
      <c r="A287" s="12">
        <v>44750</v>
      </c>
      <c r="B287" s="18">
        <v>4.09</v>
      </c>
    </row>
    <row r="288" spans="1:2" x14ac:dyDescent="0.25">
      <c r="A288" s="12">
        <v>44753</v>
      </c>
      <c r="B288" s="18">
        <v>3.85</v>
      </c>
    </row>
    <row r="289" spans="1:2" x14ac:dyDescent="0.25">
      <c r="A289" s="12">
        <v>44754</v>
      </c>
      <c r="B289" s="18">
        <v>3.82</v>
      </c>
    </row>
    <row r="290" spans="1:2" x14ac:dyDescent="0.25">
      <c r="A290" s="12">
        <v>44755</v>
      </c>
      <c r="B290" s="18">
        <v>3.83</v>
      </c>
    </row>
    <row r="291" spans="1:2" x14ac:dyDescent="0.25">
      <c r="A291" s="12">
        <v>44756</v>
      </c>
      <c r="B291" s="18">
        <v>3.58</v>
      </c>
    </row>
    <row r="292" spans="1:2" x14ac:dyDescent="0.25">
      <c r="A292" s="12">
        <v>44757</v>
      </c>
      <c r="B292" s="18">
        <v>3.59</v>
      </c>
    </row>
    <row r="293" spans="1:2" x14ac:dyDescent="0.25">
      <c r="A293" s="12">
        <v>44760</v>
      </c>
      <c r="B293" s="18">
        <v>3.64</v>
      </c>
    </row>
    <row r="294" spans="1:2" x14ac:dyDescent="0.25">
      <c r="A294" s="12">
        <v>44761</v>
      </c>
      <c r="B294" s="18">
        <v>4.0599999999999996</v>
      </c>
    </row>
    <row r="295" spans="1:2" x14ac:dyDescent="0.25">
      <c r="A295" s="12">
        <v>44762</v>
      </c>
      <c r="B295" s="18">
        <v>4.18</v>
      </c>
    </row>
    <row r="296" spans="1:2" x14ac:dyDescent="0.25">
      <c r="A296" s="12">
        <v>44763</v>
      </c>
      <c r="B296" s="18">
        <v>4.12</v>
      </c>
    </row>
    <row r="297" spans="1:2" x14ac:dyDescent="0.25">
      <c r="A297" s="12">
        <v>44764</v>
      </c>
      <c r="B297" s="18">
        <v>3.78</v>
      </c>
    </row>
    <row r="298" spans="1:2" x14ac:dyDescent="0.25">
      <c r="A298" s="12">
        <v>44767</v>
      </c>
      <c r="B298" s="18">
        <v>3.69</v>
      </c>
    </row>
    <row r="299" spans="1:2" x14ac:dyDescent="0.25">
      <c r="A299" s="12">
        <v>44768</v>
      </c>
      <c r="B299" s="18">
        <v>3.5</v>
      </c>
    </row>
    <row r="300" spans="1:2" x14ac:dyDescent="0.25">
      <c r="A300" s="12">
        <v>44769</v>
      </c>
      <c r="B300" s="18">
        <v>3.58</v>
      </c>
    </row>
    <row r="301" spans="1:2" x14ac:dyDescent="0.25">
      <c r="A301" s="12">
        <v>44770</v>
      </c>
      <c r="B301" s="18">
        <v>3.75</v>
      </c>
    </row>
    <row r="302" spans="1:2" x14ac:dyDescent="0.25">
      <c r="A302" s="12">
        <v>44771</v>
      </c>
      <c r="B302" s="18">
        <v>3.72</v>
      </c>
    </row>
    <row r="303" spans="1:2" x14ac:dyDescent="0.25">
      <c r="A303" s="12">
        <v>44774</v>
      </c>
      <c r="B303" s="18">
        <v>3.92</v>
      </c>
    </row>
    <row r="304" spans="1:2" x14ac:dyDescent="0.25">
      <c r="A304" s="12">
        <v>44775</v>
      </c>
      <c r="B304" s="18">
        <v>3.24</v>
      </c>
    </row>
    <row r="305" spans="1:2" x14ac:dyDescent="0.25">
      <c r="A305" s="12">
        <v>44776</v>
      </c>
      <c r="B305" s="18">
        <v>3.53</v>
      </c>
    </row>
    <row r="306" spans="1:2" x14ac:dyDescent="0.25">
      <c r="A306" s="12">
        <v>44777</v>
      </c>
      <c r="B306" s="18">
        <v>3.73</v>
      </c>
    </row>
    <row r="307" spans="1:2" x14ac:dyDescent="0.25">
      <c r="A307" s="12">
        <v>44778</v>
      </c>
      <c r="B307" s="18">
        <v>3.97</v>
      </c>
    </row>
    <row r="308" spans="1:2" x14ac:dyDescent="0.25">
      <c r="A308" s="12">
        <v>44781</v>
      </c>
      <c r="B308" s="18">
        <v>4.04</v>
      </c>
    </row>
    <row r="309" spans="1:2" x14ac:dyDescent="0.25">
      <c r="A309" s="12">
        <v>44782</v>
      </c>
      <c r="B309" s="18">
        <v>3.73</v>
      </c>
    </row>
    <row r="310" spans="1:2" x14ac:dyDescent="0.25">
      <c r="A310" s="12">
        <v>44783</v>
      </c>
      <c r="B310" s="18">
        <v>3.89</v>
      </c>
    </row>
    <row r="311" spans="1:2" x14ac:dyDescent="0.25">
      <c r="A311" s="12">
        <v>44784</v>
      </c>
      <c r="B311" s="18">
        <v>4.01</v>
      </c>
    </row>
    <row r="312" spans="1:2" x14ac:dyDescent="0.25">
      <c r="A312" s="12">
        <v>44785</v>
      </c>
      <c r="B312" s="18">
        <v>4.0999999999999996</v>
      </c>
    </row>
    <row r="313" spans="1:2" x14ac:dyDescent="0.25">
      <c r="A313" s="12">
        <v>44788</v>
      </c>
      <c r="B313" s="18">
        <v>4.07</v>
      </c>
    </row>
    <row r="314" spans="1:2" x14ac:dyDescent="0.25">
      <c r="A314" s="12">
        <v>44789</v>
      </c>
      <c r="B314" s="18">
        <v>3.99</v>
      </c>
    </row>
    <row r="315" spans="1:2" x14ac:dyDescent="0.25">
      <c r="A315" s="12">
        <v>44790</v>
      </c>
      <c r="B315" s="18">
        <v>3.77</v>
      </c>
    </row>
    <row r="316" spans="1:2" x14ac:dyDescent="0.25">
      <c r="A316" s="12">
        <v>44791</v>
      </c>
      <c r="B316" s="18">
        <v>3.68</v>
      </c>
    </row>
    <row r="317" spans="1:2" x14ac:dyDescent="0.25">
      <c r="A317" s="12">
        <v>44792</v>
      </c>
      <c r="B317" s="18">
        <v>3.39</v>
      </c>
    </row>
    <row r="318" spans="1:2" x14ac:dyDescent="0.25">
      <c r="A318" s="12">
        <v>44795</v>
      </c>
      <c r="B318" s="18">
        <v>3.28</v>
      </c>
    </row>
    <row r="319" spans="1:2" x14ac:dyDescent="0.25">
      <c r="A319" s="12">
        <v>44796</v>
      </c>
      <c r="B319" s="18">
        <v>3.31</v>
      </c>
    </row>
    <row r="320" spans="1:2" x14ac:dyDescent="0.25">
      <c r="A320" s="12">
        <v>44797</v>
      </c>
      <c r="B320" s="18">
        <v>3.33</v>
      </c>
    </row>
    <row r="321" spans="1:2" x14ac:dyDescent="0.25">
      <c r="A321" s="12">
        <v>44798</v>
      </c>
      <c r="B321" s="18">
        <v>3.51</v>
      </c>
    </row>
    <row r="322" spans="1:2" x14ac:dyDescent="0.25">
      <c r="A322" s="12">
        <v>44799</v>
      </c>
      <c r="B322" s="18">
        <v>3.25</v>
      </c>
    </row>
    <row r="323" spans="1:2" x14ac:dyDescent="0.25">
      <c r="A323" s="12">
        <v>44802</v>
      </c>
      <c r="B323" s="18">
        <v>3.27</v>
      </c>
    </row>
    <row r="324" spans="1:2" x14ac:dyDescent="0.25">
      <c r="A324" s="12">
        <v>44803</v>
      </c>
      <c r="B324" s="18">
        <v>3.22</v>
      </c>
    </row>
    <row r="325" spans="1:2" x14ac:dyDescent="0.25">
      <c r="A325" s="12">
        <v>44804</v>
      </c>
      <c r="B325" s="18">
        <v>3.23</v>
      </c>
    </row>
    <row r="326" spans="1:2" x14ac:dyDescent="0.25">
      <c r="A326" s="12">
        <v>44805</v>
      </c>
      <c r="B326" s="18">
        <v>3.16</v>
      </c>
    </row>
    <row r="327" spans="1:2" x14ac:dyDescent="0.25">
      <c r="A327" s="12">
        <v>44806</v>
      </c>
      <c r="B327" s="18">
        <v>3.03</v>
      </c>
    </row>
    <row r="328" spans="1:2" x14ac:dyDescent="0.25">
      <c r="A328" s="12">
        <v>44810</v>
      </c>
      <c r="B328" s="18">
        <v>2.94</v>
      </c>
    </row>
    <row r="329" spans="1:2" x14ac:dyDescent="0.25">
      <c r="A329" s="12">
        <v>44811</v>
      </c>
      <c r="B329" s="18">
        <v>3.13</v>
      </c>
    </row>
    <row r="330" spans="1:2" x14ac:dyDescent="0.25">
      <c r="A330" s="12">
        <v>44812</v>
      </c>
      <c r="B330" s="18">
        <v>3.21</v>
      </c>
    </row>
    <row r="331" spans="1:2" x14ac:dyDescent="0.25">
      <c r="A331" s="12">
        <v>44813</v>
      </c>
      <c r="B331" s="18">
        <v>3.27</v>
      </c>
    </row>
    <row r="332" spans="1:2" x14ac:dyDescent="0.25">
      <c r="A332" s="12">
        <v>44816</v>
      </c>
      <c r="B332" s="18">
        <v>3.3</v>
      </c>
    </row>
    <row r="333" spans="1:2" x14ac:dyDescent="0.25">
      <c r="A333" s="12">
        <v>44817</v>
      </c>
      <c r="B333" s="18">
        <v>3.06</v>
      </c>
    </row>
    <row r="334" spans="1:2" x14ac:dyDescent="0.25">
      <c r="A334" s="12">
        <v>44818</v>
      </c>
      <c r="B334" s="18">
        <v>2.99</v>
      </c>
    </row>
    <row r="335" spans="1:2" x14ac:dyDescent="0.25">
      <c r="A335" s="12">
        <v>44819</v>
      </c>
      <c r="B335" s="18">
        <v>2.98</v>
      </c>
    </row>
    <row r="336" spans="1:2" x14ac:dyDescent="0.25">
      <c r="A336" s="12">
        <v>44820</v>
      </c>
      <c r="B336" s="18">
        <v>2.99</v>
      </c>
    </row>
    <row r="337" spans="1:2" x14ac:dyDescent="0.25">
      <c r="A337" s="12">
        <v>44823</v>
      </c>
      <c r="B337" s="18">
        <v>2.94</v>
      </c>
    </row>
    <row r="338" spans="1:2" x14ac:dyDescent="0.25">
      <c r="A338" s="12">
        <v>44824</v>
      </c>
      <c r="B338" s="18">
        <v>2.75</v>
      </c>
    </row>
    <row r="339" spans="1:2" x14ac:dyDescent="0.25">
      <c r="A339" s="12">
        <v>44825</v>
      </c>
      <c r="B339" s="18">
        <v>2.8</v>
      </c>
    </row>
    <row r="340" spans="1:2" x14ac:dyDescent="0.25">
      <c r="A340" s="12">
        <v>44826</v>
      </c>
      <c r="B340" s="18">
        <v>2.68</v>
      </c>
    </row>
    <row r="341" spans="1:2" x14ac:dyDescent="0.25">
      <c r="A341" s="12">
        <v>44827</v>
      </c>
      <c r="B341" s="18">
        <v>2.69</v>
      </c>
    </row>
    <row r="342" spans="1:2" x14ac:dyDescent="0.25">
      <c r="A342" s="12">
        <v>44830</v>
      </c>
      <c r="B342" s="18">
        <v>2.59</v>
      </c>
    </row>
    <row r="343" spans="1:2" x14ac:dyDescent="0.25">
      <c r="A343" s="12">
        <v>44831</v>
      </c>
      <c r="B343" s="18">
        <v>2.69</v>
      </c>
    </row>
    <row r="344" spans="1:2" x14ac:dyDescent="0.25">
      <c r="A344" s="12">
        <v>44832</v>
      </c>
      <c r="B344" s="18">
        <v>2.79</v>
      </c>
    </row>
    <row r="345" spans="1:2" x14ac:dyDescent="0.25">
      <c r="A345" s="12">
        <v>44833</v>
      </c>
      <c r="B345" s="18">
        <v>2.56</v>
      </c>
    </row>
    <row r="346" spans="1:2" x14ac:dyDescent="0.25">
      <c r="A346" s="12">
        <v>44834</v>
      </c>
      <c r="B346" s="18">
        <v>2.63</v>
      </c>
    </row>
    <row r="347" spans="1:2" x14ac:dyDescent="0.25">
      <c r="A347" s="12">
        <v>44837</v>
      </c>
      <c r="B347" s="18">
        <v>2.68</v>
      </c>
    </row>
    <row r="348" spans="1:2" x14ac:dyDescent="0.25">
      <c r="A348" s="12">
        <v>44838</v>
      </c>
      <c r="B348" s="18">
        <v>2.85</v>
      </c>
    </row>
    <row r="349" spans="1:2" x14ac:dyDescent="0.25">
      <c r="A349" s="12">
        <v>44839</v>
      </c>
      <c r="B349" s="18">
        <v>2.77</v>
      </c>
    </row>
    <row r="350" spans="1:2" x14ac:dyDescent="0.25">
      <c r="A350" s="12">
        <v>44840</v>
      </c>
      <c r="B350" s="18">
        <v>2.75</v>
      </c>
    </row>
    <row r="351" spans="1:2" x14ac:dyDescent="0.25">
      <c r="A351" s="12">
        <v>44841</v>
      </c>
      <c r="B351" s="18">
        <v>2.5499999999999998</v>
      </c>
    </row>
    <row r="352" spans="1:2" x14ac:dyDescent="0.25">
      <c r="A352" s="12">
        <v>44844</v>
      </c>
      <c r="B352" s="18">
        <v>2.48</v>
      </c>
    </row>
    <row r="353" spans="1:2" x14ac:dyDescent="0.25">
      <c r="A353" s="12">
        <v>44845</v>
      </c>
      <c r="B353" s="18">
        <v>2.4700000000000002</v>
      </c>
    </row>
    <row r="354" spans="1:2" x14ac:dyDescent="0.25">
      <c r="A354" s="12">
        <v>44846</v>
      </c>
      <c r="B354" s="18">
        <v>2.4300000000000002</v>
      </c>
    </row>
    <row r="355" spans="1:2" x14ac:dyDescent="0.25">
      <c r="A355" s="12">
        <v>44847</v>
      </c>
      <c r="B355" s="18">
        <v>2.4</v>
      </c>
    </row>
    <row r="356" spans="1:2" x14ac:dyDescent="0.25">
      <c r="A356" s="12">
        <v>44848</v>
      </c>
      <c r="B356" s="18">
        <v>2.25</v>
      </c>
    </row>
    <row r="357" spans="1:2" x14ac:dyDescent="0.25">
      <c r="A357" s="12">
        <v>44851</v>
      </c>
      <c r="B357" s="18">
        <v>2.2400000000000002</v>
      </c>
    </row>
    <row r="358" spans="1:2" x14ac:dyDescent="0.25">
      <c r="A358" s="12">
        <v>44852</v>
      </c>
      <c r="B358" s="18">
        <v>2.2400000000000002</v>
      </c>
    </row>
    <row r="359" spans="1:2" x14ac:dyDescent="0.25">
      <c r="A359" s="12">
        <v>44853</v>
      </c>
      <c r="B359" s="18">
        <v>2.13</v>
      </c>
    </row>
    <row r="360" spans="1:2" x14ac:dyDescent="0.25">
      <c r="A360" s="12">
        <v>44854</v>
      </c>
      <c r="B360" s="18">
        <v>2.11</v>
      </c>
    </row>
    <row r="361" spans="1:2" x14ac:dyDescent="0.25">
      <c r="A361" s="12">
        <v>44855</v>
      </c>
      <c r="B361" s="18">
        <v>2.0499999999999998</v>
      </c>
    </row>
    <row r="362" spans="1:2" x14ac:dyDescent="0.25">
      <c r="A362" s="12">
        <v>44858</v>
      </c>
      <c r="B362" s="18">
        <v>2.0099999999999998</v>
      </c>
    </row>
    <row r="363" spans="1:2" x14ac:dyDescent="0.25">
      <c r="A363" s="12">
        <v>44859</v>
      </c>
      <c r="B363" s="18">
        <v>2.12</v>
      </c>
    </row>
    <row r="364" spans="1:2" x14ac:dyDescent="0.25">
      <c r="A364" s="12">
        <v>44860</v>
      </c>
      <c r="B364" s="18">
        <v>2.11</v>
      </c>
    </row>
    <row r="365" spans="1:2" x14ac:dyDescent="0.25">
      <c r="A365" s="12">
        <v>44861</v>
      </c>
      <c r="B365" s="18">
        <v>2.12</v>
      </c>
    </row>
    <row r="366" spans="1:2" x14ac:dyDescent="0.25">
      <c r="A366" s="12">
        <v>44862</v>
      </c>
      <c r="B366" s="18">
        <v>2.17</v>
      </c>
    </row>
    <row r="367" spans="1:2" x14ac:dyDescent="0.25">
      <c r="A367" s="12">
        <v>44865</v>
      </c>
      <c r="B367" s="18">
        <v>2.2000000000000002</v>
      </c>
    </row>
    <row r="368" spans="1:2" x14ac:dyDescent="0.25">
      <c r="A368" s="12">
        <v>44866</v>
      </c>
      <c r="B368" s="18">
        <v>2.17</v>
      </c>
    </row>
    <row r="369" spans="1:2" x14ac:dyDescent="0.25">
      <c r="A369" s="12">
        <v>44867</v>
      </c>
      <c r="B369" s="18">
        <v>2.04</v>
      </c>
    </row>
    <row r="370" spans="1:2" x14ac:dyDescent="0.25">
      <c r="A370" s="12">
        <v>44868</v>
      </c>
      <c r="B370" s="18">
        <v>1.97</v>
      </c>
    </row>
    <row r="371" spans="1:2" x14ac:dyDescent="0.25">
      <c r="A371" s="12">
        <v>44869</v>
      </c>
      <c r="B371" s="18">
        <v>2.04</v>
      </c>
    </row>
    <row r="372" spans="1:2" x14ac:dyDescent="0.25">
      <c r="A372" s="12">
        <v>44872</v>
      </c>
      <c r="B372" s="18">
        <v>1.99</v>
      </c>
    </row>
    <row r="373" spans="1:2" x14ac:dyDescent="0.25">
      <c r="A373" s="12">
        <v>44873</v>
      </c>
      <c r="B373" s="18">
        <v>2.02</v>
      </c>
    </row>
    <row r="374" spans="1:2" x14ac:dyDescent="0.25">
      <c r="A374" s="12">
        <v>44874</v>
      </c>
      <c r="B374" s="18">
        <v>1.88</v>
      </c>
    </row>
    <row r="375" spans="1:2" x14ac:dyDescent="0.25">
      <c r="A375" s="12">
        <v>44875</v>
      </c>
      <c r="B375" s="18">
        <v>2.11</v>
      </c>
    </row>
    <row r="376" spans="1:2" x14ac:dyDescent="0.25">
      <c r="A376" s="12">
        <v>44876</v>
      </c>
      <c r="B376" s="18">
        <v>2.4500000000000002</v>
      </c>
    </row>
    <row r="377" spans="1:2" x14ac:dyDescent="0.25">
      <c r="A377" s="12">
        <v>44879</v>
      </c>
      <c r="B377" s="18">
        <v>2.14</v>
      </c>
    </row>
    <row r="378" spans="1:2" x14ac:dyDescent="0.25">
      <c r="A378" s="12">
        <v>44880</v>
      </c>
      <c r="B378" s="18">
        <v>2.04</v>
      </c>
    </row>
    <row r="379" spans="1:2" x14ac:dyDescent="0.25">
      <c r="A379" s="12">
        <v>44881</v>
      </c>
      <c r="B379" s="18">
        <v>1.94</v>
      </c>
    </row>
    <row r="380" spans="1:2" x14ac:dyDescent="0.25">
      <c r="A380" s="12">
        <v>44882</v>
      </c>
      <c r="B380" s="18">
        <v>1.88</v>
      </c>
    </row>
    <row r="381" spans="1:2" x14ac:dyDescent="0.25">
      <c r="A381" s="12">
        <v>44883</v>
      </c>
      <c r="B381" s="18">
        <v>1.95</v>
      </c>
    </row>
    <row r="382" spans="1:2" x14ac:dyDescent="0.25">
      <c r="A382" s="12">
        <v>44886</v>
      </c>
      <c r="B382" s="18">
        <v>1.83</v>
      </c>
    </row>
    <row r="383" spans="1:2" x14ac:dyDescent="0.25">
      <c r="A383" s="12">
        <v>44887</v>
      </c>
      <c r="B383" s="18">
        <v>1.67</v>
      </c>
    </row>
    <row r="384" spans="1:2" x14ac:dyDescent="0.25">
      <c r="A384" s="12">
        <v>44888</v>
      </c>
      <c r="B384" s="18">
        <v>1.6</v>
      </c>
    </row>
    <row r="385" spans="1:2" x14ac:dyDescent="0.25">
      <c r="A385" s="12">
        <v>44890</v>
      </c>
      <c r="B385" s="18">
        <v>1.6</v>
      </c>
    </row>
    <row r="386" spans="1:2" x14ac:dyDescent="0.25">
      <c r="A386" s="12">
        <v>44893</v>
      </c>
      <c r="B386" s="18">
        <v>1.58</v>
      </c>
    </row>
    <row r="387" spans="1:2" x14ac:dyDescent="0.25">
      <c r="A387" s="12">
        <v>44894</v>
      </c>
      <c r="B387" s="18">
        <v>1.56</v>
      </c>
    </row>
    <row r="388" spans="1:2" x14ac:dyDescent="0.25">
      <c r="A388" s="12">
        <v>44895</v>
      </c>
      <c r="B388" s="18">
        <v>1.63</v>
      </c>
    </row>
    <row r="389" spans="1:2" x14ac:dyDescent="0.25">
      <c r="A389" s="12">
        <v>44896</v>
      </c>
      <c r="B389" s="18">
        <v>1.65</v>
      </c>
    </row>
    <row r="390" spans="1:2" x14ac:dyDescent="0.25">
      <c r="A390" s="12">
        <v>44897</v>
      </c>
      <c r="B390" s="18">
        <v>1.62</v>
      </c>
    </row>
    <row r="391" spans="1:2" x14ac:dyDescent="0.25">
      <c r="A391" s="12">
        <v>44900</v>
      </c>
      <c r="B391" s="18">
        <v>1.54</v>
      </c>
    </row>
    <row r="392" spans="1:2" x14ac:dyDescent="0.25">
      <c r="A392" s="12">
        <v>44901</v>
      </c>
      <c r="B392" s="18">
        <v>1.49</v>
      </c>
    </row>
    <row r="393" spans="1:2" x14ac:dyDescent="0.25">
      <c r="A393" s="12">
        <v>44902</v>
      </c>
      <c r="B393" s="18">
        <v>1.41</v>
      </c>
    </row>
    <row r="394" spans="1:2" x14ac:dyDescent="0.25">
      <c r="A394" s="12">
        <v>44903</v>
      </c>
      <c r="B394" s="18">
        <v>1.42</v>
      </c>
    </row>
    <row r="395" spans="1:2" x14ac:dyDescent="0.25">
      <c r="A395" s="12">
        <v>44904</v>
      </c>
      <c r="B395" s="18">
        <v>1.42</v>
      </c>
    </row>
    <row r="396" spans="1:2" x14ac:dyDescent="0.25">
      <c r="A396" s="12">
        <v>44907</v>
      </c>
      <c r="B396" s="18">
        <v>1.36</v>
      </c>
    </row>
    <row r="397" spans="1:2" x14ac:dyDescent="0.25">
      <c r="A397" s="12">
        <v>44908</v>
      </c>
      <c r="B397" s="18">
        <v>1.4</v>
      </c>
    </row>
    <row r="398" spans="1:2" x14ac:dyDescent="0.25">
      <c r="A398" s="12">
        <v>44909</v>
      </c>
      <c r="B398" s="18">
        <v>1.35</v>
      </c>
    </row>
    <row r="399" spans="1:2" x14ac:dyDescent="0.25">
      <c r="A399" s="12">
        <v>44910</v>
      </c>
      <c r="B399" s="18">
        <v>1.33</v>
      </c>
    </row>
    <row r="400" spans="1:2" x14ac:dyDescent="0.25">
      <c r="A400" s="12">
        <v>44911</v>
      </c>
      <c r="B400" s="18">
        <v>1.36</v>
      </c>
    </row>
    <row r="401" spans="1:2" x14ac:dyDescent="0.25">
      <c r="A401" s="12">
        <v>44914</v>
      </c>
      <c r="B401" s="18">
        <v>1.34</v>
      </c>
    </row>
    <row r="402" spans="1:2" x14ac:dyDescent="0.25">
      <c r="A402" s="12">
        <v>44915</v>
      </c>
      <c r="B402" s="18">
        <v>1.37</v>
      </c>
    </row>
    <row r="403" spans="1:2" x14ac:dyDescent="0.25">
      <c r="A403" s="12">
        <v>44916</v>
      </c>
      <c r="B403" s="18">
        <v>1.52</v>
      </c>
    </row>
    <row r="404" spans="1:2" x14ac:dyDescent="0.25">
      <c r="A404" s="12">
        <v>44917</v>
      </c>
      <c r="B404" s="18">
        <v>1.52</v>
      </c>
    </row>
    <row r="405" spans="1:2" x14ac:dyDescent="0.25">
      <c r="A405" s="12">
        <v>44918</v>
      </c>
      <c r="B405" s="18">
        <v>1.42</v>
      </c>
    </row>
    <row r="406" spans="1:2" x14ac:dyDescent="0.25">
      <c r="A406" s="12">
        <v>44922</v>
      </c>
      <c r="B406" s="18">
        <v>1.41</v>
      </c>
    </row>
    <row r="407" spans="1:2" x14ac:dyDescent="0.25">
      <c r="A407" s="12">
        <v>44923</v>
      </c>
      <c r="B407" s="18">
        <v>1.56</v>
      </c>
    </row>
    <row r="408" spans="1:2" x14ac:dyDescent="0.25">
      <c r="A408" s="12">
        <v>44924</v>
      </c>
      <c r="B408" s="18">
        <v>1.75</v>
      </c>
    </row>
    <row r="409" spans="1:2" x14ac:dyDescent="0.25">
      <c r="A409" s="12">
        <v>44925</v>
      </c>
      <c r="B409" s="18">
        <v>1.74</v>
      </c>
    </row>
    <row r="410" spans="1:2" x14ac:dyDescent="0.25">
      <c r="A410" s="12">
        <v>44929</v>
      </c>
      <c r="B410" s="18">
        <v>2.0099999999999998</v>
      </c>
    </row>
    <row r="411" spans="1:2" x14ac:dyDescent="0.25">
      <c r="A411" s="12">
        <v>44930</v>
      </c>
      <c r="B411" s="18">
        <v>2.29</v>
      </c>
    </row>
    <row r="412" spans="1:2" x14ac:dyDescent="0.25">
      <c r="A412" s="12">
        <v>44931</v>
      </c>
      <c r="B412" s="18">
        <v>2.33</v>
      </c>
    </row>
    <row r="413" spans="1:2" x14ac:dyDescent="0.25">
      <c r="A413" s="12">
        <v>44932</v>
      </c>
      <c r="B413" s="18">
        <v>2.54</v>
      </c>
    </row>
    <row r="414" spans="1:2" x14ac:dyDescent="0.25">
      <c r="A414" s="12">
        <v>44935</v>
      </c>
      <c r="B414" s="18">
        <v>2.38</v>
      </c>
    </row>
    <row r="415" spans="1:2" x14ac:dyDescent="0.25">
      <c r="A415" s="12">
        <v>44936</v>
      </c>
      <c r="B415" s="18">
        <v>2.7</v>
      </c>
    </row>
    <row r="416" spans="1:2" x14ac:dyDescent="0.25">
      <c r="A416" s="12">
        <v>44937</v>
      </c>
      <c r="B416" s="18">
        <v>2.75</v>
      </c>
    </row>
    <row r="417" spans="1:2" x14ac:dyDescent="0.25">
      <c r="A417" s="12">
        <v>44938</v>
      </c>
      <c r="B417" s="18">
        <v>2.65</v>
      </c>
    </row>
    <row r="418" spans="1:2" x14ac:dyDescent="0.25">
      <c r="A418" s="12">
        <v>44939</v>
      </c>
      <c r="B418" s="18">
        <v>2.52</v>
      </c>
    </row>
    <row r="419" spans="1:2" x14ac:dyDescent="0.25">
      <c r="A419" s="12">
        <v>44943</v>
      </c>
      <c r="B419" s="18">
        <v>2.69</v>
      </c>
    </row>
    <row r="420" spans="1:2" x14ac:dyDescent="0.25">
      <c r="A420" s="12">
        <v>44944</v>
      </c>
      <c r="B420" s="18">
        <v>2.58</v>
      </c>
    </row>
    <row r="421" spans="1:2" x14ac:dyDescent="0.25">
      <c r="A421" s="12">
        <v>44945</v>
      </c>
      <c r="B421" s="18">
        <v>2.4900000000000002</v>
      </c>
    </row>
    <row r="422" spans="1:2" x14ac:dyDescent="0.25">
      <c r="A422" s="12">
        <v>44946</v>
      </c>
      <c r="B422" s="18">
        <v>2.54</v>
      </c>
    </row>
    <row r="423" spans="1:2" x14ac:dyDescent="0.25">
      <c r="A423" s="12">
        <v>44949</v>
      </c>
      <c r="B423" s="18">
        <v>2.63</v>
      </c>
    </row>
    <row r="424" spans="1:2" x14ac:dyDescent="0.25">
      <c r="A424" s="12">
        <v>44950</v>
      </c>
      <c r="B424" s="18">
        <v>2.41</v>
      </c>
    </row>
    <row r="425" spans="1:2" x14ac:dyDescent="0.25">
      <c r="A425" s="12">
        <v>44951</v>
      </c>
      <c r="B425" s="18">
        <v>2.21</v>
      </c>
    </row>
    <row r="426" spans="1:2" x14ac:dyDescent="0.25">
      <c r="A426" s="12">
        <v>44952</v>
      </c>
      <c r="B426" s="18">
        <v>2.2000000000000002</v>
      </c>
    </row>
    <row r="427" spans="1:2" x14ac:dyDescent="0.25">
      <c r="A427" s="12">
        <v>44953</v>
      </c>
      <c r="B427" s="18">
        <v>2.33</v>
      </c>
    </row>
    <row r="428" spans="1:2" x14ac:dyDescent="0.25">
      <c r="A428" s="12">
        <v>44956</v>
      </c>
      <c r="B428" s="18">
        <v>2.34</v>
      </c>
    </row>
    <row r="429" spans="1:2" x14ac:dyDescent="0.25">
      <c r="A429" s="12">
        <v>44957</v>
      </c>
      <c r="B429" s="18">
        <v>2.44</v>
      </c>
    </row>
    <row r="430" spans="1:2" x14ac:dyDescent="0.25">
      <c r="A430" s="12">
        <v>44958</v>
      </c>
      <c r="B430" s="18">
        <v>2.59</v>
      </c>
    </row>
    <row r="431" spans="1:2" x14ac:dyDescent="0.25">
      <c r="A431" s="12">
        <v>44959</v>
      </c>
      <c r="B431" s="18">
        <v>2.7</v>
      </c>
    </row>
    <row r="432" spans="1:2" x14ac:dyDescent="0.25">
      <c r="A432" s="12">
        <v>44960</v>
      </c>
      <c r="B432" s="18">
        <v>2.63</v>
      </c>
    </row>
    <row r="433" spans="1:2" x14ac:dyDescent="0.25">
      <c r="A433" s="12">
        <v>44963</v>
      </c>
      <c r="B433" s="18">
        <v>2.4300000000000002</v>
      </c>
    </row>
    <row r="434" spans="1:2" x14ac:dyDescent="0.25">
      <c r="A434" s="12">
        <v>44964</v>
      </c>
      <c r="B434" s="18">
        <v>2.31</v>
      </c>
    </row>
    <row r="435" spans="1:2" x14ac:dyDescent="0.25">
      <c r="A435" s="12">
        <v>44965</v>
      </c>
      <c r="B435" s="18">
        <v>2.2200000000000002</v>
      </c>
    </row>
    <row r="436" spans="1:2" x14ac:dyDescent="0.25">
      <c r="A436" s="12">
        <v>44966</v>
      </c>
      <c r="B436" s="18">
        <v>2.15</v>
      </c>
    </row>
    <row r="437" spans="1:2" x14ac:dyDescent="0.25">
      <c r="A437" s="12">
        <v>44967</v>
      </c>
      <c r="B437" s="18">
        <v>2.09</v>
      </c>
    </row>
    <row r="438" spans="1:2" x14ac:dyDescent="0.25">
      <c r="A438" s="12">
        <v>44970</v>
      </c>
      <c r="B438" s="18">
        <v>2.13</v>
      </c>
    </row>
    <row r="439" spans="1:2" x14ac:dyDescent="0.25">
      <c r="A439" s="12">
        <v>44971</v>
      </c>
      <c r="B439" s="18">
        <v>2.13</v>
      </c>
    </row>
    <row r="440" spans="1:2" x14ac:dyDescent="0.25">
      <c r="A440" s="12">
        <v>44972</v>
      </c>
      <c r="B440" s="18">
        <v>2.2200000000000002</v>
      </c>
    </row>
    <row r="441" spans="1:2" x14ac:dyDescent="0.25">
      <c r="A441" s="12">
        <v>44973</v>
      </c>
      <c r="B441" s="18">
        <v>2.0699999999999998</v>
      </c>
    </row>
    <row r="442" spans="1:2" x14ac:dyDescent="0.25">
      <c r="A442" s="12">
        <v>44974</v>
      </c>
      <c r="B442" s="18">
        <v>2.21</v>
      </c>
    </row>
    <row r="443" spans="1:2" x14ac:dyDescent="0.25">
      <c r="A443" s="12">
        <v>44978</v>
      </c>
      <c r="B443" s="18">
        <v>2.06</v>
      </c>
    </row>
    <row r="444" spans="1:2" x14ac:dyDescent="0.25">
      <c r="A444" s="12">
        <v>44979</v>
      </c>
      <c r="B444" s="18">
        <v>2.19</v>
      </c>
    </row>
    <row r="445" spans="1:2" x14ac:dyDescent="0.25">
      <c r="A445" s="12">
        <v>44980</v>
      </c>
      <c r="B445" s="18">
        <v>2.27</v>
      </c>
    </row>
    <row r="446" spans="1:2" x14ac:dyDescent="0.25">
      <c r="A446" s="12">
        <v>44981</v>
      </c>
      <c r="B446" s="18">
        <v>2.13</v>
      </c>
    </row>
    <row r="447" spans="1:2" x14ac:dyDescent="0.25">
      <c r="A447" s="12">
        <v>44984</v>
      </c>
      <c r="B447" s="18">
        <v>2.23</v>
      </c>
    </row>
    <row r="448" spans="1:2" x14ac:dyDescent="0.25">
      <c r="A448" s="12">
        <v>44985</v>
      </c>
      <c r="B448" s="18">
        <v>2.2000000000000002</v>
      </c>
    </row>
    <row r="449" spans="1:2" x14ac:dyDescent="0.25">
      <c r="A449" s="12">
        <v>44986</v>
      </c>
      <c r="B449" s="18">
        <v>2.17</v>
      </c>
    </row>
    <row r="450" spans="1:2" x14ac:dyDescent="0.25">
      <c r="A450" s="12">
        <v>44987</v>
      </c>
      <c r="B450" s="18">
        <v>2.27</v>
      </c>
    </row>
    <row r="451" spans="1:2" x14ac:dyDescent="0.25">
      <c r="A451" s="12">
        <v>44988</v>
      </c>
      <c r="B451" s="18">
        <v>2.39</v>
      </c>
    </row>
    <row r="452" spans="1:2" x14ac:dyDescent="0.25">
      <c r="A452" s="12">
        <v>44991</v>
      </c>
      <c r="B452" s="18">
        <v>2.2999999999999998</v>
      </c>
    </row>
    <row r="453" spans="1:2" x14ac:dyDescent="0.25">
      <c r="A453" s="12">
        <v>44992</v>
      </c>
      <c r="B453" s="18">
        <v>2.33</v>
      </c>
    </row>
    <row r="454" spans="1:2" x14ac:dyDescent="0.25">
      <c r="A454" s="12">
        <v>44993</v>
      </c>
      <c r="B454" s="18">
        <v>2.27</v>
      </c>
    </row>
    <row r="455" spans="1:2" x14ac:dyDescent="0.25">
      <c r="A455" s="12">
        <v>44994</v>
      </c>
      <c r="B455" s="18">
        <v>2.16</v>
      </c>
    </row>
    <row r="456" spans="1:2" x14ac:dyDescent="0.25">
      <c r="A456" s="12">
        <v>44995</v>
      </c>
      <c r="B456" s="18">
        <v>2.02</v>
      </c>
    </row>
    <row r="457" spans="1:2" x14ac:dyDescent="0.25">
      <c r="A457" s="12">
        <v>44998</v>
      </c>
      <c r="B457" s="18">
        <v>2</v>
      </c>
    </row>
    <row r="458" spans="1:2" x14ac:dyDescent="0.25">
      <c r="A458" s="12">
        <v>44999</v>
      </c>
      <c r="B458" s="18">
        <v>2.06</v>
      </c>
    </row>
    <row r="459" spans="1:2" x14ac:dyDescent="0.25">
      <c r="A459" s="12">
        <v>45000</v>
      </c>
      <c r="B459" s="18">
        <v>2.13</v>
      </c>
    </row>
    <row r="460" spans="1:2" x14ac:dyDescent="0.25">
      <c r="A460" s="12">
        <v>45001</v>
      </c>
      <c r="B460" s="18">
        <v>2.17</v>
      </c>
    </row>
    <row r="461" spans="1:2" x14ac:dyDescent="0.25">
      <c r="A461" s="12">
        <v>45002</v>
      </c>
      <c r="B461" s="18">
        <v>2.31</v>
      </c>
    </row>
    <row r="462" spans="1:2" x14ac:dyDescent="0.25">
      <c r="A462" s="12">
        <v>45005</v>
      </c>
      <c r="B462" s="18">
        <v>2.4300000000000002</v>
      </c>
    </row>
    <row r="463" spans="1:2" x14ac:dyDescent="0.25">
      <c r="A463" s="12">
        <v>45006</v>
      </c>
      <c r="B463" s="18">
        <v>2.64</v>
      </c>
    </row>
    <row r="464" spans="1:2" x14ac:dyDescent="0.25">
      <c r="A464" s="12">
        <v>45007</v>
      </c>
      <c r="B464" s="18">
        <v>2.5</v>
      </c>
    </row>
    <row r="465" spans="1:2" x14ac:dyDescent="0.25">
      <c r="A465" s="12">
        <v>45008</v>
      </c>
      <c r="B465" s="18">
        <v>2.4</v>
      </c>
    </row>
    <row r="466" spans="1:2" x14ac:dyDescent="0.25">
      <c r="A466" s="12">
        <v>45009</v>
      </c>
      <c r="B466" s="18">
        <v>2.39</v>
      </c>
    </row>
    <row r="467" spans="1:2" x14ac:dyDescent="0.25">
      <c r="A467" s="12">
        <v>45012</v>
      </c>
      <c r="B467" s="18">
        <v>2.37</v>
      </c>
    </row>
    <row r="468" spans="1:2" x14ac:dyDescent="0.25">
      <c r="A468" s="12">
        <v>45013</v>
      </c>
      <c r="B468" s="18">
        <v>2.36</v>
      </c>
    </row>
    <row r="469" spans="1:2" x14ac:dyDescent="0.25">
      <c r="A469" s="12">
        <v>45014</v>
      </c>
      <c r="B469" s="18">
        <v>2.3199999999999998</v>
      </c>
    </row>
    <row r="470" spans="1:2" x14ac:dyDescent="0.25">
      <c r="A470" s="12">
        <v>45015</v>
      </c>
      <c r="B470" s="18">
        <v>2.39</v>
      </c>
    </row>
    <row r="471" spans="1:2" x14ac:dyDescent="0.25">
      <c r="A471" s="12">
        <v>45016</v>
      </c>
      <c r="B471" s="18">
        <v>2.42</v>
      </c>
    </row>
    <row r="472" spans="1:2" x14ac:dyDescent="0.25">
      <c r="A472" s="12">
        <v>45019</v>
      </c>
      <c r="B472" s="18">
        <v>2.56</v>
      </c>
    </row>
    <row r="473" spans="1:2" x14ac:dyDescent="0.25">
      <c r="A473" s="12">
        <v>45020</v>
      </c>
      <c r="B473" s="18">
        <v>2.54</v>
      </c>
    </row>
    <row r="474" spans="1:2" x14ac:dyDescent="0.25">
      <c r="A474" s="12">
        <v>45021</v>
      </c>
      <c r="B474" s="18">
        <v>2.34</v>
      </c>
    </row>
    <row r="475" spans="1:2" x14ac:dyDescent="0.25">
      <c r="A475" s="12">
        <v>45022</v>
      </c>
      <c r="B475" s="18">
        <v>2.2799999999999998</v>
      </c>
    </row>
    <row r="476" spans="1:2" x14ac:dyDescent="0.25">
      <c r="A476" s="12">
        <v>45026</v>
      </c>
      <c r="B476" s="18">
        <v>2.31</v>
      </c>
    </row>
    <row r="477" spans="1:2" x14ac:dyDescent="0.25">
      <c r="A477" s="12">
        <v>45027</v>
      </c>
      <c r="B477" s="18">
        <v>2.2799999999999998</v>
      </c>
    </row>
    <row r="478" spans="1:2" x14ac:dyDescent="0.25">
      <c r="A478" s="12">
        <v>45028</v>
      </c>
      <c r="B478" s="18">
        <v>2.25</v>
      </c>
    </row>
    <row r="479" spans="1:2" x14ac:dyDescent="0.25">
      <c r="A479" s="12">
        <v>45029</v>
      </c>
      <c r="B479" s="18">
        <v>2.29</v>
      </c>
    </row>
    <row r="480" spans="1:2" x14ac:dyDescent="0.25">
      <c r="A480" s="12">
        <v>45030</v>
      </c>
      <c r="B480" s="18">
        <v>2.2799999999999998</v>
      </c>
    </row>
    <row r="481" spans="1:2" x14ac:dyDescent="0.25">
      <c r="A481" s="12">
        <v>45033</v>
      </c>
      <c r="B481" s="18">
        <v>2.27</v>
      </c>
    </row>
    <row r="482" spans="1:2" x14ac:dyDescent="0.25">
      <c r="A482" s="12">
        <v>45034</v>
      </c>
      <c r="B482" s="18">
        <v>2.39</v>
      </c>
    </row>
    <row r="483" spans="1:2" x14ac:dyDescent="0.25">
      <c r="A483" s="12">
        <v>45035</v>
      </c>
      <c r="B483" s="18">
        <v>2.36</v>
      </c>
    </row>
    <row r="484" spans="1:2" x14ac:dyDescent="0.25">
      <c r="A484" s="12">
        <v>45036</v>
      </c>
      <c r="B484" s="18">
        <v>2.2200000000000002</v>
      </c>
    </row>
    <row r="485" spans="1:2" x14ac:dyDescent="0.25">
      <c r="A485" s="12">
        <v>45037</v>
      </c>
      <c r="B485" s="18">
        <v>2.25</v>
      </c>
    </row>
    <row r="486" spans="1:2" x14ac:dyDescent="0.25">
      <c r="A486" s="12">
        <v>45040</v>
      </c>
      <c r="B486" s="18">
        <v>2.2799999999999998</v>
      </c>
    </row>
    <row r="487" spans="1:2" x14ac:dyDescent="0.25">
      <c r="A487" s="12">
        <v>45041</v>
      </c>
      <c r="B487" s="18">
        <v>2.21</v>
      </c>
    </row>
    <row r="488" spans="1:2" x14ac:dyDescent="0.25">
      <c r="A488" s="12">
        <v>45042</v>
      </c>
      <c r="B488" s="18">
        <v>2.33</v>
      </c>
    </row>
    <row r="489" spans="1:2" x14ac:dyDescent="0.25">
      <c r="A489" s="12">
        <v>45043</v>
      </c>
      <c r="B489" s="18">
        <v>2.38</v>
      </c>
    </row>
    <row r="490" spans="1:2" x14ac:dyDescent="0.25">
      <c r="A490" s="12">
        <v>45044</v>
      </c>
      <c r="B490" s="18">
        <v>2.33</v>
      </c>
    </row>
    <row r="491" spans="1:2" x14ac:dyDescent="0.25">
      <c r="A491" s="12">
        <v>45047</v>
      </c>
      <c r="B491" s="18">
        <v>2.2400000000000002</v>
      </c>
    </row>
    <row r="492" spans="1:2" x14ac:dyDescent="0.25">
      <c r="A492" s="12">
        <v>45048</v>
      </c>
      <c r="B492" s="18">
        <v>2.2000000000000002</v>
      </c>
    </row>
    <row r="493" spans="1:2" x14ac:dyDescent="0.25">
      <c r="A493" s="12">
        <v>45049</v>
      </c>
      <c r="B493" s="18">
        <v>2.12</v>
      </c>
    </row>
    <row r="494" spans="1:2" x14ac:dyDescent="0.25">
      <c r="A494" s="12">
        <v>45050</v>
      </c>
      <c r="B494" s="18">
        <v>2.09</v>
      </c>
    </row>
    <row r="495" spans="1:2" x14ac:dyDescent="0.25">
      <c r="A495" s="12">
        <v>45051</v>
      </c>
      <c r="B495" s="18">
        <v>2.1</v>
      </c>
    </row>
    <row r="496" spans="1:2" x14ac:dyDescent="0.25">
      <c r="A496" s="12">
        <v>45054</v>
      </c>
      <c r="B496" s="18">
        <v>2.15</v>
      </c>
    </row>
    <row r="497" spans="1:2" x14ac:dyDescent="0.25">
      <c r="A497" s="12">
        <v>45055</v>
      </c>
      <c r="B497" s="18">
        <v>2.19</v>
      </c>
    </row>
    <row r="498" spans="1:2" x14ac:dyDescent="0.25">
      <c r="A498" s="12">
        <v>45056</v>
      </c>
      <c r="B498" s="18">
        <v>2.25</v>
      </c>
    </row>
    <row r="499" spans="1:2" x14ac:dyDescent="0.25">
      <c r="A499" s="12">
        <v>45057</v>
      </c>
      <c r="B499" s="18">
        <v>2.12</v>
      </c>
    </row>
    <row r="500" spans="1:2" x14ac:dyDescent="0.25">
      <c r="A500" s="12">
        <v>45058</v>
      </c>
      <c r="B500" s="18">
        <v>2.1</v>
      </c>
    </row>
    <row r="501" spans="1:2" x14ac:dyDescent="0.25">
      <c r="A501" s="12">
        <v>45061</v>
      </c>
      <c r="B501" s="18">
        <v>2</v>
      </c>
    </row>
    <row r="502" spans="1:2" x14ac:dyDescent="0.25">
      <c r="A502" s="12">
        <v>45062</v>
      </c>
      <c r="B502" s="18">
        <v>1.86</v>
      </c>
    </row>
    <row r="503" spans="1:2" x14ac:dyDescent="0.25">
      <c r="A503" s="12">
        <v>45063</v>
      </c>
      <c r="B503" s="18">
        <v>1.93</v>
      </c>
    </row>
    <row r="504" spans="1:2" x14ac:dyDescent="0.25">
      <c r="A504" s="12">
        <v>45064</v>
      </c>
      <c r="B504" s="18">
        <v>1.9</v>
      </c>
    </row>
    <row r="505" spans="1:2" x14ac:dyDescent="0.25">
      <c r="A505" s="12">
        <v>45065</v>
      </c>
      <c r="B505" s="18">
        <v>1.78</v>
      </c>
    </row>
    <row r="506" spans="1:2" x14ac:dyDescent="0.25">
      <c r="A506" s="12">
        <v>45068</v>
      </c>
      <c r="B506" s="18">
        <v>1.85</v>
      </c>
    </row>
    <row r="507" spans="1:2" x14ac:dyDescent="0.25">
      <c r="A507" s="12">
        <v>45069</v>
      </c>
      <c r="B507" s="18">
        <v>1.86</v>
      </c>
    </row>
    <row r="508" spans="1:2" x14ac:dyDescent="0.25">
      <c r="A508" s="12">
        <v>45070</v>
      </c>
      <c r="B508" s="18">
        <v>1.78</v>
      </c>
    </row>
    <row r="509" spans="1:2" x14ac:dyDescent="0.25">
      <c r="A509" s="12">
        <v>45071</v>
      </c>
      <c r="B509" s="18">
        <v>1.71</v>
      </c>
    </row>
    <row r="510" spans="1:2" x14ac:dyDescent="0.25">
      <c r="A510" s="12">
        <v>45072</v>
      </c>
      <c r="B510" s="18">
        <v>1.76</v>
      </c>
    </row>
    <row r="511" spans="1:2" x14ac:dyDescent="0.25">
      <c r="A511" s="12">
        <v>45076</v>
      </c>
      <c r="B511" s="18">
        <v>1.65</v>
      </c>
    </row>
    <row r="512" spans="1:2" x14ac:dyDescent="0.25">
      <c r="A512" s="12">
        <v>45077</v>
      </c>
      <c r="B512" s="18">
        <v>1.58</v>
      </c>
    </row>
    <row r="513" spans="1:2" x14ac:dyDescent="0.25">
      <c r="A513" s="12">
        <v>45078</v>
      </c>
      <c r="B513" s="18">
        <v>1.61</v>
      </c>
    </row>
    <row r="514" spans="1:2" x14ac:dyDescent="0.25">
      <c r="A514" s="12">
        <v>45079</v>
      </c>
      <c r="B514" s="18">
        <v>1.72</v>
      </c>
    </row>
    <row r="515" spans="1:2" x14ac:dyDescent="0.25">
      <c r="A515" s="12">
        <v>45082</v>
      </c>
      <c r="B515" s="18">
        <v>1.69</v>
      </c>
    </row>
    <row r="516" spans="1:2" x14ac:dyDescent="0.25">
      <c r="A516" s="12">
        <v>45083</v>
      </c>
      <c r="B516" s="18">
        <v>1.79</v>
      </c>
    </row>
    <row r="517" spans="1:2" x14ac:dyDescent="0.25">
      <c r="A517" s="12">
        <v>45084</v>
      </c>
      <c r="B517" s="18">
        <v>1.88</v>
      </c>
    </row>
    <row r="518" spans="1:2" x14ac:dyDescent="0.25">
      <c r="A518" s="12">
        <v>45085</v>
      </c>
      <c r="B518" s="18">
        <v>1.95</v>
      </c>
    </row>
    <row r="519" spans="1:2" x14ac:dyDescent="0.25">
      <c r="A519" s="12">
        <v>45086</v>
      </c>
      <c r="B519" s="18">
        <v>2.0099999999999998</v>
      </c>
    </row>
    <row r="520" spans="1:2" x14ac:dyDescent="0.25">
      <c r="A520" s="12">
        <v>45089</v>
      </c>
      <c r="B520" s="18">
        <v>2.04</v>
      </c>
    </row>
    <row r="521" spans="1:2" x14ac:dyDescent="0.25">
      <c r="A521" s="12">
        <v>45090</v>
      </c>
      <c r="B521" s="18">
        <v>2.08</v>
      </c>
    </row>
    <row r="522" spans="1:2" x14ac:dyDescent="0.25">
      <c r="A522" s="12">
        <v>45091</v>
      </c>
      <c r="B522" s="18">
        <v>2.0099999999999998</v>
      </c>
    </row>
    <row r="523" spans="1:2" x14ac:dyDescent="0.25">
      <c r="A523" s="12">
        <v>45092</v>
      </c>
      <c r="B523" s="18">
        <v>1.94</v>
      </c>
    </row>
    <row r="524" spans="1:2" x14ac:dyDescent="0.25">
      <c r="A524" s="12">
        <v>45093</v>
      </c>
      <c r="B524" s="18">
        <v>1.87</v>
      </c>
    </row>
    <row r="525" spans="1:2" x14ac:dyDescent="0.25">
      <c r="A525" s="12">
        <v>45097</v>
      </c>
      <c r="B525" s="18">
        <v>1.78</v>
      </c>
    </row>
    <row r="526" spans="1:2" x14ac:dyDescent="0.25">
      <c r="A526" s="12">
        <v>45098</v>
      </c>
      <c r="B526" s="18">
        <v>1.75</v>
      </c>
    </row>
    <row r="527" spans="1:2" x14ac:dyDescent="0.25">
      <c r="A527" s="12">
        <v>45099</v>
      </c>
      <c r="B527" s="18">
        <v>1.81</v>
      </c>
    </row>
    <row r="528" spans="1:2" x14ac:dyDescent="0.25">
      <c r="A528" s="12">
        <v>45100</v>
      </c>
      <c r="B528" s="18">
        <v>1.81</v>
      </c>
    </row>
    <row r="529" spans="1:2" x14ac:dyDescent="0.25">
      <c r="A529" s="12">
        <v>45103</v>
      </c>
      <c r="B529" s="18">
        <v>1.82</v>
      </c>
    </row>
    <row r="530" spans="1:2" x14ac:dyDescent="0.25">
      <c r="A530" s="12">
        <v>45104</v>
      </c>
      <c r="B530" s="18">
        <v>1.82</v>
      </c>
    </row>
    <row r="531" spans="1:2" x14ac:dyDescent="0.25">
      <c r="A531" s="12">
        <v>45105</v>
      </c>
      <c r="B531" s="18">
        <v>1.89</v>
      </c>
    </row>
    <row r="532" spans="1:2" x14ac:dyDescent="0.25">
      <c r="A532" s="12">
        <v>45106</v>
      </c>
      <c r="B532" s="18">
        <v>2.04</v>
      </c>
    </row>
    <row r="533" spans="1:2" x14ac:dyDescent="0.25">
      <c r="A533" s="12">
        <v>45107</v>
      </c>
      <c r="B533" s="18">
        <v>2.0499999999999998</v>
      </c>
    </row>
    <row r="534" spans="1:2" x14ac:dyDescent="0.25">
      <c r="A534" s="12">
        <v>45110</v>
      </c>
      <c r="B534" s="18">
        <v>2.0099999999999998</v>
      </c>
    </row>
    <row r="535" spans="1:2" x14ac:dyDescent="0.25">
      <c r="A535" s="12">
        <v>45112</v>
      </c>
      <c r="B535" s="18">
        <v>1.95</v>
      </c>
    </row>
    <row r="536" spans="1:2" x14ac:dyDescent="0.25">
      <c r="A536" s="12">
        <v>45113</v>
      </c>
      <c r="B536" s="18">
        <v>1.88</v>
      </c>
    </row>
    <row r="537" spans="1:2" x14ac:dyDescent="0.25">
      <c r="A537" s="12">
        <v>45114</v>
      </c>
      <c r="B537" s="18">
        <v>1.98</v>
      </c>
    </row>
    <row r="538" spans="1:2" x14ac:dyDescent="0.25">
      <c r="A538" s="12">
        <v>45117</v>
      </c>
      <c r="B538" s="18">
        <v>1.95</v>
      </c>
    </row>
    <row r="539" spans="1:2" x14ac:dyDescent="0.25">
      <c r="A539" s="12">
        <v>45118</v>
      </c>
      <c r="B539" s="18">
        <v>1.92</v>
      </c>
    </row>
    <row r="540" spans="1:2" x14ac:dyDescent="0.25">
      <c r="A540" s="12">
        <v>45119</v>
      </c>
      <c r="B540" s="18">
        <v>2.0699999999999998</v>
      </c>
    </row>
    <row r="541" spans="1:2" x14ac:dyDescent="0.25">
      <c r="A541" s="12">
        <v>45120</v>
      </c>
      <c r="B541" s="18">
        <v>2.2000000000000002</v>
      </c>
    </row>
    <row r="542" spans="1:2" x14ac:dyDescent="0.25">
      <c r="A542" s="12">
        <v>45121</v>
      </c>
      <c r="B542" s="18">
        <v>2.09</v>
      </c>
    </row>
    <row r="543" spans="1:2" x14ac:dyDescent="0.25">
      <c r="A543" s="12">
        <v>45124</v>
      </c>
      <c r="B543" s="18">
        <v>2.1800000000000002</v>
      </c>
    </row>
    <row r="544" spans="1:2" x14ac:dyDescent="0.25">
      <c r="A544" s="12">
        <v>45125</v>
      </c>
      <c r="B544" s="18">
        <v>2.17</v>
      </c>
    </row>
    <row r="545" spans="1:2" x14ac:dyDescent="0.25">
      <c r="A545" s="12">
        <v>45126</v>
      </c>
      <c r="B545" s="18">
        <v>2.2599999999999998</v>
      </c>
    </row>
    <row r="546" spans="1:2" x14ac:dyDescent="0.25">
      <c r="A546" s="12">
        <v>45127</v>
      </c>
      <c r="B546" s="18">
        <v>2.17</v>
      </c>
    </row>
    <row r="547" spans="1:2" x14ac:dyDescent="0.25">
      <c r="A547" s="12">
        <v>45128</v>
      </c>
      <c r="B547" s="18">
        <v>2.16</v>
      </c>
    </row>
    <row r="548" spans="1:2" x14ac:dyDescent="0.25">
      <c r="A548" s="12">
        <v>45131</v>
      </c>
      <c r="B548" s="18">
        <v>2.11</v>
      </c>
    </row>
    <row r="549" spans="1:2" x14ac:dyDescent="0.25">
      <c r="A549" s="12">
        <v>45132</v>
      </c>
      <c r="B549" s="18">
        <v>2.1</v>
      </c>
    </row>
    <row r="550" spans="1:2" x14ac:dyDescent="0.25">
      <c r="A550" s="12">
        <v>45133</v>
      </c>
      <c r="B550" s="18">
        <v>2.17</v>
      </c>
    </row>
    <row r="551" spans="1:2" x14ac:dyDescent="0.25">
      <c r="A551" s="12">
        <v>45134</v>
      </c>
      <c r="B551" s="18">
        <v>1.65</v>
      </c>
    </row>
    <row r="552" spans="1:2" x14ac:dyDescent="0.25">
      <c r="A552" s="12">
        <v>45135</v>
      </c>
      <c r="B552" s="18">
        <v>1.64</v>
      </c>
    </row>
    <row r="553" spans="1:2" x14ac:dyDescent="0.25">
      <c r="A553" s="12">
        <v>45138</v>
      </c>
      <c r="B553" s="18">
        <v>1.59</v>
      </c>
    </row>
    <row r="554" spans="1:2" x14ac:dyDescent="0.25">
      <c r="A554" s="12">
        <v>45139</v>
      </c>
      <c r="B554" s="18">
        <v>1.53</v>
      </c>
    </row>
    <row r="555" spans="1:2" x14ac:dyDescent="0.25">
      <c r="A555" s="12">
        <v>45140</v>
      </c>
      <c r="B555" s="18">
        <v>1.43</v>
      </c>
    </row>
    <row r="556" spans="1:2" x14ac:dyDescent="0.25">
      <c r="A556" s="12">
        <v>45141</v>
      </c>
      <c r="B556" s="18">
        <v>1.47</v>
      </c>
    </row>
    <row r="557" spans="1:2" x14ac:dyDescent="0.25">
      <c r="A557" s="12">
        <v>45142</v>
      </c>
      <c r="B557" s="18">
        <v>1.45</v>
      </c>
    </row>
    <row r="558" spans="1:2" x14ac:dyDescent="0.25">
      <c r="A558" s="12">
        <v>45145</v>
      </c>
      <c r="B558" s="18">
        <v>1.46</v>
      </c>
    </row>
    <row r="559" spans="1:2" x14ac:dyDescent="0.25">
      <c r="A559" s="12">
        <v>45146</v>
      </c>
      <c r="B559" s="18">
        <v>1.41</v>
      </c>
    </row>
    <row r="560" spans="1:2" x14ac:dyDescent="0.25">
      <c r="A560" s="12">
        <v>45147</v>
      </c>
      <c r="B560" s="18">
        <v>1.35</v>
      </c>
    </row>
    <row r="561" spans="1:2" x14ac:dyDescent="0.25">
      <c r="A561" s="12">
        <v>45148</v>
      </c>
      <c r="B561" s="18">
        <v>1.39</v>
      </c>
    </row>
    <row r="562" spans="1:2" x14ac:dyDescent="0.25">
      <c r="A562" s="12">
        <v>45149</v>
      </c>
      <c r="B562" s="18">
        <v>1.45</v>
      </c>
    </row>
    <row r="563" spans="1:2" x14ac:dyDescent="0.25">
      <c r="A563" s="12">
        <v>45152</v>
      </c>
      <c r="B563" s="18">
        <v>1.44</v>
      </c>
    </row>
    <row r="564" spans="1:2" x14ac:dyDescent="0.25">
      <c r="A564" s="12">
        <v>45153</v>
      </c>
      <c r="B564" s="18">
        <v>1.37</v>
      </c>
    </row>
    <row r="565" spans="1:2" x14ac:dyDescent="0.25">
      <c r="A565" s="12">
        <v>45154</v>
      </c>
      <c r="B565" s="18">
        <v>1.32</v>
      </c>
    </row>
    <row r="566" spans="1:2" x14ac:dyDescent="0.25">
      <c r="A566" s="12">
        <v>45155</v>
      </c>
      <c r="B566" s="18">
        <v>1.33</v>
      </c>
    </row>
    <row r="567" spans="1:2" x14ac:dyDescent="0.25">
      <c r="A567" s="12">
        <v>45156</v>
      </c>
      <c r="B567" s="18">
        <v>1.3</v>
      </c>
    </row>
    <row r="568" spans="1:2" x14ac:dyDescent="0.25">
      <c r="A568" s="12">
        <v>45159</v>
      </c>
      <c r="B568" s="18">
        <v>1.29</v>
      </c>
    </row>
    <row r="569" spans="1:2" x14ac:dyDescent="0.25">
      <c r="A569" s="12">
        <v>45160</v>
      </c>
      <c r="B569" s="18">
        <v>1.25</v>
      </c>
    </row>
    <row r="570" spans="1:2" x14ac:dyDescent="0.25">
      <c r="A570" s="12">
        <v>45161</v>
      </c>
      <c r="B570" s="18">
        <v>1.24</v>
      </c>
    </row>
    <row r="571" spans="1:2" x14ac:dyDescent="0.25">
      <c r="A571" s="12">
        <v>45162</v>
      </c>
      <c r="B571" s="18">
        <v>1.21</v>
      </c>
    </row>
    <row r="572" spans="1:2" x14ac:dyDescent="0.25">
      <c r="A572" s="12">
        <v>45163</v>
      </c>
      <c r="B572" s="18">
        <v>1.25</v>
      </c>
    </row>
    <row r="573" spans="1:2" x14ac:dyDescent="0.25">
      <c r="A573" s="12">
        <v>45166</v>
      </c>
      <c r="B573" s="18">
        <v>1.23</v>
      </c>
    </row>
    <row r="574" spans="1:2" x14ac:dyDescent="0.25">
      <c r="A574" s="12">
        <v>45167</v>
      </c>
      <c r="B574" s="18">
        <v>1.34</v>
      </c>
    </row>
    <row r="575" spans="1:2" x14ac:dyDescent="0.25">
      <c r="A575" s="12">
        <v>45168</v>
      </c>
      <c r="B575" s="18">
        <v>1.28</v>
      </c>
    </row>
    <row r="576" spans="1:2" x14ac:dyDescent="0.25">
      <c r="A576" s="12">
        <v>45169</v>
      </c>
      <c r="B576" s="18">
        <v>1.23</v>
      </c>
    </row>
    <row r="577" spans="1:2" x14ac:dyDescent="0.25">
      <c r="A577" s="12">
        <v>45170</v>
      </c>
      <c r="B577" s="18">
        <v>1.26</v>
      </c>
    </row>
    <row r="578" spans="1:2" x14ac:dyDescent="0.25">
      <c r="A578" s="12">
        <v>45174</v>
      </c>
      <c r="B578" s="18">
        <v>1.23</v>
      </c>
    </row>
    <row r="579" spans="1:2" x14ac:dyDescent="0.25">
      <c r="A579" s="12">
        <v>45175</v>
      </c>
      <c r="B579" s="18">
        <v>1.21</v>
      </c>
    </row>
    <row r="580" spans="1:2" x14ac:dyDescent="0.25">
      <c r="A580" s="12">
        <v>45176</v>
      </c>
      <c r="B580" s="18">
        <v>1.1499999999999999</v>
      </c>
    </row>
    <row r="581" spans="1:2" x14ac:dyDescent="0.25">
      <c r="A581" s="12">
        <v>45177</v>
      </c>
      <c r="B581" s="18">
        <v>1.1200000000000001</v>
      </c>
    </row>
    <row r="582" spans="1:2" x14ac:dyDescent="0.25">
      <c r="A582" s="12">
        <v>45180</v>
      </c>
      <c r="B582" s="18">
        <v>1.02</v>
      </c>
    </row>
    <row r="583" spans="1:2" x14ac:dyDescent="0.25">
      <c r="A583" s="12">
        <v>45181</v>
      </c>
      <c r="B583" s="18">
        <v>1.03</v>
      </c>
    </row>
    <row r="584" spans="1:2" x14ac:dyDescent="0.25">
      <c r="A584" s="12">
        <v>45182</v>
      </c>
      <c r="B584" s="18">
        <v>1.02</v>
      </c>
    </row>
    <row r="585" spans="1:2" x14ac:dyDescent="0.25">
      <c r="A585" s="12">
        <v>45183</v>
      </c>
      <c r="B585" s="18">
        <v>0.996</v>
      </c>
    </row>
    <row r="586" spans="1:2" x14ac:dyDescent="0.25">
      <c r="A586" s="12">
        <v>45184</v>
      </c>
      <c r="B586" s="18">
        <v>1.04</v>
      </c>
    </row>
    <row r="587" spans="1:2" x14ac:dyDescent="0.25">
      <c r="A587" s="12">
        <v>45187</v>
      </c>
      <c r="B587" s="18">
        <v>1.01</v>
      </c>
    </row>
    <row r="588" spans="1:2" x14ac:dyDescent="0.25">
      <c r="A588" s="12">
        <v>45188</v>
      </c>
      <c r="B588" s="18">
        <v>0.98599999999999999</v>
      </c>
    </row>
    <row r="589" spans="1:2" x14ac:dyDescent="0.25">
      <c r="A589" s="12">
        <v>45189</v>
      </c>
      <c r="B589" s="18">
        <v>1</v>
      </c>
    </row>
    <row r="590" spans="1:2" x14ac:dyDescent="0.25">
      <c r="A590" s="12">
        <v>45190</v>
      </c>
      <c r="B590" s="18">
        <v>0.98499999999999999</v>
      </c>
    </row>
    <row r="591" spans="1:2" x14ac:dyDescent="0.25">
      <c r="A591" s="12">
        <v>45191</v>
      </c>
      <c r="B591" s="18">
        <v>0.92700000000000005</v>
      </c>
    </row>
    <row r="592" spans="1:2" x14ac:dyDescent="0.25">
      <c r="A592" s="12">
        <v>45194</v>
      </c>
      <c r="B592" s="18">
        <v>0.90400000000000003</v>
      </c>
    </row>
    <row r="593" spans="1:2" x14ac:dyDescent="0.25">
      <c r="A593" s="12">
        <v>45195</v>
      </c>
      <c r="B593" s="18">
        <v>0.88400000000000001</v>
      </c>
    </row>
    <row r="594" spans="1:2" x14ac:dyDescent="0.25">
      <c r="A594" s="12">
        <v>45196</v>
      </c>
      <c r="B594" s="18">
        <v>0.88500000000000001</v>
      </c>
    </row>
    <row r="595" spans="1:2" x14ac:dyDescent="0.25">
      <c r="A595" s="12">
        <v>45197</v>
      </c>
      <c r="B595" s="18">
        <v>0.88</v>
      </c>
    </row>
    <row r="596" spans="1:2" x14ac:dyDescent="0.25">
      <c r="A596" s="12">
        <v>45198</v>
      </c>
      <c r="B596" s="18">
        <v>0.89600000000000002</v>
      </c>
    </row>
    <row r="597" spans="1:2" x14ac:dyDescent="0.25">
      <c r="A597" s="12">
        <v>45201</v>
      </c>
      <c r="B597" s="18">
        <v>0.86399999999999999</v>
      </c>
    </row>
    <row r="598" spans="1:2" x14ac:dyDescent="0.25">
      <c r="A598" s="12">
        <v>45202</v>
      </c>
      <c r="B598" s="18">
        <v>0.81499999999999995</v>
      </c>
    </row>
    <row r="599" spans="1:2" x14ac:dyDescent="0.25">
      <c r="A599" s="12">
        <v>45203</v>
      </c>
      <c r="B599" s="18">
        <v>0.79</v>
      </c>
    </row>
    <row r="600" spans="1:2" x14ac:dyDescent="0.25">
      <c r="A600" s="12">
        <v>45204</v>
      </c>
      <c r="B600" s="18">
        <v>0.73299999999999998</v>
      </c>
    </row>
    <row r="601" spans="1:2" x14ac:dyDescent="0.25">
      <c r="A601" s="12">
        <v>45205</v>
      </c>
      <c r="B601" s="18">
        <v>0.69</v>
      </c>
    </row>
    <row r="602" spans="1:2" x14ac:dyDescent="0.25">
      <c r="A602" s="12">
        <v>45208</v>
      </c>
      <c r="B602" s="18">
        <v>0.68899999999999995</v>
      </c>
    </row>
    <row r="603" spans="1:2" x14ac:dyDescent="0.25">
      <c r="A603" s="12">
        <v>45209</v>
      </c>
      <c r="B603" s="18">
        <v>0.745</v>
      </c>
    </row>
    <row r="604" spans="1:2" x14ac:dyDescent="0.25">
      <c r="A604" s="12">
        <v>45210</v>
      </c>
      <c r="B604" s="18">
        <v>0.67300000000000004</v>
      </c>
    </row>
    <row r="605" spans="1:2" x14ac:dyDescent="0.25">
      <c r="A605" s="12">
        <v>45211</v>
      </c>
      <c r="B605" s="18">
        <v>0.64400000000000002</v>
      </c>
    </row>
    <row r="606" spans="1:2" x14ac:dyDescent="0.25">
      <c r="A606" s="12">
        <v>45212</v>
      </c>
      <c r="B606" s="18">
        <v>0.64400000000000002</v>
      </c>
    </row>
    <row r="607" spans="1:2" x14ac:dyDescent="0.25">
      <c r="A607" s="12">
        <v>45215</v>
      </c>
      <c r="B607" s="18">
        <v>0.66300000000000003</v>
      </c>
    </row>
    <row r="608" spans="1:2" x14ac:dyDescent="0.25">
      <c r="A608" s="12">
        <v>45216</v>
      </c>
      <c r="B608" s="18">
        <v>0.65200000000000002</v>
      </c>
    </row>
    <row r="609" spans="1:2" x14ac:dyDescent="0.25">
      <c r="A609" s="12">
        <v>45217</v>
      </c>
      <c r="B609" s="18">
        <v>0.623</v>
      </c>
    </row>
    <row r="610" spans="1:2" x14ac:dyDescent="0.25">
      <c r="A610" s="12">
        <v>45218</v>
      </c>
      <c r="B610" s="18">
        <v>0.56000000000000005</v>
      </c>
    </row>
    <row r="611" spans="1:2" x14ac:dyDescent="0.25">
      <c r="A611" s="12">
        <v>45219</v>
      </c>
      <c r="B611" s="18">
        <v>0.54700000000000004</v>
      </c>
    </row>
    <row r="612" spans="1:2" x14ac:dyDescent="0.25">
      <c r="A612" s="12">
        <v>45222</v>
      </c>
      <c r="B612" s="18">
        <v>0.50600000000000001</v>
      </c>
    </row>
    <row r="613" spans="1:2" x14ac:dyDescent="0.25">
      <c r="A613" s="12">
        <v>45223</v>
      </c>
      <c r="B613" s="18">
        <v>0.50800000000000001</v>
      </c>
    </row>
    <row r="614" spans="1:2" x14ac:dyDescent="0.25">
      <c r="A614" s="12">
        <v>45224</v>
      </c>
      <c r="B614" s="18">
        <v>0.48</v>
      </c>
    </row>
    <row r="615" spans="1:2" x14ac:dyDescent="0.25">
      <c r="A615" s="12">
        <v>45225</v>
      </c>
      <c r="B615" s="18">
        <v>0.46899999999999997</v>
      </c>
    </row>
    <row r="616" spans="1:2" x14ac:dyDescent="0.25">
      <c r="A616" s="12">
        <v>45226</v>
      </c>
      <c r="B616" s="18">
        <v>0.45500000000000002</v>
      </c>
    </row>
    <row r="617" spans="1:2" x14ac:dyDescent="0.25">
      <c r="A617" s="12">
        <v>45229</v>
      </c>
      <c r="B617" s="18">
        <v>0.47699999999999998</v>
      </c>
    </row>
    <row r="618" spans="1:2" x14ac:dyDescent="0.25">
      <c r="A618" s="12">
        <v>45230</v>
      </c>
      <c r="B618" s="18">
        <v>0.48499999999999999</v>
      </c>
    </row>
    <row r="619" spans="1:2" x14ac:dyDescent="0.25">
      <c r="A619" s="12">
        <v>45231</v>
      </c>
      <c r="B619" s="18">
        <v>0.47</v>
      </c>
    </row>
    <row r="620" spans="1:2" x14ac:dyDescent="0.25">
      <c r="A620" s="12">
        <v>45232</v>
      </c>
      <c r="B620" s="18">
        <v>0.52800000000000002</v>
      </c>
    </row>
    <row r="621" spans="1:2" x14ac:dyDescent="0.25">
      <c r="A621" s="12">
        <v>45233</v>
      </c>
      <c r="B621" s="18">
        <v>0.63</v>
      </c>
    </row>
    <row r="622" spans="1:2" x14ac:dyDescent="0.25">
      <c r="A622" s="12">
        <v>45236</v>
      </c>
      <c r="B622" s="18">
        <v>0.625</v>
      </c>
    </row>
    <row r="623" spans="1:2" x14ac:dyDescent="0.25">
      <c r="A623" s="12">
        <v>45237</v>
      </c>
      <c r="B623" s="18">
        <v>0.6</v>
      </c>
    </row>
    <row r="624" spans="1:2" x14ac:dyDescent="0.25">
      <c r="A624" s="12">
        <v>45238</v>
      </c>
      <c r="B624" s="18">
        <v>0.6</v>
      </c>
    </row>
    <row r="625" spans="1:2" x14ac:dyDescent="0.25">
      <c r="A625" s="12">
        <v>45239</v>
      </c>
      <c r="B625" s="18">
        <v>0.55100000000000005</v>
      </c>
    </row>
    <row r="626" spans="1:2" x14ac:dyDescent="0.25">
      <c r="A626" s="12">
        <v>45240</v>
      </c>
      <c r="B626" s="18">
        <v>0.54</v>
      </c>
    </row>
    <row r="627" spans="1:2" x14ac:dyDescent="0.25">
      <c r="A627" s="12">
        <v>45243</v>
      </c>
      <c r="B627" s="18">
        <v>0.5</v>
      </c>
    </row>
    <row r="628" spans="1:2" x14ac:dyDescent="0.25">
      <c r="A628" s="12">
        <v>45244</v>
      </c>
      <c r="B628" s="18">
        <v>0.53</v>
      </c>
    </row>
    <row r="629" spans="1:2" x14ac:dyDescent="0.25">
      <c r="A629" s="12">
        <v>45245</v>
      </c>
      <c r="B629" s="18">
        <v>0.53</v>
      </c>
    </row>
    <row r="630" spans="1:2" x14ac:dyDescent="0.25">
      <c r="A630" s="12">
        <v>45246</v>
      </c>
      <c r="B630" s="18">
        <v>0.76100000000000001</v>
      </c>
    </row>
    <row r="631" spans="1:2" x14ac:dyDescent="0.25">
      <c r="A631" s="12">
        <v>45247</v>
      </c>
      <c r="B631" s="18">
        <v>0.82399999999999995</v>
      </c>
    </row>
    <row r="632" spans="1:2" x14ac:dyDescent="0.25">
      <c r="A632" s="12">
        <v>45250</v>
      </c>
      <c r="B632" s="18">
        <v>0.78300000000000003</v>
      </c>
    </row>
    <row r="633" spans="1:2" x14ac:dyDescent="0.25">
      <c r="A633" s="12">
        <v>45251</v>
      </c>
      <c r="B633" s="18">
        <v>0.70199999999999996</v>
      </c>
    </row>
    <row r="634" spans="1:2" x14ac:dyDescent="0.25">
      <c r="A634" s="12">
        <v>45252</v>
      </c>
      <c r="B634" s="18">
        <v>0.70199999999999996</v>
      </c>
    </row>
    <row r="635" spans="1:2" x14ac:dyDescent="0.25">
      <c r="A635" s="12">
        <v>45254</v>
      </c>
      <c r="B635" s="18">
        <v>0.76400000000000001</v>
      </c>
    </row>
    <row r="636" spans="1:2" x14ac:dyDescent="0.25">
      <c r="A636" s="12">
        <v>45257</v>
      </c>
      <c r="B636" s="18">
        <v>0.79100000000000004</v>
      </c>
    </row>
    <row r="637" spans="1:2" x14ac:dyDescent="0.25">
      <c r="A637" s="12">
        <v>45258</v>
      </c>
      <c r="B637" s="18">
        <v>0.85</v>
      </c>
    </row>
    <row r="638" spans="1:2" x14ac:dyDescent="0.25">
      <c r="A638" s="12">
        <v>45259</v>
      </c>
      <c r="B638" s="18">
        <v>1</v>
      </c>
    </row>
    <row r="639" spans="1:2" x14ac:dyDescent="0.25">
      <c r="A639" s="12">
        <v>45260</v>
      </c>
      <c r="B639" s="18">
        <v>0.91</v>
      </c>
    </row>
    <row r="640" spans="1:2" x14ac:dyDescent="0.25">
      <c r="A640" s="12">
        <v>45261</v>
      </c>
      <c r="B640" s="18">
        <v>1.03</v>
      </c>
    </row>
    <row r="641" spans="1:2" x14ac:dyDescent="0.25">
      <c r="A641" s="12">
        <v>45264</v>
      </c>
      <c r="B641" s="18">
        <v>1.05</v>
      </c>
    </row>
    <row r="642" spans="1:2" x14ac:dyDescent="0.25">
      <c r="A642" s="12">
        <v>45265</v>
      </c>
      <c r="B642" s="18">
        <v>1.21</v>
      </c>
    </row>
    <row r="643" spans="1:2" x14ac:dyDescent="0.25">
      <c r="A643" s="12">
        <v>45266</v>
      </c>
      <c r="B643" s="18">
        <v>1.21</v>
      </c>
    </row>
    <row r="644" spans="1:2" x14ac:dyDescent="0.25">
      <c r="A644" s="12">
        <v>45267</v>
      </c>
      <c r="B644" s="18">
        <v>1.1399999999999999</v>
      </c>
    </row>
    <row r="645" spans="1:2" x14ac:dyDescent="0.25">
      <c r="A645" s="12">
        <v>45268</v>
      </c>
      <c r="B645" s="18">
        <v>1.1100000000000001</v>
      </c>
    </row>
    <row r="646" spans="1:2" x14ac:dyDescent="0.25">
      <c r="A646" s="12">
        <v>45271</v>
      </c>
      <c r="B646" s="18">
        <v>1.1399999999999999</v>
      </c>
    </row>
    <row r="647" spans="1:2" x14ac:dyDescent="0.25">
      <c r="A647" s="12">
        <v>45272</v>
      </c>
      <c r="B647" s="18">
        <v>1.1100000000000001</v>
      </c>
    </row>
    <row r="648" spans="1:2" x14ac:dyDescent="0.25">
      <c r="A648" s="12">
        <v>45273</v>
      </c>
      <c r="B648" s="18">
        <v>1.19</v>
      </c>
    </row>
    <row r="649" spans="1:2" x14ac:dyDescent="0.25">
      <c r="A649" s="12">
        <v>45274</v>
      </c>
      <c r="B649" s="18">
        <v>1.37</v>
      </c>
    </row>
    <row r="650" spans="1:2" x14ac:dyDescent="0.25">
      <c r="A650" s="12">
        <v>45275</v>
      </c>
      <c r="B650" s="18">
        <v>1.22</v>
      </c>
    </row>
    <row r="651" spans="1:2" x14ac:dyDescent="0.25">
      <c r="A651" s="12">
        <v>45278</v>
      </c>
      <c r="B651" s="18">
        <v>1.21</v>
      </c>
    </row>
    <row r="652" spans="1:2" x14ac:dyDescent="0.25">
      <c r="A652" s="12">
        <v>45279</v>
      </c>
      <c r="B652" s="18">
        <v>1.27</v>
      </c>
    </row>
    <row r="653" spans="1:2" x14ac:dyDescent="0.25">
      <c r="A653" s="12">
        <v>45280</v>
      </c>
      <c r="B653" s="18">
        <v>1.19</v>
      </c>
    </row>
    <row r="654" spans="1:2" x14ac:dyDescent="0.25">
      <c r="A654" s="12">
        <v>45281</v>
      </c>
      <c r="B654" s="18">
        <v>1.31</v>
      </c>
    </row>
    <row r="655" spans="1:2" x14ac:dyDescent="0.25">
      <c r="A655" s="12">
        <v>45282</v>
      </c>
      <c r="B655" s="18">
        <v>1.24</v>
      </c>
    </row>
    <row r="656" spans="1:2" x14ac:dyDescent="0.25">
      <c r="A656" s="12">
        <v>45286</v>
      </c>
      <c r="B656" s="18">
        <v>1.32</v>
      </c>
    </row>
    <row r="657" spans="1:2" x14ac:dyDescent="0.25">
      <c r="A657" s="12">
        <v>45287</v>
      </c>
      <c r="B657" s="18">
        <v>1.3</v>
      </c>
    </row>
    <row r="658" spans="1:2" x14ac:dyDescent="0.25">
      <c r="A658" s="12">
        <v>45288</v>
      </c>
      <c r="B658" s="18">
        <v>1.24</v>
      </c>
    </row>
    <row r="659" spans="1:2" x14ac:dyDescent="0.25">
      <c r="A659" s="12">
        <v>45289</v>
      </c>
      <c r="B659" s="18">
        <v>1.18</v>
      </c>
    </row>
    <row r="660" spans="1:2" x14ac:dyDescent="0.25">
      <c r="A660" s="12">
        <v>45293</v>
      </c>
      <c r="B660" s="18">
        <v>1.23</v>
      </c>
    </row>
    <row r="661" spans="1:2" x14ac:dyDescent="0.25">
      <c r="A661" s="12">
        <v>45294</v>
      </c>
      <c r="B661" s="18">
        <v>1.18</v>
      </c>
    </row>
    <row r="662" spans="1:2" x14ac:dyDescent="0.25">
      <c r="A662" s="12">
        <v>45295</v>
      </c>
      <c r="B662" s="18">
        <v>1.18</v>
      </c>
    </row>
    <row r="663" spans="1:2" x14ac:dyDescent="0.25">
      <c r="A663" s="12">
        <v>45296</v>
      </c>
      <c r="B663" s="18">
        <v>1.18</v>
      </c>
    </row>
    <row r="664" spans="1:2" x14ac:dyDescent="0.25">
      <c r="A664" s="12">
        <v>45299</v>
      </c>
      <c r="B664" s="18">
        <v>1.25</v>
      </c>
    </row>
    <row r="665" spans="1:2" x14ac:dyDescent="0.25">
      <c r="A665" s="12">
        <v>45300</v>
      </c>
      <c r="B665" s="18">
        <v>1.24</v>
      </c>
    </row>
    <row r="666" spans="1:2" x14ac:dyDescent="0.25">
      <c r="A666" s="12">
        <v>45301</v>
      </c>
      <c r="B666" s="18">
        <v>1.24</v>
      </c>
    </row>
    <row r="667" spans="1:2" x14ac:dyDescent="0.25">
      <c r="A667" s="12">
        <v>45302</v>
      </c>
      <c r="B667" s="18">
        <v>1.17</v>
      </c>
    </row>
    <row r="668" spans="1:2" x14ac:dyDescent="0.25">
      <c r="A668" s="12">
        <v>45303</v>
      </c>
      <c r="B668" s="18">
        <v>1.1000000000000001</v>
      </c>
    </row>
    <row r="669" spans="1:2" x14ac:dyDescent="0.25">
      <c r="A669" s="12">
        <v>45307</v>
      </c>
      <c r="B669" s="18">
        <v>1.06</v>
      </c>
    </row>
    <row r="670" spans="1:2" x14ac:dyDescent="0.25">
      <c r="A670" s="12">
        <v>45308</v>
      </c>
      <c r="B670" s="18">
        <v>1.05</v>
      </c>
    </row>
    <row r="671" spans="1:2" x14ac:dyDescent="0.25">
      <c r="A671" s="12">
        <v>45309</v>
      </c>
      <c r="B671" s="18">
        <v>1.04</v>
      </c>
    </row>
    <row r="672" spans="1:2" x14ac:dyDescent="0.25">
      <c r="A672" s="12">
        <v>45310</v>
      </c>
      <c r="B672" s="18">
        <v>1.05</v>
      </c>
    </row>
    <row r="673" spans="1:2" x14ac:dyDescent="0.25">
      <c r="A673" s="12">
        <v>45313</v>
      </c>
      <c r="B673" s="18">
        <v>1.18</v>
      </c>
    </row>
    <row r="674" spans="1:2" x14ac:dyDescent="0.25">
      <c r="A674" s="12">
        <v>45314</v>
      </c>
      <c r="B674" s="18">
        <v>1.1599999999999999</v>
      </c>
    </row>
    <row r="675" spans="1:2" x14ac:dyDescent="0.25">
      <c r="A675" s="12">
        <v>45315</v>
      </c>
      <c r="B675" s="18">
        <v>1.1299999999999999</v>
      </c>
    </row>
    <row r="676" spans="1:2" x14ac:dyDescent="0.25">
      <c r="A676" s="12">
        <v>45316</v>
      </c>
      <c r="B676" s="18">
        <v>1.1499999999999999</v>
      </c>
    </row>
    <row r="677" spans="1:2" x14ac:dyDescent="0.25">
      <c r="A677" s="12">
        <v>45317</v>
      </c>
      <c r="B677" s="18">
        <v>1.1399999999999999</v>
      </c>
    </row>
    <row r="678" spans="1:2" x14ac:dyDescent="0.25">
      <c r="A678" s="12">
        <v>45320</v>
      </c>
      <c r="B678" s="18">
        <v>1.19</v>
      </c>
    </row>
    <row r="679" spans="1:2" x14ac:dyDescent="0.25">
      <c r="A679" s="12">
        <v>45321</v>
      </c>
      <c r="B679" s="18">
        <v>1.17</v>
      </c>
    </row>
    <row r="680" spans="1:2" x14ac:dyDescent="0.25">
      <c r="A680" s="12">
        <v>45322</v>
      </c>
      <c r="B680" s="18">
        <v>1.1299999999999999</v>
      </c>
    </row>
    <row r="681" spans="1:2" x14ac:dyDescent="0.25">
      <c r="A681" s="12">
        <v>45323</v>
      </c>
      <c r="B681" s="18">
        <v>1.1399999999999999</v>
      </c>
    </row>
    <row r="682" spans="1:2" x14ac:dyDescent="0.25">
      <c r="A682" s="12">
        <v>45324</v>
      </c>
      <c r="B682" s="18">
        <v>1.1499999999999999</v>
      </c>
    </row>
    <row r="683" spans="1:2" x14ac:dyDescent="0.25">
      <c r="A683" s="12">
        <v>45327</v>
      </c>
      <c r="B683" s="18">
        <v>1.1499999999999999</v>
      </c>
    </row>
    <row r="684" spans="1:2" x14ac:dyDescent="0.25">
      <c r="A684" s="12">
        <v>45328</v>
      </c>
      <c r="B684" s="18">
        <v>1.1299999999999999</v>
      </c>
    </row>
    <row r="685" spans="1:2" x14ac:dyDescent="0.25">
      <c r="A685" s="12">
        <v>45329</v>
      </c>
      <c r="B685" s="18">
        <v>1.1200000000000001</v>
      </c>
    </row>
    <row r="686" spans="1:2" x14ac:dyDescent="0.25">
      <c r="A686" s="12">
        <v>45330</v>
      </c>
      <c r="B686" s="18">
        <v>1.1100000000000001</v>
      </c>
    </row>
    <row r="687" spans="1:2" x14ac:dyDescent="0.25">
      <c r="A687" s="12">
        <v>45331</v>
      </c>
      <c r="B687" s="18">
        <v>1.1299999999999999</v>
      </c>
    </row>
    <row r="688" spans="1:2" x14ac:dyDescent="0.25">
      <c r="A688" s="12">
        <v>45334</v>
      </c>
      <c r="B688" s="18">
        <v>1.27</v>
      </c>
    </row>
    <row r="689" spans="1:2" x14ac:dyDescent="0.25">
      <c r="A689" s="12">
        <v>45335</v>
      </c>
      <c r="B689" s="18">
        <v>1.3</v>
      </c>
    </row>
    <row r="690" spans="1:2" x14ac:dyDescent="0.25">
      <c r="A690" s="12"/>
      <c r="B690" s="18"/>
    </row>
    <row r="691" spans="1:2" x14ac:dyDescent="0.25">
      <c r="A691" s="12"/>
      <c r="B691" s="18"/>
    </row>
    <row r="692" spans="1:2" x14ac:dyDescent="0.25">
      <c r="A692" s="12"/>
      <c r="B692" s="18"/>
    </row>
    <row r="693" spans="1:2" x14ac:dyDescent="0.25">
      <c r="A693" s="12"/>
      <c r="B693" s="18"/>
    </row>
    <row r="694" spans="1:2" x14ac:dyDescent="0.25">
      <c r="A694" s="12"/>
      <c r="B694" s="18"/>
    </row>
    <row r="695" spans="1:2" x14ac:dyDescent="0.25">
      <c r="A695" s="12"/>
      <c r="B695" s="18"/>
    </row>
    <row r="696" spans="1:2" x14ac:dyDescent="0.25">
      <c r="A696" s="12"/>
      <c r="B696" s="18"/>
    </row>
    <row r="697" spans="1:2" x14ac:dyDescent="0.25">
      <c r="A697" s="12"/>
      <c r="B697" s="18"/>
    </row>
    <row r="698" spans="1:2" x14ac:dyDescent="0.25">
      <c r="A698" s="12"/>
      <c r="B698" s="18"/>
    </row>
    <row r="699" spans="1:2" x14ac:dyDescent="0.25">
      <c r="A699" s="12"/>
      <c r="B699" s="18"/>
    </row>
    <row r="700" spans="1:2" x14ac:dyDescent="0.25">
      <c r="A700" s="12"/>
      <c r="B700" s="18"/>
    </row>
    <row r="701" spans="1:2" x14ac:dyDescent="0.25">
      <c r="A701" s="12"/>
      <c r="B701" s="18"/>
    </row>
    <row r="702" spans="1:2" x14ac:dyDescent="0.25">
      <c r="A702" s="12"/>
      <c r="B702" s="18"/>
    </row>
    <row r="703" spans="1:2" x14ac:dyDescent="0.25">
      <c r="A703" s="12"/>
      <c r="B703" s="18"/>
    </row>
    <row r="704" spans="1:2" x14ac:dyDescent="0.25">
      <c r="A704" s="12"/>
      <c r="B704" s="18"/>
    </row>
    <row r="705" spans="1:2" x14ac:dyDescent="0.25">
      <c r="A705" s="12"/>
      <c r="B705" s="18"/>
    </row>
    <row r="706" spans="1:2" x14ac:dyDescent="0.25">
      <c r="A706" s="12"/>
      <c r="B706" s="18"/>
    </row>
    <row r="707" spans="1:2" x14ac:dyDescent="0.25">
      <c r="A707" s="12"/>
      <c r="B707" s="18"/>
    </row>
    <row r="708" spans="1:2" x14ac:dyDescent="0.25">
      <c r="A708" s="12"/>
      <c r="B708" s="18"/>
    </row>
    <row r="709" spans="1:2" x14ac:dyDescent="0.25">
      <c r="A709" s="12"/>
      <c r="B709" s="18"/>
    </row>
    <row r="710" spans="1:2" x14ac:dyDescent="0.25">
      <c r="A710" s="12"/>
      <c r="B710" s="18"/>
    </row>
    <row r="711" spans="1:2" x14ac:dyDescent="0.25">
      <c r="A711" s="12"/>
      <c r="B711" s="18"/>
    </row>
    <row r="712" spans="1:2" x14ac:dyDescent="0.25">
      <c r="A712" s="12"/>
      <c r="B712" s="18"/>
    </row>
    <row r="713" spans="1:2" x14ac:dyDescent="0.25">
      <c r="A713" s="12"/>
      <c r="B713" s="18"/>
    </row>
    <row r="714" spans="1:2" x14ac:dyDescent="0.25">
      <c r="A714" s="12"/>
      <c r="B714" s="18"/>
    </row>
    <row r="715" spans="1:2" x14ac:dyDescent="0.25">
      <c r="A715" s="12"/>
      <c r="B715" s="18"/>
    </row>
    <row r="716" spans="1:2" x14ac:dyDescent="0.25">
      <c r="A716" s="12"/>
      <c r="B716" s="18"/>
    </row>
    <row r="717" spans="1:2" x14ac:dyDescent="0.25">
      <c r="A717" s="12"/>
      <c r="B717" s="18"/>
    </row>
    <row r="718" spans="1:2" x14ac:dyDescent="0.25">
      <c r="A718" s="12"/>
      <c r="B718" s="18"/>
    </row>
    <row r="719" spans="1:2" x14ac:dyDescent="0.25">
      <c r="A719" s="12"/>
      <c r="B719" s="18"/>
    </row>
    <row r="720" spans="1:2" x14ac:dyDescent="0.25">
      <c r="A720" s="12"/>
      <c r="B720" s="18"/>
    </row>
    <row r="721" spans="1:2" x14ac:dyDescent="0.25">
      <c r="A721" s="12"/>
      <c r="B721" s="18"/>
    </row>
    <row r="722" spans="1:2" x14ac:dyDescent="0.25">
      <c r="A722" s="12"/>
      <c r="B722" s="18"/>
    </row>
    <row r="723" spans="1:2" x14ac:dyDescent="0.25">
      <c r="A723" s="12"/>
      <c r="B723" s="18"/>
    </row>
    <row r="724" spans="1:2" x14ac:dyDescent="0.25">
      <c r="A724" s="12"/>
      <c r="B724" s="18"/>
    </row>
    <row r="725" spans="1:2" x14ac:dyDescent="0.25">
      <c r="A725" s="12"/>
      <c r="B725" s="18"/>
    </row>
    <row r="726" spans="1:2" x14ac:dyDescent="0.25">
      <c r="A726" s="12"/>
      <c r="B726" s="18"/>
    </row>
    <row r="727" spans="1:2" x14ac:dyDescent="0.25">
      <c r="A727" s="12"/>
      <c r="B727" s="18"/>
    </row>
    <row r="728" spans="1:2" x14ac:dyDescent="0.25">
      <c r="A728" s="12"/>
      <c r="B728" s="18"/>
    </row>
    <row r="729" spans="1:2" x14ac:dyDescent="0.25">
      <c r="A729" s="12"/>
      <c r="B729" s="18"/>
    </row>
    <row r="730" spans="1:2" x14ac:dyDescent="0.25">
      <c r="A730" s="12"/>
      <c r="B730" s="18"/>
    </row>
    <row r="731" spans="1:2" x14ac:dyDescent="0.25">
      <c r="A731" s="12"/>
      <c r="B731" s="18"/>
    </row>
    <row r="732" spans="1:2" x14ac:dyDescent="0.25">
      <c r="A732" s="12"/>
      <c r="B732" s="18"/>
    </row>
    <row r="733" spans="1:2" x14ac:dyDescent="0.25">
      <c r="A733" s="12"/>
      <c r="B733" s="18"/>
    </row>
    <row r="734" spans="1:2" x14ac:dyDescent="0.25">
      <c r="A734" s="12"/>
      <c r="B734" s="18"/>
    </row>
    <row r="735" spans="1:2" x14ac:dyDescent="0.25">
      <c r="A735" s="12"/>
      <c r="B735" s="18"/>
    </row>
    <row r="736" spans="1:2" x14ac:dyDescent="0.25">
      <c r="A736" s="12"/>
      <c r="B736" s="18"/>
    </row>
    <row r="737" spans="1:2" x14ac:dyDescent="0.25">
      <c r="A737" s="12"/>
      <c r="B737" s="18"/>
    </row>
    <row r="738" spans="1:2" x14ac:dyDescent="0.25">
      <c r="A738" s="12"/>
      <c r="B738" s="18"/>
    </row>
    <row r="739" spans="1:2" x14ac:dyDescent="0.25">
      <c r="A739" s="12"/>
      <c r="B739" s="18"/>
    </row>
    <row r="740" spans="1:2" x14ac:dyDescent="0.25">
      <c r="A740" s="12"/>
      <c r="B740" s="18"/>
    </row>
    <row r="741" spans="1:2" x14ac:dyDescent="0.25">
      <c r="A741" s="12"/>
      <c r="B741" s="18"/>
    </row>
    <row r="742" spans="1:2" x14ac:dyDescent="0.25">
      <c r="A742" s="12"/>
      <c r="B742" s="18"/>
    </row>
    <row r="743" spans="1:2" x14ac:dyDescent="0.25">
      <c r="A743" s="12"/>
      <c r="B743" s="18"/>
    </row>
    <row r="744" spans="1:2" x14ac:dyDescent="0.25">
      <c r="A744" s="12"/>
      <c r="B744" s="18"/>
    </row>
    <row r="745" spans="1:2" x14ac:dyDescent="0.25">
      <c r="A745" s="12"/>
      <c r="B745" s="18"/>
    </row>
    <row r="746" spans="1:2" x14ac:dyDescent="0.25">
      <c r="A746" s="12"/>
      <c r="B746" s="18"/>
    </row>
    <row r="747" spans="1:2" x14ac:dyDescent="0.25">
      <c r="A747" s="12"/>
      <c r="B747" s="18"/>
    </row>
    <row r="748" spans="1:2" x14ac:dyDescent="0.25">
      <c r="A748" s="12"/>
      <c r="B748" s="18"/>
    </row>
    <row r="749" spans="1:2" x14ac:dyDescent="0.25">
      <c r="A749" s="12"/>
      <c r="B749" s="18"/>
    </row>
    <row r="750" spans="1:2" x14ac:dyDescent="0.25">
      <c r="A750" s="12"/>
      <c r="B750" s="18"/>
    </row>
    <row r="751" spans="1:2" x14ac:dyDescent="0.25">
      <c r="A751" s="12"/>
      <c r="B751" s="18"/>
    </row>
    <row r="752" spans="1:2" x14ac:dyDescent="0.25">
      <c r="A752" s="12"/>
      <c r="B752" s="18"/>
    </row>
    <row r="753" spans="1:2" x14ac:dyDescent="0.25">
      <c r="A753" s="12"/>
      <c r="B753" s="18"/>
    </row>
    <row r="754" spans="1:2" x14ac:dyDescent="0.25">
      <c r="A754" s="12"/>
      <c r="B754" s="18"/>
    </row>
    <row r="755" spans="1:2" x14ac:dyDescent="0.25">
      <c r="A755" s="12"/>
      <c r="B755" s="18"/>
    </row>
    <row r="756" spans="1:2" x14ac:dyDescent="0.25">
      <c r="A756" s="12"/>
      <c r="B756" s="18"/>
    </row>
    <row r="757" spans="1:2" x14ac:dyDescent="0.25">
      <c r="A757" s="12"/>
      <c r="B757" s="18"/>
    </row>
    <row r="758" spans="1:2" x14ac:dyDescent="0.25">
      <c r="A758" s="12"/>
      <c r="B758" s="18"/>
    </row>
    <row r="759" spans="1:2" x14ac:dyDescent="0.25">
      <c r="A759" s="12"/>
      <c r="B759" s="18"/>
    </row>
    <row r="760" spans="1:2" x14ac:dyDescent="0.25">
      <c r="A760" s="12"/>
      <c r="B760" s="18"/>
    </row>
    <row r="761" spans="1:2" x14ac:dyDescent="0.25">
      <c r="A761" s="12"/>
      <c r="B761" s="18"/>
    </row>
    <row r="762" spans="1:2" x14ac:dyDescent="0.25">
      <c r="A762" s="12"/>
      <c r="B762" s="18"/>
    </row>
    <row r="763" spans="1:2" x14ac:dyDescent="0.25">
      <c r="A763" s="12"/>
      <c r="B763" s="18"/>
    </row>
    <row r="764" spans="1:2" x14ac:dyDescent="0.25">
      <c r="A764" s="12"/>
      <c r="B764" s="18"/>
    </row>
    <row r="765" spans="1:2" x14ac:dyDescent="0.25">
      <c r="A765" s="12"/>
      <c r="B765" s="18"/>
    </row>
    <row r="766" spans="1:2" x14ac:dyDescent="0.25">
      <c r="A766" s="12"/>
      <c r="B766" s="18"/>
    </row>
    <row r="767" spans="1:2" x14ac:dyDescent="0.25">
      <c r="A767" s="12"/>
      <c r="B767" s="18"/>
    </row>
    <row r="768" spans="1:2" x14ac:dyDescent="0.25">
      <c r="A768" s="12"/>
      <c r="B768" s="18"/>
    </row>
    <row r="769" spans="1:2" x14ac:dyDescent="0.25">
      <c r="A769" s="12"/>
      <c r="B769" s="18"/>
    </row>
    <row r="770" spans="1:2" x14ac:dyDescent="0.25">
      <c r="A770" s="12"/>
      <c r="B770" s="18"/>
    </row>
    <row r="771" spans="1:2" x14ac:dyDescent="0.25">
      <c r="A771" s="12"/>
      <c r="B771" s="18"/>
    </row>
    <row r="772" spans="1:2" x14ac:dyDescent="0.25">
      <c r="A772" s="12"/>
      <c r="B772" s="18"/>
    </row>
    <row r="773" spans="1:2" x14ac:dyDescent="0.25">
      <c r="A773" s="12"/>
      <c r="B773" s="18"/>
    </row>
    <row r="774" spans="1:2" x14ac:dyDescent="0.25">
      <c r="A774" s="12"/>
      <c r="B774" s="18"/>
    </row>
    <row r="775" spans="1:2" x14ac:dyDescent="0.25">
      <c r="A775" s="12"/>
      <c r="B775" s="18"/>
    </row>
    <row r="776" spans="1:2" x14ac:dyDescent="0.25">
      <c r="A776" s="12"/>
      <c r="B776" s="18"/>
    </row>
    <row r="777" spans="1:2" x14ac:dyDescent="0.25">
      <c r="A777" s="12"/>
      <c r="B777" s="18"/>
    </row>
    <row r="778" spans="1:2" x14ac:dyDescent="0.25">
      <c r="A778" s="12"/>
      <c r="B778" s="18"/>
    </row>
    <row r="779" spans="1:2" x14ac:dyDescent="0.25">
      <c r="A779" s="12"/>
      <c r="B779" s="18"/>
    </row>
    <row r="780" spans="1:2" x14ac:dyDescent="0.25">
      <c r="A780" s="12"/>
      <c r="B780" s="18"/>
    </row>
    <row r="781" spans="1:2" x14ac:dyDescent="0.25">
      <c r="A781" s="12"/>
      <c r="B781" s="18"/>
    </row>
    <row r="782" spans="1:2" x14ac:dyDescent="0.25">
      <c r="A782" s="12"/>
      <c r="B782" s="18"/>
    </row>
    <row r="783" spans="1:2" x14ac:dyDescent="0.25">
      <c r="A783" s="12"/>
      <c r="B783" s="18"/>
    </row>
    <row r="784" spans="1:2" x14ac:dyDescent="0.25">
      <c r="A784" s="12"/>
      <c r="B784" s="18"/>
    </row>
    <row r="785" spans="1:2" x14ac:dyDescent="0.25">
      <c r="A785" s="12"/>
      <c r="B785" s="18"/>
    </row>
    <row r="786" spans="1:2" x14ac:dyDescent="0.25">
      <c r="A786" s="12"/>
      <c r="B786" s="18"/>
    </row>
    <row r="787" spans="1:2" x14ac:dyDescent="0.25">
      <c r="A787" s="12"/>
      <c r="B787" s="18"/>
    </row>
    <row r="788" spans="1:2" x14ac:dyDescent="0.25">
      <c r="A788" s="12"/>
      <c r="B788" s="18"/>
    </row>
    <row r="789" spans="1:2" x14ac:dyDescent="0.25">
      <c r="A789" s="12"/>
      <c r="B789" s="18"/>
    </row>
    <row r="790" spans="1:2" x14ac:dyDescent="0.25">
      <c r="A790" s="12"/>
      <c r="B790" s="18"/>
    </row>
    <row r="791" spans="1:2" x14ac:dyDescent="0.25">
      <c r="A791" s="12"/>
      <c r="B791" s="18"/>
    </row>
    <row r="792" spans="1:2" x14ac:dyDescent="0.25">
      <c r="A792" s="12"/>
      <c r="B792" s="18"/>
    </row>
    <row r="793" spans="1:2" x14ac:dyDescent="0.25">
      <c r="A793" s="12"/>
      <c r="B793" s="18"/>
    </row>
    <row r="794" spans="1:2" x14ac:dyDescent="0.25">
      <c r="A794" s="12"/>
      <c r="B794" s="18"/>
    </row>
    <row r="795" spans="1:2" x14ac:dyDescent="0.25">
      <c r="A795" s="12"/>
      <c r="B795" s="18"/>
    </row>
    <row r="796" spans="1:2" x14ac:dyDescent="0.25">
      <c r="A796" s="12"/>
      <c r="B796" s="18"/>
    </row>
    <row r="797" spans="1:2" x14ac:dyDescent="0.25">
      <c r="A797" s="12"/>
      <c r="B797" s="18"/>
    </row>
    <row r="798" spans="1:2" x14ac:dyDescent="0.25">
      <c r="A798" s="12"/>
      <c r="B798" s="18"/>
    </row>
    <row r="799" spans="1:2" x14ac:dyDescent="0.25">
      <c r="A799" s="12"/>
      <c r="B799" s="18"/>
    </row>
    <row r="800" spans="1:2" x14ac:dyDescent="0.25">
      <c r="A800" s="12"/>
      <c r="B800" s="18"/>
    </row>
    <row r="801" spans="1:2" x14ac:dyDescent="0.25">
      <c r="A801" s="12"/>
      <c r="B801" s="18"/>
    </row>
    <row r="802" spans="1:2" x14ac:dyDescent="0.25">
      <c r="A802" s="12"/>
      <c r="B802" s="18"/>
    </row>
    <row r="803" spans="1:2" x14ac:dyDescent="0.25">
      <c r="A803" s="12"/>
      <c r="B803" s="18"/>
    </row>
    <row r="804" spans="1:2" x14ac:dyDescent="0.25">
      <c r="A804" s="12"/>
      <c r="B804" s="18"/>
    </row>
    <row r="805" spans="1:2" x14ac:dyDescent="0.25">
      <c r="A805" s="12"/>
      <c r="B805" s="18"/>
    </row>
    <row r="806" spans="1:2" x14ac:dyDescent="0.25">
      <c r="A806" s="12"/>
      <c r="B806" s="18"/>
    </row>
    <row r="807" spans="1:2" x14ac:dyDescent="0.25">
      <c r="A807" s="12"/>
      <c r="B807" s="18"/>
    </row>
    <row r="808" spans="1:2" x14ac:dyDescent="0.25">
      <c r="A808" s="12"/>
      <c r="B808" s="18"/>
    </row>
    <row r="809" spans="1:2" x14ac:dyDescent="0.25">
      <c r="A809" s="12"/>
      <c r="B809" s="18"/>
    </row>
    <row r="810" spans="1:2" x14ac:dyDescent="0.25">
      <c r="A810" s="12"/>
      <c r="B810" s="18"/>
    </row>
    <row r="811" spans="1:2" x14ac:dyDescent="0.25">
      <c r="A811" s="12"/>
      <c r="B811" s="18"/>
    </row>
    <row r="812" spans="1:2" x14ac:dyDescent="0.25">
      <c r="A812" s="12"/>
      <c r="B812" s="18"/>
    </row>
    <row r="813" spans="1:2" x14ac:dyDescent="0.25">
      <c r="A813" s="12"/>
      <c r="B813" s="18"/>
    </row>
    <row r="814" spans="1:2" x14ac:dyDescent="0.25">
      <c r="A814" s="12"/>
      <c r="B814" s="18"/>
    </row>
    <row r="815" spans="1:2" x14ac:dyDescent="0.25">
      <c r="A815" s="12"/>
      <c r="B815" s="18"/>
    </row>
    <row r="816" spans="1:2" x14ac:dyDescent="0.25">
      <c r="A816" s="12"/>
      <c r="B816" s="18"/>
    </row>
    <row r="817" spans="1:2" x14ac:dyDescent="0.25">
      <c r="A817" s="12"/>
      <c r="B817" s="18"/>
    </row>
    <row r="818" spans="1:2" x14ac:dyDescent="0.25">
      <c r="A818" s="12"/>
      <c r="B818" s="18"/>
    </row>
    <row r="819" spans="1:2" x14ac:dyDescent="0.25">
      <c r="A819" s="12"/>
      <c r="B819" s="18"/>
    </row>
    <row r="820" spans="1:2" x14ac:dyDescent="0.25">
      <c r="A820" s="12"/>
      <c r="B820" s="18"/>
    </row>
    <row r="821" spans="1:2" x14ac:dyDescent="0.25">
      <c r="A821" s="12"/>
      <c r="B821" s="18"/>
    </row>
    <row r="822" spans="1:2" x14ac:dyDescent="0.25">
      <c r="A822" s="12"/>
      <c r="B822" s="18"/>
    </row>
    <row r="823" spans="1:2" x14ac:dyDescent="0.25">
      <c r="A823" s="12"/>
      <c r="B823" s="18"/>
    </row>
    <row r="824" spans="1:2" x14ac:dyDescent="0.25">
      <c r="A824" s="12"/>
      <c r="B824" s="18"/>
    </row>
    <row r="825" spans="1:2" x14ac:dyDescent="0.25">
      <c r="A825" s="12"/>
      <c r="B825" s="18"/>
    </row>
    <row r="826" spans="1:2" x14ac:dyDescent="0.25">
      <c r="A826" s="12"/>
      <c r="B826" s="18"/>
    </row>
    <row r="827" spans="1:2" x14ac:dyDescent="0.25">
      <c r="A827" s="12"/>
      <c r="B827" s="18"/>
    </row>
    <row r="828" spans="1:2" x14ac:dyDescent="0.25">
      <c r="A828" s="12"/>
      <c r="B828" s="18"/>
    </row>
    <row r="829" spans="1:2" x14ac:dyDescent="0.25">
      <c r="A829" s="12"/>
      <c r="B829" s="18"/>
    </row>
    <row r="830" spans="1:2" x14ac:dyDescent="0.25">
      <c r="A830" s="12"/>
      <c r="B830" s="18"/>
    </row>
    <row r="831" spans="1:2" x14ac:dyDescent="0.25">
      <c r="A831" s="12"/>
      <c r="B831" s="18"/>
    </row>
    <row r="832" spans="1:2" x14ac:dyDescent="0.25">
      <c r="A832" s="12"/>
      <c r="B832" s="18"/>
    </row>
    <row r="833" spans="1:2" x14ac:dyDescent="0.25">
      <c r="A833" s="12"/>
      <c r="B833" s="18"/>
    </row>
    <row r="834" spans="1:2" x14ac:dyDescent="0.25">
      <c r="A834" s="12"/>
      <c r="B834" s="18"/>
    </row>
    <row r="835" spans="1:2" x14ac:dyDescent="0.25">
      <c r="A835" s="12"/>
      <c r="B835" s="18"/>
    </row>
    <row r="836" spans="1:2" x14ac:dyDescent="0.25">
      <c r="A836" s="12"/>
      <c r="B836" s="18"/>
    </row>
    <row r="837" spans="1:2" x14ac:dyDescent="0.25">
      <c r="A837" s="12"/>
      <c r="B837" s="18"/>
    </row>
    <row r="838" spans="1:2" x14ac:dyDescent="0.25">
      <c r="A838" s="12"/>
      <c r="B838" s="18"/>
    </row>
    <row r="839" spans="1:2" x14ac:dyDescent="0.25">
      <c r="A839" s="12"/>
      <c r="B839" s="18"/>
    </row>
    <row r="840" spans="1:2" x14ac:dyDescent="0.25">
      <c r="A840" s="12"/>
      <c r="B840" s="18"/>
    </row>
    <row r="841" spans="1:2" x14ac:dyDescent="0.25">
      <c r="A841" s="12"/>
      <c r="B841" s="18"/>
    </row>
    <row r="842" spans="1:2" x14ac:dyDescent="0.25">
      <c r="A842" s="12"/>
      <c r="B842" s="18"/>
    </row>
    <row r="843" spans="1:2" x14ac:dyDescent="0.25">
      <c r="A843" s="12"/>
      <c r="B843" s="18"/>
    </row>
    <row r="844" spans="1:2" x14ac:dyDescent="0.25">
      <c r="A844" s="12"/>
      <c r="B844" s="18"/>
    </row>
    <row r="845" spans="1:2" x14ac:dyDescent="0.25">
      <c r="A845" s="12"/>
      <c r="B845" s="18"/>
    </row>
    <row r="846" spans="1:2" x14ac:dyDescent="0.25">
      <c r="A846" s="12"/>
      <c r="B846" s="18"/>
    </row>
    <row r="847" spans="1:2" x14ac:dyDescent="0.25">
      <c r="A847" s="12"/>
      <c r="B847" s="18"/>
    </row>
    <row r="848" spans="1:2" x14ac:dyDescent="0.25">
      <c r="A848" s="12"/>
      <c r="B848" s="18"/>
    </row>
    <row r="849" spans="1:2" x14ac:dyDescent="0.25">
      <c r="A849" s="12"/>
      <c r="B849" s="18"/>
    </row>
    <row r="850" spans="1:2" x14ac:dyDescent="0.25">
      <c r="A850" s="12"/>
      <c r="B850" s="18"/>
    </row>
    <row r="851" spans="1:2" x14ac:dyDescent="0.25">
      <c r="A851" s="12"/>
      <c r="B851" s="18"/>
    </row>
    <row r="852" spans="1:2" x14ac:dyDescent="0.25">
      <c r="A852" s="12"/>
      <c r="B852" s="18"/>
    </row>
    <row r="853" spans="1:2" x14ac:dyDescent="0.25">
      <c r="A853" s="12"/>
      <c r="B853" s="18"/>
    </row>
    <row r="854" spans="1:2" x14ac:dyDescent="0.25">
      <c r="A854" s="12"/>
      <c r="B854" s="18"/>
    </row>
    <row r="855" spans="1:2" x14ac:dyDescent="0.25">
      <c r="A855" s="12"/>
      <c r="B855" s="18"/>
    </row>
    <row r="856" spans="1:2" x14ac:dyDescent="0.25">
      <c r="A856" s="12"/>
      <c r="B856" s="18"/>
    </row>
    <row r="857" spans="1:2" x14ac:dyDescent="0.25">
      <c r="A857" s="12"/>
      <c r="B857" s="18"/>
    </row>
    <row r="858" spans="1:2" x14ac:dyDescent="0.25">
      <c r="A858" s="12"/>
      <c r="B858" s="18"/>
    </row>
    <row r="859" spans="1:2" x14ac:dyDescent="0.25">
      <c r="A859" s="12"/>
      <c r="B859" s="18"/>
    </row>
    <row r="860" spans="1:2" x14ac:dyDescent="0.25">
      <c r="A860" s="12"/>
      <c r="B860" s="18"/>
    </row>
    <row r="861" spans="1:2" x14ac:dyDescent="0.25">
      <c r="A861" s="12"/>
      <c r="B861" s="18"/>
    </row>
    <row r="862" spans="1:2" x14ac:dyDescent="0.25">
      <c r="A862" s="12"/>
      <c r="B862" s="18"/>
    </row>
    <row r="863" spans="1:2" x14ac:dyDescent="0.25">
      <c r="A863" s="12"/>
      <c r="B863" s="18"/>
    </row>
    <row r="864" spans="1:2" x14ac:dyDescent="0.25">
      <c r="A864" s="12"/>
      <c r="B864" s="18"/>
    </row>
    <row r="865" spans="1:2" x14ac:dyDescent="0.25">
      <c r="A865" s="12"/>
      <c r="B865" s="18"/>
    </row>
    <row r="866" spans="1:2" x14ac:dyDescent="0.25">
      <c r="A866" s="12"/>
      <c r="B866" s="18"/>
    </row>
    <row r="867" spans="1:2" x14ac:dyDescent="0.25">
      <c r="A867" s="12"/>
      <c r="B867" s="18"/>
    </row>
    <row r="868" spans="1:2" x14ac:dyDescent="0.25">
      <c r="A868" s="12"/>
      <c r="B868" s="18"/>
    </row>
    <row r="869" spans="1:2" x14ac:dyDescent="0.25">
      <c r="A869" s="12"/>
      <c r="B869" s="18"/>
    </row>
    <row r="870" spans="1:2" x14ac:dyDescent="0.25">
      <c r="A870" s="12"/>
      <c r="B870" s="18"/>
    </row>
    <row r="871" spans="1:2" x14ac:dyDescent="0.25">
      <c r="A871" s="12"/>
      <c r="B871" s="18"/>
    </row>
    <row r="872" spans="1:2" x14ac:dyDescent="0.25">
      <c r="A872" s="12"/>
      <c r="B872" s="18"/>
    </row>
    <row r="873" spans="1:2" x14ac:dyDescent="0.25">
      <c r="A873" s="12"/>
      <c r="B873" s="18"/>
    </row>
    <row r="874" spans="1:2" x14ac:dyDescent="0.25">
      <c r="A874" s="12"/>
      <c r="B874" s="18"/>
    </row>
    <row r="875" spans="1:2" x14ac:dyDescent="0.25">
      <c r="A875" s="12"/>
      <c r="B875" s="18"/>
    </row>
    <row r="876" spans="1:2" x14ac:dyDescent="0.25">
      <c r="A876" s="12"/>
      <c r="B876" s="18"/>
    </row>
    <row r="877" spans="1:2" x14ac:dyDescent="0.25">
      <c r="A877" s="12"/>
      <c r="B877" s="18"/>
    </row>
    <row r="878" spans="1:2" x14ac:dyDescent="0.25">
      <c r="A878" s="12"/>
      <c r="B878" s="18"/>
    </row>
    <row r="879" spans="1:2" x14ac:dyDescent="0.25">
      <c r="A879" s="12"/>
      <c r="B879" s="18"/>
    </row>
    <row r="880" spans="1:2" x14ac:dyDescent="0.25">
      <c r="A880" s="12"/>
      <c r="B880" s="18"/>
    </row>
    <row r="881" spans="1:2" x14ac:dyDescent="0.25">
      <c r="A881" s="12"/>
      <c r="B881" s="18"/>
    </row>
    <row r="882" spans="1:2" x14ac:dyDescent="0.25">
      <c r="A882" s="12"/>
      <c r="B882" s="18"/>
    </row>
    <row r="883" spans="1:2" x14ac:dyDescent="0.25">
      <c r="A883" s="12"/>
      <c r="B883" s="18"/>
    </row>
    <row r="884" spans="1:2" x14ac:dyDescent="0.25">
      <c r="A884" s="12"/>
      <c r="B884" s="18"/>
    </row>
    <row r="885" spans="1:2" x14ac:dyDescent="0.25">
      <c r="A885" s="12"/>
      <c r="B885" s="18"/>
    </row>
    <row r="886" spans="1:2" x14ac:dyDescent="0.25">
      <c r="A886" s="12"/>
      <c r="B886" s="18"/>
    </row>
    <row r="887" spans="1:2" x14ac:dyDescent="0.25">
      <c r="A887" s="12"/>
      <c r="B887" s="18"/>
    </row>
    <row r="888" spans="1:2" x14ac:dyDescent="0.25">
      <c r="A888" s="12"/>
      <c r="B888" s="18"/>
    </row>
    <row r="889" spans="1:2" x14ac:dyDescent="0.25">
      <c r="A889" s="12"/>
      <c r="B889" s="18"/>
    </row>
    <row r="890" spans="1:2" x14ac:dyDescent="0.25">
      <c r="A890" s="12"/>
      <c r="B890" s="18"/>
    </row>
    <row r="891" spans="1:2" x14ac:dyDescent="0.25">
      <c r="A891" s="12"/>
      <c r="B891" s="18"/>
    </row>
    <row r="892" spans="1:2" x14ac:dyDescent="0.25">
      <c r="A892" s="12"/>
      <c r="B892" s="18"/>
    </row>
    <row r="893" spans="1:2" x14ac:dyDescent="0.25">
      <c r="A893" s="12"/>
      <c r="B893" s="18"/>
    </row>
    <row r="894" spans="1:2" x14ac:dyDescent="0.25">
      <c r="A894" s="12"/>
      <c r="B894" s="18"/>
    </row>
    <row r="895" spans="1:2" x14ac:dyDescent="0.25">
      <c r="A895" s="12"/>
      <c r="B895" s="18"/>
    </row>
    <row r="896" spans="1:2" x14ac:dyDescent="0.25">
      <c r="A896" s="12"/>
      <c r="B896" s="18"/>
    </row>
    <row r="897" spans="1:2" x14ac:dyDescent="0.25">
      <c r="A897" s="12"/>
      <c r="B897" s="18"/>
    </row>
    <row r="898" spans="1:2" x14ac:dyDescent="0.25">
      <c r="A898" s="12"/>
      <c r="B898" s="18"/>
    </row>
    <row r="899" spans="1:2" x14ac:dyDescent="0.25">
      <c r="A899" s="12"/>
      <c r="B899" s="18"/>
    </row>
    <row r="900" spans="1:2" x14ac:dyDescent="0.25">
      <c r="A900" s="12"/>
      <c r="B900" s="18"/>
    </row>
    <row r="901" spans="1:2" x14ac:dyDescent="0.25">
      <c r="A901" s="12"/>
      <c r="B901" s="18"/>
    </row>
    <row r="902" spans="1:2" x14ac:dyDescent="0.25">
      <c r="A902" s="12"/>
      <c r="B902" s="18"/>
    </row>
    <row r="903" spans="1:2" x14ac:dyDescent="0.25">
      <c r="A903" s="12"/>
      <c r="B903" s="18"/>
    </row>
    <row r="904" spans="1:2" x14ac:dyDescent="0.25">
      <c r="A904" s="12"/>
      <c r="B904" s="18"/>
    </row>
    <row r="905" spans="1:2" x14ac:dyDescent="0.25">
      <c r="A905" s="12"/>
      <c r="B905" s="18"/>
    </row>
    <row r="906" spans="1:2" x14ac:dyDescent="0.25">
      <c r="A906" s="12"/>
      <c r="B906" s="18"/>
    </row>
    <row r="907" spans="1:2" x14ac:dyDescent="0.25">
      <c r="A907" s="12"/>
      <c r="B907" s="18"/>
    </row>
    <row r="908" spans="1:2" x14ac:dyDescent="0.25">
      <c r="A908" s="12"/>
      <c r="B908" s="18"/>
    </row>
    <row r="909" spans="1:2" x14ac:dyDescent="0.25">
      <c r="A909" s="12"/>
      <c r="B909" s="18"/>
    </row>
    <row r="910" spans="1:2" x14ac:dyDescent="0.25">
      <c r="A910" s="12"/>
      <c r="B910" s="18"/>
    </row>
    <row r="911" spans="1:2" x14ac:dyDescent="0.25">
      <c r="A911" s="12"/>
      <c r="B911" s="18"/>
    </row>
    <row r="912" spans="1:2" x14ac:dyDescent="0.25">
      <c r="A912" s="12"/>
      <c r="B912" s="18"/>
    </row>
    <row r="913" spans="1:2" x14ac:dyDescent="0.25">
      <c r="A913" s="12"/>
      <c r="B913" s="18"/>
    </row>
    <row r="914" spans="1:2" x14ac:dyDescent="0.25">
      <c r="A914" s="12"/>
      <c r="B914" s="18"/>
    </row>
    <row r="915" spans="1:2" x14ac:dyDescent="0.25">
      <c r="A915" s="12"/>
      <c r="B915" s="18"/>
    </row>
    <row r="916" spans="1:2" x14ac:dyDescent="0.25">
      <c r="A916" s="12"/>
      <c r="B916" s="18"/>
    </row>
    <row r="917" spans="1:2" x14ac:dyDescent="0.25">
      <c r="A917" s="12"/>
      <c r="B917" s="18"/>
    </row>
    <row r="918" spans="1:2" x14ac:dyDescent="0.25">
      <c r="A918" s="12"/>
      <c r="B918" s="18"/>
    </row>
    <row r="919" spans="1:2" x14ac:dyDescent="0.25">
      <c r="A919" s="12"/>
      <c r="B919" s="18"/>
    </row>
    <row r="920" spans="1:2" x14ac:dyDescent="0.25">
      <c r="A920" s="12"/>
      <c r="B920" s="18"/>
    </row>
    <row r="921" spans="1:2" x14ac:dyDescent="0.25">
      <c r="A921" s="12"/>
      <c r="B921" s="18"/>
    </row>
    <row r="922" spans="1:2" x14ac:dyDescent="0.25">
      <c r="A922" s="12"/>
      <c r="B922" s="18"/>
    </row>
    <row r="923" spans="1:2" x14ac:dyDescent="0.25">
      <c r="A923" s="12"/>
      <c r="B923" s="18"/>
    </row>
    <row r="924" spans="1:2" x14ac:dyDescent="0.25">
      <c r="A924" s="12"/>
      <c r="B924" s="18"/>
    </row>
    <row r="925" spans="1:2" x14ac:dyDescent="0.25">
      <c r="A925" s="12"/>
      <c r="B925" s="18"/>
    </row>
    <row r="926" spans="1:2" x14ac:dyDescent="0.25">
      <c r="A926" s="12"/>
      <c r="B926" s="18"/>
    </row>
    <row r="927" spans="1:2" x14ac:dyDescent="0.25">
      <c r="A927" s="12"/>
      <c r="B927" s="18"/>
    </row>
    <row r="928" spans="1:2" x14ac:dyDescent="0.25">
      <c r="A928" s="12"/>
      <c r="B928" s="18"/>
    </row>
    <row r="929" spans="1:2" x14ac:dyDescent="0.25">
      <c r="A929" s="12"/>
      <c r="B929" s="18"/>
    </row>
    <row r="930" spans="1:2" x14ac:dyDescent="0.25">
      <c r="A930" s="12"/>
      <c r="B930" s="18"/>
    </row>
    <row r="931" spans="1:2" x14ac:dyDescent="0.25">
      <c r="A931" s="12"/>
      <c r="B931" s="18"/>
    </row>
    <row r="932" spans="1:2" x14ac:dyDescent="0.25">
      <c r="A932" s="12"/>
      <c r="B932" s="18"/>
    </row>
    <row r="933" spans="1:2" x14ac:dyDescent="0.25">
      <c r="A933" s="12"/>
      <c r="B933" s="18"/>
    </row>
    <row r="934" spans="1:2" x14ac:dyDescent="0.25">
      <c r="A934" s="12"/>
      <c r="B934" s="18"/>
    </row>
    <row r="935" spans="1:2" x14ac:dyDescent="0.25">
      <c r="A935" s="12"/>
      <c r="B935" s="18"/>
    </row>
    <row r="936" spans="1:2" x14ac:dyDescent="0.25">
      <c r="A936" s="12"/>
      <c r="B936" s="18"/>
    </row>
    <row r="937" spans="1:2" x14ac:dyDescent="0.25">
      <c r="A937" s="12"/>
      <c r="B937" s="18"/>
    </row>
    <row r="938" spans="1:2" x14ac:dyDescent="0.25">
      <c r="A938" s="12"/>
      <c r="B938" s="18"/>
    </row>
    <row r="939" spans="1:2" x14ac:dyDescent="0.25">
      <c r="A939" s="12"/>
      <c r="B939" s="18"/>
    </row>
    <row r="940" spans="1:2" x14ac:dyDescent="0.25">
      <c r="A940" s="12"/>
      <c r="B940" s="18"/>
    </row>
    <row r="941" spans="1:2" x14ac:dyDescent="0.25">
      <c r="A941" s="12"/>
      <c r="B941" s="18"/>
    </row>
    <row r="942" spans="1:2" x14ac:dyDescent="0.25">
      <c r="A942" s="12"/>
      <c r="B942" s="18"/>
    </row>
    <row r="943" spans="1:2" x14ac:dyDescent="0.25">
      <c r="A943" s="12"/>
      <c r="B943" s="18"/>
    </row>
    <row r="944" spans="1:2" x14ac:dyDescent="0.25">
      <c r="A944" s="12"/>
      <c r="B944" s="18"/>
    </row>
    <row r="945" spans="1:2" x14ac:dyDescent="0.25">
      <c r="A945" s="12"/>
      <c r="B945" s="18"/>
    </row>
    <row r="946" spans="1:2" x14ac:dyDescent="0.25">
      <c r="A946" s="12"/>
      <c r="B946" s="18"/>
    </row>
    <row r="947" spans="1:2" x14ac:dyDescent="0.25">
      <c r="A947" s="12"/>
      <c r="B947" s="18"/>
    </row>
    <row r="948" spans="1:2" x14ac:dyDescent="0.25">
      <c r="A948" s="12"/>
      <c r="B948" s="18"/>
    </row>
    <row r="949" spans="1:2" x14ac:dyDescent="0.25">
      <c r="A949" s="12"/>
      <c r="B949" s="18"/>
    </row>
    <row r="950" spans="1:2" x14ac:dyDescent="0.25">
      <c r="A950" s="12"/>
      <c r="B950" s="18"/>
    </row>
    <row r="951" spans="1:2" x14ac:dyDescent="0.25">
      <c r="A951" s="12"/>
      <c r="B951" s="18"/>
    </row>
    <row r="952" spans="1:2" x14ac:dyDescent="0.25">
      <c r="A952" s="12"/>
      <c r="B952" s="18"/>
    </row>
    <row r="953" spans="1:2" x14ac:dyDescent="0.25">
      <c r="A953" s="12"/>
      <c r="B953" s="18"/>
    </row>
    <row r="954" spans="1:2" x14ac:dyDescent="0.25">
      <c r="A954" s="12"/>
      <c r="B954" s="18"/>
    </row>
    <row r="955" spans="1:2" x14ac:dyDescent="0.25">
      <c r="A955" s="12"/>
      <c r="B955" s="18"/>
    </row>
    <row r="956" spans="1:2" x14ac:dyDescent="0.25">
      <c r="A956" s="12"/>
      <c r="B956" s="18"/>
    </row>
    <row r="957" spans="1:2" x14ac:dyDescent="0.25">
      <c r="A957" s="12"/>
      <c r="B957" s="18"/>
    </row>
    <row r="958" spans="1:2" x14ac:dyDescent="0.25">
      <c r="A958" s="12"/>
      <c r="B958" s="18"/>
    </row>
    <row r="959" spans="1:2" x14ac:dyDescent="0.25">
      <c r="A959" s="12"/>
      <c r="B959" s="18"/>
    </row>
    <row r="960" spans="1:2" x14ac:dyDescent="0.25">
      <c r="A960" s="12"/>
      <c r="B960" s="18"/>
    </row>
    <row r="961" spans="1:2" x14ac:dyDescent="0.25">
      <c r="A961" s="12"/>
      <c r="B961" s="18"/>
    </row>
    <row r="962" spans="1:2" x14ac:dyDescent="0.25">
      <c r="A962" s="12"/>
      <c r="B962" s="18"/>
    </row>
    <row r="963" spans="1:2" x14ac:dyDescent="0.25">
      <c r="A963" s="12"/>
      <c r="B963" s="18"/>
    </row>
    <row r="964" spans="1:2" x14ac:dyDescent="0.25">
      <c r="A964" s="12"/>
      <c r="B964" s="18"/>
    </row>
    <row r="965" spans="1:2" x14ac:dyDescent="0.25">
      <c r="A965" s="12"/>
      <c r="B965" s="18"/>
    </row>
    <row r="966" spans="1:2" x14ac:dyDescent="0.25">
      <c r="A966" s="12"/>
      <c r="B966" s="18"/>
    </row>
    <row r="967" spans="1:2" x14ac:dyDescent="0.25">
      <c r="A967" s="12"/>
      <c r="B967" s="18"/>
    </row>
    <row r="968" spans="1:2" x14ac:dyDescent="0.25">
      <c r="A968" s="12"/>
      <c r="B968" s="18"/>
    </row>
    <row r="969" spans="1:2" x14ac:dyDescent="0.25">
      <c r="A969" s="12"/>
      <c r="B969" s="18"/>
    </row>
    <row r="970" spans="1:2" x14ac:dyDescent="0.25">
      <c r="A970" s="12"/>
      <c r="B970" s="18"/>
    </row>
    <row r="971" spans="1:2" x14ac:dyDescent="0.25">
      <c r="A971" s="12"/>
      <c r="B971" s="18"/>
    </row>
    <row r="972" spans="1:2" x14ac:dyDescent="0.25">
      <c r="A972" s="12"/>
      <c r="B972" s="18"/>
    </row>
    <row r="973" spans="1:2" x14ac:dyDescent="0.25">
      <c r="A973" s="12"/>
      <c r="B973" s="18"/>
    </row>
    <row r="974" spans="1:2" x14ac:dyDescent="0.25">
      <c r="A974" s="12"/>
      <c r="B974" s="18"/>
    </row>
    <row r="975" spans="1:2" x14ac:dyDescent="0.25">
      <c r="A975" s="12"/>
      <c r="B975" s="18"/>
    </row>
    <row r="976" spans="1:2" x14ac:dyDescent="0.25">
      <c r="A976" s="12"/>
      <c r="B976" s="18"/>
    </row>
    <row r="977" spans="1:2" x14ac:dyDescent="0.25">
      <c r="A977" s="12"/>
      <c r="B977" s="18"/>
    </row>
    <row r="978" spans="1:2" x14ac:dyDescent="0.25">
      <c r="A978" s="12"/>
      <c r="B978" s="18"/>
    </row>
    <row r="979" spans="1:2" x14ac:dyDescent="0.25">
      <c r="A979" s="12"/>
      <c r="B979" s="18"/>
    </row>
    <row r="980" spans="1:2" x14ac:dyDescent="0.25">
      <c r="A980" s="12"/>
      <c r="B980" s="18"/>
    </row>
    <row r="981" spans="1:2" x14ac:dyDescent="0.25">
      <c r="A981" s="12"/>
      <c r="B981" s="18"/>
    </row>
    <row r="982" spans="1:2" x14ac:dyDescent="0.25">
      <c r="A982" s="12"/>
      <c r="B982" s="18"/>
    </row>
    <row r="983" spans="1:2" x14ac:dyDescent="0.25">
      <c r="A983" s="12"/>
      <c r="B983" s="18"/>
    </row>
    <row r="984" spans="1:2" x14ac:dyDescent="0.25">
      <c r="A984" s="12"/>
      <c r="B984" s="18"/>
    </row>
    <row r="985" spans="1:2" x14ac:dyDescent="0.25">
      <c r="A985" s="12"/>
      <c r="B985" s="18"/>
    </row>
    <row r="986" spans="1:2" x14ac:dyDescent="0.25">
      <c r="A986" s="12"/>
      <c r="B986" s="18"/>
    </row>
    <row r="987" spans="1:2" x14ac:dyDescent="0.25">
      <c r="A987" s="12"/>
      <c r="B987" s="18"/>
    </row>
    <row r="988" spans="1:2" x14ac:dyDescent="0.25">
      <c r="A988" s="12"/>
      <c r="B988" s="18"/>
    </row>
    <row r="989" spans="1:2" x14ac:dyDescent="0.25">
      <c r="A989" s="12"/>
      <c r="B989" s="18"/>
    </row>
    <row r="990" spans="1:2" x14ac:dyDescent="0.25">
      <c r="A990" s="12"/>
      <c r="B990" s="18"/>
    </row>
    <row r="991" spans="1:2" x14ac:dyDescent="0.25">
      <c r="A991" s="12"/>
      <c r="B991" s="18"/>
    </row>
    <row r="992" spans="1:2" x14ac:dyDescent="0.25">
      <c r="A992" s="12"/>
      <c r="B992" s="18"/>
    </row>
    <row r="993" spans="1:2" x14ac:dyDescent="0.25">
      <c r="A993" s="12"/>
      <c r="B993" s="18"/>
    </row>
    <row r="994" spans="1:2" x14ac:dyDescent="0.25">
      <c r="A994" s="12"/>
      <c r="B994" s="18"/>
    </row>
    <row r="995" spans="1:2" x14ac:dyDescent="0.25">
      <c r="A995" s="12"/>
      <c r="B995" s="18"/>
    </row>
    <row r="996" spans="1:2" x14ac:dyDescent="0.25">
      <c r="A996" s="12"/>
      <c r="B996" s="18"/>
    </row>
    <row r="997" spans="1:2" x14ac:dyDescent="0.25">
      <c r="A997" s="12"/>
      <c r="B997" s="18"/>
    </row>
    <row r="998" spans="1:2" x14ac:dyDescent="0.25">
      <c r="A998" s="12"/>
      <c r="B998" s="18"/>
    </row>
    <row r="999" spans="1:2" x14ac:dyDescent="0.25">
      <c r="A999" s="12"/>
      <c r="B999" s="18"/>
    </row>
    <row r="1000" spans="1:2" x14ac:dyDescent="0.25">
      <c r="A1000" s="12"/>
      <c r="B1000" s="18"/>
    </row>
    <row r="1001" spans="1:2" x14ac:dyDescent="0.25">
      <c r="A1001" s="12"/>
      <c r="B1001" s="18"/>
    </row>
    <row r="1002" spans="1:2" x14ac:dyDescent="0.25">
      <c r="A1002" s="12"/>
      <c r="B1002" s="18"/>
    </row>
    <row r="1003" spans="1:2" x14ac:dyDescent="0.25">
      <c r="A1003" s="12"/>
      <c r="B1003" s="18"/>
    </row>
    <row r="1004" spans="1:2" x14ac:dyDescent="0.25">
      <c r="A1004" s="12"/>
      <c r="B1004" s="18"/>
    </row>
    <row r="1005" spans="1:2" x14ac:dyDescent="0.25">
      <c r="A1005" s="12"/>
      <c r="B1005" s="18"/>
    </row>
    <row r="1006" spans="1:2" x14ac:dyDescent="0.25">
      <c r="A1006" s="12"/>
      <c r="B1006" s="18"/>
    </row>
    <row r="1007" spans="1:2" x14ac:dyDescent="0.25">
      <c r="A1007" s="12"/>
      <c r="B1007" s="18"/>
    </row>
    <row r="1008" spans="1:2" x14ac:dyDescent="0.25">
      <c r="A1008" s="12"/>
      <c r="B1008" s="18"/>
    </row>
    <row r="1009" spans="1:2" x14ac:dyDescent="0.25">
      <c r="A1009" s="12"/>
      <c r="B1009" s="18"/>
    </row>
    <row r="1010" spans="1:2" x14ac:dyDescent="0.25">
      <c r="A1010" s="12"/>
      <c r="B1010" s="18"/>
    </row>
    <row r="1011" spans="1:2" x14ac:dyDescent="0.25">
      <c r="A1011" s="12"/>
      <c r="B1011" s="18"/>
    </row>
    <row r="1012" spans="1:2" x14ac:dyDescent="0.25">
      <c r="A1012" s="12"/>
      <c r="B1012" s="18"/>
    </row>
    <row r="1013" spans="1:2" x14ac:dyDescent="0.25">
      <c r="A1013" s="12"/>
      <c r="B1013" s="18"/>
    </row>
    <row r="1014" spans="1:2" x14ac:dyDescent="0.25">
      <c r="A1014" s="12"/>
      <c r="B1014" s="18"/>
    </row>
    <row r="1015" spans="1:2" x14ac:dyDescent="0.25">
      <c r="A1015" s="12"/>
      <c r="B1015" s="18"/>
    </row>
    <row r="1016" spans="1:2" x14ac:dyDescent="0.25">
      <c r="A1016" s="12"/>
      <c r="B1016" s="18"/>
    </row>
    <row r="1017" spans="1:2" x14ac:dyDescent="0.25">
      <c r="A1017" s="12"/>
      <c r="B1017" s="18"/>
    </row>
    <row r="1018" spans="1:2" x14ac:dyDescent="0.25">
      <c r="A1018" s="12"/>
      <c r="B1018" s="18"/>
    </row>
    <row r="1019" spans="1:2" x14ac:dyDescent="0.25">
      <c r="A1019" s="12"/>
      <c r="B1019" s="18"/>
    </row>
    <row r="1020" spans="1:2" x14ac:dyDescent="0.25">
      <c r="A1020" s="12"/>
      <c r="B1020" s="18"/>
    </row>
    <row r="1021" spans="1:2" x14ac:dyDescent="0.25">
      <c r="A1021" s="12"/>
      <c r="B1021" s="18"/>
    </row>
    <row r="1022" spans="1:2" x14ac:dyDescent="0.25">
      <c r="A1022" s="12"/>
      <c r="B1022" s="18"/>
    </row>
    <row r="1023" spans="1:2" x14ac:dyDescent="0.25">
      <c r="A1023" s="12"/>
      <c r="B1023" s="18"/>
    </row>
    <row r="1024" spans="1:2" x14ac:dyDescent="0.25">
      <c r="A1024" s="12"/>
      <c r="B1024" s="18"/>
    </row>
    <row r="1025" spans="1:2" x14ac:dyDescent="0.25">
      <c r="A1025" s="12"/>
      <c r="B1025" s="18"/>
    </row>
    <row r="1026" spans="1:2" x14ac:dyDescent="0.25">
      <c r="A1026" s="12"/>
      <c r="B1026" s="18"/>
    </row>
    <row r="1027" spans="1:2" x14ac:dyDescent="0.25">
      <c r="A1027" s="12"/>
      <c r="B1027" s="18"/>
    </row>
    <row r="1028" spans="1:2" x14ac:dyDescent="0.25">
      <c r="A1028" s="12"/>
      <c r="B1028" s="18"/>
    </row>
    <row r="1029" spans="1:2" x14ac:dyDescent="0.25">
      <c r="A1029" s="12"/>
      <c r="B1029" s="18"/>
    </row>
    <row r="1030" spans="1:2" x14ac:dyDescent="0.25">
      <c r="A1030" s="12"/>
      <c r="B1030" s="18"/>
    </row>
    <row r="1031" spans="1:2" x14ac:dyDescent="0.25">
      <c r="A1031" s="12"/>
      <c r="B1031" s="18"/>
    </row>
    <row r="1032" spans="1:2" x14ac:dyDescent="0.25">
      <c r="A1032" s="12"/>
      <c r="B1032" s="18"/>
    </row>
    <row r="1033" spans="1:2" x14ac:dyDescent="0.25">
      <c r="A1033" s="12"/>
      <c r="B1033" s="18"/>
    </row>
    <row r="1034" spans="1:2" x14ac:dyDescent="0.25">
      <c r="A1034" s="12"/>
      <c r="B1034" s="18"/>
    </row>
    <row r="1035" spans="1:2" x14ac:dyDescent="0.25">
      <c r="A1035" s="12"/>
      <c r="B1035" s="18"/>
    </row>
    <row r="1036" spans="1:2" x14ac:dyDescent="0.25">
      <c r="A1036" s="12"/>
      <c r="B1036" s="18"/>
    </row>
    <row r="1037" spans="1:2" x14ac:dyDescent="0.25">
      <c r="A1037" s="12"/>
      <c r="B1037" s="18"/>
    </row>
    <row r="1038" spans="1:2" x14ac:dyDescent="0.25">
      <c r="A1038" s="12"/>
      <c r="B1038" s="18"/>
    </row>
    <row r="1039" spans="1:2" x14ac:dyDescent="0.25">
      <c r="A1039" s="12"/>
      <c r="B1039" s="18"/>
    </row>
    <row r="1040" spans="1:2" x14ac:dyDescent="0.25">
      <c r="A1040" s="12"/>
      <c r="B1040" s="18"/>
    </row>
    <row r="1041" spans="1:2" x14ac:dyDescent="0.25">
      <c r="A1041" s="12"/>
      <c r="B1041" s="18"/>
    </row>
    <row r="1042" spans="1:2" x14ac:dyDescent="0.25">
      <c r="A1042" s="12"/>
      <c r="B1042" s="18"/>
    </row>
    <row r="1043" spans="1:2" x14ac:dyDescent="0.25">
      <c r="A1043" s="12"/>
      <c r="B1043" s="18"/>
    </row>
    <row r="1044" spans="1:2" x14ac:dyDescent="0.25">
      <c r="A1044" s="12"/>
      <c r="B1044" s="18"/>
    </row>
    <row r="1045" spans="1:2" x14ac:dyDescent="0.25">
      <c r="A1045" s="12"/>
      <c r="B1045" s="18"/>
    </row>
    <row r="1046" spans="1:2" x14ac:dyDescent="0.25">
      <c r="A1046" s="12"/>
      <c r="B1046" s="18"/>
    </row>
    <row r="1047" spans="1:2" x14ac:dyDescent="0.25">
      <c r="A1047" s="12"/>
      <c r="B1047" s="18"/>
    </row>
    <row r="1048" spans="1:2" x14ac:dyDescent="0.25">
      <c r="A1048" s="12"/>
      <c r="B1048" s="18"/>
    </row>
    <row r="1049" spans="1:2" x14ac:dyDescent="0.25">
      <c r="A1049" s="12"/>
      <c r="B1049" s="18"/>
    </row>
    <row r="1050" spans="1:2" x14ac:dyDescent="0.25">
      <c r="A1050" s="12"/>
      <c r="B1050" s="18"/>
    </row>
    <row r="1051" spans="1:2" x14ac:dyDescent="0.25">
      <c r="A1051" s="12"/>
      <c r="B1051" s="18"/>
    </row>
    <row r="1052" spans="1:2" x14ac:dyDescent="0.25">
      <c r="A1052" s="12"/>
      <c r="B1052" s="18"/>
    </row>
    <row r="1053" spans="1:2" x14ac:dyDescent="0.25">
      <c r="A1053" s="12"/>
      <c r="B1053" s="18"/>
    </row>
    <row r="1054" spans="1:2" x14ac:dyDescent="0.25">
      <c r="A1054" s="12"/>
      <c r="B1054" s="18"/>
    </row>
    <row r="1055" spans="1:2" x14ac:dyDescent="0.25">
      <c r="A1055" s="12"/>
      <c r="B1055" s="18"/>
    </row>
    <row r="1056" spans="1:2" x14ac:dyDescent="0.25">
      <c r="A1056" s="12"/>
      <c r="B1056" s="18"/>
    </row>
    <row r="1057" spans="1:2" x14ac:dyDescent="0.25">
      <c r="A1057" s="12"/>
      <c r="B1057" s="18"/>
    </row>
    <row r="1058" spans="1:2" x14ac:dyDescent="0.25">
      <c r="A1058" s="12"/>
      <c r="B1058" s="18"/>
    </row>
    <row r="1059" spans="1:2" x14ac:dyDescent="0.25">
      <c r="A1059" s="12"/>
      <c r="B1059" s="18"/>
    </row>
    <row r="1060" spans="1:2" x14ac:dyDescent="0.25">
      <c r="A1060" s="12"/>
      <c r="B1060" s="18"/>
    </row>
    <row r="1061" spans="1:2" x14ac:dyDescent="0.25">
      <c r="A1061" s="12"/>
      <c r="B1061" s="18"/>
    </row>
    <row r="1062" spans="1:2" x14ac:dyDescent="0.25">
      <c r="A1062" s="12"/>
      <c r="B1062" s="18"/>
    </row>
    <row r="1063" spans="1:2" x14ac:dyDescent="0.25">
      <c r="A1063" s="12"/>
      <c r="B1063" s="18"/>
    </row>
    <row r="1064" spans="1:2" x14ac:dyDescent="0.25">
      <c r="A1064" s="12"/>
      <c r="B1064" s="18"/>
    </row>
    <row r="1065" spans="1:2" x14ac:dyDescent="0.25">
      <c r="A1065" s="12"/>
      <c r="B1065" s="18"/>
    </row>
    <row r="1066" spans="1:2" x14ac:dyDescent="0.25">
      <c r="A1066" s="12"/>
      <c r="B1066" s="18"/>
    </row>
    <row r="1067" spans="1:2" x14ac:dyDescent="0.25">
      <c r="A1067" s="12"/>
      <c r="B1067" s="18"/>
    </row>
    <row r="1068" spans="1:2" x14ac:dyDescent="0.25">
      <c r="A1068" s="12"/>
      <c r="B1068" s="18"/>
    </row>
    <row r="1069" spans="1:2" x14ac:dyDescent="0.25">
      <c r="A1069" s="12"/>
      <c r="B1069" s="18"/>
    </row>
    <row r="1070" spans="1:2" x14ac:dyDescent="0.25">
      <c r="A1070" s="12"/>
      <c r="B1070" s="18"/>
    </row>
    <row r="1071" spans="1:2" x14ac:dyDescent="0.25">
      <c r="A1071" s="12"/>
      <c r="B1071" s="18"/>
    </row>
    <row r="1072" spans="1:2" x14ac:dyDescent="0.25">
      <c r="A1072" s="12"/>
      <c r="B1072" s="18"/>
    </row>
    <row r="1073" spans="1:2" x14ac:dyDescent="0.25">
      <c r="A1073" s="12"/>
      <c r="B1073" s="18"/>
    </row>
    <row r="1074" spans="1:2" x14ac:dyDescent="0.25">
      <c r="A1074" s="12"/>
      <c r="B1074" s="18"/>
    </row>
    <row r="1075" spans="1:2" x14ac:dyDescent="0.25">
      <c r="A1075" s="12"/>
      <c r="B1075" s="18"/>
    </row>
    <row r="1076" spans="1:2" x14ac:dyDescent="0.25">
      <c r="A1076" s="12"/>
      <c r="B1076" s="18"/>
    </row>
    <row r="1077" spans="1:2" x14ac:dyDescent="0.25">
      <c r="A1077" s="12"/>
      <c r="B1077" s="18"/>
    </row>
    <row r="1078" spans="1:2" x14ac:dyDescent="0.25">
      <c r="A1078" s="12"/>
      <c r="B1078" s="18"/>
    </row>
    <row r="1079" spans="1:2" x14ac:dyDescent="0.25">
      <c r="A1079" s="12"/>
      <c r="B1079" s="18"/>
    </row>
    <row r="1080" spans="1:2" x14ac:dyDescent="0.25">
      <c r="A1080" s="12"/>
      <c r="B1080" s="18"/>
    </row>
    <row r="1081" spans="1:2" x14ac:dyDescent="0.25">
      <c r="A1081" s="12"/>
      <c r="B1081" s="18"/>
    </row>
    <row r="1082" spans="1:2" x14ac:dyDescent="0.25">
      <c r="A1082" s="12"/>
      <c r="B1082" s="18"/>
    </row>
    <row r="1083" spans="1:2" x14ac:dyDescent="0.25">
      <c r="A1083" s="12"/>
      <c r="B1083" s="18"/>
    </row>
    <row r="1084" spans="1:2" x14ac:dyDescent="0.25">
      <c r="A1084" s="12"/>
      <c r="B1084" s="18"/>
    </row>
    <row r="1085" spans="1:2" x14ac:dyDescent="0.25">
      <c r="A1085" s="12"/>
      <c r="B1085" s="18"/>
    </row>
    <row r="1086" spans="1:2" x14ac:dyDescent="0.25">
      <c r="A1086" s="12"/>
      <c r="B1086" s="18"/>
    </row>
    <row r="1087" spans="1:2" x14ac:dyDescent="0.25">
      <c r="A1087" s="12"/>
      <c r="B1087" s="18"/>
    </row>
    <row r="1088" spans="1:2" x14ac:dyDescent="0.25">
      <c r="A1088" s="12"/>
      <c r="B1088" s="18"/>
    </row>
    <row r="1089" spans="1:2" x14ac:dyDescent="0.25">
      <c r="A1089" s="12"/>
      <c r="B1089" s="18"/>
    </row>
    <row r="1090" spans="1:2" x14ac:dyDescent="0.25">
      <c r="A1090" s="12"/>
      <c r="B1090" s="18"/>
    </row>
    <row r="1091" spans="1:2" x14ac:dyDescent="0.25">
      <c r="A1091" s="12"/>
      <c r="B1091" s="18"/>
    </row>
    <row r="1092" spans="1:2" x14ac:dyDescent="0.25">
      <c r="A1092" s="12"/>
      <c r="B1092" s="18"/>
    </row>
    <row r="1093" spans="1:2" x14ac:dyDescent="0.25">
      <c r="A1093" s="12"/>
      <c r="B1093" s="18"/>
    </row>
    <row r="1094" spans="1:2" x14ac:dyDescent="0.25">
      <c r="A1094" s="12"/>
      <c r="B1094" s="18"/>
    </row>
    <row r="1095" spans="1:2" x14ac:dyDescent="0.25">
      <c r="A1095" s="12"/>
      <c r="B1095" s="18"/>
    </row>
    <row r="1096" spans="1:2" x14ac:dyDescent="0.25">
      <c r="A1096" s="12"/>
      <c r="B1096" s="18"/>
    </row>
    <row r="1097" spans="1:2" x14ac:dyDescent="0.25">
      <c r="A1097" s="12"/>
      <c r="B1097" s="18"/>
    </row>
    <row r="1098" spans="1:2" x14ac:dyDescent="0.25">
      <c r="A1098" s="12"/>
      <c r="B1098" s="18"/>
    </row>
    <row r="1099" spans="1:2" x14ac:dyDescent="0.25">
      <c r="A1099" s="12"/>
      <c r="B1099" s="18"/>
    </row>
    <row r="1100" spans="1:2" x14ac:dyDescent="0.25">
      <c r="A1100" s="12"/>
      <c r="B1100" s="18"/>
    </row>
    <row r="1101" spans="1:2" x14ac:dyDescent="0.25">
      <c r="A1101" s="12"/>
      <c r="B1101" s="18"/>
    </row>
    <row r="1102" spans="1:2" x14ac:dyDescent="0.25">
      <c r="A1102" s="12"/>
      <c r="B1102" s="18"/>
    </row>
    <row r="1103" spans="1:2" x14ac:dyDescent="0.25">
      <c r="A1103" s="12"/>
      <c r="B1103" s="18"/>
    </row>
    <row r="1104" spans="1:2" x14ac:dyDescent="0.25">
      <c r="A1104" s="12"/>
      <c r="B1104" s="18"/>
    </row>
    <row r="1105" spans="1:2" x14ac:dyDescent="0.25">
      <c r="A1105" s="12"/>
      <c r="B1105" s="18"/>
    </row>
    <row r="1106" spans="1:2" x14ac:dyDescent="0.25">
      <c r="A1106" s="12"/>
      <c r="B1106" s="18"/>
    </row>
    <row r="1107" spans="1:2" x14ac:dyDescent="0.25">
      <c r="A1107" s="12"/>
      <c r="B1107" s="18"/>
    </row>
    <row r="1108" spans="1:2" x14ac:dyDescent="0.25">
      <c r="A1108" s="12"/>
      <c r="B1108" s="18"/>
    </row>
    <row r="1109" spans="1:2" x14ac:dyDescent="0.25">
      <c r="A1109" s="12"/>
      <c r="B1109" s="18"/>
    </row>
    <row r="1110" spans="1:2" x14ac:dyDescent="0.25">
      <c r="A1110" s="12"/>
      <c r="B1110" s="18"/>
    </row>
    <row r="1111" spans="1:2" x14ac:dyDescent="0.25">
      <c r="A1111" s="12"/>
      <c r="B1111" s="18"/>
    </row>
    <row r="1112" spans="1:2" x14ac:dyDescent="0.25">
      <c r="A1112" s="12"/>
      <c r="B1112" s="18"/>
    </row>
    <row r="1113" spans="1:2" x14ac:dyDescent="0.25">
      <c r="A1113" s="12"/>
      <c r="B1113" s="18"/>
    </row>
    <row r="1114" spans="1:2" x14ac:dyDescent="0.25">
      <c r="A1114" s="12"/>
      <c r="B1114" s="18"/>
    </row>
    <row r="1115" spans="1:2" x14ac:dyDescent="0.25">
      <c r="A1115" s="12"/>
      <c r="B1115" s="18"/>
    </row>
    <row r="1116" spans="1:2" x14ac:dyDescent="0.25">
      <c r="A1116" s="12"/>
      <c r="B1116" s="18"/>
    </row>
    <row r="1117" spans="1:2" x14ac:dyDescent="0.25">
      <c r="A1117" s="12"/>
      <c r="B1117" s="18"/>
    </row>
    <row r="1118" spans="1:2" x14ac:dyDescent="0.25">
      <c r="A1118" s="12"/>
      <c r="B1118" s="18"/>
    </row>
    <row r="1119" spans="1:2" x14ac:dyDescent="0.25">
      <c r="A1119" s="12"/>
      <c r="B1119" s="18"/>
    </row>
    <row r="1120" spans="1:2" x14ac:dyDescent="0.25">
      <c r="A1120" s="12"/>
      <c r="B1120" s="18"/>
    </row>
    <row r="1121" spans="1:2" x14ac:dyDescent="0.25">
      <c r="A1121" s="12"/>
      <c r="B1121" s="18"/>
    </row>
    <row r="1122" spans="1:2" x14ac:dyDescent="0.25">
      <c r="A1122" s="12"/>
      <c r="B1122" s="18"/>
    </row>
    <row r="1123" spans="1:2" x14ac:dyDescent="0.25">
      <c r="A1123" s="12"/>
      <c r="B1123" s="18"/>
    </row>
    <row r="1124" spans="1:2" x14ac:dyDescent="0.25">
      <c r="A1124" s="12"/>
      <c r="B1124" s="18"/>
    </row>
    <row r="1125" spans="1:2" x14ac:dyDescent="0.25">
      <c r="A1125" s="12"/>
      <c r="B1125" s="18"/>
    </row>
    <row r="1126" spans="1:2" x14ac:dyDescent="0.25">
      <c r="A1126" s="12"/>
      <c r="B1126" s="18"/>
    </row>
    <row r="1127" spans="1:2" x14ac:dyDescent="0.25">
      <c r="A1127" s="12"/>
      <c r="B1127" s="18"/>
    </row>
    <row r="1128" spans="1:2" x14ac:dyDescent="0.25">
      <c r="A1128" s="12"/>
      <c r="B1128" s="18"/>
    </row>
    <row r="1129" spans="1:2" x14ac:dyDescent="0.25">
      <c r="A1129" s="12"/>
      <c r="B1129" s="18"/>
    </row>
    <row r="1130" spans="1:2" x14ac:dyDescent="0.25">
      <c r="A1130" s="12"/>
      <c r="B1130" s="18"/>
    </row>
    <row r="1131" spans="1:2" x14ac:dyDescent="0.25">
      <c r="A1131" s="12"/>
      <c r="B1131" s="18"/>
    </row>
    <row r="1132" spans="1:2" x14ac:dyDescent="0.25">
      <c r="A1132" s="12"/>
      <c r="B1132" s="18"/>
    </row>
    <row r="1133" spans="1:2" x14ac:dyDescent="0.25">
      <c r="A1133" s="12"/>
      <c r="B1133" s="18"/>
    </row>
    <row r="1134" spans="1:2" x14ac:dyDescent="0.25">
      <c r="A1134" s="12"/>
      <c r="B1134" s="18"/>
    </row>
    <row r="1135" spans="1:2" x14ac:dyDescent="0.25">
      <c r="A1135" s="12"/>
      <c r="B1135" s="18"/>
    </row>
    <row r="1136" spans="1:2" x14ac:dyDescent="0.25">
      <c r="A1136" s="12"/>
      <c r="B1136" s="18"/>
    </row>
    <row r="1137" spans="1:2" x14ac:dyDescent="0.25">
      <c r="A1137" s="12"/>
      <c r="B1137" s="18"/>
    </row>
    <row r="1138" spans="1:2" x14ac:dyDescent="0.25">
      <c r="A1138" s="12"/>
      <c r="B1138" s="18"/>
    </row>
    <row r="1139" spans="1:2" x14ac:dyDescent="0.25">
      <c r="A1139" s="12"/>
      <c r="B1139" s="18"/>
    </row>
    <row r="1140" spans="1:2" x14ac:dyDescent="0.25">
      <c r="A1140" s="12"/>
      <c r="B1140" s="18"/>
    </row>
    <row r="1141" spans="1:2" x14ac:dyDescent="0.25">
      <c r="A1141" s="12"/>
      <c r="B1141" s="18"/>
    </row>
    <row r="1142" spans="1:2" x14ac:dyDescent="0.25">
      <c r="A1142" s="12"/>
      <c r="B1142" s="18"/>
    </row>
    <row r="1143" spans="1:2" x14ac:dyDescent="0.25">
      <c r="A1143" s="12"/>
      <c r="B1143" s="18"/>
    </row>
    <row r="1144" spans="1:2" x14ac:dyDescent="0.25">
      <c r="A1144" s="12"/>
      <c r="B1144" s="18"/>
    </row>
    <row r="1145" spans="1:2" x14ac:dyDescent="0.25">
      <c r="A1145" s="12"/>
      <c r="B1145" s="18"/>
    </row>
    <row r="1146" spans="1:2" x14ac:dyDescent="0.25">
      <c r="A1146" s="12"/>
      <c r="B1146" s="18"/>
    </row>
    <row r="1147" spans="1:2" x14ac:dyDescent="0.25">
      <c r="A1147" s="12"/>
      <c r="B1147" s="1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C5E7-7FF6-4287-9F23-7D3A6FE15A5F}">
  <dimension ref="A1:M158"/>
  <sheetViews>
    <sheetView tabSelected="1" topLeftCell="A39" workbookViewId="0">
      <selection activeCell="I62" sqref="I62"/>
    </sheetView>
  </sheetViews>
  <sheetFormatPr defaultRowHeight="15" x14ac:dyDescent="0.25"/>
  <cols>
    <col min="1" max="1" width="5.5703125" customWidth="1"/>
    <col min="2" max="2" width="10.140625" bestFit="1" customWidth="1"/>
    <col min="8" max="8" width="19.7109375" bestFit="1" customWidth="1"/>
    <col min="9" max="9" width="15.7109375" bestFit="1" customWidth="1"/>
    <col min="10" max="10" width="12.5703125" bestFit="1" customWidth="1"/>
    <col min="11" max="11" width="19" bestFit="1" customWidth="1"/>
    <col min="12" max="12" width="25.7109375" bestFit="1" customWidth="1"/>
    <col min="13" max="13" width="22" bestFit="1" customWidth="1"/>
  </cols>
  <sheetData>
    <row r="1" spans="1:13" ht="16.5" thickBot="1" x14ac:dyDescent="0.3">
      <c r="A1" s="8" t="s">
        <v>43</v>
      </c>
      <c r="B1" s="1" t="s">
        <v>70</v>
      </c>
      <c r="C1" s="1" t="s">
        <v>0</v>
      </c>
      <c r="D1" s="1" t="s">
        <v>134</v>
      </c>
      <c r="H1" s="119" t="s">
        <v>135</v>
      </c>
      <c r="I1" s="120"/>
      <c r="J1" s="120"/>
      <c r="K1" s="120"/>
      <c r="L1" s="120"/>
      <c r="M1" s="121"/>
    </row>
    <row r="2" spans="1:13" ht="15.75" thickBot="1" x14ac:dyDescent="0.3">
      <c r="B2" s="12">
        <v>45404</v>
      </c>
      <c r="C2">
        <v>0.93</v>
      </c>
      <c r="D2" s="56">
        <f>C2/C3-1</f>
        <v>-2.1052631578947323E-2</v>
      </c>
      <c r="H2" s="57"/>
      <c r="I2" s="58"/>
      <c r="J2" s="58"/>
      <c r="K2" s="58"/>
      <c r="L2" s="58"/>
      <c r="M2" s="59"/>
    </row>
    <row r="3" spans="1:13" ht="15.75" thickBot="1" x14ac:dyDescent="0.3">
      <c r="B3" s="12">
        <v>45397</v>
      </c>
      <c r="C3">
        <v>0.95</v>
      </c>
      <c r="D3" s="56">
        <f t="shared" ref="D3:D66" si="0">C3/C4-1</f>
        <v>-9.5238095238095344E-2</v>
      </c>
      <c r="H3" s="60" t="s">
        <v>136</v>
      </c>
      <c r="I3" s="61" t="s">
        <v>137</v>
      </c>
      <c r="J3" s="62" t="s">
        <v>138</v>
      </c>
      <c r="K3" s="63" t="s">
        <v>139</v>
      </c>
      <c r="L3" s="63" t="s">
        <v>140</v>
      </c>
      <c r="M3" s="64" t="s">
        <v>141</v>
      </c>
    </row>
    <row r="4" spans="1:13" x14ac:dyDescent="0.25">
      <c r="B4" s="12">
        <v>45390</v>
      </c>
      <c r="C4" s="18">
        <v>1.05</v>
      </c>
      <c r="D4" s="56">
        <f>C4/C5-1</f>
        <v>-3.669724770642202E-2</v>
      </c>
      <c r="H4" s="65">
        <f>$I$19-3*$I$23</f>
        <v>-0.36126016972227615</v>
      </c>
      <c r="I4" s="66">
        <f>H4</f>
        <v>-0.36126016972227615</v>
      </c>
      <c r="J4" s="67">
        <f>COUNTIF(D:D,"&lt;="&amp;H4)</f>
        <v>0</v>
      </c>
      <c r="K4" s="67" t="str">
        <f>"Less than "&amp;TEXT(H4,"0,00%")</f>
        <v>Less than -36,13%</v>
      </c>
      <c r="L4" s="68">
        <f>J4/$I$31</f>
        <v>0</v>
      </c>
      <c r="M4" s="69">
        <f>L4</f>
        <v>0</v>
      </c>
    </row>
    <row r="5" spans="1:13" x14ac:dyDescent="0.25">
      <c r="B5" s="12">
        <v>45383</v>
      </c>
      <c r="C5" s="18">
        <v>1.0900000000000001</v>
      </c>
      <c r="D5" s="56">
        <f t="shared" si="0"/>
        <v>-3.5398230088495408E-2</v>
      </c>
      <c r="H5" s="70">
        <f>$I$19-2.4*$I$23</f>
        <v>-0.29189476141026732</v>
      </c>
      <c r="I5" s="71">
        <f>H5</f>
        <v>-0.29189476141026732</v>
      </c>
      <c r="J5" s="72">
        <f>COUNTIFS(D:D,"&lt;="&amp;H5,D:D,"&gt;"&amp;H4)</f>
        <v>0</v>
      </c>
      <c r="K5" s="73" t="str">
        <f t="shared" ref="K5:K14" si="1">TEXT(H4,"0,00%")&amp;" to "&amp;TEXT(H5,"0,00%")</f>
        <v>-36,13% to -29,19%</v>
      </c>
      <c r="L5" s="74">
        <f>J5/$I$31</f>
        <v>0</v>
      </c>
      <c r="M5" s="75">
        <f>M4+L5</f>
        <v>0</v>
      </c>
    </row>
    <row r="6" spans="1:13" x14ac:dyDescent="0.25">
      <c r="B6" s="12">
        <v>45376</v>
      </c>
      <c r="C6" s="18">
        <v>1.1299999999999999</v>
      </c>
      <c r="D6" s="56">
        <f t="shared" si="0"/>
        <v>0.1188118811881187</v>
      </c>
      <c r="H6" s="70">
        <f>$I$19-1.8*$I$23</f>
        <v>-0.22252935309825861</v>
      </c>
      <c r="I6" s="71">
        <f t="shared" ref="I6:I14" si="2">H6</f>
        <v>-0.22252935309825861</v>
      </c>
      <c r="J6" s="72">
        <f t="shared" ref="J6:J14" si="3">COUNTIFS(D:D,"&lt;="&amp;H6,D:D,"&gt;"&amp;H5)</f>
        <v>2</v>
      </c>
      <c r="K6" s="73" t="str">
        <f t="shared" si="1"/>
        <v>-29,19% to -22,25%</v>
      </c>
      <c r="L6" s="74">
        <f t="shared" ref="L6:L15" si="4">J6/$I$31</f>
        <v>1.3071895424836602E-2</v>
      </c>
      <c r="M6" s="75">
        <f t="shared" ref="M6:M15" si="5">M5+L6</f>
        <v>1.3071895424836602E-2</v>
      </c>
    </row>
    <row r="7" spans="1:13" x14ac:dyDescent="0.25">
      <c r="B7" s="12">
        <v>45369</v>
      </c>
      <c r="C7" s="18">
        <v>1.01</v>
      </c>
      <c r="D7" s="56">
        <f t="shared" si="0"/>
        <v>1.8145161290322509E-2</v>
      </c>
      <c r="H7" s="70">
        <f>$I$19-1.2*$I$23</f>
        <v>-0.15316394478624978</v>
      </c>
      <c r="I7" s="71">
        <f t="shared" si="2"/>
        <v>-0.15316394478624978</v>
      </c>
      <c r="J7" s="72">
        <f t="shared" si="3"/>
        <v>9</v>
      </c>
      <c r="K7" s="73" t="str">
        <f t="shared" si="1"/>
        <v>-22,25% to -15,32%</v>
      </c>
      <c r="L7" s="74">
        <f t="shared" si="4"/>
        <v>5.8823529411764705E-2</v>
      </c>
      <c r="M7" s="75">
        <f>M6+L7</f>
        <v>7.1895424836601302E-2</v>
      </c>
    </row>
    <row r="8" spans="1:13" x14ac:dyDescent="0.25">
      <c r="B8" s="12">
        <v>45362</v>
      </c>
      <c r="C8" s="18">
        <v>0.99199999999999999</v>
      </c>
      <c r="D8" s="56">
        <f t="shared" si="0"/>
        <v>-1.7821782178217838E-2</v>
      </c>
      <c r="H8" s="70">
        <f>$I$19-0.6*$I$23</f>
        <v>-8.3798536474240987E-2</v>
      </c>
      <c r="I8" s="71">
        <f t="shared" si="2"/>
        <v>-8.3798536474240987E-2</v>
      </c>
      <c r="J8" s="72">
        <f t="shared" si="3"/>
        <v>25</v>
      </c>
      <c r="K8" s="73" t="str">
        <f t="shared" si="1"/>
        <v>-15,32% to -8,38%</v>
      </c>
      <c r="L8" s="74">
        <f t="shared" si="4"/>
        <v>0.16339869281045752</v>
      </c>
      <c r="M8" s="75">
        <f t="shared" si="5"/>
        <v>0.23529411764705882</v>
      </c>
    </row>
    <row r="9" spans="1:13" x14ac:dyDescent="0.25">
      <c r="B9" s="12">
        <v>45355</v>
      </c>
      <c r="C9" s="18">
        <v>1.01</v>
      </c>
      <c r="D9" s="56">
        <f t="shared" si="0"/>
        <v>-6.4814814814814881E-2</v>
      </c>
      <c r="H9" s="70">
        <f>$I$19</f>
        <v>-1.4433128162232205E-2</v>
      </c>
      <c r="I9" s="71">
        <f t="shared" si="2"/>
        <v>-1.4433128162232205E-2</v>
      </c>
      <c r="J9" s="72">
        <f t="shared" si="3"/>
        <v>52</v>
      </c>
      <c r="K9" s="73" t="str">
        <f t="shared" si="1"/>
        <v>-8,38% to -1,44%</v>
      </c>
      <c r="L9" s="74">
        <f t="shared" si="4"/>
        <v>0.33986928104575165</v>
      </c>
      <c r="M9" s="75">
        <f t="shared" si="5"/>
        <v>0.57516339869281041</v>
      </c>
    </row>
    <row r="10" spans="1:13" x14ac:dyDescent="0.25">
      <c r="B10" s="12">
        <v>45348</v>
      </c>
      <c r="C10" s="18">
        <v>1.08</v>
      </c>
      <c r="D10" s="56">
        <f t="shared" si="0"/>
        <v>-6.0869565217391175E-2</v>
      </c>
      <c r="H10" s="70">
        <f>$I$19+0.6*$I$23</f>
        <v>5.493228014977658E-2</v>
      </c>
      <c r="I10" s="71">
        <f t="shared" si="2"/>
        <v>5.493228014977658E-2</v>
      </c>
      <c r="J10" s="72">
        <f t="shared" si="3"/>
        <v>34</v>
      </c>
      <c r="K10" s="73" t="str">
        <f t="shared" si="1"/>
        <v>-1,44% to 5,49%</v>
      </c>
      <c r="L10" s="74">
        <f t="shared" si="4"/>
        <v>0.22222222222222221</v>
      </c>
      <c r="M10" s="75">
        <f t="shared" si="5"/>
        <v>0.79738562091503262</v>
      </c>
    </row>
    <row r="11" spans="1:13" x14ac:dyDescent="0.25">
      <c r="B11" s="12">
        <v>45341</v>
      </c>
      <c r="C11" s="18">
        <v>1.1499999999999999</v>
      </c>
      <c r="D11" s="56">
        <f t="shared" si="0"/>
        <v>-6.1224489795918546E-2</v>
      </c>
      <c r="H11" s="70">
        <f>$I$19+1.2*$I$23</f>
        <v>0.12429768846178536</v>
      </c>
      <c r="I11" s="71">
        <f t="shared" si="2"/>
        <v>0.12429768846178536</v>
      </c>
      <c r="J11" s="72">
        <f t="shared" si="3"/>
        <v>17</v>
      </c>
      <c r="K11" s="73" t="str">
        <f t="shared" si="1"/>
        <v>5,49% to 12,43%</v>
      </c>
      <c r="L11" s="74">
        <f t="shared" si="4"/>
        <v>0.1111111111111111</v>
      </c>
      <c r="M11" s="75">
        <f t="shared" si="5"/>
        <v>0.90849673202614367</v>
      </c>
    </row>
    <row r="12" spans="1:13" x14ac:dyDescent="0.25">
      <c r="B12" s="12">
        <v>45334</v>
      </c>
      <c r="C12" s="18">
        <v>1.2250000000000001</v>
      </c>
      <c r="D12" s="56">
        <f t="shared" si="0"/>
        <v>8.4070796460177233E-2</v>
      </c>
      <c r="H12" s="70">
        <f>$I$19+1.8*$I$23</f>
        <v>0.19366309677379417</v>
      </c>
      <c r="I12" s="71">
        <f t="shared" si="2"/>
        <v>0.19366309677379417</v>
      </c>
      <c r="J12" s="72">
        <f t="shared" si="3"/>
        <v>7</v>
      </c>
      <c r="K12" s="73" t="str">
        <f t="shared" si="1"/>
        <v>12,43% to 19,37%</v>
      </c>
      <c r="L12" s="74">
        <f t="shared" si="4"/>
        <v>4.5751633986928102E-2</v>
      </c>
      <c r="M12" s="75">
        <f t="shared" si="5"/>
        <v>0.95424836601307172</v>
      </c>
    </row>
    <row r="13" spans="1:13" x14ac:dyDescent="0.25">
      <c r="B13" s="12">
        <v>45327</v>
      </c>
      <c r="C13" s="18">
        <v>1.1299999999999999</v>
      </c>
      <c r="D13" s="56">
        <f t="shared" si="0"/>
        <v>-1.7391304347826098E-2</v>
      </c>
      <c r="H13" s="70">
        <f>$I$19+2.4*$I$23</f>
        <v>0.26302850508580294</v>
      </c>
      <c r="I13" s="71">
        <f t="shared" si="2"/>
        <v>0.26302850508580294</v>
      </c>
      <c r="J13" s="72">
        <f t="shared" si="3"/>
        <v>3</v>
      </c>
      <c r="K13" s="73" t="str">
        <f t="shared" si="1"/>
        <v>19,37% to 26,30%</v>
      </c>
      <c r="L13" s="74">
        <f t="shared" si="4"/>
        <v>1.9607843137254902E-2</v>
      </c>
      <c r="M13" s="75">
        <f t="shared" si="5"/>
        <v>0.97385620915032667</v>
      </c>
    </row>
    <row r="14" spans="1:13" x14ac:dyDescent="0.25">
      <c r="B14" s="12">
        <v>45320</v>
      </c>
      <c r="C14" s="18">
        <v>1.1499999999999999</v>
      </c>
      <c r="D14" s="56">
        <f t="shared" si="0"/>
        <v>8.7719298245614308E-3</v>
      </c>
      <c r="H14" s="70">
        <f>$I$19+3*$I$23</f>
        <v>0.33239391339781177</v>
      </c>
      <c r="I14" s="71">
        <f t="shared" si="2"/>
        <v>0.33239391339781177</v>
      </c>
      <c r="J14" s="72">
        <f t="shared" si="3"/>
        <v>0</v>
      </c>
      <c r="K14" s="73" t="str">
        <f t="shared" si="1"/>
        <v>26,30% to 33,24%</v>
      </c>
      <c r="L14" s="74">
        <f t="shared" si="4"/>
        <v>0</v>
      </c>
      <c r="M14" s="75">
        <f t="shared" si="5"/>
        <v>0.97385620915032667</v>
      </c>
    </row>
    <row r="15" spans="1:13" ht="15.75" thickBot="1" x14ac:dyDescent="0.3">
      <c r="B15" s="12">
        <v>45313</v>
      </c>
      <c r="C15" s="18">
        <v>1.1399999999999999</v>
      </c>
      <c r="D15" s="56">
        <f t="shared" si="0"/>
        <v>8.5714285714285632E-2</v>
      </c>
      <c r="H15" s="76"/>
      <c r="I15" s="77" t="s">
        <v>142</v>
      </c>
      <c r="J15" s="77">
        <f>COUNTIF(D:D,"&gt;"&amp;H14)</f>
        <v>4</v>
      </c>
      <c r="K15" s="77" t="str">
        <f>"Greater than "&amp;TEXT(H14,"0,00%")</f>
        <v>Greater than 33,24%</v>
      </c>
      <c r="L15" s="78">
        <f t="shared" si="4"/>
        <v>2.6143790849673203E-2</v>
      </c>
      <c r="M15" s="78">
        <f t="shared" si="5"/>
        <v>0.99999999999999989</v>
      </c>
    </row>
    <row r="16" spans="1:13" ht="15.75" thickBot="1" x14ac:dyDescent="0.3">
      <c r="B16" s="12">
        <v>45306</v>
      </c>
      <c r="C16" s="18">
        <v>1.05</v>
      </c>
      <c r="D16" s="56">
        <f t="shared" si="0"/>
        <v>-4.5454545454545525E-2</v>
      </c>
      <c r="H16" s="79"/>
      <c r="M16" s="80"/>
    </row>
    <row r="17" spans="2:13" x14ac:dyDescent="0.25">
      <c r="B17" s="12">
        <v>45299</v>
      </c>
      <c r="C17" s="18">
        <v>1.1000000000000001</v>
      </c>
      <c r="D17" s="56">
        <f t="shared" si="0"/>
        <v>-6.7796610169491456E-2</v>
      </c>
      <c r="H17" s="122" t="s">
        <v>143</v>
      </c>
      <c r="I17" s="123"/>
      <c r="M17" s="80"/>
    </row>
    <row r="18" spans="2:13" x14ac:dyDescent="0.25">
      <c r="B18" s="12">
        <v>45292</v>
      </c>
      <c r="C18" s="18">
        <v>1.18</v>
      </c>
      <c r="D18" s="56">
        <f t="shared" si="0"/>
        <v>0</v>
      </c>
      <c r="H18" s="124"/>
      <c r="I18" s="125"/>
      <c r="M18" s="80"/>
    </row>
    <row r="19" spans="2:13" x14ac:dyDescent="0.25">
      <c r="B19" s="12">
        <v>45285</v>
      </c>
      <c r="C19" s="18">
        <v>1.18</v>
      </c>
      <c r="D19" s="56">
        <f t="shared" si="0"/>
        <v>-4.8387096774193616E-2</v>
      </c>
      <c r="H19" s="81" t="s">
        <v>144</v>
      </c>
      <c r="I19" s="82">
        <f>AVERAGE(D:D)</f>
        <v>-1.4433128162232205E-2</v>
      </c>
      <c r="M19" s="80"/>
    </row>
    <row r="20" spans="2:13" x14ac:dyDescent="0.25">
      <c r="B20" s="12">
        <v>45278</v>
      </c>
      <c r="C20" s="18">
        <v>1.24</v>
      </c>
      <c r="D20" s="56">
        <f t="shared" si="0"/>
        <v>1.6393442622950838E-2</v>
      </c>
      <c r="H20" s="81" t="s">
        <v>145</v>
      </c>
      <c r="I20" s="82">
        <f>_xlfn.STDEV.S(D:D)/SQRT(COUNT(D:D))</f>
        <v>9.3464348115852771E-3</v>
      </c>
      <c r="M20" s="80"/>
    </row>
    <row r="21" spans="2:13" x14ac:dyDescent="0.25">
      <c r="B21" s="12">
        <v>45271</v>
      </c>
      <c r="C21" s="18">
        <v>1.22</v>
      </c>
      <c r="D21" s="56">
        <f t="shared" si="0"/>
        <v>9.9099099099098975E-2</v>
      </c>
      <c r="H21" s="81" t="s">
        <v>146</v>
      </c>
      <c r="I21" s="82">
        <f>MEDIAN(D:D)</f>
        <v>-3.3441208198489725E-2</v>
      </c>
      <c r="M21" s="80"/>
    </row>
    <row r="22" spans="2:13" x14ac:dyDescent="0.25">
      <c r="B22" s="12">
        <v>45264</v>
      </c>
      <c r="C22" s="18">
        <v>1.1100000000000001</v>
      </c>
      <c r="D22" s="56">
        <f t="shared" si="0"/>
        <v>7.7669902912621325E-2</v>
      </c>
      <c r="H22" s="81" t="s">
        <v>147</v>
      </c>
      <c r="I22" s="82">
        <f>MODE(D:D)</f>
        <v>0</v>
      </c>
      <c r="M22" s="80"/>
    </row>
    <row r="23" spans="2:13" x14ac:dyDescent="0.25">
      <c r="B23" s="12">
        <v>45257</v>
      </c>
      <c r="C23" s="18">
        <v>1.03</v>
      </c>
      <c r="D23" s="56">
        <f t="shared" si="0"/>
        <v>0.34816753926701582</v>
      </c>
      <c r="H23" s="81" t="s">
        <v>148</v>
      </c>
      <c r="I23" s="82">
        <f>_xlfn.STDEV.S(D:D)</f>
        <v>0.11560901385334799</v>
      </c>
      <c r="M23" s="80"/>
    </row>
    <row r="24" spans="2:13" x14ac:dyDescent="0.25">
      <c r="B24" s="12">
        <v>45250</v>
      </c>
      <c r="C24" s="18">
        <v>0.76400000000000001</v>
      </c>
      <c r="D24" s="56">
        <f t="shared" si="0"/>
        <v>-7.2815533980582492E-2</v>
      </c>
      <c r="H24" s="81" t="s">
        <v>149</v>
      </c>
      <c r="I24" s="82">
        <f>_xlfn.VAR.S(D:D)</f>
        <v>1.3365444084143606E-2</v>
      </c>
      <c r="M24" s="80"/>
    </row>
    <row r="25" spans="2:13" x14ac:dyDescent="0.25">
      <c r="B25" s="12">
        <v>45243</v>
      </c>
      <c r="C25" s="18">
        <v>0.82399999999999995</v>
      </c>
      <c r="D25" s="56">
        <f t="shared" si="0"/>
        <v>0.52592592592592569</v>
      </c>
      <c r="H25" s="81" t="s">
        <v>150</v>
      </c>
      <c r="I25" s="83">
        <f>KURT(D:D)</f>
        <v>4.9340455915570836</v>
      </c>
      <c r="M25" s="80"/>
    </row>
    <row r="26" spans="2:13" x14ac:dyDescent="0.25">
      <c r="B26" s="12">
        <v>45236</v>
      </c>
      <c r="C26" s="18">
        <v>0.54</v>
      </c>
      <c r="D26" s="56">
        <f t="shared" si="0"/>
        <v>-0.14285714285714279</v>
      </c>
      <c r="H26" s="81" t="s">
        <v>151</v>
      </c>
      <c r="I26" s="83">
        <f>SKEW(D:D)</f>
        <v>1.5864629641284789</v>
      </c>
      <c r="M26" s="80"/>
    </row>
    <row r="27" spans="2:13" x14ac:dyDescent="0.25">
      <c r="B27" s="12">
        <v>45229</v>
      </c>
      <c r="C27" s="18">
        <v>0.63</v>
      </c>
      <c r="D27" s="56">
        <f t="shared" si="0"/>
        <v>0.38461538461538458</v>
      </c>
      <c r="H27" s="81" t="s">
        <v>139</v>
      </c>
      <c r="I27" s="82">
        <f>I29-I28</f>
        <v>0.7666666666666665</v>
      </c>
      <c r="M27" s="80"/>
    </row>
    <row r="28" spans="2:13" x14ac:dyDescent="0.25">
      <c r="B28" s="12">
        <v>45222</v>
      </c>
      <c r="C28" s="18">
        <v>0.45500000000000002</v>
      </c>
      <c r="D28" s="56">
        <f t="shared" si="0"/>
        <v>-0.16819012797074961</v>
      </c>
      <c r="H28" s="81" t="s">
        <v>152</v>
      </c>
      <c r="I28" s="82">
        <f>MIN(D:D)</f>
        <v>-0.24074074074074081</v>
      </c>
      <c r="M28" s="80"/>
    </row>
    <row r="29" spans="2:13" x14ac:dyDescent="0.25">
      <c r="B29" s="12">
        <v>45215</v>
      </c>
      <c r="C29" s="18">
        <v>0.54700000000000004</v>
      </c>
      <c r="D29" s="56">
        <f t="shared" si="0"/>
        <v>-0.15062111801242228</v>
      </c>
      <c r="H29" s="81" t="s">
        <v>153</v>
      </c>
      <c r="I29" s="82">
        <f>MAX(D:D)</f>
        <v>0.52592592592592569</v>
      </c>
      <c r="M29" s="80"/>
    </row>
    <row r="30" spans="2:13" x14ac:dyDescent="0.25">
      <c r="B30" s="12">
        <v>45208</v>
      </c>
      <c r="C30" s="18">
        <v>0.64400000000000002</v>
      </c>
      <c r="D30" s="56">
        <f t="shared" si="0"/>
        <v>-6.6666666666666541E-2</v>
      </c>
      <c r="H30" s="81" t="s">
        <v>154</v>
      </c>
      <c r="I30" s="83">
        <f>SUM(D:D)</f>
        <v>-2.2082686088215273</v>
      </c>
      <c r="M30" s="80"/>
    </row>
    <row r="31" spans="2:13" ht="15.75" thickBot="1" x14ac:dyDescent="0.3">
      <c r="B31" s="12">
        <v>45201</v>
      </c>
      <c r="C31" s="18">
        <v>0.69</v>
      </c>
      <c r="D31" s="56">
        <f t="shared" si="0"/>
        <v>-0.22991071428571441</v>
      </c>
      <c r="H31" s="84" t="s">
        <v>155</v>
      </c>
      <c r="I31" s="85">
        <f>COUNT(D:D)</f>
        <v>153</v>
      </c>
      <c r="M31" s="80"/>
    </row>
    <row r="32" spans="2:13" ht="15.75" thickBot="1" x14ac:dyDescent="0.3">
      <c r="B32" s="12">
        <v>45194</v>
      </c>
      <c r="C32" s="18">
        <v>0.89600000000000002</v>
      </c>
      <c r="D32" s="56">
        <f t="shared" si="0"/>
        <v>-3.3441208198489725E-2</v>
      </c>
      <c r="H32" s="86"/>
      <c r="M32" s="80"/>
    </row>
    <row r="33" spans="2:13" x14ac:dyDescent="0.25">
      <c r="B33" s="12">
        <v>45187</v>
      </c>
      <c r="C33" s="18">
        <v>0.92700000000000005</v>
      </c>
      <c r="D33" s="56">
        <f t="shared" si="0"/>
        <v>-0.1086538461538461</v>
      </c>
      <c r="H33" s="87"/>
      <c r="I33" s="88" t="s">
        <v>156</v>
      </c>
      <c r="J33" s="88" t="s">
        <v>155</v>
      </c>
      <c r="K33" s="88" t="s">
        <v>157</v>
      </c>
      <c r="L33" s="89" t="s">
        <v>158</v>
      </c>
      <c r="M33" s="80"/>
    </row>
    <row r="34" spans="2:13" x14ac:dyDescent="0.25">
      <c r="B34" s="12">
        <v>45180</v>
      </c>
      <c r="C34" s="18">
        <v>1.04</v>
      </c>
      <c r="D34" s="56">
        <f t="shared" si="0"/>
        <v>-7.1428571428571508E-2</v>
      </c>
      <c r="H34" s="90" t="s">
        <v>159</v>
      </c>
      <c r="I34" s="74">
        <f>AVERAGEIF(D:D,"&gt;0")</f>
        <v>0.10010576389818351</v>
      </c>
      <c r="J34" s="72">
        <f>COUNTIF(D:D,"&gt;0")</f>
        <v>53</v>
      </c>
      <c r="K34" s="74">
        <f>J34/$I$31</f>
        <v>0.34640522875816993</v>
      </c>
      <c r="L34" s="75">
        <f>K34*I34</f>
        <v>3.4677160043161612E-2</v>
      </c>
      <c r="M34" s="80"/>
    </row>
    <row r="35" spans="2:13" x14ac:dyDescent="0.25">
      <c r="B35" s="12">
        <v>45173</v>
      </c>
      <c r="C35" s="18">
        <v>1.1200000000000001</v>
      </c>
      <c r="D35" s="56">
        <f t="shared" si="0"/>
        <v>-0.11111111111111105</v>
      </c>
      <c r="H35" s="90" t="s">
        <v>160</v>
      </c>
      <c r="I35" s="74">
        <f>AVERAGEIF(D:D,"&lt;0")</f>
        <v>-7.8269521827346422E-2</v>
      </c>
      <c r="J35" s="72">
        <f>COUNTIF(D:D,"&lt;0")</f>
        <v>96</v>
      </c>
      <c r="K35" s="74">
        <f>J35/$I$31</f>
        <v>0.62745098039215685</v>
      </c>
      <c r="L35" s="75">
        <f t="shared" ref="L35:L36" si="6">K35*I35</f>
        <v>-4.9110288205393836E-2</v>
      </c>
      <c r="M35" s="80"/>
    </row>
    <row r="36" spans="2:13" ht="15.75" thickBot="1" x14ac:dyDescent="0.3">
      <c r="B36" s="12">
        <v>45166</v>
      </c>
      <c r="C36" s="18">
        <v>1.26</v>
      </c>
      <c r="D36" s="56">
        <f t="shared" si="0"/>
        <v>8.0000000000000071E-3</v>
      </c>
      <c r="H36" s="91" t="s">
        <v>161</v>
      </c>
      <c r="I36" s="77">
        <v>0</v>
      </c>
      <c r="J36" s="77">
        <f>COUNTIF(D:D,"0")</f>
        <v>4</v>
      </c>
      <c r="K36" s="92">
        <f>J36/$I$31</f>
        <v>2.6143790849673203E-2</v>
      </c>
      <c r="L36" s="78">
        <f t="shared" si="6"/>
        <v>0</v>
      </c>
      <c r="M36" s="80"/>
    </row>
    <row r="37" spans="2:13" ht="15.75" thickBot="1" x14ac:dyDescent="0.3">
      <c r="B37" s="12">
        <v>45159</v>
      </c>
      <c r="C37" s="18">
        <v>1.25</v>
      </c>
      <c r="D37" s="56">
        <f t="shared" si="0"/>
        <v>-3.8461538461538547E-2</v>
      </c>
      <c r="H37" s="86"/>
      <c r="I37" s="93"/>
      <c r="J37" s="93"/>
      <c r="K37" s="93"/>
      <c r="L37" s="93"/>
      <c r="M37" s="80"/>
    </row>
    <row r="38" spans="2:13" x14ac:dyDescent="0.25">
      <c r="B38" s="12">
        <v>45152</v>
      </c>
      <c r="C38" s="18">
        <v>1.3</v>
      </c>
      <c r="D38" s="56">
        <f t="shared" si="0"/>
        <v>-0.10344827586206895</v>
      </c>
      <c r="H38" s="65" t="s">
        <v>162</v>
      </c>
      <c r="I38" s="88" t="s">
        <v>163</v>
      </c>
      <c r="J38" s="88" t="s">
        <v>164</v>
      </c>
      <c r="K38" s="88" t="s">
        <v>165</v>
      </c>
      <c r="L38" s="88" t="s">
        <v>166</v>
      </c>
      <c r="M38" s="89" t="s">
        <v>167</v>
      </c>
    </row>
    <row r="39" spans="2:13" x14ac:dyDescent="0.25">
      <c r="B39" s="12">
        <v>45145</v>
      </c>
      <c r="C39" s="18">
        <v>1.45</v>
      </c>
      <c r="D39" s="56">
        <f t="shared" si="0"/>
        <v>0</v>
      </c>
      <c r="H39" s="94">
        <v>1</v>
      </c>
      <c r="I39" s="74">
        <f>$I$19+($H39*$I$23)</f>
        <v>0.10117588569111578</v>
      </c>
      <c r="J39" s="74">
        <f>$I$19-($H39*$I$23)</f>
        <v>-0.1300421420155802</v>
      </c>
      <c r="K39" s="72">
        <f>COUNTIFS(D:D,"&lt;"&amp;I39,D:D,"&gt;"&amp;J39)</f>
        <v>120</v>
      </c>
      <c r="L39" s="74">
        <f>K39/$I$31</f>
        <v>0.78431372549019607</v>
      </c>
      <c r="M39" s="75">
        <v>0.68269999999999997</v>
      </c>
    </row>
    <row r="40" spans="2:13" x14ac:dyDescent="0.25">
      <c r="B40" s="12">
        <v>45138</v>
      </c>
      <c r="C40" s="18">
        <v>1.45</v>
      </c>
      <c r="D40" s="56">
        <f t="shared" si="0"/>
        <v>-0.11585365853658536</v>
      </c>
      <c r="H40" s="94">
        <v>2</v>
      </c>
      <c r="I40" s="74">
        <f>$I$19+($H40*$I$23)</f>
        <v>0.21678489954446375</v>
      </c>
      <c r="J40" s="74">
        <f>$I$19-($H40*$I$23)</f>
        <v>-0.24565115586892819</v>
      </c>
      <c r="K40" s="72">
        <f>COUNTIFS(D:D,"&lt;"&amp;I40,D:D,"&gt;"&amp;J40)</f>
        <v>148</v>
      </c>
      <c r="L40" s="74">
        <f>K40/$I$31</f>
        <v>0.9673202614379085</v>
      </c>
      <c r="M40" s="75">
        <v>0.95450000000000002</v>
      </c>
    </row>
    <row r="41" spans="2:13" x14ac:dyDescent="0.25">
      <c r="B41" s="12">
        <v>45131</v>
      </c>
      <c r="C41" s="18">
        <v>1.64</v>
      </c>
      <c r="D41" s="56">
        <f t="shared" si="0"/>
        <v>-0.24074074074074081</v>
      </c>
      <c r="H41" s="94">
        <v>3</v>
      </c>
      <c r="I41" s="74">
        <f>$I$19+($H41*$I$23)</f>
        <v>0.33239391339781177</v>
      </c>
      <c r="J41" s="74">
        <f>$I$19-($H41*$I$23)</f>
        <v>-0.36126016972227615</v>
      </c>
      <c r="K41" s="72">
        <f>COUNTIFS(D:D,"&lt;"&amp;I41,D:D,"&gt;"&amp;J41)</f>
        <v>149</v>
      </c>
      <c r="L41" s="74">
        <f>K41/$I$31</f>
        <v>0.97385620915032678</v>
      </c>
      <c r="M41" s="95">
        <v>0.99729999999999996</v>
      </c>
    </row>
    <row r="42" spans="2:13" ht="15.75" thickBot="1" x14ac:dyDescent="0.3">
      <c r="B42" s="12">
        <v>45124</v>
      </c>
      <c r="C42" s="18">
        <v>2.16</v>
      </c>
      <c r="D42" s="56">
        <f t="shared" si="0"/>
        <v>3.3492822966507241E-2</v>
      </c>
      <c r="H42" s="70"/>
      <c r="M42" s="95"/>
    </row>
    <row r="43" spans="2:13" ht="15.75" thickBot="1" x14ac:dyDescent="0.3">
      <c r="B43" s="12">
        <v>45117</v>
      </c>
      <c r="C43" s="18">
        <v>2.09</v>
      </c>
      <c r="D43" s="56">
        <f t="shared" si="0"/>
        <v>5.555555555555558E-2</v>
      </c>
      <c r="H43" s="126" t="s">
        <v>168</v>
      </c>
      <c r="I43" s="127"/>
      <c r="J43" s="127"/>
      <c r="K43" s="127"/>
      <c r="L43" s="127"/>
      <c r="M43" s="128"/>
    </row>
    <row r="44" spans="2:13" x14ac:dyDescent="0.25">
      <c r="B44" s="12">
        <v>45110</v>
      </c>
      <c r="C44" s="18">
        <v>1.98</v>
      </c>
      <c r="D44" s="56">
        <f t="shared" si="0"/>
        <v>-3.4146341463414553E-2</v>
      </c>
      <c r="H44" s="96">
        <v>0.01</v>
      </c>
      <c r="I44" s="97">
        <f t="shared" ref="I44:I58" si="7">_xlfn.PERCENTILE.INC(D:D,H44)</f>
        <v>-0.2171252036936448</v>
      </c>
      <c r="J44" s="98">
        <v>0.2</v>
      </c>
      <c r="K44" s="97">
        <f t="shared" ref="K44:K56" si="8">_xlfn.PERCENTILE.INC(D:D,J44)</f>
        <v>-9.5179644752476061E-2</v>
      </c>
      <c r="L44" s="98">
        <v>0.85</v>
      </c>
      <c r="M44" s="99">
        <f t="shared" ref="M44:M58" si="9">_xlfn.PERCENTILE.INC(D:D,L44)</f>
        <v>7.7977506488512899E-2</v>
      </c>
    </row>
    <row r="45" spans="2:13" x14ac:dyDescent="0.25">
      <c r="B45" s="12">
        <v>45103</v>
      </c>
      <c r="C45" s="18">
        <v>2.0499999999999998</v>
      </c>
      <c r="D45" s="56">
        <f t="shared" si="0"/>
        <v>0.13259668508287281</v>
      </c>
      <c r="H45" s="100">
        <v>0.02</v>
      </c>
      <c r="I45" s="101">
        <f t="shared" si="7"/>
        <v>-0.20362063271910716</v>
      </c>
      <c r="J45" s="102">
        <v>0.25</v>
      </c>
      <c r="K45" s="101">
        <f t="shared" si="8"/>
        <v>-7.9942897930049939E-2</v>
      </c>
      <c r="L45" s="102">
        <v>0.86</v>
      </c>
      <c r="M45" s="103">
        <f t="shared" si="9"/>
        <v>8.27091912731098E-2</v>
      </c>
    </row>
    <row r="46" spans="2:13" x14ac:dyDescent="0.25">
      <c r="B46" s="12">
        <v>45096</v>
      </c>
      <c r="C46" s="18">
        <v>1.81</v>
      </c>
      <c r="D46" s="56">
        <f t="shared" si="0"/>
        <v>-3.208556149732622E-2</v>
      </c>
      <c r="H46" s="100">
        <v>0.03</v>
      </c>
      <c r="I46" s="101">
        <f t="shared" si="7"/>
        <v>-0.18523773960667156</v>
      </c>
      <c r="J46" s="102">
        <v>0.3</v>
      </c>
      <c r="K46" s="101">
        <f t="shared" si="8"/>
        <v>-6.8538662619107724E-2</v>
      </c>
      <c r="L46" s="102">
        <v>0.87</v>
      </c>
      <c r="M46" s="103">
        <f t="shared" si="9"/>
        <v>8.7662964381463065E-2</v>
      </c>
    </row>
    <row r="47" spans="2:13" x14ac:dyDescent="0.25">
      <c r="B47" s="12">
        <v>45089</v>
      </c>
      <c r="C47" s="18">
        <v>1.87</v>
      </c>
      <c r="D47" s="56">
        <f t="shared" si="0"/>
        <v>-6.9651741293532132E-2</v>
      </c>
      <c r="H47" s="100">
        <v>0.04</v>
      </c>
      <c r="I47" s="101">
        <f t="shared" si="7"/>
        <v>-0.17313299871364787</v>
      </c>
      <c r="J47" s="102">
        <v>0.35</v>
      </c>
      <c r="K47" s="101">
        <f t="shared" si="8"/>
        <v>-6.1153504880213073E-2</v>
      </c>
      <c r="L47" s="102">
        <v>0.88</v>
      </c>
      <c r="M47" s="103">
        <f t="shared" si="9"/>
        <v>9.7835422553921081E-2</v>
      </c>
    </row>
    <row r="48" spans="2:13" x14ac:dyDescent="0.25">
      <c r="B48" s="12">
        <v>45082</v>
      </c>
      <c r="C48" s="18">
        <v>2.0099999999999998</v>
      </c>
      <c r="D48" s="56">
        <f t="shared" si="0"/>
        <v>0.16860465116279055</v>
      </c>
      <c r="H48" s="100">
        <v>0.05</v>
      </c>
      <c r="I48" s="101">
        <f t="shared" si="7"/>
        <v>-0.16999370449703094</v>
      </c>
      <c r="J48" s="102">
        <v>0.4</v>
      </c>
      <c r="K48" s="101">
        <f t="shared" si="8"/>
        <v>-4.6041055718475131E-2</v>
      </c>
      <c r="L48" s="102">
        <v>0.89</v>
      </c>
      <c r="M48" s="103">
        <f t="shared" si="9"/>
        <v>0.11784563998568538</v>
      </c>
    </row>
    <row r="49" spans="2:13" x14ac:dyDescent="0.25">
      <c r="B49" s="12">
        <v>45075</v>
      </c>
      <c r="C49" s="18">
        <v>1.72</v>
      </c>
      <c r="D49" s="56">
        <f t="shared" si="0"/>
        <v>-2.2727272727272707E-2</v>
      </c>
      <c r="H49" s="100">
        <v>0.06</v>
      </c>
      <c r="I49" s="101">
        <f t="shared" si="7"/>
        <v>-0.1609078023794798</v>
      </c>
      <c r="J49" s="102">
        <v>0.45</v>
      </c>
      <c r="K49" s="101">
        <f t="shared" si="8"/>
        <v>-3.8201301186375901E-2</v>
      </c>
      <c r="L49" s="102">
        <v>0.9</v>
      </c>
      <c r="M49" s="103">
        <f t="shared" si="9"/>
        <v>0.12141495839724835</v>
      </c>
    </row>
    <row r="50" spans="2:13" x14ac:dyDescent="0.25">
      <c r="B50" s="12">
        <v>45068</v>
      </c>
      <c r="C50" s="18">
        <v>1.76</v>
      </c>
      <c r="D50" s="56">
        <f t="shared" si="0"/>
        <v>-1.1235955056179803E-2</v>
      </c>
      <c r="H50" s="100">
        <v>7.0000000000000007E-2</v>
      </c>
      <c r="I50" s="101">
        <f t="shared" si="7"/>
        <v>-0.15325602709703129</v>
      </c>
      <c r="J50" s="102">
        <v>0.5</v>
      </c>
      <c r="K50" s="101">
        <f t="shared" si="8"/>
        <v>-3.3441208198489725E-2</v>
      </c>
      <c r="L50" s="102">
        <v>0.91</v>
      </c>
      <c r="M50" s="103">
        <f t="shared" si="9"/>
        <v>0.12526765080413144</v>
      </c>
    </row>
    <row r="51" spans="2:13" x14ac:dyDescent="0.25">
      <c r="B51" s="12">
        <v>45061</v>
      </c>
      <c r="C51" s="18">
        <v>1.78</v>
      </c>
      <c r="D51" s="56">
        <f t="shared" si="0"/>
        <v>-0.15238095238095239</v>
      </c>
      <c r="H51" s="100">
        <v>0.08</v>
      </c>
      <c r="I51" s="101">
        <f t="shared" si="7"/>
        <v>-0.15048112999337887</v>
      </c>
      <c r="J51" s="102">
        <v>0.55000000000000004</v>
      </c>
      <c r="K51" s="101">
        <f t="shared" si="8"/>
        <v>-2.1476787792577282E-2</v>
      </c>
      <c r="L51" s="102">
        <v>0.92</v>
      </c>
      <c r="M51" s="103">
        <f t="shared" si="9"/>
        <v>0.13198207383871188</v>
      </c>
    </row>
    <row r="52" spans="2:13" x14ac:dyDescent="0.25">
      <c r="B52" s="12">
        <v>45054</v>
      </c>
      <c r="C52" s="18">
        <v>2.1</v>
      </c>
      <c r="D52" s="56">
        <f t="shared" si="0"/>
        <v>0</v>
      </c>
      <c r="H52" s="100">
        <v>0.09</v>
      </c>
      <c r="I52" s="101">
        <f t="shared" si="7"/>
        <v>-0.1450616388687454</v>
      </c>
      <c r="J52" s="102">
        <v>0.6</v>
      </c>
      <c r="K52" s="101">
        <f t="shared" si="8"/>
        <v>-9.7103963699453223E-3</v>
      </c>
      <c r="L52" s="102">
        <v>0.93</v>
      </c>
      <c r="M52" s="103">
        <f t="shared" si="9"/>
        <v>0.14401233565979546</v>
      </c>
    </row>
    <row r="53" spans="2:13" x14ac:dyDescent="0.25">
      <c r="B53" s="12">
        <v>45047</v>
      </c>
      <c r="C53" s="18">
        <v>2.1</v>
      </c>
      <c r="D53" s="56">
        <f t="shared" si="0"/>
        <v>-9.8712446351931327E-2</v>
      </c>
      <c r="H53" s="100">
        <v>0.1</v>
      </c>
      <c r="I53" s="101">
        <f t="shared" si="7"/>
        <v>-0.12390395644988823</v>
      </c>
      <c r="J53" s="102">
        <v>0.65</v>
      </c>
      <c r="K53" s="101">
        <f t="shared" si="8"/>
        <v>0</v>
      </c>
      <c r="L53" s="102">
        <v>0.94</v>
      </c>
      <c r="M53" s="103">
        <f t="shared" si="9"/>
        <v>0.14611452413022749</v>
      </c>
    </row>
    <row r="54" spans="2:13" x14ac:dyDescent="0.25">
      <c r="B54" s="12">
        <v>45040</v>
      </c>
      <c r="C54" s="18">
        <v>2.33</v>
      </c>
      <c r="D54" s="56">
        <f t="shared" si="0"/>
        <v>3.5555555555555562E-2</v>
      </c>
      <c r="H54" s="100">
        <v>0.11</v>
      </c>
      <c r="I54" s="101">
        <f t="shared" si="7"/>
        <v>-0.12258746113676842</v>
      </c>
      <c r="J54" s="102">
        <v>0.7</v>
      </c>
      <c r="K54" s="101">
        <f t="shared" si="8"/>
        <v>1.252092050209197E-2</v>
      </c>
      <c r="L54" s="102">
        <v>0.95</v>
      </c>
      <c r="M54" s="103">
        <f t="shared" si="9"/>
        <v>0.16949289946286941</v>
      </c>
    </row>
    <row r="55" spans="2:13" x14ac:dyDescent="0.25">
      <c r="B55" s="12">
        <v>45033</v>
      </c>
      <c r="C55" s="18">
        <v>2.25</v>
      </c>
      <c r="D55" s="56">
        <f t="shared" si="0"/>
        <v>-1.3157894736842035E-2</v>
      </c>
      <c r="H55" s="100">
        <v>0.12</v>
      </c>
      <c r="I55" s="101">
        <f t="shared" si="7"/>
        <v>-0.1184917043740573</v>
      </c>
      <c r="J55" s="102">
        <v>0.75</v>
      </c>
      <c r="K55" s="101">
        <f t="shared" si="8"/>
        <v>3.3492822966507241E-2</v>
      </c>
      <c r="L55" s="102">
        <v>0.96</v>
      </c>
      <c r="M55" s="103">
        <f t="shared" si="9"/>
        <v>0.19856798253735253</v>
      </c>
    </row>
    <row r="56" spans="2:13" x14ac:dyDescent="0.25">
      <c r="B56" s="12">
        <v>45026</v>
      </c>
      <c r="C56" s="18">
        <v>2.2799999999999998</v>
      </c>
      <c r="D56" s="56">
        <f t="shared" si="0"/>
        <v>0</v>
      </c>
      <c r="H56" s="100">
        <v>0.13</v>
      </c>
      <c r="I56" s="101">
        <f t="shared" si="7"/>
        <v>-0.1175440498780157</v>
      </c>
      <c r="J56" s="102">
        <v>0.8</v>
      </c>
      <c r="K56" s="101">
        <f t="shared" si="8"/>
        <v>5.4503249767873796E-2</v>
      </c>
      <c r="L56" s="102">
        <v>0.97</v>
      </c>
      <c r="M56" s="103">
        <f t="shared" si="9"/>
        <v>0.21430390146164452</v>
      </c>
    </row>
    <row r="57" spans="2:13" x14ac:dyDescent="0.25">
      <c r="B57" s="12">
        <v>45019</v>
      </c>
      <c r="C57" s="18">
        <v>2.2799999999999998</v>
      </c>
      <c r="D57" s="56">
        <f t="shared" si="0"/>
        <v>-5.7851239669421517E-2</v>
      </c>
      <c r="H57" s="100">
        <v>0.14000000000000001</v>
      </c>
      <c r="I57" s="101">
        <f t="shared" si="7"/>
        <v>-0.11452574525745254</v>
      </c>
      <c r="J57" s="102"/>
      <c r="K57" s="101"/>
      <c r="L57" s="102">
        <v>0.98</v>
      </c>
      <c r="M57" s="103">
        <f t="shared" si="9"/>
        <v>0.34325492220337844</v>
      </c>
    </row>
    <row r="58" spans="2:13" ht="15.75" thickBot="1" x14ac:dyDescent="0.3">
      <c r="B58" s="12">
        <v>45012</v>
      </c>
      <c r="C58" s="18">
        <v>2.42</v>
      </c>
      <c r="D58" s="56">
        <f t="shared" si="0"/>
        <v>1.2552301255229992E-2</v>
      </c>
      <c r="H58" s="104">
        <v>0.15</v>
      </c>
      <c r="I58" s="105">
        <f t="shared" si="7"/>
        <v>-0.10914529914529909</v>
      </c>
      <c r="J58" s="106"/>
      <c r="K58" s="107"/>
      <c r="L58" s="108">
        <v>0.99</v>
      </c>
      <c r="M58" s="109">
        <f t="shared" si="9"/>
        <v>0.42068965517241308</v>
      </c>
    </row>
    <row r="59" spans="2:13" ht="15.75" thickBot="1" x14ac:dyDescent="0.3">
      <c r="B59" s="12">
        <v>45005</v>
      </c>
      <c r="C59" s="18">
        <v>2.39</v>
      </c>
      <c r="D59" s="56">
        <f t="shared" si="0"/>
        <v>3.463203463203457E-2</v>
      </c>
    </row>
    <row r="60" spans="2:13" x14ac:dyDescent="0.25">
      <c r="B60" s="12">
        <v>44998</v>
      </c>
      <c r="C60" s="18">
        <v>2.31</v>
      </c>
      <c r="D60" s="56">
        <f t="shared" si="0"/>
        <v>0.14356435643564347</v>
      </c>
      <c r="H60" s="110" t="s">
        <v>169</v>
      </c>
      <c r="I60" s="111">
        <v>0.24</v>
      </c>
    </row>
    <row r="61" spans="2:13" ht="15.75" thickBot="1" x14ac:dyDescent="0.3">
      <c r="B61" s="12">
        <v>44991</v>
      </c>
      <c r="C61" s="18">
        <v>2.02</v>
      </c>
      <c r="D61" s="56">
        <f t="shared" si="0"/>
        <v>-0.15481171548117156</v>
      </c>
      <c r="H61" s="112" t="s">
        <v>170</v>
      </c>
      <c r="I61" s="113">
        <v>1.1000000000000001</v>
      </c>
    </row>
    <row r="62" spans="2:13" ht="15.75" thickBot="1" x14ac:dyDescent="0.3">
      <c r="B62" s="12">
        <v>44984</v>
      </c>
      <c r="C62" s="18">
        <v>2.39</v>
      </c>
      <c r="D62" s="56">
        <f t="shared" si="0"/>
        <v>0.12206572769953072</v>
      </c>
      <c r="H62" s="114"/>
    </row>
    <row r="63" spans="2:13" x14ac:dyDescent="0.25">
      <c r="B63" s="12">
        <v>44977</v>
      </c>
      <c r="C63" s="18">
        <v>2.13</v>
      </c>
      <c r="D63" s="56">
        <f t="shared" si="0"/>
        <v>-3.6199095022624417E-2</v>
      </c>
      <c r="H63" s="110" t="s">
        <v>171</v>
      </c>
      <c r="I63" s="115">
        <v>1.07</v>
      </c>
    </row>
    <row r="64" spans="2:13" x14ac:dyDescent="0.25">
      <c r="B64" s="12">
        <v>44970</v>
      </c>
      <c r="C64" s="18">
        <v>2.21</v>
      </c>
      <c r="D64" s="56">
        <f t="shared" si="0"/>
        <v>5.741626794258381E-2</v>
      </c>
      <c r="H64" s="116" t="s">
        <v>172</v>
      </c>
      <c r="I64" s="117">
        <f>I63*(1-I60)</f>
        <v>0.81320000000000003</v>
      </c>
    </row>
    <row r="65" spans="2:9" ht="15.75" thickBot="1" x14ac:dyDescent="0.3">
      <c r="B65" s="12">
        <v>44963</v>
      </c>
      <c r="C65" s="18">
        <v>2.09</v>
      </c>
      <c r="D65" s="56">
        <f t="shared" si="0"/>
        <v>-0.20532319391634979</v>
      </c>
      <c r="H65" s="112" t="s">
        <v>173</v>
      </c>
      <c r="I65" s="118">
        <f>I63*(1+I61)</f>
        <v>2.2470000000000003</v>
      </c>
    </row>
    <row r="66" spans="2:9" x14ac:dyDescent="0.25">
      <c r="B66" s="12">
        <v>44956</v>
      </c>
      <c r="C66" s="18">
        <v>2.63</v>
      </c>
      <c r="D66" s="56">
        <f t="shared" si="0"/>
        <v>0.12875536480686689</v>
      </c>
    </row>
    <row r="67" spans="2:9" x14ac:dyDescent="0.25">
      <c r="B67" s="12">
        <v>44949</v>
      </c>
      <c r="C67" s="18">
        <v>2.33</v>
      </c>
      <c r="D67" s="56">
        <f t="shared" ref="D67:D130" si="10">C67/C68-1</f>
        <v>-8.2677165354330673E-2</v>
      </c>
    </row>
    <row r="68" spans="2:9" x14ac:dyDescent="0.25">
      <c r="B68" s="12">
        <v>44942</v>
      </c>
      <c r="C68" s="18">
        <v>2.54</v>
      </c>
      <c r="D68" s="56">
        <f t="shared" si="10"/>
        <v>7.9365079365079083E-3</v>
      </c>
    </row>
    <row r="69" spans="2:9" x14ac:dyDescent="0.25">
      <c r="B69" s="12">
        <v>44935</v>
      </c>
      <c r="C69" s="18">
        <v>2.52</v>
      </c>
      <c r="D69" s="56">
        <f t="shared" si="10"/>
        <v>-7.8740157480314821E-3</v>
      </c>
    </row>
    <row r="70" spans="2:9" x14ac:dyDescent="0.25">
      <c r="B70" s="12">
        <v>44928</v>
      </c>
      <c r="C70" s="18">
        <v>2.54</v>
      </c>
      <c r="D70" s="56">
        <f t="shared" si="10"/>
        <v>0.45977011494252884</v>
      </c>
    </row>
    <row r="71" spans="2:9" x14ac:dyDescent="0.25">
      <c r="B71" s="12">
        <v>44921</v>
      </c>
      <c r="C71" s="18">
        <v>1.74</v>
      </c>
      <c r="D71" s="56">
        <f t="shared" si="10"/>
        <v>0.22535211267605648</v>
      </c>
    </row>
    <row r="72" spans="2:9" x14ac:dyDescent="0.25">
      <c r="B72" s="12">
        <v>44914</v>
      </c>
      <c r="C72" s="18">
        <v>1.42</v>
      </c>
      <c r="D72" s="56">
        <f t="shared" si="10"/>
        <v>4.4117647058823373E-2</v>
      </c>
    </row>
    <row r="73" spans="2:9" x14ac:dyDescent="0.25">
      <c r="B73" s="12">
        <v>44907</v>
      </c>
      <c r="C73" s="18">
        <v>1.36</v>
      </c>
      <c r="D73" s="56">
        <f t="shared" si="10"/>
        <v>-4.2253521126760396E-2</v>
      </c>
    </row>
    <row r="74" spans="2:9" x14ac:dyDescent="0.25">
      <c r="B74" s="12">
        <v>44900</v>
      </c>
      <c r="C74" s="18">
        <v>1.42</v>
      </c>
      <c r="D74" s="56">
        <f t="shared" si="10"/>
        <v>-0.12345679012345689</v>
      </c>
    </row>
    <row r="75" spans="2:9" x14ac:dyDescent="0.25">
      <c r="B75" s="12">
        <v>44893</v>
      </c>
      <c r="C75" s="18">
        <v>1.62</v>
      </c>
      <c r="D75" s="56">
        <f t="shared" si="10"/>
        <v>1.2499999999999956E-2</v>
      </c>
    </row>
    <row r="76" spans="2:9" x14ac:dyDescent="0.25">
      <c r="B76" s="12">
        <v>44886</v>
      </c>
      <c r="C76" s="18">
        <v>1.6</v>
      </c>
      <c r="D76" s="56">
        <f t="shared" si="10"/>
        <v>-0.1794871794871794</v>
      </c>
    </row>
    <row r="77" spans="2:9" x14ac:dyDescent="0.25">
      <c r="B77" s="12">
        <v>44879</v>
      </c>
      <c r="C77" s="18">
        <v>1.95</v>
      </c>
      <c r="D77" s="56">
        <f t="shared" si="10"/>
        <v>-0.20408163265306134</v>
      </c>
    </row>
    <row r="78" spans="2:9" x14ac:dyDescent="0.25">
      <c r="B78" s="12">
        <v>44872</v>
      </c>
      <c r="C78" s="18">
        <v>2.4500000000000002</v>
      </c>
      <c r="D78" s="56">
        <f t="shared" si="10"/>
        <v>0.20098039215686292</v>
      </c>
    </row>
    <row r="79" spans="2:9" x14ac:dyDescent="0.25">
      <c r="B79" s="12">
        <v>44865</v>
      </c>
      <c r="C79" s="18">
        <v>2.04</v>
      </c>
      <c r="D79" s="56">
        <f t="shared" si="10"/>
        <v>-5.9907834101382451E-2</v>
      </c>
    </row>
    <row r="80" spans="2:9" x14ac:dyDescent="0.25">
      <c r="B80" s="12">
        <v>44858</v>
      </c>
      <c r="C80" s="18">
        <v>2.17</v>
      </c>
      <c r="D80" s="56">
        <f t="shared" si="10"/>
        <v>5.8536585365853711E-2</v>
      </c>
    </row>
    <row r="81" spans="2:4" x14ac:dyDescent="0.25">
      <c r="B81" s="12">
        <v>44851</v>
      </c>
      <c r="C81" s="18">
        <v>2.0499999999999998</v>
      </c>
      <c r="D81" s="56">
        <f t="shared" si="10"/>
        <v>-8.8888888888889017E-2</v>
      </c>
    </row>
    <row r="82" spans="2:4" x14ac:dyDescent="0.25">
      <c r="B82" s="12">
        <v>44844</v>
      </c>
      <c r="C82" s="18">
        <v>2.25</v>
      </c>
      <c r="D82" s="56">
        <f t="shared" si="10"/>
        <v>-0.11764705882352933</v>
      </c>
    </row>
    <row r="83" spans="2:4" x14ac:dyDescent="0.25">
      <c r="B83" s="12">
        <v>44837</v>
      </c>
      <c r="C83" s="18">
        <v>2.5499999999999998</v>
      </c>
      <c r="D83" s="56">
        <f t="shared" si="10"/>
        <v>-3.041825095057038E-2</v>
      </c>
    </row>
    <row r="84" spans="2:4" x14ac:dyDescent="0.25">
      <c r="B84" s="12">
        <v>44830</v>
      </c>
      <c r="C84" s="18">
        <v>2.63</v>
      </c>
      <c r="D84" s="56">
        <f t="shared" si="10"/>
        <v>-2.2304832713754719E-2</v>
      </c>
    </row>
    <row r="85" spans="2:4" x14ac:dyDescent="0.25">
      <c r="B85" s="12">
        <v>44823</v>
      </c>
      <c r="C85" s="18">
        <v>2.69</v>
      </c>
      <c r="D85" s="56">
        <f t="shared" si="10"/>
        <v>-0.10033444816053516</v>
      </c>
    </row>
    <row r="86" spans="2:4" x14ac:dyDescent="0.25">
      <c r="B86" s="12">
        <v>44816</v>
      </c>
      <c r="C86" s="18">
        <v>2.99</v>
      </c>
      <c r="D86" s="56">
        <f t="shared" si="10"/>
        <v>-8.5626911314984677E-2</v>
      </c>
    </row>
    <row r="87" spans="2:4" x14ac:dyDescent="0.25">
      <c r="B87" s="12">
        <v>44809</v>
      </c>
      <c r="C87" s="18">
        <v>3.27</v>
      </c>
      <c r="D87" s="56">
        <f t="shared" si="10"/>
        <v>7.9207920792079278E-2</v>
      </c>
    </row>
    <row r="88" spans="2:4" x14ac:dyDescent="0.25">
      <c r="B88" s="12">
        <v>44802</v>
      </c>
      <c r="C88" s="18">
        <v>3.03</v>
      </c>
      <c r="D88" s="56">
        <f t="shared" si="10"/>
        <v>-6.7692307692307718E-2</v>
      </c>
    </row>
    <row r="89" spans="2:4" x14ac:dyDescent="0.25">
      <c r="B89" s="12">
        <v>44795</v>
      </c>
      <c r="C89" s="18">
        <v>3.25</v>
      </c>
      <c r="D89" s="56">
        <f t="shared" si="10"/>
        <v>-4.1297935103244865E-2</v>
      </c>
    </row>
    <row r="90" spans="2:4" x14ac:dyDescent="0.25">
      <c r="B90" s="12">
        <v>44788</v>
      </c>
      <c r="C90" s="18">
        <v>3.39</v>
      </c>
      <c r="D90" s="56">
        <f t="shared" si="10"/>
        <v>-0.173170731707317</v>
      </c>
    </row>
    <row r="91" spans="2:4" x14ac:dyDescent="0.25">
      <c r="B91" s="12">
        <v>44781</v>
      </c>
      <c r="C91" s="18">
        <v>4.0999999999999996</v>
      </c>
      <c r="D91" s="56">
        <f t="shared" si="10"/>
        <v>3.2745591939546514E-2</v>
      </c>
    </row>
    <row r="92" spans="2:4" x14ac:dyDescent="0.25">
      <c r="B92" s="12">
        <v>44774</v>
      </c>
      <c r="C92" s="18">
        <v>3.97</v>
      </c>
      <c r="D92" s="56">
        <f t="shared" si="10"/>
        <v>6.7204301075268758E-2</v>
      </c>
    </row>
    <row r="93" spans="2:4" x14ac:dyDescent="0.25">
      <c r="B93" s="12">
        <v>44767</v>
      </c>
      <c r="C93" s="18">
        <v>3.72</v>
      </c>
      <c r="D93" s="56">
        <f t="shared" si="10"/>
        <v>-1.5873015873015817E-2</v>
      </c>
    </row>
    <row r="94" spans="2:4" x14ac:dyDescent="0.25">
      <c r="B94" s="12">
        <v>44760</v>
      </c>
      <c r="C94" s="18">
        <v>3.78</v>
      </c>
      <c r="D94" s="56">
        <f t="shared" si="10"/>
        <v>5.2924791086351064E-2</v>
      </c>
    </row>
    <row r="95" spans="2:4" x14ac:dyDescent="0.25">
      <c r="B95" s="12">
        <v>44753</v>
      </c>
      <c r="C95" s="18">
        <v>3.59</v>
      </c>
      <c r="D95" s="56">
        <f t="shared" si="10"/>
        <v>-0.12224938875305624</v>
      </c>
    </row>
    <row r="96" spans="2:4" x14ac:dyDescent="0.25">
      <c r="B96" s="12">
        <v>44746</v>
      </c>
      <c r="C96" s="18">
        <v>4.09</v>
      </c>
      <c r="D96" s="56">
        <f t="shared" si="10"/>
        <v>0.12362637362637363</v>
      </c>
    </row>
    <row r="97" spans="2:4" x14ac:dyDescent="0.25">
      <c r="B97" s="12">
        <v>44739</v>
      </c>
      <c r="C97" s="18">
        <v>3.64</v>
      </c>
      <c r="D97" s="56">
        <f t="shared" si="10"/>
        <v>-0.10784313725490191</v>
      </c>
    </row>
    <row r="98" spans="2:4" x14ac:dyDescent="0.25">
      <c r="B98" s="12">
        <v>44732</v>
      </c>
      <c r="C98" s="18">
        <v>4.08</v>
      </c>
      <c r="D98" s="56">
        <f t="shared" si="10"/>
        <v>9.3833780160857971E-2</v>
      </c>
    </row>
    <row r="99" spans="2:4" x14ac:dyDescent="0.25">
      <c r="B99" s="12">
        <v>44725</v>
      </c>
      <c r="C99" s="18">
        <v>3.73</v>
      </c>
      <c r="D99" s="56">
        <f t="shared" si="10"/>
        <v>-4.1131105398457657E-2</v>
      </c>
    </row>
    <row r="100" spans="2:4" x14ac:dyDescent="0.25">
      <c r="B100" s="12">
        <v>44718</v>
      </c>
      <c r="C100" s="18">
        <v>3.89</v>
      </c>
      <c r="D100" s="56">
        <f t="shared" si="10"/>
        <v>-3.9506172839506082E-2</v>
      </c>
    </row>
    <row r="101" spans="2:4" x14ac:dyDescent="0.25">
      <c r="B101" s="12">
        <v>44711</v>
      </c>
      <c r="C101" s="18">
        <v>4.05</v>
      </c>
      <c r="D101" s="56">
        <f t="shared" si="10"/>
        <v>-3.341288782816243E-2</v>
      </c>
    </row>
    <row r="102" spans="2:4" x14ac:dyDescent="0.25">
      <c r="B102" s="12">
        <v>44704</v>
      </c>
      <c r="C102" s="18">
        <v>4.1900000000000004</v>
      </c>
      <c r="D102" s="56">
        <f t="shared" si="10"/>
        <v>0.14480874316939896</v>
      </c>
    </row>
    <row r="103" spans="2:4" x14ac:dyDescent="0.25">
      <c r="B103" s="12">
        <v>44697</v>
      </c>
      <c r="C103" s="18">
        <v>3.66</v>
      </c>
      <c r="D103" s="56">
        <f t="shared" si="10"/>
        <v>-1.3477088948786964E-2</v>
      </c>
    </row>
    <row r="104" spans="2:4" x14ac:dyDescent="0.25">
      <c r="B104" s="12">
        <v>44690</v>
      </c>
      <c r="C104" s="18">
        <v>3.71</v>
      </c>
      <c r="D104" s="56">
        <f t="shared" si="10"/>
        <v>0.11746987951807242</v>
      </c>
    </row>
    <row r="105" spans="2:4" x14ac:dyDescent="0.25">
      <c r="B105" s="12">
        <v>44683</v>
      </c>
      <c r="C105" s="18">
        <v>3.32</v>
      </c>
      <c r="D105" s="56">
        <f t="shared" si="10"/>
        <v>-6.7415730337078705E-2</v>
      </c>
    </row>
    <row r="106" spans="2:4" x14ac:dyDescent="0.25">
      <c r="B106" s="12">
        <v>44676</v>
      </c>
      <c r="C106" s="18">
        <v>3.56</v>
      </c>
      <c r="D106" s="56">
        <f t="shared" si="10"/>
        <v>-7.0496083550913857E-2</v>
      </c>
    </row>
    <row r="107" spans="2:4" x14ac:dyDescent="0.25">
      <c r="B107" s="12">
        <v>44669</v>
      </c>
      <c r="C107" s="18">
        <v>3.83</v>
      </c>
      <c r="D107" s="56">
        <f t="shared" si="10"/>
        <v>-0.11751152073732718</v>
      </c>
    </row>
    <row r="108" spans="2:4" x14ac:dyDescent="0.25">
      <c r="B108" s="12">
        <v>44662</v>
      </c>
      <c r="C108" s="18">
        <v>4.34</v>
      </c>
      <c r="D108" s="56">
        <f t="shared" si="10"/>
        <v>-2.4719101123595544E-2</v>
      </c>
    </row>
    <row r="109" spans="2:4" x14ac:dyDescent="0.25">
      <c r="B109" s="12">
        <v>44655</v>
      </c>
      <c r="C109" s="18">
        <v>4.45</v>
      </c>
      <c r="D109" s="56">
        <f t="shared" si="10"/>
        <v>-0.12401574803149606</v>
      </c>
    </row>
    <row r="110" spans="2:4" x14ac:dyDescent="0.25">
      <c r="B110" s="12">
        <v>44648</v>
      </c>
      <c r="C110" s="18">
        <v>5.08</v>
      </c>
      <c r="D110" s="56">
        <f t="shared" si="10"/>
        <v>-7.8125E-3</v>
      </c>
    </row>
    <row r="111" spans="2:4" x14ac:dyDescent="0.25">
      <c r="B111" s="12">
        <v>44641</v>
      </c>
      <c r="C111" s="18">
        <v>5.12</v>
      </c>
      <c r="D111" s="56">
        <f t="shared" si="10"/>
        <v>-0.10489510489510478</v>
      </c>
    </row>
    <row r="112" spans="2:4" x14ac:dyDescent="0.25">
      <c r="B112" s="12">
        <v>44634</v>
      </c>
      <c r="C112" s="18">
        <v>5.72</v>
      </c>
      <c r="D112" s="56">
        <f t="shared" si="10"/>
        <v>0.14629258517034049</v>
      </c>
    </row>
    <row r="113" spans="2:4" x14ac:dyDescent="0.25">
      <c r="B113" s="12">
        <v>44627</v>
      </c>
      <c r="C113" s="18">
        <v>4.99</v>
      </c>
      <c r="D113" s="56">
        <f t="shared" si="10"/>
        <v>-0.192556634304207</v>
      </c>
    </row>
    <row r="114" spans="2:4" x14ac:dyDescent="0.25">
      <c r="B114" s="12">
        <v>44620</v>
      </c>
      <c r="C114" s="18">
        <v>6.18</v>
      </c>
      <c r="D114" s="56">
        <f t="shared" si="10"/>
        <v>-8.1723625557206692E-2</v>
      </c>
    </row>
    <row r="115" spans="2:4" x14ac:dyDescent="0.25">
      <c r="B115" s="12">
        <v>44613</v>
      </c>
      <c r="C115" s="18">
        <v>6.73</v>
      </c>
      <c r="D115" s="56">
        <f t="shared" si="10"/>
        <v>-3.4433285509325562E-2</v>
      </c>
    </row>
    <row r="116" spans="2:4" x14ac:dyDescent="0.25">
      <c r="B116" s="12">
        <v>44606</v>
      </c>
      <c r="C116" s="18">
        <v>6.97</v>
      </c>
      <c r="D116" s="56">
        <f t="shared" si="10"/>
        <v>-4.9113233287858216E-2</v>
      </c>
    </row>
    <row r="117" spans="2:4" x14ac:dyDescent="0.25">
      <c r="B117" s="12">
        <v>44599</v>
      </c>
      <c r="C117" s="18">
        <v>7.33</v>
      </c>
      <c r="D117" s="56">
        <f t="shared" si="10"/>
        <v>6.5406976744186052E-2</v>
      </c>
    </row>
    <row r="118" spans="2:4" x14ac:dyDescent="0.25">
      <c r="B118" s="12">
        <v>44592</v>
      </c>
      <c r="C118" s="18">
        <v>6.88</v>
      </c>
      <c r="D118" s="56">
        <f t="shared" si="10"/>
        <v>3.4586466165413388E-2</v>
      </c>
    </row>
    <row r="119" spans="2:4" x14ac:dyDescent="0.25">
      <c r="B119" s="12">
        <v>44585</v>
      </c>
      <c r="C119" s="18">
        <v>6.65</v>
      </c>
      <c r="D119" s="56">
        <f t="shared" si="10"/>
        <v>1.8376722817764257E-2</v>
      </c>
    </row>
    <row r="120" spans="2:4" x14ac:dyDescent="0.25">
      <c r="B120" s="12">
        <v>44578</v>
      </c>
      <c r="C120" s="18">
        <v>6.53</v>
      </c>
      <c r="D120" s="56">
        <f t="shared" si="10"/>
        <v>-0.11875843454790824</v>
      </c>
    </row>
    <row r="121" spans="2:4" x14ac:dyDescent="0.25">
      <c r="B121" s="12">
        <v>44571</v>
      </c>
      <c r="C121" s="18">
        <v>7.41</v>
      </c>
      <c r="D121" s="56">
        <f t="shared" si="10"/>
        <v>-7.1428571428571508E-2</v>
      </c>
    </row>
    <row r="122" spans="2:4" x14ac:dyDescent="0.25">
      <c r="B122" s="12">
        <v>44564</v>
      </c>
      <c r="C122" s="18">
        <v>7.98</v>
      </c>
      <c r="D122" s="56">
        <f t="shared" si="10"/>
        <v>2.5125628140703071E-3</v>
      </c>
    </row>
    <row r="123" spans="2:4" x14ac:dyDescent="0.25">
      <c r="B123" s="12">
        <v>44557</v>
      </c>
      <c r="C123" s="18">
        <v>7.96</v>
      </c>
      <c r="D123" s="56">
        <f t="shared" si="10"/>
        <v>-2.211302211302224E-2</v>
      </c>
    </row>
    <row r="124" spans="2:4" x14ac:dyDescent="0.25">
      <c r="B124" s="12">
        <v>44550</v>
      </c>
      <c r="C124" s="18">
        <v>8.14</v>
      </c>
      <c r="D124" s="56">
        <f t="shared" si="10"/>
        <v>1.8773466833541974E-2</v>
      </c>
    </row>
    <row r="125" spans="2:4" x14ac:dyDescent="0.25">
      <c r="B125" s="12">
        <v>44543</v>
      </c>
      <c r="C125" s="18">
        <v>7.99</v>
      </c>
      <c r="D125" s="56">
        <f t="shared" si="10"/>
        <v>-5.9999999999999942E-2</v>
      </c>
    </row>
    <row r="126" spans="2:4" x14ac:dyDescent="0.25">
      <c r="B126" s="12">
        <v>44536</v>
      </c>
      <c r="C126" s="18">
        <v>8.5</v>
      </c>
      <c r="D126" s="56">
        <f t="shared" si="10"/>
        <v>6.25E-2</v>
      </c>
    </row>
    <row r="127" spans="2:4" x14ac:dyDescent="0.25">
      <c r="B127" s="12">
        <v>44529</v>
      </c>
      <c r="C127" s="18">
        <v>8</v>
      </c>
      <c r="D127" s="56">
        <f t="shared" si="10"/>
        <v>-0.17269906928645296</v>
      </c>
    </row>
    <row r="128" spans="2:4" x14ac:dyDescent="0.25">
      <c r="B128" s="12">
        <v>44522</v>
      </c>
      <c r="C128" s="18">
        <v>9.67</v>
      </c>
      <c r="D128" s="56">
        <f t="shared" si="10"/>
        <v>-3.7810945273631935E-2</v>
      </c>
    </row>
    <row r="129" spans="2:4" x14ac:dyDescent="0.25">
      <c r="B129" s="12">
        <v>44515</v>
      </c>
      <c r="C129" s="18">
        <v>10.050000000000001</v>
      </c>
      <c r="D129" s="56">
        <f t="shared" si="10"/>
        <v>-0.14974619289340096</v>
      </c>
    </row>
    <row r="130" spans="2:4" x14ac:dyDescent="0.25">
      <c r="B130" s="12">
        <v>44508</v>
      </c>
      <c r="C130" s="18">
        <v>11.82</v>
      </c>
      <c r="D130" s="56">
        <f t="shared" si="10"/>
        <v>-0.10114068441064639</v>
      </c>
    </row>
    <row r="131" spans="2:4" x14ac:dyDescent="0.25">
      <c r="B131" s="12">
        <v>44501</v>
      </c>
      <c r="C131" s="18">
        <v>13.15</v>
      </c>
      <c r="D131" s="56">
        <f t="shared" ref="D131:D151" si="11">C131/C132-1</f>
        <v>2.0170674941815347E-2</v>
      </c>
    </row>
    <row r="132" spans="2:4" x14ac:dyDescent="0.25">
      <c r="B132" s="12">
        <v>44494</v>
      </c>
      <c r="C132" s="18">
        <v>12.89</v>
      </c>
      <c r="D132" s="56">
        <f t="shared" si="11"/>
        <v>-7.9942897930049939E-2</v>
      </c>
    </row>
    <row r="133" spans="2:4" x14ac:dyDescent="0.25">
      <c r="B133" s="12">
        <v>44487</v>
      </c>
      <c r="C133" s="18">
        <v>14.01</v>
      </c>
      <c r="D133" s="56">
        <f t="shared" si="11"/>
        <v>-3.4458993797381154E-2</v>
      </c>
    </row>
    <row r="134" spans="2:4" x14ac:dyDescent="0.25">
      <c r="B134" s="12">
        <v>44480</v>
      </c>
      <c r="C134" s="18">
        <v>14.51</v>
      </c>
      <c r="D134" s="56">
        <f t="shared" si="11"/>
        <v>-6.164383561643838E-3</v>
      </c>
    </row>
    <row r="135" spans="2:4" x14ac:dyDescent="0.25">
      <c r="B135" s="12">
        <v>44473</v>
      </c>
      <c r="C135" s="18">
        <v>14.6</v>
      </c>
      <c r="D135" s="56">
        <f t="shared" si="11"/>
        <v>-1.0169491525423791E-2</v>
      </c>
    </row>
    <row r="136" spans="2:4" x14ac:dyDescent="0.25">
      <c r="B136" s="12">
        <v>44466</v>
      </c>
      <c r="C136" s="18">
        <v>14.75</v>
      </c>
      <c r="D136" s="56">
        <f t="shared" si="11"/>
        <v>-9.5091969024047152E-2</v>
      </c>
    </row>
    <row r="137" spans="2:4" x14ac:dyDescent="0.25">
      <c r="B137" s="12">
        <v>44459</v>
      </c>
      <c r="C137" s="18">
        <v>16.299999</v>
      </c>
      <c r="D137" s="56">
        <f t="shared" si="11"/>
        <v>1.8438229870927358E-3</v>
      </c>
    </row>
    <row r="138" spans="2:4" x14ac:dyDescent="0.25">
      <c r="B138" s="12">
        <v>44452</v>
      </c>
      <c r="C138" s="18">
        <v>16.27</v>
      </c>
      <c r="D138" s="56">
        <f t="shared" si="11"/>
        <v>-6.7621829935711752E-2</v>
      </c>
    </row>
    <row r="139" spans="2:4" x14ac:dyDescent="0.25">
      <c r="B139" s="12">
        <v>44445</v>
      </c>
      <c r="C139" s="18">
        <v>17.450001</v>
      </c>
      <c r="D139" s="56">
        <f t="shared" si="11"/>
        <v>3.622333729216165E-2</v>
      </c>
    </row>
    <row r="140" spans="2:4" x14ac:dyDescent="0.25">
      <c r="B140" s="12">
        <v>44438</v>
      </c>
      <c r="C140" s="18">
        <v>16.84</v>
      </c>
      <c r="D140" s="56">
        <f t="shared" si="11"/>
        <v>-7.9781370479856339E-2</v>
      </c>
    </row>
    <row r="141" spans="2:4" x14ac:dyDescent="0.25">
      <c r="B141" s="12">
        <v>44431</v>
      </c>
      <c r="C141" s="18">
        <v>18.299999</v>
      </c>
      <c r="D141" s="56">
        <f t="shared" si="11"/>
        <v>0.17082527191298769</v>
      </c>
    </row>
    <row r="142" spans="2:4" x14ac:dyDescent="0.25">
      <c r="B142" s="12">
        <v>44424</v>
      </c>
      <c r="C142" s="18">
        <v>15.63</v>
      </c>
      <c r="D142" s="56">
        <f t="shared" si="11"/>
        <v>-7.3503315145031611E-2</v>
      </c>
    </row>
    <row r="143" spans="2:4" x14ac:dyDescent="0.25">
      <c r="B143" s="12">
        <v>44417</v>
      </c>
      <c r="C143" s="18">
        <v>16.870000999999998</v>
      </c>
      <c r="D143" s="56">
        <f t="shared" si="11"/>
        <v>-8.6626859048557714E-2</v>
      </c>
    </row>
    <row r="144" spans="2:4" x14ac:dyDescent="0.25">
      <c r="B144" s="12">
        <v>44410</v>
      </c>
      <c r="C144" s="18">
        <v>18.469999000000001</v>
      </c>
      <c r="D144" s="56">
        <f t="shared" si="11"/>
        <v>4.0563323943662022E-2</v>
      </c>
    </row>
    <row r="145" spans="2:4" x14ac:dyDescent="0.25">
      <c r="B145" s="12">
        <v>44403</v>
      </c>
      <c r="C145" s="18">
        <v>17.75</v>
      </c>
      <c r="D145" s="56">
        <f t="shared" si="11"/>
        <v>-3.8982081157665549E-2</v>
      </c>
    </row>
    <row r="146" spans="2:4" x14ac:dyDescent="0.25">
      <c r="B146" s="12">
        <v>44396</v>
      </c>
      <c r="C146" s="18">
        <v>18.469999000000001</v>
      </c>
      <c r="D146" s="56">
        <f t="shared" si="11"/>
        <v>-4.2012549688145606E-2</v>
      </c>
    </row>
    <row r="147" spans="2:4" x14ac:dyDescent="0.25">
      <c r="B147" s="12">
        <v>44389</v>
      </c>
      <c r="C147" s="18">
        <v>19.280000999999999</v>
      </c>
      <c r="D147" s="56">
        <f t="shared" si="11"/>
        <v>-0.16173908695652184</v>
      </c>
    </row>
    <row r="148" spans="2:4" x14ac:dyDescent="0.25">
      <c r="B148" s="12">
        <v>44382</v>
      </c>
      <c r="C148" s="18">
        <v>23</v>
      </c>
      <c r="D148" s="56">
        <f t="shared" si="11"/>
        <v>-3.8977912516240387E-3</v>
      </c>
    </row>
    <row r="149" spans="2:4" x14ac:dyDescent="0.25">
      <c r="B149" s="12">
        <v>44375</v>
      </c>
      <c r="C149" s="18">
        <v>23.09</v>
      </c>
      <c r="D149" s="56">
        <f t="shared" si="11"/>
        <v>-5.3688524590163933E-2</v>
      </c>
    </row>
    <row r="150" spans="2:4" x14ac:dyDescent="0.25">
      <c r="B150" s="12">
        <v>44368</v>
      </c>
      <c r="C150" s="18">
        <v>24.4</v>
      </c>
      <c r="D150" s="56">
        <f t="shared" si="11"/>
        <v>-6.1538461538461542E-2</v>
      </c>
    </row>
    <row r="151" spans="2:4" x14ac:dyDescent="0.25">
      <c r="B151" s="12">
        <v>44361</v>
      </c>
      <c r="C151" s="18">
        <v>26</v>
      </c>
      <c r="D151" s="56">
        <f t="shared" si="11"/>
        <v>-9.5022624434389136E-2</v>
      </c>
    </row>
    <row r="152" spans="2:4" x14ac:dyDescent="0.25">
      <c r="B152" s="12">
        <v>44354</v>
      </c>
      <c r="C152" s="18">
        <v>28.73</v>
      </c>
      <c r="D152" s="56">
        <f>C152/C153-1</f>
        <v>0.20562316407889236</v>
      </c>
    </row>
    <row r="153" spans="2:4" x14ac:dyDescent="0.25">
      <c r="B153" s="12">
        <v>44347</v>
      </c>
      <c r="C153" s="18">
        <v>23.83</v>
      </c>
      <c r="D153" s="56">
        <f t="shared" ref="D153:D154" si="12">C153/C154-1</f>
        <v>5.0611980202950324E-3</v>
      </c>
    </row>
    <row r="154" spans="2:4" x14ac:dyDescent="0.25">
      <c r="B154" s="12">
        <v>44340</v>
      </c>
      <c r="C154" s="18">
        <v>23.709999</v>
      </c>
      <c r="D154" s="56">
        <f t="shared" si="12"/>
        <v>5.5654499361286636E-2</v>
      </c>
    </row>
    <row r="155" spans="2:4" x14ac:dyDescent="0.25">
      <c r="B155" s="12">
        <v>44333</v>
      </c>
      <c r="C155" s="18">
        <v>22.459999</v>
      </c>
      <c r="D155" s="56"/>
    </row>
    <row r="156" spans="2:4" x14ac:dyDescent="0.25">
      <c r="B156" s="12"/>
      <c r="C156" s="17"/>
      <c r="D156" s="56"/>
    </row>
    <row r="157" spans="2:4" x14ac:dyDescent="0.25">
      <c r="B157" s="12"/>
      <c r="C157" s="17"/>
      <c r="D157" s="56"/>
    </row>
    <row r="158" spans="2:4" x14ac:dyDescent="0.25">
      <c r="B158" s="12"/>
      <c r="C158" s="17"/>
      <c r="D158" s="56"/>
    </row>
  </sheetData>
  <mergeCells count="4">
    <mergeCell ref="H1:M1"/>
    <mergeCell ref="H17:I17"/>
    <mergeCell ref="H18:I18"/>
    <mergeCell ref="H43:M43"/>
  </mergeCells>
  <hyperlinks>
    <hyperlink ref="A1" location="Main!A1" display="Main" xr:uid="{D252785F-C9B5-4588-8297-C3A21B328E4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Model-graph</vt:lpstr>
      <vt:lpstr>Revenue by Segment</vt:lpstr>
      <vt:lpstr>Catalysts</vt:lpstr>
      <vt:lpstr>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2024-04-26T14:01:37Z</dcterms:modified>
</cp:coreProperties>
</file>