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BBB2070D-0B8E-4E55-97C4-F9697573CB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Model!$L$2:$T$2</definedName>
    <definedName name="_xlchart.v1.3" hidden="1">Model!$L$3:$T$3</definedName>
    <definedName name="_xlchart.v1.4" hidden="1">Model!$L$4:$T$4</definedName>
    <definedName name="_xlchart.v1.5" hidden="1">Model!$B$17</definedName>
    <definedName name="_xlchart.v1.6" hidden="1">Model!$B$18</definedName>
    <definedName name="_xlchart.v1.7" hidden="1">Model!$L$17:$T$17</definedName>
    <definedName name="_xlchart.v1.8" hidden="1">Model!$L$18:$T$18</definedName>
    <definedName name="_xlchart.v1.9" hidden="1">Model!$L$2:$T$2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2" l="1"/>
  <c r="U43" i="2"/>
  <c r="Q16" i="2"/>
  <c r="Q11" i="2"/>
  <c r="U16" i="2"/>
  <c r="U11" i="2"/>
  <c r="T43" i="2"/>
  <c r="T33" i="2"/>
  <c r="G37" i="2"/>
  <c r="G46" i="2" s="1"/>
  <c r="G52" i="2"/>
  <c r="G58" i="2"/>
  <c r="G43" i="2"/>
  <c r="G33" i="2"/>
  <c r="S57" i="2"/>
  <c r="S56" i="2"/>
  <c r="S55" i="2"/>
  <c r="S54" i="2"/>
  <c r="S53" i="2"/>
  <c r="S51" i="2"/>
  <c r="S50" i="2"/>
  <c r="S49" i="2"/>
  <c r="S48" i="2"/>
  <c r="S47" i="2"/>
  <c r="S45" i="2"/>
  <c r="S44" i="2"/>
  <c r="S43" i="2"/>
  <c r="S42" i="2"/>
  <c r="S41" i="2"/>
  <c r="S40" i="2"/>
  <c r="S39" i="2"/>
  <c r="S38" i="2"/>
  <c r="S32" i="2"/>
  <c r="S33" i="2"/>
  <c r="S34" i="2"/>
  <c r="S35" i="2"/>
  <c r="S36" i="2"/>
  <c r="S31" i="2"/>
  <c r="P19" i="2"/>
  <c r="P9" i="2"/>
  <c r="P11" i="2"/>
  <c r="W13" i="2"/>
  <c r="T11" i="2"/>
  <c r="U6" i="6"/>
  <c r="U5" i="6"/>
  <c r="U11" i="6" s="1"/>
  <c r="U4" i="6"/>
  <c r="U10" i="6" s="1"/>
  <c r="U3" i="6"/>
  <c r="U9" i="6" s="1"/>
  <c r="S9" i="6"/>
  <c r="O6" i="6"/>
  <c r="S6" i="6"/>
  <c r="O56" i="6"/>
  <c r="O55" i="6"/>
  <c r="O53" i="6"/>
  <c r="O52" i="6"/>
  <c r="O51" i="6"/>
  <c r="P51" i="6" s="1"/>
  <c r="O50" i="6"/>
  <c r="P50" i="6" s="1"/>
  <c r="O49" i="6"/>
  <c r="P49" i="6" s="1"/>
  <c r="O48" i="6"/>
  <c r="O47" i="6"/>
  <c r="P47" i="6" s="1"/>
  <c r="O46" i="6"/>
  <c r="P46" i="6" s="1"/>
  <c r="O45" i="6"/>
  <c r="P45" i="6" s="1"/>
  <c r="O44" i="6"/>
  <c r="O43" i="6"/>
  <c r="P43" i="6" s="1"/>
  <c r="O42" i="6"/>
  <c r="S56" i="6"/>
  <c r="S55" i="6"/>
  <c r="T55" i="6" s="1"/>
  <c r="S51" i="6"/>
  <c r="T51" i="6" s="1"/>
  <c r="S52" i="6"/>
  <c r="T52" i="6" s="1"/>
  <c r="S53" i="6"/>
  <c r="T53" i="6" s="1"/>
  <c r="S50" i="6"/>
  <c r="T50" i="6" s="1"/>
  <c r="S49" i="6"/>
  <c r="S48" i="6"/>
  <c r="T48" i="6" s="1"/>
  <c r="S47" i="6"/>
  <c r="T47" i="6" s="1"/>
  <c r="S46" i="6"/>
  <c r="T46" i="6" s="1"/>
  <c r="S45" i="6"/>
  <c r="S44" i="6"/>
  <c r="S43" i="6"/>
  <c r="S42" i="6"/>
  <c r="U54" i="6"/>
  <c r="U36" i="6"/>
  <c r="U37" i="6"/>
  <c r="U34" i="6"/>
  <c r="U31" i="6"/>
  <c r="U27" i="6"/>
  <c r="O33" i="6"/>
  <c r="P33" i="6" s="1"/>
  <c r="O32" i="6"/>
  <c r="P32" i="6" s="1"/>
  <c r="O29" i="6"/>
  <c r="P29" i="6" s="1"/>
  <c r="O28" i="6"/>
  <c r="P28" i="6" s="1"/>
  <c r="S33" i="6"/>
  <c r="S31" i="6" s="1"/>
  <c r="S32" i="6"/>
  <c r="S30" i="6"/>
  <c r="T30" i="6" s="1"/>
  <c r="S29" i="6"/>
  <c r="T29" i="6" s="1"/>
  <c r="S28" i="6"/>
  <c r="P56" i="6"/>
  <c r="P55" i="6"/>
  <c r="T56" i="6"/>
  <c r="N6" i="6"/>
  <c r="R6" i="6"/>
  <c r="K36" i="6"/>
  <c r="L36" i="6"/>
  <c r="M36" i="6"/>
  <c r="N36" i="6"/>
  <c r="Q36" i="6"/>
  <c r="K37" i="6"/>
  <c r="L37" i="6"/>
  <c r="M37" i="6"/>
  <c r="N37" i="6"/>
  <c r="Q37" i="6"/>
  <c r="R37" i="6"/>
  <c r="R54" i="6"/>
  <c r="Q54" i="6"/>
  <c r="N54" i="6"/>
  <c r="M54" i="6"/>
  <c r="P53" i="6"/>
  <c r="P52" i="6"/>
  <c r="P48" i="6"/>
  <c r="P44" i="6"/>
  <c r="P42" i="6"/>
  <c r="R31" i="6"/>
  <c r="Q31" i="6"/>
  <c r="N31" i="6"/>
  <c r="M31" i="6"/>
  <c r="L31" i="6"/>
  <c r="K31" i="6"/>
  <c r="R27" i="6"/>
  <c r="Q27" i="6"/>
  <c r="O27" i="6"/>
  <c r="O36" i="6" s="1"/>
  <c r="N27" i="6"/>
  <c r="M27" i="6"/>
  <c r="L27" i="6"/>
  <c r="K27" i="6"/>
  <c r="T49" i="6"/>
  <c r="T45" i="6"/>
  <c r="T44" i="6"/>
  <c r="T43" i="6"/>
  <c r="T32" i="6"/>
  <c r="P6" i="6"/>
  <c r="T9" i="6"/>
  <c r="T6" i="6"/>
  <c r="D21" i="6"/>
  <c r="O11" i="6"/>
  <c r="P11" i="6"/>
  <c r="Q11" i="6"/>
  <c r="R11" i="6"/>
  <c r="S11" i="6"/>
  <c r="T11" i="6"/>
  <c r="N11" i="6"/>
  <c r="N10" i="6"/>
  <c r="P13" i="2" l="1"/>
  <c r="O54" i="6"/>
  <c r="S54" i="6"/>
  <c r="T42" i="6"/>
  <c r="O31" i="6"/>
  <c r="O37" i="6" s="1"/>
  <c r="T33" i="6"/>
  <c r="S27" i="6"/>
  <c r="S36" i="6" s="1"/>
  <c r="T28" i="6"/>
  <c r="T27" i="6" s="1"/>
  <c r="P54" i="6"/>
  <c r="T54" i="6"/>
  <c r="T31" i="6"/>
  <c r="T37" i="6" s="1"/>
  <c r="P31" i="6"/>
  <c r="P37" i="6" s="1"/>
  <c r="P27" i="6"/>
  <c r="P36" i="6" s="1"/>
  <c r="I26" i="2"/>
  <c r="H26" i="2"/>
  <c r="H22" i="2"/>
  <c r="C10" i="1"/>
  <c r="C9" i="1"/>
  <c r="C34" i="6"/>
  <c r="D37" i="6"/>
  <c r="D36" i="6"/>
  <c r="D23" i="6"/>
  <c r="D22" i="6"/>
  <c r="F7" i="6"/>
  <c r="E7" i="6"/>
  <c r="D7" i="6"/>
  <c r="E36" i="6"/>
  <c r="F37" i="6"/>
  <c r="E37" i="6"/>
  <c r="F36" i="6"/>
  <c r="F34" i="6"/>
  <c r="E34" i="6"/>
  <c r="D34" i="6"/>
  <c r="E23" i="6"/>
  <c r="E22" i="6"/>
  <c r="E21" i="6"/>
  <c r="F22" i="6"/>
  <c r="N22" i="6"/>
  <c r="F23" i="6"/>
  <c r="F21" i="6"/>
  <c r="D19" i="6"/>
  <c r="C19" i="6"/>
  <c r="G19" i="6"/>
  <c r="F19" i="6"/>
  <c r="E19" i="6"/>
  <c r="W19" i="2"/>
  <c r="W21" i="2"/>
  <c r="W23" i="2"/>
  <c r="W24" i="2"/>
  <c r="W15" i="2"/>
  <c r="V9" i="2"/>
  <c r="V13" i="2" s="1"/>
  <c r="V19" i="2"/>
  <c r="C24" i="1" s="1"/>
  <c r="F30" i="2"/>
  <c r="I30" i="2"/>
  <c r="H30" i="2"/>
  <c r="G30" i="2"/>
  <c r="E30" i="2"/>
  <c r="D30" i="2"/>
  <c r="C30" i="2"/>
  <c r="R30" i="2"/>
  <c r="Q30" i="2"/>
  <c r="P30" i="2"/>
  <c r="T30" i="2"/>
  <c r="U30" i="2"/>
  <c r="V30" i="2"/>
  <c r="W30" i="2"/>
  <c r="X30" i="2"/>
  <c r="U37" i="2"/>
  <c r="U46" i="2" s="1"/>
  <c r="V37" i="2"/>
  <c r="V46" i="2" s="1"/>
  <c r="C33" i="1" s="1"/>
  <c r="W37" i="2"/>
  <c r="W46" i="2" s="1"/>
  <c r="X37" i="2"/>
  <c r="X46" i="2" s="1"/>
  <c r="U52" i="2"/>
  <c r="U58" i="2" s="1"/>
  <c r="V52" i="2"/>
  <c r="V58" i="2" s="1"/>
  <c r="W52" i="2"/>
  <c r="W58" i="2" s="1"/>
  <c r="X52" i="2"/>
  <c r="X58" i="2" s="1"/>
  <c r="U19" i="2"/>
  <c r="U23" i="2"/>
  <c r="U9" i="2"/>
  <c r="U13" i="2" s="1"/>
  <c r="U24" i="2"/>
  <c r="U22" i="2"/>
  <c r="S10" i="6"/>
  <c r="S23" i="6"/>
  <c r="C21" i="1"/>
  <c r="C20" i="1"/>
  <c r="C17" i="1"/>
  <c r="C16" i="1"/>
  <c r="C15" i="1"/>
  <c r="C14" i="1"/>
  <c r="C13" i="1"/>
  <c r="N30" i="2"/>
  <c r="M30" i="2"/>
  <c r="L30" i="2"/>
  <c r="P21" i="6"/>
  <c r="M7" i="6"/>
  <c r="P10" i="6"/>
  <c r="O9" i="6"/>
  <c r="T52" i="2"/>
  <c r="T37" i="2"/>
  <c r="T46" i="2" s="1"/>
  <c r="G24" i="2"/>
  <c r="G23" i="2"/>
  <c r="G22" i="2"/>
  <c r="T24" i="2"/>
  <c r="T23" i="2"/>
  <c r="T22" i="2"/>
  <c r="T19" i="2"/>
  <c r="R36" i="6"/>
  <c r="R34" i="6"/>
  <c r="N34" i="6"/>
  <c r="J34" i="6"/>
  <c r="N23" i="6"/>
  <c r="N21" i="6"/>
  <c r="R23" i="6"/>
  <c r="R22" i="6"/>
  <c r="R21" i="6"/>
  <c r="N9" i="6"/>
  <c r="R10" i="6"/>
  <c r="R9" i="6"/>
  <c r="R19" i="6"/>
  <c r="N19" i="6"/>
  <c r="J19" i="6"/>
  <c r="N7" i="6"/>
  <c r="J7" i="6"/>
  <c r="U7" i="6"/>
  <c r="R7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9" i="2"/>
  <c r="O9" i="2"/>
  <c r="T9" i="2"/>
  <c r="H9" i="2"/>
  <c r="H13" i="2" s="1"/>
  <c r="I9" i="2"/>
  <c r="I13" i="2" s="1"/>
  <c r="P24" i="2"/>
  <c r="O24" i="2"/>
  <c r="L24" i="2"/>
  <c r="O13" i="2" l="1"/>
  <c r="O15" i="2" s="1"/>
  <c r="O17" i="2" s="1"/>
  <c r="L13" i="2"/>
  <c r="L15" i="2" s="1"/>
  <c r="L17" i="2" s="1"/>
  <c r="T13" i="2"/>
  <c r="T15" i="2" s="1"/>
  <c r="P15" i="2"/>
  <c r="P16" i="2" s="1"/>
  <c r="W17" i="2"/>
  <c r="W20" i="2"/>
  <c r="V15" i="2"/>
  <c r="V17" i="2" s="1"/>
  <c r="C30" i="1"/>
  <c r="C32" i="1"/>
  <c r="C29" i="1"/>
  <c r="C31" i="1"/>
  <c r="O30" i="2"/>
  <c r="S30" i="2"/>
  <c r="S37" i="6"/>
  <c r="T36" i="6"/>
  <c r="Q10" i="6"/>
  <c r="U22" i="6"/>
  <c r="T22" i="6"/>
  <c r="U21" i="6"/>
  <c r="T23" i="6"/>
  <c r="U23" i="6"/>
  <c r="Q23" i="6"/>
  <c r="T21" i="6"/>
  <c r="S21" i="6"/>
  <c r="T10" i="6"/>
  <c r="S22" i="6"/>
  <c r="Q19" i="6"/>
  <c r="S7" i="6"/>
  <c r="C18" i="1"/>
  <c r="Q22" i="6"/>
  <c r="Q21" i="6"/>
  <c r="V21" i="2"/>
  <c r="V24" i="2"/>
  <c r="V23" i="2"/>
  <c r="T19" i="6"/>
  <c r="T7" i="6"/>
  <c r="W22" i="2"/>
  <c r="V22" i="2"/>
  <c r="N9" i="2"/>
  <c r="N13" i="2" s="1"/>
  <c r="N15" i="2" s="1"/>
  <c r="N17" i="2" s="1"/>
  <c r="R24" i="2"/>
  <c r="T58" i="2"/>
  <c r="T59" i="2" s="1"/>
  <c r="X59" i="2"/>
  <c r="U59" i="2"/>
  <c r="W59" i="2"/>
  <c r="V59" i="2"/>
  <c r="U15" i="2"/>
  <c r="O21" i="6"/>
  <c r="O10" i="6"/>
  <c r="S34" i="6"/>
  <c r="S19" i="6"/>
  <c r="M19" i="6"/>
  <c r="N24" i="2"/>
  <c r="R9" i="2"/>
  <c r="K34" i="6"/>
  <c r="P34" i="6"/>
  <c r="P23" i="6"/>
  <c r="L19" i="6"/>
  <c r="P19" i="6"/>
  <c r="P22" i="6"/>
  <c r="L7" i="6"/>
  <c r="M9" i="2"/>
  <c r="M24" i="2"/>
  <c r="Q24" i="2"/>
  <c r="Q9" i="2"/>
  <c r="O34" i="6"/>
  <c r="O23" i="6"/>
  <c r="K19" i="6"/>
  <c r="O19" i="6"/>
  <c r="O22" i="6"/>
  <c r="K7" i="6"/>
  <c r="O7" i="6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O21" i="2" l="1"/>
  <c r="L21" i="2"/>
  <c r="M13" i="2"/>
  <c r="M21" i="2" s="1"/>
  <c r="R13" i="2"/>
  <c r="R15" i="2" s="1"/>
  <c r="Q13" i="2"/>
  <c r="Q15" i="2" s="1"/>
  <c r="T16" i="2"/>
  <c r="T20" i="2"/>
  <c r="T21" i="2"/>
  <c r="P21" i="2"/>
  <c r="T26" i="2"/>
  <c r="C34" i="1"/>
  <c r="V20" i="2"/>
  <c r="C25" i="1" s="1"/>
  <c r="C35" i="1"/>
  <c r="C27" i="1"/>
  <c r="S24" i="2"/>
  <c r="P9" i="6"/>
  <c r="Q34" i="6"/>
  <c r="L34" i="6"/>
  <c r="P7" i="6"/>
  <c r="T34" i="6"/>
  <c r="U19" i="6"/>
  <c r="U20" i="2"/>
  <c r="U21" i="2"/>
  <c r="S9" i="2"/>
  <c r="N21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3" i="2" s="1"/>
  <c r="C15" i="2" s="1"/>
  <c r="D9" i="2"/>
  <c r="D13" i="2" s="1"/>
  <c r="D15" i="2" s="1"/>
  <c r="E9" i="2"/>
  <c r="E13" i="2" s="1"/>
  <c r="F9" i="2"/>
  <c r="F13" i="2" s="1"/>
  <c r="G9" i="2"/>
  <c r="L19" i="2"/>
  <c r="M19" i="2"/>
  <c r="N19" i="2"/>
  <c r="O19" i="2"/>
  <c r="Q19" i="2"/>
  <c r="R19" i="2"/>
  <c r="S19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37" i="2"/>
  <c r="L46" i="2" s="1"/>
  <c r="M37" i="2"/>
  <c r="M46" i="2" s="1"/>
  <c r="N37" i="2"/>
  <c r="N46" i="2" s="1"/>
  <c r="O37" i="2"/>
  <c r="O46" i="2" s="1"/>
  <c r="P37" i="2"/>
  <c r="P46" i="2" s="1"/>
  <c r="Q37" i="2"/>
  <c r="Q46" i="2" s="1"/>
  <c r="R37" i="2"/>
  <c r="R46" i="2" s="1"/>
  <c r="S37" i="2"/>
  <c r="S46" i="2" s="1"/>
  <c r="L52" i="2"/>
  <c r="L58" i="2" s="1"/>
  <c r="M52" i="2"/>
  <c r="M58" i="2" s="1"/>
  <c r="N52" i="2"/>
  <c r="N58" i="2" s="1"/>
  <c r="O52" i="2"/>
  <c r="O58" i="2" s="1"/>
  <c r="P52" i="2"/>
  <c r="P58" i="2" s="1"/>
  <c r="Q52" i="2"/>
  <c r="Q58" i="2" s="1"/>
  <c r="R52" i="2"/>
  <c r="R58" i="2" s="1"/>
  <c r="S52" i="2"/>
  <c r="S58" i="2" s="1"/>
  <c r="C37" i="2"/>
  <c r="C46" i="2" s="1"/>
  <c r="D37" i="2"/>
  <c r="D46" i="2" s="1"/>
  <c r="E37" i="2"/>
  <c r="E46" i="2" s="1"/>
  <c r="I20" i="2"/>
  <c r="H20" i="2"/>
  <c r="I22" i="2"/>
  <c r="R21" i="2" l="1"/>
  <c r="R17" i="2"/>
  <c r="V26" i="2"/>
  <c r="U26" i="2"/>
  <c r="M15" i="2"/>
  <c r="M17" i="2" s="1"/>
  <c r="Q21" i="2"/>
  <c r="S13" i="2"/>
  <c r="S21" i="2" s="1"/>
  <c r="M34" i="6"/>
  <c r="Q7" i="6"/>
  <c r="Q9" i="6"/>
  <c r="G13" i="2"/>
  <c r="C28" i="1"/>
  <c r="F15" i="2"/>
  <c r="F16" i="2" s="1"/>
  <c r="F21" i="2"/>
  <c r="E15" i="2"/>
  <c r="E16" i="2" s="1"/>
  <c r="E21" i="2"/>
  <c r="S59" i="2"/>
  <c r="P59" i="2"/>
  <c r="Q59" i="2"/>
  <c r="R59" i="2"/>
  <c r="O59" i="2"/>
  <c r="N59" i="2"/>
  <c r="M59" i="2"/>
  <c r="L59" i="2"/>
  <c r="K11" i="5"/>
  <c r="F24" i="2"/>
  <c r="E23" i="2"/>
  <c r="E24" i="2"/>
  <c r="D23" i="2"/>
  <c r="D24" i="2"/>
  <c r="C23" i="2"/>
  <c r="C24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0" i="2"/>
  <c r="P26" i="2"/>
  <c r="L20" i="2"/>
  <c r="O20" i="2"/>
  <c r="O26" i="2"/>
  <c r="R26" i="2"/>
  <c r="R20" i="2"/>
  <c r="Q20" i="2"/>
  <c r="N26" i="2"/>
  <c r="N20" i="2"/>
  <c r="C19" i="2"/>
  <c r="F19" i="2"/>
  <c r="F23" i="2"/>
  <c r="E19" i="2"/>
  <c r="D19" i="2"/>
  <c r="G19" i="2"/>
  <c r="E22" i="2"/>
  <c r="F22" i="2"/>
  <c r="D22" i="2"/>
  <c r="D52" i="2"/>
  <c r="D58" i="2" s="1"/>
  <c r="D59" i="2" s="1"/>
  <c r="E52" i="2"/>
  <c r="F37" i="2"/>
  <c r="F46" i="2" s="1"/>
  <c r="Q26" i="2" l="1"/>
  <c r="M26" i="2"/>
  <c r="M20" i="2"/>
  <c r="S15" i="2"/>
  <c r="C23" i="1"/>
  <c r="C22" i="1"/>
  <c r="G21" i="2"/>
  <c r="G15" i="2"/>
  <c r="G16" i="2" s="1"/>
  <c r="G59" i="2"/>
  <c r="L26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2" i="2"/>
  <c r="F58" i="2" s="1"/>
  <c r="F59" i="2" s="1"/>
  <c r="E58" i="2"/>
  <c r="E59" i="2" s="1"/>
  <c r="C52" i="2"/>
  <c r="C58" i="2" s="1"/>
  <c r="C59" i="2" s="1"/>
  <c r="S17" i="2" l="1"/>
  <c r="S20" i="2"/>
  <c r="S26" i="2"/>
  <c r="W26" i="2"/>
  <c r="C17" i="2"/>
  <c r="D20" i="2"/>
  <c r="G26" i="2"/>
  <c r="G20" i="2"/>
  <c r="C20" i="2" l="1"/>
  <c r="D26" i="2"/>
  <c r="E20" i="2"/>
  <c r="F26" i="2"/>
  <c r="E26" i="2"/>
  <c r="D17" i="2"/>
  <c r="F2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<sst xmlns="http://schemas.openxmlformats.org/spreadsheetml/2006/main" count="259" uniqueCount="214">
  <si>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</si>
  <si>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</si>
  <si>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</si>
  <si>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</si>
  <si>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</si>
  <si>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</si>
  <si>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</si>
  <si>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</si>
  <si>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</si>
  <si>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</si>
  <si>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</si>
  <si>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</si>
  <si>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</si>
  <si>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</si>
  <si>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</si>
  <si>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</si>
  <si>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</si>
  <si>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</si>
  <si>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</si>
  <si>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</si>
  <si>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</si>
  <si>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</si>
  <si>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</si>
  <si>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</si>
  <si>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</si>
  <si>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</si>
  <si>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</si>
  <si>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</si>
  <si>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</si>
  <si>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</si>
  <si>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</si>
  <si>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</si>
  <si>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</si>
  <si>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</si>
  <si>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</si>
  <si>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</si>
  <si>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</si>
  <si>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</si>
  <si>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</si>
  <si>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</si>
  <si>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</si>
  <si>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</si>
  <si>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</si>
  <si>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</si>
  <si>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</si>
  <si>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</si>
  <si>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</si>
  <si>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</si>
  <si>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</si>
  <si>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</si>
  <si>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</si>
  <si>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</si>
  <si>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</si>
  <si>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</si>
  <si>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</si>
  <si>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</si>
  <si>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</si>
  <si>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</si>
  <si>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</si>
  <si>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</si>
  <si>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</si>
  <si>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</si>
  <si>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</si>
  <si>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</si>
  <si>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</si>
  <si>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</si>
  <si>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</si>
  <si>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</si>
  <si>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</si>
  <si>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</si>
  <si>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</si>
  <si>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</si>
  <si>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</si>
  <si>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</si>
  <si>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</si>
  <si>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</si>
  <si>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</si>
  <si>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</si>
  <si>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</si>
  <si>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</si>
  <si>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</si>
  <si>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</si>
  <si>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</si>
  <si>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</si>
  <si>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</si>
  <si>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</si>
  <si>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</si>
  <si>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</si>
  <si>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</si>
  <si>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</si>
  <si>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</si>
  <si>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</si>
  <si>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</si>
  <si>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</si>
  <si>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</si>
  <si>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</si>
  <si>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</si>
  <si>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</si>
  <si>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</si>
  <si>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</si>
  <si>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</si>
  <si>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</si>
  <si>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</si>
  <si>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</si>
  <si>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</si>
  <si>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</si>
  <si>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</si>
  <si>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</si>
  <si>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</si>
  <si>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</si>
  <si>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</si>
  <si>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</si>
  <si>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</si>
  <si>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</si>
  <si>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</si>
  <si>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</si>
  <si>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</si>
  <si>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</si>
  <si>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</si>
  <si>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</si>
  <si>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</si>
  <si>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</si>
  <si>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</si>
  <si>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</si>
  <si>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</si>
  <si>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Q324</t>
  </si>
  <si>
    <t>Q424</t>
  </si>
  <si>
    <t>China</t>
  </si>
  <si>
    <t>Deliveries</t>
  </si>
  <si>
    <t>NA y/y</t>
  </si>
  <si>
    <t>China y/y</t>
  </si>
  <si>
    <t>Taycan y/y</t>
  </si>
  <si>
    <t>SUVs y/y</t>
  </si>
  <si>
    <t>Distribution Expense</t>
  </si>
  <si>
    <t>Distribution Exp / REV</t>
  </si>
  <si>
    <t>Admin Exp / REV</t>
  </si>
  <si>
    <t>Tax Rate</t>
  </si>
  <si>
    <t>Provisions</t>
  </si>
  <si>
    <t>Q125</t>
  </si>
  <si>
    <t>BMW</t>
  </si>
  <si>
    <t>Mr. Oliver Zipse</t>
  </si>
  <si>
    <t>Mr. Walter Mertl</t>
  </si>
  <si>
    <t>Jochen Goller</t>
  </si>
  <si>
    <t>Dr. Milan Nedeljkovic</t>
  </si>
  <si>
    <t>Ms. Ilka Horstmeier</t>
  </si>
  <si>
    <t>Mr. Frank Weber</t>
  </si>
  <si>
    <t>Dr. Joachim Post</t>
  </si>
  <si>
    <t>Mr. Adam Sykes</t>
  </si>
  <si>
    <t>Dr. Andreas Liepe</t>
  </si>
  <si>
    <t>General Counsel</t>
  </si>
  <si>
    <t>Mr. Alexander Bilgeri</t>
  </si>
  <si>
    <t>Seit  91 bei BMW, Informatik, Mathematik</t>
  </si>
  <si>
    <t>CEO</t>
  </si>
  <si>
    <t>CFO</t>
  </si>
  <si>
    <t>Brand &amp; Sales</t>
  </si>
  <si>
    <t>Produktion</t>
  </si>
  <si>
    <t>People, HR</t>
  </si>
  <si>
    <t>Entwicklung</t>
  </si>
  <si>
    <t>Einkauf</t>
  </si>
  <si>
    <t>Investor Relations</t>
  </si>
  <si>
    <t>HR</t>
  </si>
  <si>
    <t>Arbeiten an Hydrogen Fuel, erstes Auto soll 2028 kommen</t>
  </si>
  <si>
    <t>Europe</t>
  </si>
  <si>
    <t>Americas</t>
  </si>
  <si>
    <t>ROW</t>
  </si>
  <si>
    <t>Europe  y/y</t>
  </si>
  <si>
    <t>EV Deliveries</t>
  </si>
  <si>
    <t>EV y/y</t>
  </si>
  <si>
    <t>~30% Dividendenausschüttung</t>
  </si>
  <si>
    <t>Aktienrückkauf 10% bis 05/27</t>
  </si>
  <si>
    <t>2bn until 12/25</t>
  </si>
  <si>
    <t>seit 99 bei BMW</t>
  </si>
  <si>
    <t>seit 2002 bei bmw</t>
  </si>
  <si>
    <t>Opel, General Motors, seit 2011 BMW, leitet RollsRoyce</t>
  </si>
  <si>
    <t>seit 95 bei bmw</t>
  </si>
  <si>
    <t>seit 93 bei bmw</t>
  </si>
  <si>
    <t>seit 99 bei bmw</t>
  </si>
  <si>
    <t>EV Share</t>
  </si>
  <si>
    <t>Motorcycle</t>
  </si>
  <si>
    <t>BEV</t>
  </si>
  <si>
    <t>MINI</t>
  </si>
  <si>
    <t>RR</t>
  </si>
  <si>
    <t>PHEV</t>
  </si>
  <si>
    <t>BEV y/y</t>
  </si>
  <si>
    <t>PHEVs y/y</t>
  </si>
  <si>
    <t>Modelle</t>
  </si>
  <si>
    <t>1er2er</t>
  </si>
  <si>
    <t>3er4er</t>
  </si>
  <si>
    <t>5er6er</t>
  </si>
  <si>
    <t>7er8er</t>
  </si>
  <si>
    <t>z4</t>
  </si>
  <si>
    <t>x1x2</t>
  </si>
  <si>
    <t>x3x4</t>
  </si>
  <si>
    <t>x5x6</t>
  </si>
  <si>
    <t>x7</t>
  </si>
  <si>
    <t>iX</t>
  </si>
  <si>
    <t>XM</t>
  </si>
  <si>
    <t>i3i8</t>
  </si>
  <si>
    <t>Gesamt</t>
  </si>
  <si>
    <t>davon BEV</t>
  </si>
  <si>
    <t>davon PHEV</t>
  </si>
  <si>
    <t>Other Income</t>
  </si>
  <si>
    <t>Other expense</t>
  </si>
  <si>
    <t>Interest</t>
  </si>
  <si>
    <t>Other Financial</t>
  </si>
  <si>
    <t>Lease</t>
  </si>
  <si>
    <t>Other Finance</t>
  </si>
  <si>
    <t>Receivables Finance</t>
  </si>
  <si>
    <t>Trade Receivables</t>
  </si>
  <si>
    <t>Other Value</t>
  </si>
  <si>
    <t>Payments</t>
  </si>
  <si>
    <t>Finance Liab</t>
  </si>
  <si>
    <t>Pension</t>
  </si>
  <si>
    <t>Other 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</si>
</sst>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3" fontId="0" fillId="6" borderId="0" xfId="0" applyNumberFormat="1" applyFill="1"/>
    <xf numFmtId="9" fontId="0" fillId="7" borderId="0" xfId="0" applyNumberFormat="1" applyFill="1"/>
    <xf numFmtId="9" fontId="0" fillId="12" borderId="0" xfId="1" applyFont="1" applyFill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0" fillId="0" borderId="0" xfId="0" applyNumberFormat="1"/>
    <xf numFmtId="0" fontId="0" fillId="5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Fill="1"/>
    <xf numFmtId="3" fontId="0" fillId="0" borderId="0" xfId="0" applyNumberForma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F-4E76-9108-FCC9A19297E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F-4E76-9108-FCC9A1929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Model!$L$3:$T$3</c:f>
              <c:numCache>
                <c:formatCode>#,##0</c:formatCode>
                <c:ptCount val="9"/>
                <c:pt idx="4">
                  <c:v>36853</c:v>
                </c:pt>
                <c:pt idx="5">
                  <c:v>37219</c:v>
                </c:pt>
                <c:pt idx="8">
                  <c:v>36614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Model!$L$22:$T$22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-6.4852250834396274E-3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Model!$C$22:$I$22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2.359807155544269E-2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9-4F42-9B2A-A3D3D02DA3F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9-4F42-9B2A-A3D3D02DA3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Model!$L$15:$T$15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3662</c:v>
                </c:pt>
                <c:pt idx="5">
                  <c:v>2958</c:v>
                </c:pt>
                <c:pt idx="6">
                  <c:v>0</c:v>
                </c:pt>
                <c:pt idx="7">
                  <c:v>0</c:v>
                </c:pt>
                <c:pt idx="8">
                  <c:v>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Model!$L$19:$T$19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0.21089192196022033</c:v>
                </c:pt>
                <c:pt idx="5">
                  <c:v>0.1915688223756683</c:v>
                </c:pt>
                <c:pt idx="6">
                  <c:v>0</c:v>
                </c:pt>
                <c:pt idx="7">
                  <c:v>0</c:v>
                </c:pt>
                <c:pt idx="8">
                  <c:v>0.17927568689572293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Model!$C$15:$I$15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Model!$C$26:$I$26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-0.22614840989399299</c:v>
                </c:pt>
                <c:pt idx="6">
                  <c:v>7.5342465753424737E-2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Model!$B$23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Model!$L$2:$R$2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Model!$L$23:$R$23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6.401107101185792E-2</c:v>
                </c:pt>
                <c:pt idx="5">
                  <c:v>7.066283349901932E-2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Model!$B$24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Model!$L$24:$S$24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-5.019944102244051E-3</c:v>
                </c:pt>
                <c:pt idx="5">
                  <c:v>-6.2065074290013162E-3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Model!$B$25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Model!$L$25:$S$25</c:f>
              <c:numCache>
                <c:formatCode>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Model!$B$23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Model!$B$24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Model!$B$25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Model!$C$25:$G$25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H16" sqref="H1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17.28515625" bestFit="1" customWidth="1"/>
    <col min="14" max="14" width="34.42578125" customWidth="1"/>
  </cols>
  <sheetData>
    <row r="2" spans="2:14" x14ac:dyDescent="0.25">
      <c r="B2" s="34" t="s">
        <v>139</v>
      </c>
      <c r="C2" s="19"/>
      <c r="E2" s="24" t="s">
        <v>43</v>
      </c>
      <c r="F2" s="58" t="s">
        <v>44</v>
      </c>
      <c r="G2" s="25"/>
      <c r="H2" s="26" t="s">
        <v>51</v>
      </c>
      <c r="I2" s="26" t="s">
        <v>1</v>
      </c>
      <c r="J2" s="27" t="s">
        <v>44</v>
      </c>
      <c r="L2" s="30" t="s">
        <v>37</v>
      </c>
      <c r="M2" s="31" t="s">
        <v>53</v>
      </c>
      <c r="N2" s="32" t="s">
        <v>52</v>
      </c>
    </row>
    <row r="3" spans="2:14" x14ac:dyDescent="0.25">
      <c r="B3" s="5" t="s">
        <v>36</v>
      </c>
      <c r="C3" s="20">
        <v>45690</v>
      </c>
      <c r="E3" s="5"/>
      <c r="F3" s="28"/>
      <c r="I3" s="10"/>
      <c r="J3" s="37"/>
      <c r="L3" s="5" t="s">
        <v>140</v>
      </c>
      <c r="M3" t="s">
        <v>152</v>
      </c>
      <c r="N3" s="13" t="s">
        <v>151</v>
      </c>
    </row>
    <row r="4" spans="2:14" x14ac:dyDescent="0.25">
      <c r="B4" s="5"/>
      <c r="C4" s="21">
        <v>0.10972222222222222</v>
      </c>
      <c r="E4" s="5"/>
      <c r="F4" s="28"/>
      <c r="I4" s="10"/>
      <c r="J4" s="37"/>
      <c r="L4" s="5" t="s">
        <v>141</v>
      </c>
      <c r="M4" t="s">
        <v>153</v>
      </c>
      <c r="N4" s="13" t="s">
        <v>171</v>
      </c>
    </row>
    <row r="5" spans="2:14" x14ac:dyDescent="0.25">
      <c r="B5" s="5"/>
      <c r="C5" s="13"/>
      <c r="E5" s="5"/>
      <c r="F5" s="123"/>
      <c r="I5" s="10"/>
      <c r="J5" s="37"/>
      <c r="L5" s="5" t="s">
        <v>142</v>
      </c>
      <c r="M5" t="s">
        <v>154</v>
      </c>
      <c r="N5" s="13" t="s">
        <v>176</v>
      </c>
    </row>
    <row r="6" spans="2:14" x14ac:dyDescent="0.25">
      <c r="B6" s="5" t="s">
        <v>0</v>
      </c>
      <c r="C6" s="13">
        <v>78.099999999999994</v>
      </c>
      <c r="E6" s="5"/>
      <c r="F6" s="123"/>
      <c r="I6" s="10"/>
      <c r="J6" s="37"/>
      <c r="L6" s="5" t="s">
        <v>143</v>
      </c>
      <c r="M6" t="s">
        <v>155</v>
      </c>
      <c r="N6" s="13" t="s">
        <v>175</v>
      </c>
    </row>
    <row r="7" spans="2:14" x14ac:dyDescent="0.25">
      <c r="B7" s="5" t="s">
        <v>1</v>
      </c>
      <c r="C7" s="15"/>
      <c r="E7" s="124"/>
      <c r="F7" s="123"/>
      <c r="I7" s="10"/>
      <c r="J7" s="37"/>
      <c r="L7" s="5" t="s">
        <v>144</v>
      </c>
      <c r="M7" t="s">
        <v>156</v>
      </c>
      <c r="N7" s="13" t="s">
        <v>174</v>
      </c>
    </row>
    <row r="8" spans="2:14" x14ac:dyDescent="0.25">
      <c r="B8" s="5" t="s">
        <v>2</v>
      </c>
      <c r="C8" s="15">
        <f>C6*C7</f>
        <v>0</v>
      </c>
      <c r="E8" s="5"/>
      <c r="F8" s="123"/>
      <c r="I8" s="10"/>
      <c r="J8" s="37"/>
      <c r="L8" s="5" t="s">
        <v>145</v>
      </c>
      <c r="M8" t="s">
        <v>157</v>
      </c>
      <c r="N8" s="13" t="s">
        <v>173</v>
      </c>
    </row>
    <row r="9" spans="2:14" x14ac:dyDescent="0.25">
      <c r="B9" s="5" t="s">
        <v>3</v>
      </c>
      <c r="C9" s="15">
        <f>Model!V36+Model!V35</f>
        <v>0</v>
      </c>
      <c r="E9" s="5"/>
      <c r="F9" s="123"/>
      <c r="I9" s="10"/>
      <c r="J9" s="37"/>
      <c r="L9" s="5" t="s">
        <v>146</v>
      </c>
      <c r="M9" t="s">
        <v>158</v>
      </c>
      <c r="N9" s="13" t="s">
        <v>172</v>
      </c>
    </row>
    <row r="10" spans="2:14" x14ac:dyDescent="0.25">
      <c r="B10" s="5" t="s">
        <v>4</v>
      </c>
      <c r="C10" s="15">
        <f>Model!V47+Model!V48</f>
        <v>0</v>
      </c>
      <c r="E10" s="5"/>
      <c r="F10" s="28"/>
      <c r="I10" s="10"/>
      <c r="J10" s="37"/>
      <c r="L10" s="5" t="s">
        <v>147</v>
      </c>
      <c r="M10" t="s">
        <v>159</v>
      </c>
      <c r="N10" s="13"/>
    </row>
    <row r="11" spans="2:14" x14ac:dyDescent="0.25">
      <c r="B11" s="5" t="s">
        <v>31</v>
      </c>
      <c r="C11" s="15">
        <f>C9-C10</f>
        <v>0</v>
      </c>
      <c r="E11" s="5"/>
      <c r="F11" s="28"/>
      <c r="I11" s="10"/>
      <c r="J11" s="37"/>
      <c r="L11" s="5" t="s">
        <v>148</v>
      </c>
      <c r="M11" t="s">
        <v>149</v>
      </c>
      <c r="N11" s="13"/>
    </row>
    <row r="12" spans="2:14" x14ac:dyDescent="0.25">
      <c r="B12" s="5" t="s">
        <v>5</v>
      </c>
      <c r="C12" s="15">
        <f>C8-C9+C10</f>
        <v>0</v>
      </c>
      <c r="E12" s="5"/>
      <c r="F12" s="28"/>
      <c r="J12" s="13"/>
      <c r="L12" s="5" t="s">
        <v>150</v>
      </c>
      <c r="M12" t="s">
        <v>160</v>
      </c>
      <c r="N12" s="13"/>
    </row>
    <row r="13" spans="2:14" x14ac:dyDescent="0.25">
      <c r="B13" s="5" t="s">
        <v>42</v>
      </c>
      <c r="C13" s="36">
        <f>C6/Model!G17</f>
        <v>13.798586572438161</v>
      </c>
      <c r="E13" s="5"/>
      <c r="J13" s="13"/>
      <c r="L13" s="5"/>
      <c r="N13" s="13"/>
    </row>
    <row r="14" spans="2:14" x14ac:dyDescent="0.25">
      <c r="B14" s="5" t="s">
        <v>40</v>
      </c>
      <c r="C14" s="36">
        <f>C6/Model!H18</f>
        <v>17.831050228310502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41</v>
      </c>
      <c r="C15" s="36">
        <f>C6/Model!I18</f>
        <v>16.581740976645435</v>
      </c>
    </row>
    <row r="16" spans="2:14" x14ac:dyDescent="0.25">
      <c r="B16" s="5" t="s">
        <v>38</v>
      </c>
      <c r="C16" s="6">
        <f>Model!H18/Model!G17-1</f>
        <v>-0.22614840989399299</v>
      </c>
    </row>
    <row r="17" spans="2:14" x14ac:dyDescent="0.25">
      <c r="B17" s="5" t="s">
        <v>39</v>
      </c>
      <c r="C17" s="6">
        <f>Model!I18/Model!H18-1</f>
        <v>7.5342465753424737E-2</v>
      </c>
      <c r="E17" s="33" t="s">
        <v>49</v>
      </c>
      <c r="L17" s="131"/>
      <c r="M17" s="132"/>
      <c r="N17" s="133"/>
    </row>
    <row r="18" spans="2:14" x14ac:dyDescent="0.25">
      <c r="B18" s="5" t="s">
        <v>62</v>
      </c>
      <c r="C18" s="50">
        <f>C14/(C16*100)</f>
        <v>-0.78846675228310492</v>
      </c>
      <c r="L18" s="134"/>
      <c r="M18" s="135"/>
      <c r="N18" s="136"/>
    </row>
    <row r="19" spans="2:14" x14ac:dyDescent="0.25">
      <c r="B19" s="5" t="s">
        <v>63</v>
      </c>
      <c r="C19" s="50">
        <f>C15/(C17*100)</f>
        <v>2.2008492569002098</v>
      </c>
      <c r="L19" s="134"/>
      <c r="M19" s="135"/>
      <c r="N19" s="136"/>
    </row>
    <row r="20" spans="2:14" x14ac:dyDescent="0.25">
      <c r="B20" s="5" t="s">
        <v>72</v>
      </c>
      <c r="C20" s="6" t="e">
        <f>Model!H4/Model!G3-1</f>
        <v>#DIV/0!</v>
      </c>
      <c r="L20" s="134"/>
      <c r="M20" s="135"/>
      <c r="N20" s="136"/>
    </row>
    <row r="21" spans="2:14" x14ac:dyDescent="0.25">
      <c r="B21" s="5" t="s">
        <v>73</v>
      </c>
      <c r="C21" s="6">
        <f>Model!I4/Model!H4-1</f>
        <v>2.359807155544269E-2</v>
      </c>
      <c r="L21" s="134"/>
      <c r="M21" s="135"/>
      <c r="N21" s="136"/>
    </row>
    <row r="22" spans="2:14" x14ac:dyDescent="0.25">
      <c r="B22" s="5" t="s">
        <v>64</v>
      </c>
      <c r="C22" s="15">
        <f>Model!G13+Model!G11</f>
        <v>0</v>
      </c>
      <c r="L22" s="134"/>
      <c r="M22" s="135"/>
      <c r="N22" s="136"/>
    </row>
    <row r="23" spans="2:14" x14ac:dyDescent="0.25">
      <c r="B23" s="5" t="s">
        <v>16</v>
      </c>
      <c r="C23" s="15">
        <f>Model!G13</f>
        <v>0</v>
      </c>
      <c r="L23" s="134"/>
      <c r="M23" s="135"/>
      <c r="N23" s="136"/>
    </row>
    <row r="24" spans="2:14" x14ac:dyDescent="0.25">
      <c r="B24" s="5" t="s">
        <v>24</v>
      </c>
      <c r="C24" s="7" t="e">
        <f>Model!V19</f>
        <v>#DIV/0!</v>
      </c>
      <c r="L24" s="134"/>
      <c r="M24" s="135"/>
      <c r="N24" s="136"/>
    </row>
    <row r="25" spans="2:14" x14ac:dyDescent="0.25">
      <c r="B25" s="5" t="s">
        <v>25</v>
      </c>
      <c r="C25" s="7" t="e">
        <f>Model!V20</f>
        <v>#DIV/0!</v>
      </c>
      <c r="L25" s="134"/>
      <c r="M25" s="135"/>
      <c r="N25" s="136"/>
    </row>
    <row r="26" spans="2:14" x14ac:dyDescent="0.25">
      <c r="B26" s="5" t="s">
        <v>65</v>
      </c>
      <c r="C26" s="36" t="e">
        <f>C12/C23</f>
        <v>#DIV/0!</v>
      </c>
      <c r="L26" s="134"/>
      <c r="M26" s="135"/>
      <c r="N26" s="136"/>
    </row>
    <row r="27" spans="2:14" x14ac:dyDescent="0.25">
      <c r="B27" s="5" t="s">
        <v>74</v>
      </c>
      <c r="C27" s="118" t="e">
        <f>(Model!V47+Model!V48)/Model!V59</f>
        <v>#DIV/0!</v>
      </c>
      <c r="E27" t="s">
        <v>66</v>
      </c>
      <c r="L27" s="134"/>
      <c r="M27" s="135"/>
      <c r="N27" s="136"/>
    </row>
    <row r="28" spans="2:14" x14ac:dyDescent="0.25">
      <c r="B28" s="5" t="s">
        <v>75</v>
      </c>
      <c r="C28" s="36" t="e">
        <f>Model!G9/Model!G11</f>
        <v>#DIV/0!</v>
      </c>
      <c r="E28" t="s">
        <v>161</v>
      </c>
      <c r="L28" s="137"/>
      <c r="M28" s="138"/>
      <c r="N28" s="139"/>
    </row>
    <row r="29" spans="2:14" x14ac:dyDescent="0.25">
      <c r="B29" s="5" t="s">
        <v>76</v>
      </c>
      <c r="C29" s="36" t="e">
        <f>Model!V37/Model!V52</f>
        <v>#DIV/0!</v>
      </c>
      <c r="E29" t="s">
        <v>168</v>
      </c>
    </row>
    <row r="30" spans="2:14" x14ac:dyDescent="0.25">
      <c r="B30" s="5" t="s">
        <v>77</v>
      </c>
      <c r="C30" s="36" t="e">
        <f>(Model!V36+Model!V35+Model!V32)/Model!V52</f>
        <v>#DIV/0!</v>
      </c>
      <c r="E30" t="s">
        <v>169</v>
      </c>
    </row>
    <row r="31" spans="2:14" x14ac:dyDescent="0.25">
      <c r="B31" s="5" t="s">
        <v>78</v>
      </c>
      <c r="C31" s="6" t="e">
        <f>(Model!V37-Model!V52)/Model!V46</f>
        <v>#DIV/0!</v>
      </c>
      <c r="E31" t="s">
        <v>170</v>
      </c>
    </row>
    <row r="32" spans="2:14" x14ac:dyDescent="0.25">
      <c r="B32" s="5" t="s">
        <v>79</v>
      </c>
      <c r="C32" s="36" t="e">
        <f>(Model!V46-Model!V58)/Main!C7</f>
        <v>#DIV/0!</v>
      </c>
    </row>
    <row r="33" spans="2:3" x14ac:dyDescent="0.25">
      <c r="B33" s="5" t="s">
        <v>80</v>
      </c>
      <c r="C33" s="36" t="e">
        <f>Model!V3/Model!V46</f>
        <v>#DIV/0!</v>
      </c>
    </row>
    <row r="34" spans="2:3" x14ac:dyDescent="0.25">
      <c r="B34" s="5" t="s">
        <v>81</v>
      </c>
      <c r="C34" s="37" t="e">
        <f>Model!V15/Model!V46</f>
        <v>#DIV/0!</v>
      </c>
    </row>
    <row r="35" spans="2:3" x14ac:dyDescent="0.25">
      <c r="B35" s="5" t="s">
        <v>82</v>
      </c>
      <c r="C35" s="37" t="e">
        <f>Model!V15/Model!V59</f>
        <v>#DIV/0!</v>
      </c>
    </row>
    <row r="36" spans="2:3" x14ac:dyDescent="0.25">
      <c r="B36" s="22" t="s">
        <v>83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80"/>
  <sheetViews>
    <sheetView tabSelected="1" zoomScaleNormal="100" workbookViewId="0">
      <pane xSplit="2" ySplit="2" topLeftCell="C30" activePane="bottomRight" state="frozen"/>
      <selection pane="topRight" activeCell="B1" sqref="B1"/>
      <selection pane="bottomLeft" activeCell="A3" sqref="A3"/>
      <selection pane="bottomRight" activeCell="U52" sqref="U5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4" x14ac:dyDescent="0.25">
      <c r="A1" s="8" t="s">
        <v>32</v>
      </c>
    </row>
    <row r="2" spans="1:24" x14ac:dyDescent="0.25">
      <c r="C2" t="s">
        <v>28</v>
      </c>
      <c r="D2" t="s">
        <v>15</v>
      </c>
      <c r="E2" t="s">
        <v>11</v>
      </c>
      <c r="F2" t="s">
        <v>12</v>
      </c>
      <c r="G2" s="13" t="s">
        <v>13</v>
      </c>
      <c r="H2" t="s">
        <v>27</v>
      </c>
      <c r="I2" t="s">
        <v>61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30</v>
      </c>
      <c r="R2" t="s">
        <v>34</v>
      </c>
      <c r="S2" t="s">
        <v>35</v>
      </c>
      <c r="T2" t="s">
        <v>57</v>
      </c>
      <c r="U2" t="s">
        <v>60</v>
      </c>
      <c r="V2" t="s">
        <v>125</v>
      </c>
      <c r="W2" s="13" t="s">
        <v>126</v>
      </c>
      <c r="X2" t="s">
        <v>138</v>
      </c>
    </row>
    <row r="3" spans="1:24" x14ac:dyDescent="0.25">
      <c r="B3" t="s">
        <v>14</v>
      </c>
      <c r="C3" s="10"/>
      <c r="D3" s="10"/>
      <c r="E3" s="10"/>
      <c r="F3" s="10"/>
      <c r="G3" s="15"/>
      <c r="H3" s="39"/>
      <c r="I3" s="39"/>
      <c r="L3" s="10"/>
      <c r="M3" s="10"/>
      <c r="N3" s="10"/>
      <c r="O3" s="10"/>
      <c r="P3" s="10">
        <v>36853</v>
      </c>
      <c r="Q3" s="10">
        <v>37219</v>
      </c>
      <c r="R3" s="10"/>
      <c r="S3" s="10"/>
      <c r="T3" s="10">
        <v>36614</v>
      </c>
      <c r="U3" s="10">
        <v>36944</v>
      </c>
      <c r="V3" s="10"/>
    </row>
    <row r="4" spans="1:24" x14ac:dyDescent="0.25">
      <c r="B4" s="9" t="s">
        <v>59</v>
      </c>
      <c r="C4" s="10"/>
      <c r="D4" s="10"/>
      <c r="E4" s="10"/>
      <c r="F4" s="10"/>
      <c r="G4" s="15"/>
      <c r="H4" s="41">
        <v>39410</v>
      </c>
      <c r="I4" s="41">
        <v>40340</v>
      </c>
      <c r="L4" s="39"/>
      <c r="M4" s="39"/>
      <c r="N4" s="39"/>
      <c r="O4" s="39"/>
      <c r="P4" s="39"/>
      <c r="Q4" s="39"/>
      <c r="R4" s="39"/>
      <c r="S4" s="10"/>
      <c r="T4" s="10"/>
      <c r="U4" s="127">
        <v>8770</v>
      </c>
      <c r="V4" s="41">
        <v>10070</v>
      </c>
    </row>
    <row r="5" spans="1:24" x14ac:dyDescent="0.25">
      <c r="B5" t="s">
        <v>54</v>
      </c>
      <c r="C5" s="10"/>
      <c r="D5" s="10"/>
      <c r="E5" s="10"/>
      <c r="F5" s="10"/>
      <c r="G5" s="15"/>
      <c r="H5" s="10"/>
      <c r="I5" s="10"/>
      <c r="L5" s="10"/>
      <c r="M5" s="10"/>
      <c r="N5" s="10"/>
      <c r="O5" s="10"/>
      <c r="P5" s="10">
        <v>29081</v>
      </c>
      <c r="Q5" s="10">
        <v>30089</v>
      </c>
      <c r="R5" s="10"/>
      <c r="S5" s="10"/>
      <c r="T5" s="10">
        <v>30050</v>
      </c>
      <c r="U5" s="10">
        <v>30285</v>
      </c>
      <c r="V5" s="10"/>
    </row>
    <row r="6" spans="1:24" x14ac:dyDescent="0.25">
      <c r="B6" t="s">
        <v>133</v>
      </c>
      <c r="C6" s="10"/>
      <c r="D6" s="10"/>
      <c r="E6" s="10"/>
      <c r="F6" s="10"/>
      <c r="G6" s="15"/>
      <c r="H6" s="39"/>
      <c r="I6" s="39"/>
      <c r="L6" s="10"/>
      <c r="M6" s="10"/>
      <c r="N6" s="10"/>
      <c r="O6" s="10"/>
      <c r="P6" s="10">
        <v>2359</v>
      </c>
      <c r="Q6" s="10">
        <v>2630</v>
      </c>
      <c r="R6" s="10"/>
      <c r="S6" s="10"/>
      <c r="T6" s="10">
        <v>2515</v>
      </c>
      <c r="U6">
        <v>2772</v>
      </c>
    </row>
    <row r="7" spans="1:24" x14ac:dyDescent="0.25">
      <c r="B7" t="s">
        <v>201</v>
      </c>
      <c r="C7" s="10"/>
      <c r="D7" s="10"/>
      <c r="E7" s="10"/>
      <c r="F7" s="10"/>
      <c r="G7" s="15"/>
      <c r="H7" s="39"/>
      <c r="I7" s="39"/>
      <c r="L7" s="10"/>
      <c r="M7" s="10"/>
      <c r="N7" s="10"/>
      <c r="O7" s="10"/>
      <c r="P7" s="10">
        <v>-185</v>
      </c>
      <c r="Q7" s="10">
        <v>-231</v>
      </c>
      <c r="R7" s="10"/>
      <c r="S7" s="10"/>
      <c r="T7" s="10">
        <v>-284</v>
      </c>
      <c r="U7">
        <v>-273</v>
      </c>
    </row>
    <row r="8" spans="1:24" x14ac:dyDescent="0.25">
      <c r="B8" t="s">
        <v>202</v>
      </c>
      <c r="C8" s="10"/>
      <c r="D8" s="10"/>
      <c r="E8" s="10"/>
      <c r="F8" s="10"/>
      <c r="G8" s="15"/>
      <c r="H8" s="10"/>
      <c r="I8" s="10"/>
      <c r="L8" s="10"/>
      <c r="M8" s="10"/>
      <c r="N8" s="10"/>
      <c r="O8" s="10"/>
      <c r="P8" s="10">
        <v>223</v>
      </c>
      <c r="Q8" s="10">
        <v>388</v>
      </c>
      <c r="R8" s="10"/>
      <c r="S8" s="10"/>
      <c r="T8" s="10">
        <v>279</v>
      </c>
      <c r="U8">
        <v>283</v>
      </c>
    </row>
    <row r="9" spans="1:24" s="1" customFormat="1" x14ac:dyDescent="0.25">
      <c r="B9" s="1" t="s">
        <v>20</v>
      </c>
      <c r="C9" s="11">
        <f t="shared" ref="C9:I9" si="0">C3-SUM(C5:C8)</f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4">
        <f t="shared" si="0"/>
        <v>0</v>
      </c>
      <c r="H9" s="11">
        <f t="shared" si="0"/>
        <v>0</v>
      </c>
      <c r="I9" s="11">
        <f t="shared" si="0"/>
        <v>0</v>
      </c>
      <c r="J9" s="11"/>
      <c r="K9" s="11"/>
      <c r="L9" s="11">
        <f t="shared" ref="L9:T9" si="1">L3-SUM(L5:L8)</f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>P3-SUM(P5:P8)</f>
        <v>5375</v>
      </c>
      <c r="Q9" s="11">
        <f t="shared" si="1"/>
        <v>4343</v>
      </c>
      <c r="R9" s="11">
        <f t="shared" si="1"/>
        <v>0</v>
      </c>
      <c r="S9" s="11">
        <f t="shared" si="1"/>
        <v>0</v>
      </c>
      <c r="T9" s="11">
        <f t="shared" si="1"/>
        <v>4054</v>
      </c>
      <c r="U9" s="11">
        <f>U3-SUM(U5:U8)</f>
        <v>3877</v>
      </c>
      <c r="V9" s="11">
        <f>V3-SUM(V5:V8)</f>
        <v>0</v>
      </c>
      <c r="W9" s="16"/>
    </row>
    <row r="10" spans="1:24" x14ac:dyDescent="0.25">
      <c r="B10" t="s">
        <v>69</v>
      </c>
      <c r="C10" s="10"/>
      <c r="D10" s="10"/>
      <c r="E10" s="10"/>
      <c r="F10" s="10"/>
      <c r="G10" s="15"/>
      <c r="H10" s="39"/>
      <c r="I10" s="39"/>
      <c r="L10" s="10"/>
      <c r="M10" s="10"/>
      <c r="N10" s="10"/>
      <c r="O10" s="10"/>
      <c r="P10" s="10">
        <v>-26</v>
      </c>
      <c r="Q10" s="10">
        <v>-96</v>
      </c>
      <c r="R10" s="10"/>
      <c r="S10" s="10"/>
      <c r="T10" s="10">
        <v>-27</v>
      </c>
      <c r="U10">
        <v>-3</v>
      </c>
    </row>
    <row r="11" spans="1:24" x14ac:dyDescent="0.25">
      <c r="B11" t="s">
        <v>203</v>
      </c>
      <c r="C11" s="10"/>
      <c r="D11" s="10"/>
      <c r="E11" s="10"/>
      <c r="F11" s="10"/>
      <c r="G11" s="15"/>
      <c r="H11" s="39"/>
      <c r="I11" s="39"/>
      <c r="L11" s="10"/>
      <c r="M11" s="10"/>
      <c r="N11" s="10"/>
      <c r="O11" s="10"/>
      <c r="P11" s="10">
        <f>147-100</f>
        <v>47</v>
      </c>
      <c r="Q11" s="10">
        <f>166-144</f>
        <v>22</v>
      </c>
      <c r="R11" s="10"/>
      <c r="S11" s="10"/>
      <c r="T11" s="10">
        <f>162-151</f>
        <v>11</v>
      </c>
      <c r="U11">
        <f>165-103</f>
        <v>62</v>
      </c>
    </row>
    <row r="12" spans="1:24" x14ac:dyDescent="0.25">
      <c r="B12" t="s">
        <v>204</v>
      </c>
      <c r="C12" s="10"/>
      <c r="D12" s="10"/>
      <c r="E12" s="10"/>
      <c r="F12" s="10"/>
      <c r="G12" s="15"/>
      <c r="H12" s="39"/>
      <c r="I12" s="39"/>
      <c r="L12" s="10"/>
      <c r="M12" s="10"/>
      <c r="N12" s="10"/>
      <c r="O12" s="10"/>
      <c r="P12" s="10">
        <v>-267</v>
      </c>
      <c r="Q12" s="10">
        <v>-47</v>
      </c>
      <c r="R12" s="10"/>
      <c r="S12" s="10"/>
      <c r="T12" s="10">
        <v>124</v>
      </c>
      <c r="U12">
        <v>-75</v>
      </c>
    </row>
    <row r="13" spans="1:24" s="1" customFormat="1" x14ac:dyDescent="0.25">
      <c r="B13" s="1" t="s">
        <v>16</v>
      </c>
      <c r="C13" s="11">
        <f t="shared" ref="C13:I13" si="2">C9+SUM(C10:C11)</f>
        <v>0</v>
      </c>
      <c r="D13" s="11">
        <f t="shared" si="2"/>
        <v>0</v>
      </c>
      <c r="E13" s="11">
        <f t="shared" si="2"/>
        <v>0</v>
      </c>
      <c r="F13" s="11">
        <f t="shared" si="2"/>
        <v>0</v>
      </c>
      <c r="G13" s="14">
        <f t="shared" si="2"/>
        <v>0</v>
      </c>
      <c r="H13" s="11">
        <f t="shared" si="2"/>
        <v>0</v>
      </c>
      <c r="I13" s="11">
        <f t="shared" si="2"/>
        <v>0</v>
      </c>
      <c r="L13" s="11">
        <f t="shared" ref="L13:S13" si="3">L9+SUM(L10:L12)</f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>P9+SUM(P10:P12)</f>
        <v>5129</v>
      </c>
      <c r="Q13" s="11">
        <f t="shared" si="3"/>
        <v>4222</v>
      </c>
      <c r="R13" s="11">
        <f t="shared" si="3"/>
        <v>0</v>
      </c>
      <c r="S13" s="11">
        <f t="shared" si="3"/>
        <v>0</v>
      </c>
      <c r="T13" s="11">
        <f>T9+SUM(T10:T12)</f>
        <v>4162</v>
      </c>
      <c r="U13" s="11">
        <f t="shared" ref="U13:W13" si="4">U9+SUM(U10:U12)</f>
        <v>3861</v>
      </c>
      <c r="V13" s="11">
        <f t="shared" si="4"/>
        <v>0</v>
      </c>
      <c r="W13" s="11">
        <f t="shared" si="4"/>
        <v>0</v>
      </c>
    </row>
    <row r="14" spans="1:24" x14ac:dyDescent="0.25">
      <c r="B14" t="s">
        <v>17</v>
      </c>
      <c r="C14" s="10"/>
      <c r="D14" s="10"/>
      <c r="E14" s="10"/>
      <c r="F14" s="10"/>
      <c r="G14" s="15"/>
      <c r="H14" s="39"/>
      <c r="I14" s="39"/>
      <c r="L14" s="10"/>
      <c r="M14" s="10"/>
      <c r="N14" s="10"/>
      <c r="O14" s="10"/>
      <c r="P14" s="10">
        <v>1467</v>
      </c>
      <c r="Q14" s="10">
        <v>1264</v>
      </c>
      <c r="R14" s="10"/>
      <c r="S14" s="10"/>
      <c r="T14" s="10">
        <v>1211</v>
      </c>
      <c r="U14">
        <v>1156</v>
      </c>
    </row>
    <row r="15" spans="1:24" s="1" customFormat="1" x14ac:dyDescent="0.25">
      <c r="B15" s="1" t="s">
        <v>18</v>
      </c>
      <c r="C15" s="11">
        <f>C13-SUM(C14:C14)</f>
        <v>0</v>
      </c>
      <c r="D15" s="11">
        <f>D13-SUM(D14:D14)</f>
        <v>0</v>
      </c>
      <c r="E15" s="11">
        <f>E13-SUM(E14:E14)</f>
        <v>0</v>
      </c>
      <c r="F15" s="11">
        <f>F13-SUM(F14:F14)</f>
        <v>0</v>
      </c>
      <c r="G15" s="14">
        <f>G13-SUM(G14:G14)</f>
        <v>0</v>
      </c>
      <c r="H15" s="57"/>
      <c r="I15" s="57"/>
      <c r="L15" s="11">
        <f t="shared" ref="L15:W15" si="5">L13-SUM(L14:L14)</f>
        <v>0</v>
      </c>
      <c r="M15" s="11">
        <f t="shared" si="5"/>
        <v>0</v>
      </c>
      <c r="N15" s="11">
        <f t="shared" si="5"/>
        <v>0</v>
      </c>
      <c r="O15" s="11">
        <f t="shared" si="5"/>
        <v>0</v>
      </c>
      <c r="P15" s="11">
        <f t="shared" si="5"/>
        <v>3662</v>
      </c>
      <c r="Q15" s="11">
        <f t="shared" si="5"/>
        <v>2958</v>
      </c>
      <c r="R15" s="11">
        <f t="shared" si="5"/>
        <v>0</v>
      </c>
      <c r="S15" s="11">
        <f t="shared" si="5"/>
        <v>0</v>
      </c>
      <c r="T15" s="11">
        <f t="shared" si="5"/>
        <v>2951</v>
      </c>
      <c r="U15" s="11">
        <f t="shared" si="5"/>
        <v>2705</v>
      </c>
      <c r="V15" s="11">
        <f t="shared" si="5"/>
        <v>0</v>
      </c>
      <c r="W15" s="14">
        <f t="shared" si="5"/>
        <v>0</v>
      </c>
    </row>
    <row r="16" spans="1:24" x14ac:dyDescent="0.25">
      <c r="B16" t="s">
        <v>1</v>
      </c>
      <c r="C16" s="10"/>
      <c r="D16" s="10"/>
      <c r="E16" s="10">
        <f>E15/E17</f>
        <v>0</v>
      </c>
      <c r="F16" s="10">
        <f>F15/F17</f>
        <v>0</v>
      </c>
      <c r="G16" s="15">
        <f>G15/G17</f>
        <v>0</v>
      </c>
      <c r="H16" s="39"/>
      <c r="I16" s="39"/>
      <c r="L16" s="10"/>
      <c r="M16" s="10"/>
      <c r="N16" s="10"/>
      <c r="O16" s="10"/>
      <c r="P16" s="10">
        <f>P15*P17</f>
        <v>19445.219999999998</v>
      </c>
      <c r="Q16" s="10">
        <f>Q17*Q15</f>
        <v>12985.619999999999</v>
      </c>
      <c r="R16" s="10"/>
      <c r="S16" s="10"/>
      <c r="T16" s="10">
        <f>T15*T17</f>
        <v>13043.42</v>
      </c>
      <c r="U16" s="10">
        <f>U15*U17</f>
        <v>11225.750000000002</v>
      </c>
      <c r="V16" s="10"/>
      <c r="W16" s="15"/>
    </row>
    <row r="17" spans="2:24" s="1" customFormat="1" x14ac:dyDescent="0.25">
      <c r="B17" s="1" t="s">
        <v>19</v>
      </c>
      <c r="C17" s="2" t="e">
        <f>C15/C16</f>
        <v>#DIV/0!</v>
      </c>
      <c r="D17" s="2" t="e">
        <f>D15/D16</f>
        <v>#DIV/0!</v>
      </c>
      <c r="E17" s="2">
        <v>4.43</v>
      </c>
      <c r="F17" s="2">
        <v>5.44</v>
      </c>
      <c r="G17" s="53">
        <v>5.66</v>
      </c>
      <c r="H17" s="54"/>
      <c r="I17" s="55"/>
      <c r="L17" s="48" t="e">
        <f t="shared" ref="L17:N17" si="6">L15/L16</f>
        <v>#DIV/0!</v>
      </c>
      <c r="M17" s="48" t="e">
        <f t="shared" si="6"/>
        <v>#DIV/0!</v>
      </c>
      <c r="N17" s="48" t="e">
        <f t="shared" si="6"/>
        <v>#DIV/0!</v>
      </c>
      <c r="O17" s="48" t="e">
        <f t="shared" ref="O17:S17" si="7">O15/O16</f>
        <v>#DIV/0!</v>
      </c>
      <c r="P17" s="48">
        <v>5.31</v>
      </c>
      <c r="Q17" s="48">
        <v>4.3899999999999997</v>
      </c>
      <c r="R17" s="48" t="e">
        <f t="shared" si="7"/>
        <v>#DIV/0!</v>
      </c>
      <c r="S17" s="48" t="e">
        <f t="shared" si="7"/>
        <v>#DIV/0!</v>
      </c>
      <c r="T17" s="48">
        <v>4.42</v>
      </c>
      <c r="U17" s="48">
        <v>4.1500000000000004</v>
      </c>
      <c r="V17" s="48" t="e">
        <f>V15/V16</f>
        <v>#DIV/0!</v>
      </c>
      <c r="W17" s="47" t="e">
        <f>W15/W16</f>
        <v>#DIV/0!</v>
      </c>
    </row>
    <row r="18" spans="2:24" s="1" customFormat="1" x14ac:dyDescent="0.25">
      <c r="B18" s="9" t="s">
        <v>58</v>
      </c>
      <c r="C18" s="2"/>
      <c r="D18" s="2"/>
      <c r="E18" s="2"/>
      <c r="F18" s="2"/>
      <c r="G18" s="35"/>
      <c r="H18" s="42">
        <v>4.38</v>
      </c>
      <c r="I18" s="43">
        <v>4.71</v>
      </c>
      <c r="L18" s="49"/>
      <c r="M18" s="49"/>
      <c r="N18" s="49"/>
      <c r="O18" s="49"/>
      <c r="P18" s="49"/>
      <c r="Q18" s="49"/>
      <c r="R18" s="49"/>
      <c r="S18" s="48"/>
      <c r="T18" s="48"/>
      <c r="U18" s="48"/>
      <c r="W18" s="16"/>
    </row>
    <row r="19" spans="2:24" s="1" customFormat="1" x14ac:dyDescent="0.25">
      <c r="B19" t="s">
        <v>24</v>
      </c>
      <c r="C19" s="3" t="e">
        <f>1-C5/C3</f>
        <v>#DIV/0!</v>
      </c>
      <c r="D19" s="3" t="e">
        <f>1-D5/D3</f>
        <v>#DIV/0!</v>
      </c>
      <c r="E19" s="3" t="e">
        <f>1-E5/E3</f>
        <v>#DIV/0!</v>
      </c>
      <c r="F19" s="3" t="e">
        <f>1-F5/F3</f>
        <v>#DIV/0!</v>
      </c>
      <c r="G19" s="6" t="e">
        <f>1-G5/G3</f>
        <v>#DIV/0!</v>
      </c>
      <c r="H19" s="44"/>
      <c r="I19" s="44"/>
      <c r="L19" s="3" t="e">
        <f t="shared" ref="L19:T19" si="8">1-L5/L3</f>
        <v>#DIV/0!</v>
      </c>
      <c r="M19" s="3" t="e">
        <f t="shared" si="8"/>
        <v>#DIV/0!</v>
      </c>
      <c r="N19" s="3" t="e">
        <f t="shared" si="8"/>
        <v>#DIV/0!</v>
      </c>
      <c r="O19" s="3" t="e">
        <f t="shared" si="8"/>
        <v>#DIV/0!</v>
      </c>
      <c r="P19" s="3">
        <f>1-P5/P3</f>
        <v>0.21089192196022033</v>
      </c>
      <c r="Q19" s="3">
        <f t="shared" si="8"/>
        <v>0.1915688223756683</v>
      </c>
      <c r="R19" s="3" t="e">
        <f t="shared" si="8"/>
        <v>#DIV/0!</v>
      </c>
      <c r="S19" s="38" t="e">
        <f t="shared" si="8"/>
        <v>#DIV/0!</v>
      </c>
      <c r="T19" s="38">
        <f t="shared" si="8"/>
        <v>0.17927568689572293</v>
      </c>
      <c r="U19" s="38">
        <f t="shared" ref="U19:V19" si="9">1-U5/U3</f>
        <v>0.18024577739281078</v>
      </c>
      <c r="V19" s="38" t="e">
        <f t="shared" si="9"/>
        <v>#DIV/0!</v>
      </c>
      <c r="W19" s="6" t="e">
        <f t="shared" ref="W19" si="10">1-W5/W3</f>
        <v>#DIV/0!</v>
      </c>
    </row>
    <row r="20" spans="2:24" x14ac:dyDescent="0.25">
      <c r="B20" t="s">
        <v>25</v>
      </c>
      <c r="C20" s="4" t="e">
        <f>C15/C3</f>
        <v>#DIV/0!</v>
      </c>
      <c r="D20" s="4" t="e">
        <f>D15/D3</f>
        <v>#DIV/0!</v>
      </c>
      <c r="E20" s="4" t="e">
        <f>E15/E3</f>
        <v>#DIV/0!</v>
      </c>
      <c r="F20" s="4" t="e">
        <f>F15/F3</f>
        <v>#DIV/0!</v>
      </c>
      <c r="G20" s="7" t="e">
        <f>G15/G3</f>
        <v>#DIV/0!</v>
      </c>
      <c r="H20" s="45">
        <f>H15/H4</f>
        <v>0</v>
      </c>
      <c r="I20" s="45">
        <f>I15/I4</f>
        <v>0</v>
      </c>
      <c r="L20" s="4" t="e">
        <f t="shared" ref="L20:T20" si="11">L15/L3</f>
        <v>#DIV/0!</v>
      </c>
      <c r="M20" s="4" t="e">
        <f t="shared" si="11"/>
        <v>#DIV/0!</v>
      </c>
      <c r="N20" s="4" t="e">
        <f t="shared" si="11"/>
        <v>#DIV/0!</v>
      </c>
      <c r="O20" s="4" t="e">
        <f t="shared" si="11"/>
        <v>#DIV/0!</v>
      </c>
      <c r="P20" s="4">
        <f t="shared" si="11"/>
        <v>9.9367758391447097E-2</v>
      </c>
      <c r="Q20" s="4">
        <f t="shared" si="11"/>
        <v>7.9475536688250623E-2</v>
      </c>
      <c r="R20" s="4" t="e">
        <f t="shared" si="11"/>
        <v>#DIV/0!</v>
      </c>
      <c r="S20" s="4" t="e">
        <f t="shared" si="11"/>
        <v>#DIV/0!</v>
      </c>
      <c r="T20" s="4">
        <f t="shared" si="11"/>
        <v>8.0597585622985746E-2</v>
      </c>
      <c r="U20" s="4">
        <f t="shared" ref="U20:V20" si="12">U15/U3</f>
        <v>7.3218925941966218E-2</v>
      </c>
      <c r="V20" s="4" t="e">
        <f t="shared" si="12"/>
        <v>#DIV/0!</v>
      </c>
      <c r="W20" s="7" t="e">
        <f t="shared" ref="W20" si="13">W15/W3</f>
        <v>#DIV/0!</v>
      </c>
    </row>
    <row r="21" spans="2:24" x14ac:dyDescent="0.25">
      <c r="B21" t="s">
        <v>136</v>
      </c>
      <c r="C21" s="4"/>
      <c r="D21" s="4"/>
      <c r="E21" s="4" t="e">
        <f>E14/E13</f>
        <v>#DIV/0!</v>
      </c>
      <c r="F21" s="4" t="e">
        <f>F14/F13</f>
        <v>#DIV/0!</v>
      </c>
      <c r="G21" s="7" t="e">
        <f>G14/G13</f>
        <v>#DIV/0!</v>
      </c>
      <c r="H21" s="45"/>
      <c r="I21" s="45"/>
      <c r="L21" s="4" t="e">
        <f t="shared" ref="L21:S21" si="14">L14/L13</f>
        <v>#DIV/0!</v>
      </c>
      <c r="M21" s="4" t="e">
        <f t="shared" si="14"/>
        <v>#DIV/0!</v>
      </c>
      <c r="N21" s="4" t="e">
        <f t="shared" si="14"/>
        <v>#DIV/0!</v>
      </c>
      <c r="O21" s="4" t="e">
        <f t="shared" si="14"/>
        <v>#DIV/0!</v>
      </c>
      <c r="P21" s="4">
        <f t="shared" si="14"/>
        <v>0.28602066679664651</v>
      </c>
      <c r="Q21" s="4">
        <f t="shared" si="14"/>
        <v>0.29938417811463763</v>
      </c>
      <c r="R21" s="4" t="e">
        <f t="shared" si="14"/>
        <v>#DIV/0!</v>
      </c>
      <c r="S21" s="4" t="e">
        <f t="shared" si="14"/>
        <v>#DIV/0!</v>
      </c>
      <c r="T21" s="4">
        <f>T14/T13</f>
        <v>0.29096588178760213</v>
      </c>
      <c r="U21" s="4">
        <f t="shared" ref="U21:V21" si="15">U14/U13</f>
        <v>0.29940429940429941</v>
      </c>
      <c r="V21" s="4" t="e">
        <f t="shared" si="15"/>
        <v>#DIV/0!</v>
      </c>
      <c r="W21" s="7" t="e">
        <f t="shared" ref="W21" si="16">W14/W13</f>
        <v>#DIV/0!</v>
      </c>
    </row>
    <row r="22" spans="2:24" x14ac:dyDescent="0.25">
      <c r="B22" t="s">
        <v>26</v>
      </c>
      <c r="C22" s="3"/>
      <c r="D22" s="3" t="e">
        <f>D3/C3-1</f>
        <v>#DIV/0!</v>
      </c>
      <c r="E22" s="3" t="e">
        <f>E3/D3-1</f>
        <v>#DIV/0!</v>
      </c>
      <c r="F22" s="38" t="e">
        <f>F3/E3-1</f>
        <v>#DIV/0!</v>
      </c>
      <c r="G22" s="6" t="e">
        <f>G3/F3-1</f>
        <v>#DIV/0!</v>
      </c>
      <c r="H22" s="46" t="e">
        <f>H4/G3-1</f>
        <v>#DIV/0!</v>
      </c>
      <c r="I22" s="46">
        <f>I4/H4-1</f>
        <v>2.359807155544269E-2</v>
      </c>
      <c r="L22" s="4" t="e">
        <f>L3/#REF!-1</f>
        <v>#REF!</v>
      </c>
      <c r="M22" s="4" t="e">
        <f>M3/#REF!-1</f>
        <v>#REF!</v>
      </c>
      <c r="N22" s="4" t="e">
        <f>N3/#REF!-1</f>
        <v>#REF!</v>
      </c>
      <c r="O22" s="4" t="e">
        <f>O3/#REF!-1</f>
        <v>#REF!</v>
      </c>
      <c r="P22" s="4" t="e">
        <f t="shared" ref="P22:T22" si="17">P3/L3-1</f>
        <v>#DIV/0!</v>
      </c>
      <c r="Q22" s="4" t="e">
        <f t="shared" si="17"/>
        <v>#DIV/0!</v>
      </c>
      <c r="R22" s="4" t="e">
        <f t="shared" si="17"/>
        <v>#DIV/0!</v>
      </c>
      <c r="S22" s="4" t="e">
        <f t="shared" si="17"/>
        <v>#DIV/0!</v>
      </c>
      <c r="T22" s="128">
        <f t="shared" si="17"/>
        <v>-6.4852250834396274E-3</v>
      </c>
      <c r="U22" s="128">
        <f t="shared" ref="U22" si="18">U3/Q3-1</f>
        <v>-7.3886993202396667E-3</v>
      </c>
      <c r="V22" s="4" t="e">
        <f t="shared" ref="V22:W22" si="19">V3/R3-1</f>
        <v>#DIV/0!</v>
      </c>
      <c r="W22" s="7" t="e">
        <f t="shared" si="19"/>
        <v>#DIV/0!</v>
      </c>
    </row>
    <row r="23" spans="2:24" x14ac:dyDescent="0.25">
      <c r="B23" t="s">
        <v>134</v>
      </c>
      <c r="C23" s="4" t="e">
        <f>C6/C3</f>
        <v>#DIV/0!</v>
      </c>
      <c r="D23" s="4" t="e">
        <f>D6/D3</f>
        <v>#DIV/0!</v>
      </c>
      <c r="E23" s="4" t="e">
        <f>E6/E3</f>
        <v>#DIV/0!</v>
      </c>
      <c r="F23" s="4" t="e">
        <f>F6/F3</f>
        <v>#DIV/0!</v>
      </c>
      <c r="G23" s="7" t="e">
        <f>G6/G3</f>
        <v>#DIV/0!</v>
      </c>
      <c r="H23" s="119"/>
      <c r="I23" s="119"/>
      <c r="L23" s="4" t="e">
        <f t="shared" ref="L23:T23" si="20">L6/L3</f>
        <v>#DIV/0!</v>
      </c>
      <c r="M23" s="4" t="e">
        <f t="shared" si="20"/>
        <v>#DIV/0!</v>
      </c>
      <c r="N23" s="4" t="e">
        <f t="shared" si="20"/>
        <v>#DIV/0!</v>
      </c>
      <c r="O23" s="4" t="e">
        <f t="shared" si="20"/>
        <v>#DIV/0!</v>
      </c>
      <c r="P23" s="4">
        <f t="shared" si="20"/>
        <v>6.401107101185792E-2</v>
      </c>
      <c r="Q23" s="4">
        <f t="shared" si="20"/>
        <v>7.066283349901932E-2</v>
      </c>
      <c r="R23" s="4" t="e">
        <f t="shared" si="20"/>
        <v>#DIV/0!</v>
      </c>
      <c r="S23" s="4" t="e">
        <f t="shared" si="20"/>
        <v>#DIV/0!</v>
      </c>
      <c r="T23" s="4">
        <f t="shared" si="20"/>
        <v>6.8689572294750645E-2</v>
      </c>
      <c r="U23" s="4">
        <f t="shared" ref="U23:V23" si="21">U6/U3</f>
        <v>7.5032481593763536E-2</v>
      </c>
      <c r="V23" s="4" t="e">
        <f t="shared" si="21"/>
        <v>#DIV/0!</v>
      </c>
      <c r="W23" s="7" t="e">
        <f t="shared" ref="W23" si="22">W6/W3</f>
        <v>#DIV/0!</v>
      </c>
    </row>
    <row r="24" spans="2:24" x14ac:dyDescent="0.25">
      <c r="B24" t="s">
        <v>135</v>
      </c>
      <c r="C24" s="4" t="e">
        <f>C7/C3</f>
        <v>#DIV/0!</v>
      </c>
      <c r="D24" s="4" t="e">
        <f>D7/D3</f>
        <v>#DIV/0!</v>
      </c>
      <c r="E24" s="4" t="e">
        <f>E7/E3</f>
        <v>#DIV/0!</v>
      </c>
      <c r="F24" s="4" t="e">
        <f>F7/F3</f>
        <v>#DIV/0!</v>
      </c>
      <c r="G24" s="7" t="e">
        <f>G7/G3</f>
        <v>#DIV/0!</v>
      </c>
      <c r="H24" s="119"/>
      <c r="I24" s="119"/>
      <c r="L24" s="4" t="e">
        <f t="shared" ref="L24:T24" si="23">L7/L3</f>
        <v>#DIV/0!</v>
      </c>
      <c r="M24" s="4" t="e">
        <f t="shared" si="23"/>
        <v>#DIV/0!</v>
      </c>
      <c r="N24" s="4" t="e">
        <f t="shared" si="23"/>
        <v>#DIV/0!</v>
      </c>
      <c r="O24" s="4" t="e">
        <f t="shared" si="23"/>
        <v>#DIV/0!</v>
      </c>
      <c r="P24" s="4">
        <f t="shared" si="23"/>
        <v>-5.019944102244051E-3</v>
      </c>
      <c r="Q24" s="4">
        <f t="shared" si="23"/>
        <v>-6.2065074290013162E-3</v>
      </c>
      <c r="R24" s="4" t="e">
        <f t="shared" si="23"/>
        <v>#DIV/0!</v>
      </c>
      <c r="S24" s="4" t="e">
        <f t="shared" si="23"/>
        <v>#DIV/0!</v>
      </c>
      <c r="T24" s="4">
        <f t="shared" si="23"/>
        <v>-7.7565958376577268E-3</v>
      </c>
      <c r="U24" s="4">
        <f t="shared" ref="U24:V24" si="24">U7/U3</f>
        <v>-7.3895625812039848E-3</v>
      </c>
      <c r="V24" s="4" t="e">
        <f t="shared" si="24"/>
        <v>#DIV/0!</v>
      </c>
      <c r="W24" s="7" t="e">
        <f t="shared" ref="W24" si="25">W7/W3</f>
        <v>#DIV/0!</v>
      </c>
    </row>
    <row r="25" spans="2:24" x14ac:dyDescent="0.25">
      <c r="B25" t="s">
        <v>124</v>
      </c>
      <c r="C25" s="4"/>
      <c r="D25" s="4"/>
      <c r="E25" s="4"/>
      <c r="F25" s="4"/>
      <c r="G25" s="7"/>
      <c r="H25" s="119"/>
      <c r="I25" s="11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/>
    </row>
    <row r="26" spans="2:24" x14ac:dyDescent="0.25">
      <c r="B26" t="s">
        <v>29</v>
      </c>
      <c r="C26" s="3"/>
      <c r="D26" s="3" t="e">
        <f>-(D15/C15-1)</f>
        <v>#DIV/0!</v>
      </c>
      <c r="E26" s="3" t="e">
        <f>-(E15/D15-1)</f>
        <v>#DIV/0!</v>
      </c>
      <c r="F26" s="38" t="e">
        <f>F15/E15-1</f>
        <v>#DIV/0!</v>
      </c>
      <c r="G26" s="6" t="e">
        <f>G15/F15-1</f>
        <v>#DIV/0!</v>
      </c>
      <c r="H26" s="56">
        <f>H18/G17-1</f>
        <v>-0.22614840989399299</v>
      </c>
      <c r="I26" s="56">
        <f>I18/H18-1</f>
        <v>7.5342465753424737E-2</v>
      </c>
      <c r="L26" s="4" t="e">
        <f>L15/#REF!-1</f>
        <v>#REF!</v>
      </c>
      <c r="M26" s="4" t="e">
        <f>M15/#REF!-1</f>
        <v>#REF!</v>
      </c>
      <c r="N26" s="4" t="e">
        <f>N15/#REF!-1</f>
        <v>#REF!</v>
      </c>
      <c r="O26" s="4" t="e">
        <f>O15/#REF!-1</f>
        <v>#REF!</v>
      </c>
      <c r="P26" s="4" t="e">
        <f t="shared" ref="P26:T26" si="26">P15/L15-1</f>
        <v>#DIV/0!</v>
      </c>
      <c r="Q26" s="4" t="e">
        <f t="shared" si="26"/>
        <v>#DIV/0!</v>
      </c>
      <c r="R26" s="4" t="e">
        <f t="shared" si="26"/>
        <v>#DIV/0!</v>
      </c>
      <c r="S26" s="4" t="e">
        <f t="shared" si="26"/>
        <v>#DIV/0!</v>
      </c>
      <c r="T26" s="128">
        <f t="shared" si="26"/>
        <v>-0.19415619879847079</v>
      </c>
      <c r="U26" s="128">
        <f t="shared" ref="U26" si="27">U15/Q15-1</f>
        <v>-8.5530764029749795E-2</v>
      </c>
      <c r="V26" s="4" t="e">
        <f t="shared" ref="V26:W26" si="28">V15/R15-1</f>
        <v>#DIV/0!</v>
      </c>
      <c r="W26" s="7" t="e">
        <f t="shared" si="28"/>
        <v>#DIV/0!</v>
      </c>
    </row>
    <row r="30" spans="2:24" s="1" customFormat="1" x14ac:dyDescent="0.25">
      <c r="B30" s="1" t="s">
        <v>33</v>
      </c>
      <c r="C30" s="11">
        <f>C36+C35-C47-C54</f>
        <v>0</v>
      </c>
      <c r="D30" s="11">
        <f>D36+D35-D47-D54</f>
        <v>0</v>
      </c>
      <c r="E30" s="11">
        <f>E36+E35-E47-E54</f>
        <v>0</v>
      </c>
      <c r="F30" s="11">
        <f>F36+F35-F47-F54</f>
        <v>0</v>
      </c>
      <c r="G30" s="14">
        <f>G36+G35-G47-G54</f>
        <v>14282</v>
      </c>
      <c r="H30" s="11">
        <f>H36+H35-H47-H54</f>
        <v>0</v>
      </c>
      <c r="I30" s="11">
        <f>I36+I35-I47-I54</f>
        <v>0</v>
      </c>
      <c r="L30" s="11">
        <f>L36+L35-L47-L48</f>
        <v>0</v>
      </c>
      <c r="M30" s="11">
        <f>M36+M35-M47-M48</f>
        <v>0</v>
      </c>
      <c r="N30" s="11">
        <f>N36+N35-N47-N48</f>
        <v>0</v>
      </c>
      <c r="O30" s="11">
        <f>O36+O35-O47-O54</f>
        <v>0</v>
      </c>
      <c r="P30" s="11">
        <f>P36+P35-P47-P54</f>
        <v>0</v>
      </c>
      <c r="Q30" s="11">
        <f>Q36+Q35-Q47-Q54</f>
        <v>0</v>
      </c>
      <c r="R30" s="11">
        <f>R36+R35-R47-R54</f>
        <v>0</v>
      </c>
      <c r="S30" s="11">
        <f>S36+S35-S47-S54</f>
        <v>14282</v>
      </c>
      <c r="T30" s="11">
        <f>T36+T35-T47-T54</f>
        <v>6691</v>
      </c>
      <c r="U30" s="11">
        <f>U36+U35-U47-U54</f>
        <v>7813</v>
      </c>
      <c r="V30" s="11">
        <f>V36+V35-V47-V54</f>
        <v>0</v>
      </c>
      <c r="W30" s="14">
        <f>W36+W35-W47-W54</f>
        <v>0</v>
      </c>
      <c r="X30" s="11">
        <f>X36+X35-X47-X54</f>
        <v>0</v>
      </c>
    </row>
    <row r="31" spans="2:24" x14ac:dyDescent="0.25">
      <c r="B31" t="s">
        <v>70</v>
      </c>
      <c r="C31" s="10"/>
      <c r="D31" s="10"/>
      <c r="E31" s="10"/>
      <c r="F31" s="10"/>
      <c r="G31" s="15">
        <v>23719</v>
      </c>
      <c r="L31" s="10"/>
      <c r="M31" s="10"/>
      <c r="N31" s="10"/>
      <c r="O31" s="10"/>
      <c r="P31" s="10"/>
      <c r="Q31" s="10"/>
      <c r="R31" s="10"/>
      <c r="S31" s="10">
        <f>G31</f>
        <v>23719</v>
      </c>
      <c r="T31" s="155">
        <v>26148</v>
      </c>
      <c r="U31" s="10">
        <v>26851</v>
      </c>
      <c r="V31" s="10"/>
    </row>
    <row r="32" spans="2:24" x14ac:dyDescent="0.25">
      <c r="B32" t="s">
        <v>208</v>
      </c>
      <c r="C32" s="10"/>
      <c r="D32" s="10"/>
      <c r="E32" s="10"/>
      <c r="F32" s="10"/>
      <c r="G32" s="15">
        <v>4162</v>
      </c>
      <c r="L32" s="10"/>
      <c r="M32" s="10"/>
      <c r="N32" s="10"/>
      <c r="O32" s="10"/>
      <c r="P32" s="10"/>
      <c r="Q32" s="10"/>
      <c r="R32" s="10"/>
      <c r="S32" s="10">
        <f t="shared" ref="S32:S57" si="29">G32</f>
        <v>4162</v>
      </c>
      <c r="T32" s="10">
        <v>4526</v>
      </c>
      <c r="U32" s="10">
        <v>3930</v>
      </c>
      <c r="V32" s="10"/>
    </row>
    <row r="33" spans="2:24" x14ac:dyDescent="0.25">
      <c r="B33" t="s">
        <v>207</v>
      </c>
      <c r="C33" s="10"/>
      <c r="D33" s="10"/>
      <c r="E33" s="10"/>
      <c r="F33" s="10"/>
      <c r="G33" s="15">
        <f>36838+4131</f>
        <v>40969</v>
      </c>
      <c r="L33" s="10"/>
      <c r="M33" s="10"/>
      <c r="N33" s="10"/>
      <c r="O33" s="10"/>
      <c r="P33" s="10"/>
      <c r="Q33" s="10"/>
      <c r="R33" s="10"/>
      <c r="S33" s="10">
        <f t="shared" si="29"/>
        <v>40969</v>
      </c>
      <c r="T33" s="10">
        <f>36443+4324</f>
        <v>40767</v>
      </c>
      <c r="U33" s="10">
        <f>37516+3339</f>
        <v>40855</v>
      </c>
      <c r="V33" s="10"/>
    </row>
    <row r="34" spans="2:24" x14ac:dyDescent="0.25">
      <c r="B34" t="s">
        <v>17</v>
      </c>
      <c r="C34" s="10"/>
      <c r="D34" s="10"/>
      <c r="E34" s="10"/>
      <c r="F34" s="10"/>
      <c r="G34" s="15">
        <v>1199</v>
      </c>
      <c r="L34" s="10"/>
      <c r="M34" s="10"/>
      <c r="N34" s="10"/>
      <c r="O34" s="10"/>
      <c r="P34" s="10"/>
      <c r="Q34" s="10"/>
      <c r="R34" s="10"/>
      <c r="S34" s="10">
        <f t="shared" si="29"/>
        <v>1199</v>
      </c>
      <c r="T34" s="10">
        <v>1117</v>
      </c>
      <c r="U34" s="10">
        <v>1315</v>
      </c>
      <c r="V34" s="10"/>
    </row>
    <row r="35" spans="2:24" x14ac:dyDescent="0.25">
      <c r="B35" t="s">
        <v>209</v>
      </c>
      <c r="C35" s="10"/>
      <c r="D35" s="10"/>
      <c r="E35" s="10"/>
      <c r="F35" s="10"/>
      <c r="G35" s="15">
        <v>7596</v>
      </c>
      <c r="L35" s="10"/>
      <c r="M35" s="10"/>
      <c r="N35" s="10"/>
      <c r="O35" s="10"/>
      <c r="P35" s="10"/>
      <c r="Q35" s="10"/>
      <c r="R35" s="10"/>
      <c r="S35" s="10">
        <f t="shared" si="29"/>
        <v>7596</v>
      </c>
      <c r="T35" s="10">
        <v>7426</v>
      </c>
      <c r="U35" s="10">
        <v>7474</v>
      </c>
      <c r="V35" s="10"/>
    </row>
    <row r="36" spans="2:24" x14ac:dyDescent="0.25">
      <c r="B36" t="s">
        <v>210</v>
      </c>
      <c r="C36" s="10"/>
      <c r="D36" s="10"/>
      <c r="E36" s="10"/>
      <c r="F36" s="10"/>
      <c r="G36" s="15">
        <v>17327</v>
      </c>
      <c r="L36" s="10"/>
      <c r="M36" s="10"/>
      <c r="N36" s="10"/>
      <c r="O36" s="10"/>
      <c r="P36" s="10"/>
      <c r="Q36" s="10"/>
      <c r="R36" s="10"/>
      <c r="S36" s="10">
        <f t="shared" si="29"/>
        <v>17327</v>
      </c>
      <c r="T36" s="10">
        <v>16773</v>
      </c>
      <c r="U36" s="10">
        <v>17856</v>
      </c>
      <c r="V36" s="10"/>
    </row>
    <row r="37" spans="2:24" s="1" customFormat="1" x14ac:dyDescent="0.25">
      <c r="B37" s="1" t="s">
        <v>55</v>
      </c>
      <c r="C37" s="11">
        <f>SUM(C31:C36)</f>
        <v>0</v>
      </c>
      <c r="D37" s="11">
        <f>SUM(D31:D36)</f>
        <v>0</v>
      </c>
      <c r="E37" s="11">
        <f>SUM(E31:E36)</f>
        <v>0</v>
      </c>
      <c r="F37" s="11">
        <f>SUM(F31:F36)</f>
        <v>0</v>
      </c>
      <c r="G37" s="14">
        <f>SUM(G31:G36)</f>
        <v>94972</v>
      </c>
      <c r="L37" s="11">
        <f>SUM(L31:L36)</f>
        <v>0</v>
      </c>
      <c r="M37" s="11">
        <f>SUM(M31:M36)</f>
        <v>0</v>
      </c>
      <c r="N37" s="11">
        <f>SUM(N31:N36)</f>
        <v>0</v>
      </c>
      <c r="O37" s="11">
        <f>SUM(O31:O36)</f>
        <v>0</v>
      </c>
      <c r="P37" s="11">
        <f>SUM(P31:P36)</f>
        <v>0</v>
      </c>
      <c r="Q37" s="11">
        <f>SUM(Q31:Q36)</f>
        <v>0</v>
      </c>
      <c r="R37" s="11">
        <f>SUM(R31:R36)</f>
        <v>0</v>
      </c>
      <c r="S37" s="11">
        <f>SUM(S31:S36)</f>
        <v>94972</v>
      </c>
      <c r="T37" s="11">
        <f>SUM(T31:T36)</f>
        <v>96757</v>
      </c>
      <c r="U37" s="11">
        <f>SUM(U31:U36)</f>
        <v>98281</v>
      </c>
      <c r="V37" s="11">
        <f>SUM(V31:V36)</f>
        <v>0</v>
      </c>
      <c r="W37" s="14">
        <f>SUM(W31:W36)</f>
        <v>0</v>
      </c>
      <c r="X37" s="11">
        <f>SUM(X31:X36)</f>
        <v>0</v>
      </c>
    </row>
    <row r="38" spans="2:24" x14ac:dyDescent="0.25">
      <c r="B38" t="s">
        <v>68</v>
      </c>
      <c r="C38" s="10"/>
      <c r="D38" s="10"/>
      <c r="E38" s="10"/>
      <c r="F38" s="10"/>
      <c r="G38" s="15">
        <v>20022</v>
      </c>
      <c r="L38" s="10"/>
      <c r="M38" s="10"/>
      <c r="N38" s="10"/>
      <c r="O38" s="10"/>
      <c r="P38" s="10"/>
      <c r="Q38" s="10"/>
      <c r="R38" s="10"/>
      <c r="S38" s="10">
        <f t="shared" si="29"/>
        <v>20022</v>
      </c>
      <c r="T38" s="10">
        <v>19664</v>
      </c>
      <c r="U38" s="10">
        <v>19549</v>
      </c>
      <c r="V38" s="10"/>
    </row>
    <row r="39" spans="2:24" x14ac:dyDescent="0.25">
      <c r="B39" t="s">
        <v>67</v>
      </c>
      <c r="C39" s="10"/>
      <c r="D39" s="10"/>
      <c r="E39" s="10"/>
      <c r="F39" s="10"/>
      <c r="G39" s="15">
        <v>35266</v>
      </c>
      <c r="L39" s="10"/>
      <c r="M39" s="10"/>
      <c r="N39" s="10"/>
      <c r="O39" s="10"/>
      <c r="P39" s="10"/>
      <c r="Q39" s="10"/>
      <c r="R39" s="10"/>
      <c r="S39" s="10">
        <f t="shared" si="29"/>
        <v>35266</v>
      </c>
      <c r="T39" s="10">
        <v>35443</v>
      </c>
      <c r="U39" s="10">
        <v>36338</v>
      </c>
      <c r="V39" s="10"/>
    </row>
    <row r="40" spans="2:24" x14ac:dyDescent="0.25">
      <c r="B40" t="s">
        <v>205</v>
      </c>
      <c r="C40" s="10"/>
      <c r="D40" s="10"/>
      <c r="E40" s="10"/>
      <c r="F40" s="10"/>
      <c r="G40" s="15">
        <v>43118</v>
      </c>
      <c r="L40" s="10"/>
      <c r="M40" s="10"/>
      <c r="N40" s="10"/>
      <c r="O40" s="10"/>
      <c r="P40" s="10"/>
      <c r="Q40" s="10"/>
      <c r="R40" s="10"/>
      <c r="S40" s="10">
        <f t="shared" si="29"/>
        <v>43118</v>
      </c>
      <c r="T40" s="10">
        <v>43743</v>
      </c>
      <c r="U40" s="10">
        <v>44957</v>
      </c>
      <c r="V40" s="10"/>
    </row>
    <row r="41" spans="2:24" x14ac:dyDescent="0.25">
      <c r="B41" t="s">
        <v>69</v>
      </c>
      <c r="C41" s="10"/>
      <c r="D41" s="10"/>
      <c r="E41" s="10"/>
      <c r="F41" s="10"/>
      <c r="G41" s="15">
        <v>443</v>
      </c>
      <c r="L41" s="10"/>
      <c r="M41" s="10"/>
      <c r="N41" s="10"/>
      <c r="O41" s="10"/>
      <c r="P41" s="10"/>
      <c r="Q41" s="10"/>
      <c r="R41" s="10"/>
      <c r="S41" s="10">
        <f t="shared" si="29"/>
        <v>443</v>
      </c>
      <c r="T41" s="10">
        <v>423</v>
      </c>
      <c r="U41" s="10">
        <v>523</v>
      </c>
      <c r="V41" s="10"/>
    </row>
    <row r="42" spans="2:24" x14ac:dyDescent="0.25">
      <c r="B42" t="s">
        <v>206</v>
      </c>
      <c r="C42" s="10"/>
      <c r="D42" s="10"/>
      <c r="E42" s="10"/>
      <c r="F42" s="10"/>
      <c r="G42" s="15">
        <v>1197</v>
      </c>
      <c r="L42" s="10"/>
      <c r="M42" s="10"/>
      <c r="N42" s="10"/>
      <c r="O42" s="10"/>
      <c r="P42" s="10"/>
      <c r="Q42" s="10"/>
      <c r="R42" s="10"/>
      <c r="S42" s="10">
        <f t="shared" si="29"/>
        <v>1197</v>
      </c>
      <c r="T42" s="10">
        <v>1240</v>
      </c>
      <c r="U42" s="10">
        <v>1206</v>
      </c>
      <c r="V42" s="10"/>
    </row>
    <row r="43" spans="2:24" x14ac:dyDescent="0.25">
      <c r="B43" t="s">
        <v>207</v>
      </c>
      <c r="C43" s="10"/>
      <c r="D43" s="10"/>
      <c r="E43" s="10"/>
      <c r="F43" s="10"/>
      <c r="G43" s="15">
        <f>50517+1387</f>
        <v>51904</v>
      </c>
      <c r="L43" s="10"/>
      <c r="M43" s="10"/>
      <c r="N43" s="10"/>
      <c r="O43" s="10"/>
      <c r="P43" s="10"/>
      <c r="Q43" s="10"/>
      <c r="R43" s="10"/>
      <c r="S43" s="10">
        <f t="shared" si="29"/>
        <v>51904</v>
      </c>
      <c r="T43" s="10">
        <f>51720+1182</f>
        <v>52902</v>
      </c>
      <c r="U43" s="10">
        <f>52653+1045</f>
        <v>53698</v>
      </c>
      <c r="V43" s="10"/>
    </row>
    <row r="44" spans="2:24" x14ac:dyDescent="0.25">
      <c r="B44" t="s">
        <v>17</v>
      </c>
      <c r="C44" s="10"/>
      <c r="D44" s="10"/>
      <c r="E44" s="10"/>
      <c r="F44" s="10"/>
      <c r="G44" s="15">
        <v>2431</v>
      </c>
      <c r="L44" s="10"/>
      <c r="M44" s="10"/>
      <c r="N44" s="10"/>
      <c r="O44" s="10"/>
      <c r="P44" s="10"/>
      <c r="Q44" s="10"/>
      <c r="R44" s="10"/>
      <c r="S44" s="10">
        <f t="shared" si="29"/>
        <v>2431</v>
      </c>
      <c r="T44" s="10">
        <v>2693</v>
      </c>
      <c r="U44" s="10">
        <v>2952</v>
      </c>
      <c r="V44" s="10"/>
    </row>
    <row r="45" spans="2:24" x14ac:dyDescent="0.25">
      <c r="B45" t="s">
        <v>21</v>
      </c>
      <c r="C45" s="10"/>
      <c r="D45" s="10"/>
      <c r="E45" s="10"/>
      <c r="F45" s="10"/>
      <c r="G45" s="15">
        <v>1537</v>
      </c>
      <c r="L45" s="10"/>
      <c r="M45" s="10"/>
      <c r="N45" s="10"/>
      <c r="O45" s="10"/>
      <c r="P45" s="10"/>
      <c r="Q45" s="10"/>
      <c r="R45" s="10"/>
      <c r="S45" s="10">
        <f t="shared" si="29"/>
        <v>1537</v>
      </c>
      <c r="T45" s="10">
        <v>1461</v>
      </c>
      <c r="U45" s="10">
        <v>1592</v>
      </c>
      <c r="V45" s="10"/>
    </row>
    <row r="46" spans="2:24" x14ac:dyDescent="0.25">
      <c r="B46" s="1" t="s">
        <v>22</v>
      </c>
      <c r="C46" s="11">
        <f>SUM(C37:C45)</f>
        <v>0</v>
      </c>
      <c r="D46" s="11">
        <f>SUM(D37:D45)</f>
        <v>0</v>
      </c>
      <c r="E46" s="11">
        <f>SUM(E37:E45)</f>
        <v>0</v>
      </c>
      <c r="F46" s="11">
        <f>SUM(F37:F45)</f>
        <v>0</v>
      </c>
      <c r="G46" s="14">
        <f>SUM(G37:G45)</f>
        <v>250890</v>
      </c>
      <c r="L46" s="11">
        <f>SUM(L37:L45)</f>
        <v>0</v>
      </c>
      <c r="M46" s="11">
        <f>SUM(M37:M45)</f>
        <v>0</v>
      </c>
      <c r="N46" s="11">
        <f>SUM(N37:N45)</f>
        <v>0</v>
      </c>
      <c r="O46" s="11">
        <f>SUM(O37:O45)</f>
        <v>0</v>
      </c>
      <c r="P46" s="11">
        <f>SUM(P37:P45)</f>
        <v>0</v>
      </c>
      <c r="Q46" s="11">
        <f>SUM(Q37:Q45)</f>
        <v>0</v>
      </c>
      <c r="R46" s="11">
        <f>SUM(R37:R45)</f>
        <v>0</v>
      </c>
      <c r="S46" s="11">
        <f>SUM(S37:S45)</f>
        <v>250890</v>
      </c>
      <c r="T46" s="11">
        <f>SUM(T37:T45)</f>
        <v>254326</v>
      </c>
      <c r="U46" s="11">
        <f>SUM(U37:U45)</f>
        <v>259096</v>
      </c>
      <c r="V46" s="11">
        <f>SUM(V37:V45)</f>
        <v>0</v>
      </c>
      <c r="W46" s="14">
        <f>SUM(W37:W45)</f>
        <v>0</v>
      </c>
      <c r="X46" s="11">
        <f>SUM(X37:X45)</f>
        <v>0</v>
      </c>
    </row>
    <row r="47" spans="2:24" x14ac:dyDescent="0.25">
      <c r="B47" t="s">
        <v>137</v>
      </c>
      <c r="C47" s="10"/>
      <c r="D47" s="10"/>
      <c r="E47" s="10"/>
      <c r="F47" s="10"/>
      <c r="G47" s="15">
        <v>9240</v>
      </c>
      <c r="L47" s="10"/>
      <c r="M47" s="10"/>
      <c r="N47" s="10"/>
      <c r="O47" s="10"/>
      <c r="P47" s="10"/>
      <c r="Q47" s="10"/>
      <c r="R47" s="10"/>
      <c r="S47" s="10">
        <f t="shared" si="29"/>
        <v>9240</v>
      </c>
      <c r="T47" s="10">
        <v>9356</v>
      </c>
      <c r="U47" s="10">
        <v>9606</v>
      </c>
      <c r="V47" s="10"/>
    </row>
    <row r="48" spans="2:24" x14ac:dyDescent="0.25">
      <c r="B48" t="s">
        <v>17</v>
      </c>
      <c r="C48" s="10"/>
      <c r="D48" s="10"/>
      <c r="E48" s="10"/>
      <c r="F48" s="10"/>
      <c r="G48" s="15">
        <v>7797</v>
      </c>
      <c r="L48" s="10"/>
      <c r="M48" s="10"/>
      <c r="N48" s="10"/>
      <c r="O48" s="10"/>
      <c r="P48" s="10"/>
      <c r="Q48" s="10"/>
      <c r="R48" s="10"/>
      <c r="S48" s="10">
        <f t="shared" si="29"/>
        <v>7797</v>
      </c>
      <c r="T48" s="10">
        <v>1557</v>
      </c>
      <c r="U48" s="10">
        <v>1078</v>
      </c>
      <c r="V48" s="10"/>
    </row>
    <row r="49" spans="2:24" x14ac:dyDescent="0.25">
      <c r="B49" t="s">
        <v>211</v>
      </c>
      <c r="C49" s="10"/>
      <c r="D49" s="10"/>
      <c r="E49" s="10"/>
      <c r="F49" s="10"/>
      <c r="G49" s="15">
        <v>2797</v>
      </c>
      <c r="L49" s="10"/>
      <c r="M49" s="10"/>
      <c r="N49" s="10"/>
      <c r="O49" s="10"/>
      <c r="P49" s="10"/>
      <c r="Q49" s="10"/>
      <c r="R49" s="10"/>
      <c r="S49" s="10">
        <f t="shared" si="29"/>
        <v>2797</v>
      </c>
      <c r="T49" s="10">
        <v>40752</v>
      </c>
      <c r="U49" s="10">
        <v>44534</v>
      </c>
      <c r="V49" s="10"/>
    </row>
    <row r="50" spans="2:24" x14ac:dyDescent="0.25">
      <c r="B50" t="s">
        <v>208</v>
      </c>
      <c r="C50" s="10"/>
      <c r="D50" s="10"/>
      <c r="E50" s="10"/>
      <c r="F50" s="10"/>
      <c r="G50" s="15">
        <v>52880</v>
      </c>
      <c r="L50" s="10"/>
      <c r="M50" s="10"/>
      <c r="N50" s="10"/>
      <c r="O50" s="10"/>
      <c r="P50" s="10"/>
      <c r="Q50" s="10"/>
      <c r="R50" s="10"/>
      <c r="S50" s="10">
        <f t="shared" si="29"/>
        <v>52880</v>
      </c>
      <c r="T50" s="10">
        <v>16378</v>
      </c>
      <c r="U50" s="10">
        <v>15938</v>
      </c>
      <c r="V50" s="10"/>
    </row>
    <row r="51" spans="2:24" x14ac:dyDescent="0.25">
      <c r="B51" t="s">
        <v>21</v>
      </c>
      <c r="C51" s="10"/>
      <c r="D51" s="10"/>
      <c r="E51" s="10"/>
      <c r="F51" s="10"/>
      <c r="G51" s="15">
        <v>7065</v>
      </c>
      <c r="L51" s="10"/>
      <c r="M51" s="10"/>
      <c r="N51" s="10"/>
      <c r="O51" s="10"/>
      <c r="P51" s="10"/>
      <c r="Q51" s="10"/>
      <c r="R51" s="10"/>
      <c r="S51" s="10">
        <f t="shared" si="29"/>
        <v>7065</v>
      </c>
      <c r="T51" s="10">
        <v>17401</v>
      </c>
      <c r="U51" s="10">
        <v>17917</v>
      </c>
      <c r="V51" s="10"/>
    </row>
    <row r="52" spans="2:24" s="1" customFormat="1" x14ac:dyDescent="0.25">
      <c r="B52" s="1" t="s">
        <v>56</v>
      </c>
      <c r="C52" s="11">
        <f>SUM(C47:C51)</f>
        <v>0</v>
      </c>
      <c r="D52" s="11">
        <f>SUM(D47:D51)</f>
        <v>0</v>
      </c>
      <c r="E52" s="11">
        <f>SUM(E47:E51)</f>
        <v>0</v>
      </c>
      <c r="F52" s="11">
        <f>SUM(F47:F51)</f>
        <v>0</v>
      </c>
      <c r="G52" s="14">
        <f>SUM(G47:G51)</f>
        <v>79779</v>
      </c>
      <c r="L52" s="11">
        <f>SUM(L47:L51)</f>
        <v>0</v>
      </c>
      <c r="M52" s="11">
        <f>SUM(M47:M51)</f>
        <v>0</v>
      </c>
      <c r="N52" s="11">
        <f>SUM(N47:N51)</f>
        <v>0</v>
      </c>
      <c r="O52" s="11">
        <f>SUM(O47:O51)</f>
        <v>0</v>
      </c>
      <c r="P52" s="11">
        <f>SUM(P47:P51)</f>
        <v>0</v>
      </c>
      <c r="Q52" s="11">
        <f>SUM(Q47:Q51)</f>
        <v>0</v>
      </c>
      <c r="R52" s="11">
        <f>SUM(R47:R51)</f>
        <v>0</v>
      </c>
      <c r="S52" s="11">
        <f>SUM(S47:S51)</f>
        <v>79779</v>
      </c>
      <c r="T52" s="11">
        <f>SUM(T47:T51)</f>
        <v>85444</v>
      </c>
      <c r="U52" s="11">
        <f>SUM(U47:U51)</f>
        <v>89073</v>
      </c>
      <c r="V52" s="11">
        <f>SUM(V47:V51)</f>
        <v>0</v>
      </c>
      <c r="W52" s="14">
        <f>SUM(W47:W51)</f>
        <v>0</v>
      </c>
      <c r="X52" s="11">
        <f>SUM(X47:X51)</f>
        <v>0</v>
      </c>
    </row>
    <row r="53" spans="2:24" x14ac:dyDescent="0.25">
      <c r="B53" t="s">
        <v>212</v>
      </c>
      <c r="C53" s="10"/>
      <c r="D53" s="10"/>
      <c r="E53" s="10"/>
      <c r="F53" s="10"/>
      <c r="G53" s="15">
        <v>9240</v>
      </c>
      <c r="L53" s="10"/>
      <c r="M53" s="10"/>
      <c r="N53" s="10"/>
      <c r="O53" s="10"/>
      <c r="P53" s="10"/>
      <c r="Q53" s="10"/>
      <c r="R53" s="10"/>
      <c r="S53" s="10">
        <f t="shared" si="29"/>
        <v>9240</v>
      </c>
      <c r="T53" s="10">
        <v>228</v>
      </c>
      <c r="U53" s="10">
        <v>226</v>
      </c>
      <c r="V53" s="10"/>
    </row>
    <row r="54" spans="2:24" x14ac:dyDescent="0.25">
      <c r="B54" t="s">
        <v>21</v>
      </c>
      <c r="C54" s="10"/>
      <c r="D54" s="10"/>
      <c r="E54" s="10"/>
      <c r="F54" s="10"/>
      <c r="G54" s="15">
        <v>1401</v>
      </c>
      <c r="L54" s="10"/>
      <c r="M54" s="10"/>
      <c r="N54" s="10"/>
      <c r="O54" s="10"/>
      <c r="P54" s="10"/>
      <c r="Q54" s="10"/>
      <c r="R54" s="10"/>
      <c r="S54" s="10">
        <f t="shared" si="29"/>
        <v>1401</v>
      </c>
      <c r="T54" s="10">
        <v>8152</v>
      </c>
      <c r="U54" s="10">
        <v>7911</v>
      </c>
      <c r="V54" s="10"/>
    </row>
    <row r="55" spans="2:24" x14ac:dyDescent="0.25">
      <c r="B55" t="s">
        <v>17</v>
      </c>
      <c r="C55" s="10"/>
      <c r="D55" s="10"/>
      <c r="E55" s="10"/>
      <c r="F55" s="10"/>
      <c r="G55" s="15">
        <v>42130</v>
      </c>
      <c r="L55" s="10"/>
      <c r="M55" s="10"/>
      <c r="N55" s="10"/>
      <c r="O55" s="10"/>
      <c r="P55" s="10"/>
      <c r="Q55" s="10"/>
      <c r="R55" s="10"/>
      <c r="S55" s="10">
        <f t="shared" si="29"/>
        <v>42130</v>
      </c>
      <c r="T55" s="10">
        <v>2981</v>
      </c>
      <c r="U55" s="10">
        <v>3192</v>
      </c>
      <c r="V55" s="10"/>
    </row>
    <row r="56" spans="2:24" x14ac:dyDescent="0.25">
      <c r="B56" t="s">
        <v>211</v>
      </c>
      <c r="C56" s="10"/>
      <c r="D56" s="10"/>
      <c r="E56" s="10"/>
      <c r="F56" s="10"/>
      <c r="G56" s="15">
        <v>15547</v>
      </c>
      <c r="L56" s="10"/>
      <c r="M56" s="10"/>
      <c r="N56" s="10"/>
      <c r="O56" s="10"/>
      <c r="P56" s="10"/>
      <c r="Q56" s="10"/>
      <c r="R56" s="10"/>
      <c r="S56" s="10">
        <f t="shared" si="29"/>
        <v>15547</v>
      </c>
      <c r="T56" s="10">
        <v>54386</v>
      </c>
      <c r="U56" s="10">
        <v>57726</v>
      </c>
      <c r="V56" s="10"/>
    </row>
    <row r="57" spans="2:24" x14ac:dyDescent="0.25">
      <c r="B57" t="s">
        <v>213</v>
      </c>
      <c r="C57" s="10"/>
      <c r="D57" s="10"/>
      <c r="E57" s="10"/>
      <c r="F57" s="10"/>
      <c r="G57" s="15">
        <v>18683</v>
      </c>
      <c r="L57" s="10"/>
      <c r="M57" s="10"/>
      <c r="N57" s="10"/>
      <c r="O57" s="10"/>
      <c r="P57" s="10"/>
      <c r="Q57" s="10"/>
      <c r="R57" s="10"/>
      <c r="S57" s="10">
        <f t="shared" si="29"/>
        <v>18683</v>
      </c>
      <c r="T57" s="10">
        <v>7496</v>
      </c>
      <c r="U57" s="10">
        <v>7494</v>
      </c>
      <c r="V57" s="10"/>
    </row>
    <row r="58" spans="2:24" x14ac:dyDescent="0.25">
      <c r="B58" s="1" t="s">
        <v>23</v>
      </c>
      <c r="C58" s="11">
        <f>SUM(C52:C57)</f>
        <v>0</v>
      </c>
      <c r="D58" s="11">
        <f>SUM(D52:D57)</f>
        <v>0</v>
      </c>
      <c r="E58" s="11">
        <f>SUM(E52:E57)</f>
        <v>0</v>
      </c>
      <c r="F58" s="11">
        <f>SUM(F52:F57)</f>
        <v>0</v>
      </c>
      <c r="G58" s="14">
        <f>SUM(G52:G57)</f>
        <v>166780</v>
      </c>
      <c r="L58" s="11">
        <f>SUM(L52:L57)</f>
        <v>0</v>
      </c>
      <c r="M58" s="11">
        <f>SUM(M52:M57)</f>
        <v>0</v>
      </c>
      <c r="N58" s="11">
        <f>SUM(N52:N57)</f>
        <v>0</v>
      </c>
      <c r="O58" s="11">
        <f>SUM(O52:O57)</f>
        <v>0</v>
      </c>
      <c r="P58" s="11">
        <f>SUM(P52:P57)</f>
        <v>0</v>
      </c>
      <c r="Q58" s="11">
        <f>SUM(Q52:Q57)</f>
        <v>0</v>
      </c>
      <c r="R58" s="11">
        <f>SUM(R52:R57)</f>
        <v>0</v>
      </c>
      <c r="S58" s="11">
        <f>SUM(S52:S57)</f>
        <v>166780</v>
      </c>
      <c r="T58" s="11">
        <f>SUM(T52:T57)</f>
        <v>158687</v>
      </c>
      <c r="U58" s="11">
        <f>SUM(U52:U57)</f>
        <v>165622</v>
      </c>
      <c r="V58" s="11">
        <f>SUM(V52:V57)</f>
        <v>0</v>
      </c>
      <c r="W58" s="14">
        <f>SUM(W52:W57)</f>
        <v>0</v>
      </c>
      <c r="X58" s="11">
        <f>SUM(X52:X57)</f>
        <v>0</v>
      </c>
    </row>
    <row r="59" spans="2:24" x14ac:dyDescent="0.25">
      <c r="B59" t="s">
        <v>69</v>
      </c>
      <c r="C59" s="10">
        <f>C46-C58</f>
        <v>0</v>
      </c>
      <c r="D59" s="10">
        <f>D46-D58</f>
        <v>0</v>
      </c>
      <c r="E59" s="10">
        <f>E46-E58</f>
        <v>0</v>
      </c>
      <c r="F59" s="10">
        <f>F46-F58</f>
        <v>0</v>
      </c>
      <c r="G59" s="15">
        <f>G46-G58</f>
        <v>84110</v>
      </c>
      <c r="L59" s="10">
        <f>L46-L58</f>
        <v>0</v>
      </c>
      <c r="M59" s="10">
        <f>M46-M58</f>
        <v>0</v>
      </c>
      <c r="N59" s="10">
        <f>N46-N58</f>
        <v>0</v>
      </c>
      <c r="O59" s="10">
        <f>O46-O58</f>
        <v>0</v>
      </c>
      <c r="P59" s="10">
        <f>P46-P58</f>
        <v>0</v>
      </c>
      <c r="Q59" s="10">
        <f>Q46-Q58</f>
        <v>0</v>
      </c>
      <c r="R59" s="10">
        <f>R46-R58</f>
        <v>0</v>
      </c>
      <c r="S59" s="10">
        <f>S46-S58</f>
        <v>84110</v>
      </c>
      <c r="T59" s="10">
        <f>T46-T58</f>
        <v>95639</v>
      </c>
      <c r="U59" s="10">
        <f>U46-U58</f>
        <v>93474</v>
      </c>
      <c r="V59" s="10">
        <f>V46-V58</f>
        <v>0</v>
      </c>
      <c r="W59" s="15">
        <f>W46-W58</f>
        <v>0</v>
      </c>
      <c r="X59" s="10">
        <f>X46-X58</f>
        <v>0</v>
      </c>
    </row>
    <row r="61" spans="2:24" s="1" customFormat="1" x14ac:dyDescent="0.25">
      <c r="B61" s="1" t="s">
        <v>71</v>
      </c>
      <c r="C61" s="51"/>
      <c r="D61" s="51"/>
      <c r="E61" s="51"/>
      <c r="F61" s="51"/>
      <c r="G61" s="52"/>
      <c r="W61" s="16"/>
    </row>
    <row r="79" spans="7:23" s="9" customFormat="1" x14ac:dyDescent="0.25">
      <c r="G79" s="40"/>
      <c r="W79" s="40"/>
    </row>
    <row r="80" spans="7:23" s="1" customFormat="1" x14ac:dyDescent="0.25">
      <c r="G80" s="16"/>
      <c r="W8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30</v>
      </c>
      <c r="P1" t="s">
        <v>34</v>
      </c>
      <c r="Q1" t="s">
        <v>35</v>
      </c>
      <c r="R1" t="s">
        <v>57</v>
      </c>
      <c r="S1" t="s">
        <v>60</v>
      </c>
      <c r="T1" t="s">
        <v>125</v>
      </c>
      <c r="U1" t="s">
        <v>126</v>
      </c>
    </row>
    <row r="2" spans="1:21" x14ac:dyDescent="0.25">
      <c r="A2" s="126" t="s">
        <v>128</v>
      </c>
    </row>
    <row r="3" spans="1:21" x14ac:dyDescent="0.25">
      <c r="A3" t="s">
        <v>162</v>
      </c>
      <c r="B3" s="10"/>
      <c r="C3" s="10"/>
      <c r="D3" s="10"/>
      <c r="E3" s="10"/>
      <c r="F3" s="10">
        <v>947235</v>
      </c>
      <c r="G3" s="10"/>
      <c r="H3" s="10"/>
      <c r="I3" s="10"/>
      <c r="J3" s="10"/>
      <c r="K3" s="10"/>
      <c r="L3" s="10"/>
      <c r="M3" s="10"/>
      <c r="N3" s="10">
        <v>216270</v>
      </c>
      <c r="O3" s="10">
        <v>232994</v>
      </c>
      <c r="P3" s="10">
        <v>221735</v>
      </c>
      <c r="Q3" s="10"/>
      <c r="R3" s="10">
        <v>228003</v>
      </c>
      <c r="S3" s="10">
        <v>232790</v>
      </c>
      <c r="T3" s="10">
        <v>219488</v>
      </c>
      <c r="U3" s="10">
        <f>F3-T3-S3-R3</f>
        <v>266954</v>
      </c>
    </row>
    <row r="4" spans="1:21" x14ac:dyDescent="0.25">
      <c r="A4" t="s">
        <v>163</v>
      </c>
      <c r="B4" s="10"/>
      <c r="C4" s="10"/>
      <c r="D4" s="10"/>
      <c r="E4" s="10"/>
      <c r="F4" s="10">
        <v>480994</v>
      </c>
      <c r="G4" s="10"/>
      <c r="H4" s="10"/>
      <c r="I4" s="10"/>
      <c r="J4" s="10"/>
      <c r="K4" s="10"/>
      <c r="L4" s="10"/>
      <c r="M4" s="10"/>
      <c r="N4" s="10">
        <v>107885</v>
      </c>
      <c r="O4" s="10">
        <v>117790</v>
      </c>
      <c r="P4" s="10">
        <v>113823</v>
      </c>
      <c r="Q4" s="10"/>
      <c r="R4" s="10">
        <v>108959</v>
      </c>
      <c r="S4" s="10">
        <v>121182</v>
      </c>
      <c r="T4" s="10">
        <v>101561</v>
      </c>
      <c r="U4" s="10">
        <f>F4-T4-S4-R4</f>
        <v>149292</v>
      </c>
    </row>
    <row r="5" spans="1:21" x14ac:dyDescent="0.25">
      <c r="A5" t="s">
        <v>127</v>
      </c>
      <c r="B5" s="10"/>
      <c r="C5" s="10"/>
      <c r="D5" s="10"/>
      <c r="E5" s="10"/>
      <c r="F5" s="10">
        <v>714530</v>
      </c>
      <c r="G5" s="10"/>
      <c r="H5" s="10"/>
      <c r="I5" s="10"/>
      <c r="J5" s="10"/>
      <c r="K5" s="10"/>
      <c r="L5" s="10"/>
      <c r="M5" s="10"/>
      <c r="N5" s="10">
        <v>195100</v>
      </c>
      <c r="O5" s="10">
        <v>198161</v>
      </c>
      <c r="P5" s="10">
        <v>210659</v>
      </c>
      <c r="Q5" s="10"/>
      <c r="R5" s="10">
        <v>187692</v>
      </c>
      <c r="S5" s="10">
        <v>188661</v>
      </c>
      <c r="T5" s="10">
        <v>147839</v>
      </c>
      <c r="U5" s="10">
        <f>F5-T5-S5-R5</f>
        <v>190338</v>
      </c>
    </row>
    <row r="6" spans="1:21" x14ac:dyDescent="0.25">
      <c r="A6" t="s">
        <v>164</v>
      </c>
      <c r="B6" s="10"/>
      <c r="C6" s="10"/>
      <c r="D6" s="10"/>
      <c r="E6" s="10"/>
      <c r="F6" s="10">
        <v>308045</v>
      </c>
      <c r="G6" s="10"/>
      <c r="H6" s="10"/>
      <c r="I6" s="10"/>
      <c r="J6" s="10"/>
      <c r="K6" s="10"/>
      <c r="L6" s="10"/>
      <c r="M6" s="10"/>
      <c r="N6" s="10">
        <f>251927-N5+12086</f>
        <v>68913</v>
      </c>
      <c r="O6" s="10">
        <f>261242-O5+14700</f>
        <v>77781</v>
      </c>
      <c r="P6" s="10">
        <f>272255-P5+13886</f>
        <v>75482</v>
      </c>
      <c r="Q6" s="10"/>
      <c r="R6" s="10">
        <f>244697-R5+12874</f>
        <v>69879</v>
      </c>
      <c r="S6" s="10">
        <f>249870-S5+14901</f>
        <v>76110</v>
      </c>
      <c r="T6" s="10">
        <f>206624-T5+13208</f>
        <v>71993</v>
      </c>
      <c r="U6" s="10">
        <f>F6-T6-S6-R6</f>
        <v>90063</v>
      </c>
    </row>
    <row r="7" spans="1:21" s="1" customFormat="1" x14ac:dyDescent="0.25">
      <c r="A7" s="1" t="s">
        <v>128</v>
      </c>
      <c r="B7" s="11"/>
      <c r="C7" s="11"/>
      <c r="D7" s="11">
        <f>SUM(D3:D6)</f>
        <v>0</v>
      </c>
      <c r="E7" s="11">
        <f>SUM(E3:E6)</f>
        <v>0</v>
      </c>
      <c r="F7" s="11">
        <f>SUM(F3:F6)</f>
        <v>2450804</v>
      </c>
      <c r="G7" s="11"/>
      <c r="H7" s="11"/>
      <c r="I7" s="11"/>
      <c r="J7" s="11">
        <f>SUM(J3:J6)</f>
        <v>0</v>
      </c>
      <c r="K7" s="11">
        <f>SUM(K3:K6)</f>
        <v>0</v>
      </c>
      <c r="L7" s="11">
        <f>SUM(L3:L6)</f>
        <v>0</v>
      </c>
      <c r="M7" s="11">
        <f>SUM(M3:M6)</f>
        <v>0</v>
      </c>
      <c r="N7" s="11">
        <f>SUM(N3:N6)</f>
        <v>588168</v>
      </c>
      <c r="O7" s="11">
        <f>SUM(O3:O6)</f>
        <v>626726</v>
      </c>
      <c r="P7" s="11">
        <f>SUM(P3:P6)</f>
        <v>621699</v>
      </c>
      <c r="Q7" s="11">
        <f>SUM(Q3:Q6)</f>
        <v>0</v>
      </c>
      <c r="R7" s="11">
        <f>SUM(R3:R6)</f>
        <v>594533</v>
      </c>
      <c r="S7" s="11">
        <f>SUM(S3:S6)</f>
        <v>618743</v>
      </c>
      <c r="T7" s="11">
        <f>SUM(T3:T6)</f>
        <v>540881</v>
      </c>
      <c r="U7" s="11">
        <f>SUM(U3:U6)</f>
        <v>696647</v>
      </c>
    </row>
    <row r="8" spans="1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t="s">
        <v>165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3" t="e">
        <f>N3/J3-1</f>
        <v>#DIV/0!</v>
      </c>
      <c r="O9" s="3" t="e">
        <f>O3/K3-1</f>
        <v>#DIV/0!</v>
      </c>
      <c r="P9" s="3" t="e">
        <f>P3/L3-1</f>
        <v>#DIV/0!</v>
      </c>
      <c r="Q9" s="3" t="e">
        <f>Q3/M3-1</f>
        <v>#DIV/0!</v>
      </c>
      <c r="R9" s="3">
        <f>T3/N3-1</f>
        <v>1.4879548712257717E-2</v>
      </c>
      <c r="S9" s="3">
        <f>S3/O3-1</f>
        <v>-8.7555902727110002E-4</v>
      </c>
      <c r="T9" s="129">
        <f>T3/P3-1</f>
        <v>-1.013371817710329E-2</v>
      </c>
      <c r="U9" s="129" t="e">
        <f>U3/Q3-1</f>
        <v>#DIV/0!</v>
      </c>
    </row>
    <row r="10" spans="1:21" x14ac:dyDescent="0.25">
      <c r="A10" t="s">
        <v>129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 t="e">
        <f>N4/J4-1</f>
        <v>#DIV/0!</v>
      </c>
      <c r="O10" s="3" t="e">
        <f>O4/K4-1</f>
        <v>#DIV/0!</v>
      </c>
      <c r="P10" s="3" t="e">
        <f>P4/L4-1</f>
        <v>#DIV/0!</v>
      </c>
      <c r="Q10" s="3" t="e">
        <f>Q4/M4-1</f>
        <v>#DIV/0!</v>
      </c>
      <c r="R10" s="3">
        <f>R4/N4-1</f>
        <v>9.9550447235481343E-3</v>
      </c>
      <c r="S10" s="3">
        <f>S4/O4-1</f>
        <v>2.8797011630868452E-2</v>
      </c>
      <c r="T10" s="3">
        <f>T4/P4-1</f>
        <v>-0.10772866643824186</v>
      </c>
      <c r="U10" s="3" t="e">
        <f>U4/Q4-1</f>
        <v>#DIV/0!</v>
      </c>
    </row>
    <row r="11" spans="1:21" x14ac:dyDescent="0.25">
      <c r="A11" t="s">
        <v>130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 t="e">
        <f>N5/J5-1</f>
        <v>#DIV/0!</v>
      </c>
      <c r="O11" s="3" t="e">
        <f>O5/K5-1</f>
        <v>#DIV/0!</v>
      </c>
      <c r="P11" s="3" t="e">
        <f>P5/L5-1</f>
        <v>#DIV/0!</v>
      </c>
      <c r="Q11" s="3" t="e">
        <f>Q5/M5-1</f>
        <v>#DIV/0!</v>
      </c>
      <c r="R11" s="3">
        <f>R5/N5-1</f>
        <v>-3.7970271655561216E-2</v>
      </c>
      <c r="S11" s="3">
        <f>S5/O5-1</f>
        <v>-4.7940815801292835E-2</v>
      </c>
      <c r="T11" s="129">
        <f>T5/P5-1</f>
        <v>-0.29820705500358402</v>
      </c>
      <c r="U11" s="129" t="e">
        <f>U5/Q5-1</f>
        <v>#DIV/0!</v>
      </c>
    </row>
    <row r="12" spans="1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25" t="s">
        <v>166</v>
      </c>
      <c r="B13" s="10">
        <v>44541</v>
      </c>
      <c r="C13" s="10">
        <v>103854</v>
      </c>
      <c r="D13" s="10">
        <v>215752</v>
      </c>
      <c r="E13" s="10">
        <v>375716</v>
      </c>
      <c r="F13" s="10">
        <v>426594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25" t="s">
        <v>177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0">
        <v>8.7999999999999995E-2</v>
      </c>
      <c r="M14" s="150">
        <v>0.13500000000000001</v>
      </c>
      <c r="N14" s="150">
        <v>0.11</v>
      </c>
      <c r="O14" s="150">
        <v>0.14000000000000001</v>
      </c>
      <c r="P14" s="150">
        <v>0.151</v>
      </c>
      <c r="Q14" s="150">
        <v>0.18</v>
      </c>
      <c r="R14" s="150">
        <v>0.14000000000000001</v>
      </c>
      <c r="S14" s="150">
        <v>0.17399999999999999</v>
      </c>
      <c r="T14" s="150">
        <v>0.191</v>
      </c>
      <c r="U14" s="150"/>
    </row>
    <row r="15" spans="1:21" x14ac:dyDescent="0.25">
      <c r="A15" t="s">
        <v>178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52037</v>
      </c>
      <c r="Q15" s="10"/>
      <c r="R15" s="10"/>
      <c r="S15" s="10"/>
      <c r="T15" s="10">
        <v>50364</v>
      </c>
      <c r="U15" s="10"/>
    </row>
    <row r="16" spans="1:2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s="1" customFormat="1" x14ac:dyDescent="0.25">
      <c r="A19" s="1" t="s">
        <v>128</v>
      </c>
      <c r="B19" s="11"/>
      <c r="C19" s="11">
        <f t="shared" ref="C19:D19" si="0">SUM(C13:C18)</f>
        <v>103854</v>
      </c>
      <c r="D19" s="11">
        <f t="shared" si="0"/>
        <v>215752</v>
      </c>
      <c r="E19" s="11">
        <f>SUM(E13:E18)</f>
        <v>375716</v>
      </c>
      <c r="F19" s="11">
        <f>SUM(F13:F18)</f>
        <v>426594</v>
      </c>
      <c r="G19" s="11">
        <f>SUM(G13:G18)</f>
        <v>0</v>
      </c>
      <c r="H19" s="11"/>
      <c r="I19" s="11"/>
      <c r="J19" s="11">
        <f>SUM(J13:J18)</f>
        <v>0</v>
      </c>
      <c r="K19" s="11">
        <f t="shared" ref="K19:U19" si="1">SUM(K13:K18)</f>
        <v>0</v>
      </c>
      <c r="L19" s="11">
        <f t="shared" si="1"/>
        <v>8.7999999999999995E-2</v>
      </c>
      <c r="M19" s="11">
        <f t="shared" si="1"/>
        <v>0.13500000000000001</v>
      </c>
      <c r="N19" s="11">
        <f t="shared" si="1"/>
        <v>0.11</v>
      </c>
      <c r="O19" s="11">
        <f t="shared" si="1"/>
        <v>0.14000000000000001</v>
      </c>
      <c r="P19" s="11">
        <f t="shared" si="1"/>
        <v>52037.150999999998</v>
      </c>
      <c r="Q19" s="11">
        <f t="shared" si="1"/>
        <v>0.18</v>
      </c>
      <c r="R19" s="11">
        <f t="shared" si="1"/>
        <v>0.14000000000000001</v>
      </c>
      <c r="S19" s="11">
        <f t="shared" si="1"/>
        <v>0.17399999999999999</v>
      </c>
      <c r="T19" s="11">
        <f t="shared" si="1"/>
        <v>50364.190999999999</v>
      </c>
      <c r="U19" s="11">
        <f t="shared" si="1"/>
        <v>0</v>
      </c>
    </row>
    <row r="21" spans="1:21" x14ac:dyDescent="0.25">
      <c r="A21" t="s">
        <v>167</v>
      </c>
      <c r="D21" s="3">
        <f>D13/C13-1</f>
        <v>1.0774548885936026</v>
      </c>
      <c r="E21" s="3">
        <f>E13/D13-1</f>
        <v>0.74142534020542095</v>
      </c>
      <c r="F21" s="3">
        <f>F13/E13-1</f>
        <v>0.13541611216983029</v>
      </c>
      <c r="N21" s="3" t="e">
        <f t="shared" ref="N21:Q21" si="2">N13/J13-1</f>
        <v>#DIV/0!</v>
      </c>
      <c r="O21" s="3" t="e">
        <f t="shared" si="2"/>
        <v>#DIV/0!</v>
      </c>
      <c r="P21" s="3" t="e">
        <f t="shared" si="2"/>
        <v>#DIV/0!</v>
      </c>
      <c r="Q21" s="3" t="e">
        <f t="shared" si="2"/>
        <v>#DIV/0!</v>
      </c>
      <c r="R21" s="3" t="e">
        <f>R13/N13-1</f>
        <v>#DIV/0!</v>
      </c>
      <c r="S21" s="3" t="e">
        <f>S13/O13-1</f>
        <v>#DIV/0!</v>
      </c>
      <c r="T21" s="129" t="e">
        <f>T13/P13-1</f>
        <v>#DIV/0!</v>
      </c>
      <c r="U21" s="129" t="e">
        <f>U13/Q13-1</f>
        <v>#DIV/0!</v>
      </c>
    </row>
    <row r="22" spans="1:21" x14ac:dyDescent="0.25">
      <c r="A22" t="s">
        <v>132</v>
      </c>
      <c r="D22" s="3" t="e">
        <f>((D15+D16)/(C15+C16))-1</f>
        <v>#DIV/0!</v>
      </c>
      <c r="E22" s="3" t="e">
        <f>((E15+E16)/(D15+D16))-1</f>
        <v>#DIV/0!</v>
      </c>
      <c r="F22" s="3" t="e">
        <f>((F15+F16)/(E15+E16))-1</f>
        <v>#DIV/0!</v>
      </c>
      <c r="N22" s="3" t="e">
        <f>((N15+N16)/(J15+J16))-1</f>
        <v>#DIV/0!</v>
      </c>
      <c r="O22" s="3" t="e">
        <f t="shared" ref="O22:Q22" si="3">((O15+O16)/(K15+K16))-1</f>
        <v>#DIV/0!</v>
      </c>
      <c r="P22" s="3" t="e">
        <f t="shared" si="3"/>
        <v>#DIV/0!</v>
      </c>
      <c r="Q22" s="3" t="e">
        <f t="shared" si="3"/>
        <v>#DIV/0!</v>
      </c>
      <c r="R22" s="3" t="e">
        <f>((R15+R16)/(N15+N16))-1</f>
        <v>#DIV/0!</v>
      </c>
      <c r="S22" s="3" t="e">
        <f>((S15+S16)/(O15+O16))-1</f>
        <v>#DIV/0!</v>
      </c>
      <c r="T22" s="3">
        <f>((T15+T16)/(P15+P16))-1</f>
        <v>-3.2150200818648278E-2</v>
      </c>
      <c r="U22" s="3" t="e">
        <f>((U15+U16)/(Q15+Q16))-1</f>
        <v>#DIV/0!</v>
      </c>
    </row>
    <row r="23" spans="1:21" x14ac:dyDescent="0.25">
      <c r="A23" t="s">
        <v>131</v>
      </c>
      <c r="D23" s="130" t="e">
        <f>D18/C18-1</f>
        <v>#DIV/0!</v>
      </c>
      <c r="E23" s="130" t="e">
        <f>E18/D18-1</f>
        <v>#DIV/0!</v>
      </c>
      <c r="F23" s="129" t="e">
        <f>F18/E18-1</f>
        <v>#DIV/0!</v>
      </c>
      <c r="N23" s="3" t="e">
        <f t="shared" ref="N23:Q23" si="4">N18/J18-1</f>
        <v>#DIV/0!</v>
      </c>
      <c r="O23" s="3" t="e">
        <f t="shared" si="4"/>
        <v>#DIV/0!</v>
      </c>
      <c r="P23" s="3" t="e">
        <f t="shared" si="4"/>
        <v>#DIV/0!</v>
      </c>
      <c r="Q23" s="3" t="e">
        <f t="shared" si="4"/>
        <v>#DIV/0!</v>
      </c>
      <c r="R23" s="129" t="e">
        <f>R18/N18-1</f>
        <v>#DIV/0!</v>
      </c>
      <c r="S23" s="129" t="e">
        <f>S18/O18-1</f>
        <v>#DIV/0!</v>
      </c>
      <c r="T23" s="129" t="e">
        <f>T18/P18-1</f>
        <v>#DIV/0!</v>
      </c>
      <c r="U23" s="129" t="e">
        <f>U18/Q18-1</f>
        <v>#DIV/0!</v>
      </c>
    </row>
    <row r="26" spans="1:21" x14ac:dyDescent="0.25">
      <c r="A26" s="126" t="s">
        <v>5</v>
      </c>
    </row>
    <row r="27" spans="1:21" s="1" customFormat="1" x14ac:dyDescent="0.25">
      <c r="A27" s="153" t="s">
        <v>179</v>
      </c>
      <c r="B27" s="11"/>
      <c r="C27" s="11"/>
      <c r="D27" s="11"/>
      <c r="E27" s="11"/>
      <c r="F27" s="11"/>
      <c r="G27" s="11"/>
      <c r="H27" s="11"/>
      <c r="I27" s="11"/>
      <c r="J27" s="11"/>
      <c r="K27" s="11">
        <f t="shared" ref="K27:S27" si="5">SUM(K28:K30)</f>
        <v>0</v>
      </c>
      <c r="L27" s="11">
        <f t="shared" si="5"/>
        <v>0</v>
      </c>
      <c r="M27" s="11">
        <f t="shared" si="5"/>
        <v>0</v>
      </c>
      <c r="N27" s="11">
        <f t="shared" si="5"/>
        <v>64647</v>
      </c>
      <c r="O27" s="11">
        <f t="shared" si="5"/>
        <v>88289</v>
      </c>
      <c r="P27" s="11">
        <f t="shared" si="5"/>
        <v>93931</v>
      </c>
      <c r="Q27" s="11">
        <f t="shared" si="5"/>
        <v>0</v>
      </c>
      <c r="R27" s="11">
        <f t="shared" si="5"/>
        <v>82689</v>
      </c>
      <c r="S27" s="11">
        <f t="shared" si="5"/>
        <v>107925</v>
      </c>
      <c r="T27" s="11">
        <f>SUM(T28:T30)</f>
        <v>103438</v>
      </c>
      <c r="U27" s="11">
        <f>SUM(U28:U30)</f>
        <v>0</v>
      </c>
    </row>
    <row r="28" spans="1:21" x14ac:dyDescent="0.25">
      <c r="A28" s="125" t="s">
        <v>139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>
        <v>55979</v>
      </c>
      <c r="O28" s="10">
        <f>133927-N28</f>
        <v>77948</v>
      </c>
      <c r="P28" s="10">
        <f>217138-O28-N28</f>
        <v>83211</v>
      </c>
      <c r="Q28" s="10"/>
      <c r="R28" s="10">
        <v>78682</v>
      </c>
      <c r="S28" s="10">
        <f>179554-R28</f>
        <v>100872</v>
      </c>
      <c r="T28" s="10">
        <f>266152-S28-R28</f>
        <v>86598</v>
      </c>
    </row>
    <row r="29" spans="1:21" x14ac:dyDescent="0.25">
      <c r="A29" t="s">
        <v>180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8668</v>
      </c>
      <c r="O29" s="10">
        <f>19009-N29</f>
        <v>10341</v>
      </c>
      <c r="P29" s="10">
        <f>29729-O29-N29</f>
        <v>10720</v>
      </c>
      <c r="Q29" s="10"/>
      <c r="R29" s="10">
        <v>3428</v>
      </c>
      <c r="S29" s="10">
        <f>9950-R29</f>
        <v>6522</v>
      </c>
      <c r="T29" s="10">
        <f>26483-S29-R29</f>
        <v>16533</v>
      </c>
    </row>
    <row r="30" spans="1:21" x14ac:dyDescent="0.25">
      <c r="A30" t="s">
        <v>181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v>0</v>
      </c>
      <c r="Q30" s="10"/>
      <c r="R30" s="10">
        <v>579</v>
      </c>
      <c r="S30" s="10">
        <f>1110-R30</f>
        <v>531</v>
      </c>
      <c r="T30" s="10">
        <f>1417-S30-R30</f>
        <v>307</v>
      </c>
    </row>
    <row r="31" spans="1:21" s="1" customFormat="1" x14ac:dyDescent="0.25">
      <c r="A31" s="152" t="s">
        <v>182</v>
      </c>
      <c r="B31" s="11"/>
      <c r="C31" s="11"/>
      <c r="D31" s="11"/>
      <c r="E31" s="11"/>
      <c r="F31" s="11"/>
      <c r="G31" s="11"/>
      <c r="H31" s="11"/>
      <c r="I31" s="11"/>
      <c r="J31" s="11"/>
      <c r="K31" s="11">
        <f t="shared" ref="K31:S31" si="6">SUM(K32:K33)</f>
        <v>0</v>
      </c>
      <c r="L31" s="11">
        <f t="shared" si="6"/>
        <v>0</v>
      </c>
      <c r="M31" s="11">
        <f t="shared" si="6"/>
        <v>0</v>
      </c>
      <c r="N31" s="11">
        <f t="shared" si="6"/>
        <v>45839</v>
      </c>
      <c r="O31" s="11">
        <f t="shared" si="6"/>
        <v>46693</v>
      </c>
      <c r="P31" s="11">
        <f t="shared" si="6"/>
        <v>46012</v>
      </c>
      <c r="Q31" s="11">
        <f t="shared" si="6"/>
        <v>0</v>
      </c>
      <c r="R31" s="11">
        <f t="shared" si="6"/>
        <v>39893</v>
      </c>
      <c r="S31" s="11">
        <f t="shared" si="6"/>
        <v>38550</v>
      </c>
      <c r="T31" s="11">
        <f>SUM(T32:T33)</f>
        <v>36625</v>
      </c>
      <c r="U31" s="11">
        <f>SUM(U32:U33)</f>
        <v>0</v>
      </c>
    </row>
    <row r="32" spans="1:21" x14ac:dyDescent="0.25">
      <c r="A32" t="s">
        <v>139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>
        <v>41514</v>
      </c>
      <c r="O32" s="10">
        <f>83427-N32</f>
        <v>41913</v>
      </c>
      <c r="P32" s="10">
        <f>125891-O32-N32</f>
        <v>42464</v>
      </c>
      <c r="Q32" s="10"/>
      <c r="R32" s="10">
        <v>38334</v>
      </c>
      <c r="S32" s="10">
        <f>76265-R32</f>
        <v>37931</v>
      </c>
      <c r="T32" s="10">
        <f>112698-S32-R32</f>
        <v>36433</v>
      </c>
    </row>
    <row r="33" spans="1:21" x14ac:dyDescent="0.25">
      <c r="A33" t="s">
        <v>180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4325</v>
      </c>
      <c r="O33" s="10">
        <f>9105-N33</f>
        <v>4780</v>
      </c>
      <c r="P33" s="10">
        <f>12653-O33-N33</f>
        <v>3548</v>
      </c>
      <c r="Q33" s="10"/>
      <c r="R33" s="10">
        <v>1559</v>
      </c>
      <c r="S33" s="10">
        <f>2178-R33</f>
        <v>619</v>
      </c>
      <c r="T33" s="10">
        <f>2370-S33-R33</f>
        <v>192</v>
      </c>
    </row>
    <row r="34" spans="1:21" x14ac:dyDescent="0.25">
      <c r="A34" s="1" t="s">
        <v>198</v>
      </c>
      <c r="B34" s="11"/>
      <c r="C34" s="11">
        <f t="shared" ref="C34:F34" si="7">SUM(C27:C33)</f>
        <v>0</v>
      </c>
      <c r="D34" s="11">
        <f t="shared" si="7"/>
        <v>0</v>
      </c>
      <c r="E34" s="11">
        <f t="shared" si="7"/>
        <v>0</v>
      </c>
      <c r="F34" s="11">
        <f t="shared" si="7"/>
        <v>0</v>
      </c>
      <c r="G34" s="11"/>
      <c r="H34" s="11"/>
      <c r="I34" s="11"/>
      <c r="J34" s="11">
        <f>SUM(J27:J33)</f>
        <v>0</v>
      </c>
      <c r="K34" s="11">
        <f t="shared" ref="K34" si="8">SUM(K27:K33)</f>
        <v>0</v>
      </c>
      <c r="L34" s="11">
        <f t="shared" ref="L34" si="9">SUM(L27:L33)</f>
        <v>0</v>
      </c>
      <c r="M34" s="11">
        <f t="shared" ref="M34" si="10">SUM(M27:M33)</f>
        <v>0</v>
      </c>
      <c r="N34" s="11">
        <f t="shared" ref="N34" si="11">SUM(N27:N33)</f>
        <v>220972</v>
      </c>
      <c r="O34" s="11">
        <f t="shared" ref="O34" si="12">SUM(O27:O33)</f>
        <v>269964</v>
      </c>
      <c r="P34" s="11">
        <f t="shared" ref="P34" si="13">SUM(P27:P33)</f>
        <v>279886</v>
      </c>
      <c r="Q34" s="11">
        <f t="shared" ref="Q34" si="14">SUM(Q27:Q33)</f>
        <v>0</v>
      </c>
      <c r="R34" s="11">
        <f t="shared" ref="R34" si="15">SUM(R27:R33)</f>
        <v>245164</v>
      </c>
      <c r="S34" s="11">
        <f t="shared" ref="S34:U34" si="16">SUM(S27:S33)</f>
        <v>292950</v>
      </c>
      <c r="T34" s="11">
        <f t="shared" si="16"/>
        <v>280126</v>
      </c>
      <c r="U34" s="11">
        <f t="shared" si="16"/>
        <v>0</v>
      </c>
    </row>
    <row r="36" spans="1:21" x14ac:dyDescent="0.25">
      <c r="A36" t="s">
        <v>183</v>
      </c>
      <c r="D36" s="3" t="e">
        <f>D27/C27-1</f>
        <v>#DIV/0!</v>
      </c>
      <c r="E36" s="3" t="e">
        <f>E27/D27-1</f>
        <v>#DIV/0!</v>
      </c>
      <c r="F36" s="3" t="e">
        <f>F27/E27-1</f>
        <v>#DIV/0!</v>
      </c>
      <c r="K36" s="3" t="e">
        <f t="shared" ref="K36:Q36" si="17">K27/G27-1</f>
        <v>#DIV/0!</v>
      </c>
      <c r="L36" s="3" t="e">
        <f t="shared" si="17"/>
        <v>#DIV/0!</v>
      </c>
      <c r="M36" s="3" t="e">
        <f t="shared" si="17"/>
        <v>#DIV/0!</v>
      </c>
      <c r="N36" s="3" t="e">
        <f t="shared" si="17"/>
        <v>#DIV/0!</v>
      </c>
      <c r="O36" s="3" t="e">
        <f t="shared" si="17"/>
        <v>#DIV/0!</v>
      </c>
      <c r="P36" s="3" t="e">
        <f t="shared" si="17"/>
        <v>#DIV/0!</v>
      </c>
      <c r="Q36" s="3" t="e">
        <f t="shared" si="17"/>
        <v>#DIV/0!</v>
      </c>
      <c r="R36" s="3">
        <f>R27/N27-1</f>
        <v>0.27908487632836798</v>
      </c>
      <c r="S36" s="3">
        <f>S27/O27-1</f>
        <v>0.2224059622376513</v>
      </c>
      <c r="T36" s="129">
        <f>T27/P27-1</f>
        <v>0.10121259222195023</v>
      </c>
      <c r="U36" s="129" t="e">
        <f>U27/Q27-1</f>
        <v>#DIV/0!</v>
      </c>
    </row>
    <row r="37" spans="1:21" x14ac:dyDescent="0.25">
      <c r="A37" t="s">
        <v>184</v>
      </c>
      <c r="D37" s="3" t="e">
        <f>((D29+D30)/(C29+C30))-1</f>
        <v>#DIV/0!</v>
      </c>
      <c r="E37" s="3" t="e">
        <f>((E29+E30)/(D29+D30))-1</f>
        <v>#DIV/0!</v>
      </c>
      <c r="F37" s="3" t="e">
        <f>((F29+F30)/(E29+E30))-1</f>
        <v>#DIV/0!</v>
      </c>
      <c r="K37" s="3" t="e">
        <f t="shared" ref="K37:Q37" si="18">K31/G31-1</f>
        <v>#DIV/0!</v>
      </c>
      <c r="L37" s="3" t="e">
        <f t="shared" si="18"/>
        <v>#DIV/0!</v>
      </c>
      <c r="M37" s="3" t="e">
        <f t="shared" si="18"/>
        <v>#DIV/0!</v>
      </c>
      <c r="N37" s="3" t="e">
        <f t="shared" si="18"/>
        <v>#DIV/0!</v>
      </c>
      <c r="O37" s="3" t="e">
        <f t="shared" si="18"/>
        <v>#DIV/0!</v>
      </c>
      <c r="P37" s="3" t="e">
        <f t="shared" si="18"/>
        <v>#DIV/0!</v>
      </c>
      <c r="Q37" s="3" t="e">
        <f t="shared" si="18"/>
        <v>#DIV/0!</v>
      </c>
      <c r="R37" s="129">
        <f>R31/N31-1</f>
        <v>-0.12971487161587292</v>
      </c>
      <c r="S37" s="129">
        <f>S31/O31-1</f>
        <v>-0.17439444884672217</v>
      </c>
      <c r="T37" s="129">
        <f>T31/P31-1</f>
        <v>-0.20401199687038163</v>
      </c>
      <c r="U37" s="129" t="e">
        <f>U31/Q31-1</f>
        <v>#DIV/0!</v>
      </c>
    </row>
    <row r="38" spans="1:21" s="154" customFormat="1" x14ac:dyDescent="0.25">
      <c r="D38" s="130"/>
      <c r="E38" s="130"/>
      <c r="F38" s="130"/>
      <c r="N38" s="130"/>
      <c r="O38" s="130"/>
      <c r="P38" s="130"/>
      <c r="Q38" s="130"/>
      <c r="R38" s="130"/>
      <c r="S38" s="130"/>
      <c r="T38" s="130"/>
    </row>
    <row r="41" spans="1:21" x14ac:dyDescent="0.25">
      <c r="A41" s="151" t="s">
        <v>185</v>
      </c>
    </row>
    <row r="42" spans="1:21" x14ac:dyDescent="0.25">
      <c r="A42" t="s">
        <v>186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51779</v>
      </c>
      <c r="O42" s="10">
        <f>112123-N42</f>
        <v>60344</v>
      </c>
      <c r="P42" s="10">
        <f>164596-O42-N42</f>
        <v>52473</v>
      </c>
      <c r="Q42" s="10"/>
      <c r="R42" s="10">
        <v>54449</v>
      </c>
      <c r="S42" s="10">
        <f>105574-R42</f>
        <v>51125</v>
      </c>
      <c r="T42" s="10">
        <f>146571-S42-R42</f>
        <v>40997</v>
      </c>
    </row>
    <row r="43" spans="1:21" x14ac:dyDescent="0.25">
      <c r="A43" t="s">
        <v>187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119234</v>
      </c>
      <c r="O43" s="10">
        <f>262343-N43</f>
        <v>143109</v>
      </c>
      <c r="P43" s="10">
        <f>405280-O43-N43</f>
        <v>142937</v>
      </c>
      <c r="Q43" s="10"/>
      <c r="R43" s="10">
        <v>129315</v>
      </c>
      <c r="S43" s="10">
        <f>272218-R43</f>
        <v>142903</v>
      </c>
      <c r="T43" s="10">
        <f>389527-S43-R43</f>
        <v>117309</v>
      </c>
    </row>
    <row r="44" spans="1:21" x14ac:dyDescent="0.25">
      <c r="A44" t="s">
        <v>188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75994</v>
      </c>
      <c r="O44" s="10">
        <f>140989-N44</f>
        <v>64995</v>
      </c>
      <c r="P44" s="10">
        <f>198543-O44-N44</f>
        <v>57554</v>
      </c>
      <c r="Q44" s="10"/>
      <c r="R44" s="10">
        <v>55171</v>
      </c>
      <c r="S44" s="10">
        <f>114165-R44</f>
        <v>58994</v>
      </c>
      <c r="T44" s="10">
        <f>170163-S44-R44</f>
        <v>55998</v>
      </c>
    </row>
    <row r="45" spans="1:21" x14ac:dyDescent="0.25">
      <c r="A45" t="s">
        <v>189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12691</v>
      </c>
      <c r="O45" s="10">
        <f>27155-N45</f>
        <v>14464</v>
      </c>
      <c r="P45" s="10">
        <f>41885-O45-N45</f>
        <v>14730</v>
      </c>
      <c r="Q45" s="10"/>
      <c r="R45" s="10">
        <v>15136</v>
      </c>
      <c r="S45" s="10">
        <f>30249-R45</f>
        <v>15113</v>
      </c>
      <c r="T45" s="10">
        <f>40868-S45-R45</f>
        <v>10619</v>
      </c>
    </row>
    <row r="46" spans="1:21" x14ac:dyDescent="0.25">
      <c r="A46" t="s">
        <v>190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2657</v>
      </c>
      <c r="O46" s="10">
        <f>6446-N46</f>
        <v>3789</v>
      </c>
      <c r="P46" s="10">
        <f>9015-O46-N46</f>
        <v>2569</v>
      </c>
      <c r="Q46" s="10"/>
      <c r="R46" s="10">
        <v>2337</v>
      </c>
      <c r="S46" s="10">
        <f>5489-R46</f>
        <v>3152</v>
      </c>
      <c r="T46" s="10">
        <f>8147-S46-R46</f>
        <v>2658</v>
      </c>
    </row>
    <row r="47" spans="1:21" x14ac:dyDescent="0.25">
      <c r="A47" t="s">
        <v>191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67452</v>
      </c>
      <c r="O47" s="10">
        <f>138100-N47</f>
        <v>70648</v>
      </c>
      <c r="P47" s="10">
        <f>216444-O47-N47</f>
        <v>78344</v>
      </c>
      <c r="Q47" s="10"/>
      <c r="R47" s="10">
        <v>80863</v>
      </c>
      <c r="S47" s="10">
        <f>185243-R47</f>
        <v>104380</v>
      </c>
      <c r="T47" s="10">
        <f>287009-S47-R47</f>
        <v>101766</v>
      </c>
    </row>
    <row r="48" spans="1:21" x14ac:dyDescent="0.25">
      <c r="A48" t="s">
        <v>192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95885</v>
      </c>
      <c r="O48" s="10">
        <f>195664-N48</f>
        <v>99779</v>
      </c>
      <c r="P48" s="10">
        <f>295242-O48-N48</f>
        <v>99578</v>
      </c>
      <c r="Q48" s="10"/>
      <c r="R48" s="10">
        <v>98160</v>
      </c>
      <c r="S48" s="10">
        <f>193162-R48</f>
        <v>95002</v>
      </c>
      <c r="T48" s="10">
        <f>272584-S48-R48</f>
        <v>79422</v>
      </c>
    </row>
    <row r="49" spans="1:21" x14ac:dyDescent="0.25">
      <c r="A49" t="s">
        <v>193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>
        <v>68392</v>
      </c>
      <c r="O49" s="10">
        <f>136201-N49</f>
        <v>67809</v>
      </c>
      <c r="P49" s="10">
        <f>207335-O49-N49</f>
        <v>71134</v>
      </c>
      <c r="Q49" s="10"/>
      <c r="R49" s="10">
        <v>68263</v>
      </c>
      <c r="S49" s="10">
        <f>136842-R49</f>
        <v>68579</v>
      </c>
      <c r="T49" s="10">
        <f>192405-S49-R49</f>
        <v>55563</v>
      </c>
    </row>
    <row r="50" spans="1:21" x14ac:dyDescent="0.25">
      <c r="A50" t="s">
        <v>194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13578</v>
      </c>
      <c r="O50" s="10">
        <f>28074-N50</f>
        <v>14496</v>
      </c>
      <c r="P50" s="10">
        <f>42703-O50-N50</f>
        <v>14629</v>
      </c>
      <c r="Q50" s="10"/>
      <c r="R50" s="10">
        <v>15745</v>
      </c>
      <c r="S50" s="10">
        <f>31068-R50</f>
        <v>15323</v>
      </c>
      <c r="T50" s="10">
        <f>42288-S50-R50</f>
        <v>11220</v>
      </c>
    </row>
    <row r="51" spans="1:21" x14ac:dyDescent="0.25">
      <c r="A51" t="s">
        <v>195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9567</v>
      </c>
      <c r="O51" s="10">
        <f>21172-N51</f>
        <v>11605</v>
      </c>
      <c r="P51" s="10">
        <f>35088-O51-N51</f>
        <v>13916</v>
      </c>
      <c r="Q51" s="10"/>
      <c r="R51" s="10">
        <v>9411</v>
      </c>
      <c r="S51" s="10">
        <f>18582-R51</f>
        <v>9171</v>
      </c>
      <c r="T51" s="10">
        <f>28438-S51-R51</f>
        <v>9856</v>
      </c>
    </row>
    <row r="52" spans="1:21" x14ac:dyDescent="0.25">
      <c r="A52" t="s">
        <v>196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434</v>
      </c>
      <c r="O52" s="10">
        <f>2484-N52</f>
        <v>2050</v>
      </c>
      <c r="P52" s="10">
        <f>4450-O52-N52</f>
        <v>1966</v>
      </c>
      <c r="Q52" s="10"/>
      <c r="R52" s="10">
        <v>2065</v>
      </c>
      <c r="S52" s="10">
        <f>3807-R52</f>
        <v>1742</v>
      </c>
      <c r="T52" s="10">
        <f>5470-S52-R52</f>
        <v>1663</v>
      </c>
    </row>
    <row r="53" spans="1:21" x14ac:dyDescent="0.25">
      <c r="A53" t="s">
        <v>197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294</v>
      </c>
      <c r="O53" s="10">
        <f>575-N53</f>
        <v>281</v>
      </c>
      <c r="P53" s="10">
        <f>686-O53-N53</f>
        <v>111</v>
      </c>
      <c r="Q53" s="10"/>
      <c r="R53" s="10">
        <v>18</v>
      </c>
      <c r="S53" s="10">
        <f>24-R53</f>
        <v>6</v>
      </c>
      <c r="T53" s="10">
        <f>33-S53-R53</f>
        <v>9</v>
      </c>
    </row>
    <row r="54" spans="1:21" s="1" customFormat="1" x14ac:dyDescent="0.25">
      <c r="A54" s="1" t="s">
        <v>198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f t="shared" ref="M54:S54" si="19">SUM(M42:M53)</f>
        <v>0</v>
      </c>
      <c r="N54" s="11">
        <f t="shared" si="19"/>
        <v>517957</v>
      </c>
      <c r="O54" s="11">
        <f t="shared" si="19"/>
        <v>553369</v>
      </c>
      <c r="P54" s="11">
        <f t="shared" si="19"/>
        <v>549941</v>
      </c>
      <c r="Q54" s="11">
        <f t="shared" si="19"/>
        <v>0</v>
      </c>
      <c r="R54" s="11">
        <f t="shared" si="19"/>
        <v>530933</v>
      </c>
      <c r="S54" s="11">
        <f t="shared" si="19"/>
        <v>565490</v>
      </c>
      <c r="T54" s="11">
        <f>SUM(T42:T53)</f>
        <v>487080</v>
      </c>
      <c r="U54" s="11">
        <f>SUM(U42:U53)</f>
        <v>0</v>
      </c>
    </row>
    <row r="55" spans="1:21" x14ac:dyDescent="0.25">
      <c r="A55" t="s">
        <v>199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55979</v>
      </c>
      <c r="O55" s="10">
        <f>133927-N55</f>
        <v>77948</v>
      </c>
      <c r="P55" s="10">
        <f>217138-O55-N55</f>
        <v>83211</v>
      </c>
      <c r="Q55" s="10"/>
      <c r="R55" s="10">
        <v>78682</v>
      </c>
      <c r="S55" s="10">
        <f>179554-R55</f>
        <v>100872</v>
      </c>
      <c r="T55" s="10">
        <f>266152-S55-R55</f>
        <v>86598</v>
      </c>
    </row>
    <row r="56" spans="1:21" x14ac:dyDescent="0.25">
      <c r="A56" t="s">
        <v>200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>
        <v>41514</v>
      </c>
      <c r="O56" s="10">
        <f>83427-N56</f>
        <v>41913</v>
      </c>
      <c r="P56" s="10">
        <f>125891-O56-N56</f>
        <v>42464</v>
      </c>
      <c r="Q56" s="10"/>
      <c r="R56" s="10">
        <v>38334</v>
      </c>
      <c r="S56" s="10">
        <f>76265-R56</f>
        <v>37931</v>
      </c>
      <c r="T56" s="10">
        <f>112698-S56-R56</f>
        <v>36433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32</v>
      </c>
      <c r="B1" t="s">
        <v>45</v>
      </c>
      <c r="C1" s="17" t="s">
        <v>46</v>
      </c>
    </row>
    <row r="2" spans="1:13" x14ac:dyDescent="0.25">
      <c r="B2" s="12">
        <v>45404</v>
      </c>
      <c r="C2" s="18">
        <v>89.800003000000004</v>
      </c>
      <c r="E2" t="s">
        <v>45</v>
      </c>
      <c r="F2" t="s">
        <v>47</v>
      </c>
      <c r="M2" t="s">
        <v>48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50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50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32</v>
      </c>
      <c r="B1" s="1" t="s">
        <v>45</v>
      </c>
      <c r="C1" s="1" t="s">
        <v>0</v>
      </c>
      <c r="D1" s="1" t="s">
        <v>84</v>
      </c>
      <c r="H1" s="140" t="s">
        <v>85</v>
      </c>
      <c r="I1" s="141"/>
      <c r="J1" s="141"/>
      <c r="K1" s="141"/>
      <c r="L1" s="141"/>
      <c r="M1" s="142"/>
    </row>
    <row r="2" spans="1:13" ht="15.75" thickBot="1" x14ac:dyDescent="0.3">
      <c r="B2" s="12">
        <v>45404</v>
      </c>
      <c r="C2" s="18">
        <v>89.800003000000004</v>
      </c>
      <c r="D2" s="122">
        <f>C2/C3-1</f>
        <v>-1.3344639976526906E-3</v>
      </c>
      <c r="H2" s="59"/>
      <c r="I2" s="60"/>
      <c r="J2" s="60"/>
      <c r="K2" s="60"/>
      <c r="L2" s="60"/>
      <c r="M2" s="61"/>
    </row>
    <row r="3" spans="1:13" ht="15.75" thickBot="1" x14ac:dyDescent="0.3">
      <c r="B3" s="12">
        <v>45397</v>
      </c>
      <c r="C3" s="18">
        <v>89.919998000000007</v>
      </c>
      <c r="D3" s="122">
        <f t="shared" ref="D3:D66" si="0">C3/C4-1</f>
        <v>-3.1451940174577309E-2</v>
      </c>
      <c r="H3" s="62" t="s">
        <v>86</v>
      </c>
      <c r="I3" s="63" t="s">
        <v>87</v>
      </c>
      <c r="J3" s="64" t="s">
        <v>88</v>
      </c>
      <c r="K3" s="65" t="s">
        <v>89</v>
      </c>
      <c r="L3" s="65" t="s">
        <v>90</v>
      </c>
      <c r="M3" s="66" t="s">
        <v>91</v>
      </c>
    </row>
    <row r="4" spans="1:13" x14ac:dyDescent="0.25">
      <c r="B4" s="12">
        <v>45390</v>
      </c>
      <c r="C4" s="18">
        <v>92.839995999999999</v>
      </c>
      <c r="D4" s="122">
        <f t="shared" si="0"/>
        <v>-2.792717568049774E-3</v>
      </c>
      <c r="H4" s="67">
        <f>$I$19-3*$I$23</f>
        <v>-0.12195315560700047</v>
      </c>
      <c r="I4" s="68">
        <f>H4</f>
        <v>-0.12195315560700047</v>
      </c>
      <c r="J4" s="69">
        <f>COUNTIF(D:D,"&lt;="&amp;H4)</f>
        <v>0</v>
      </c>
      <c r="K4" s="69" t="str">
        <f>"Less than "&amp;TEXT(H4,"0,00%")</f>
        <v>Less than -12,20%</v>
      </c>
      <c r="L4" s="70">
        <f>J4/$I$31</f>
        <v>0</v>
      </c>
      <c r="M4" s="71">
        <f>L4</f>
        <v>0</v>
      </c>
    </row>
    <row r="5" spans="1:13" x14ac:dyDescent="0.25">
      <c r="B5" s="12">
        <v>45383</v>
      </c>
      <c r="C5" s="18">
        <v>93.099997999999999</v>
      </c>
      <c r="D5" s="122">
        <f t="shared" si="0"/>
        <v>8.8859883927827621E-3</v>
      </c>
      <c r="H5" s="72">
        <f>$I$19-2.4*$I$23</f>
        <v>-9.7167607070187553E-2</v>
      </c>
      <c r="I5" s="73">
        <f>H5</f>
        <v>-9.7167607070187553E-2</v>
      </c>
      <c r="J5" s="74">
        <f>COUNTIFS(D:D,"&lt;="&amp;H5,D:D,"&gt;"&amp;H4)</f>
        <v>0</v>
      </c>
      <c r="K5" s="75" t="str">
        <f t="shared" ref="K5:K14" si="1">TEXT(H4,"0,00%")&amp;" to "&amp;TEXT(H5,"0,00%")</f>
        <v>-12,20% to -9,72%</v>
      </c>
      <c r="L5" s="76">
        <f>J5/$I$31</f>
        <v>0</v>
      </c>
      <c r="M5" s="77">
        <f>M4+L5</f>
        <v>0</v>
      </c>
    </row>
    <row r="6" spans="1:13" x14ac:dyDescent="0.25">
      <c r="B6" s="12">
        <v>45376</v>
      </c>
      <c r="C6" s="18">
        <v>92.279999000000004</v>
      </c>
      <c r="D6" s="122">
        <f t="shared" si="0"/>
        <v>-1.3259174933463735E-2</v>
      </c>
      <c r="H6" s="72">
        <f>$I$19-1.8*$I$23</f>
        <v>-7.2382058533374649E-2</v>
      </c>
      <c r="I6" s="73">
        <f t="shared" ref="I6:I14" si="2">H6</f>
        <v>-7.2382058533374649E-2</v>
      </c>
      <c r="J6" s="74">
        <f t="shared" ref="J6:J14" si="3">COUNTIFS(D:D,"&lt;="&amp;H6,D:D,"&gt;"&amp;H5)</f>
        <v>2</v>
      </c>
      <c r="K6" s="75" t="str">
        <f t="shared" si="1"/>
        <v>-9,72% to -7,24%</v>
      </c>
      <c r="L6" s="76">
        <f t="shared" ref="L6:L15" si="4">J6/$I$31</f>
        <v>2.4390243902439025E-2</v>
      </c>
      <c r="M6" s="77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2">
        <f t="shared" si="0"/>
        <v>5.8397418985995708E-2</v>
      </c>
      <c r="H7" s="72">
        <f>$I$19-1.2*$I$23</f>
        <v>-4.7596509996561724E-2</v>
      </c>
      <c r="I7" s="73">
        <f t="shared" si="2"/>
        <v>-4.7596509996561724E-2</v>
      </c>
      <c r="J7" s="74">
        <f t="shared" si="3"/>
        <v>7</v>
      </c>
      <c r="K7" s="75" t="str">
        <f t="shared" si="1"/>
        <v>-7,24% to -4,76%</v>
      </c>
      <c r="L7" s="76">
        <f t="shared" si="4"/>
        <v>8.5365853658536592E-2</v>
      </c>
      <c r="M7" s="77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2">
        <f t="shared" si="0"/>
        <v>7.5986334291780366E-2</v>
      </c>
      <c r="H8" s="72">
        <f>$I$19-0.6*$I$23</f>
        <v>-2.281096145974881E-2</v>
      </c>
      <c r="I8" s="73">
        <f t="shared" si="2"/>
        <v>-2.281096145974881E-2</v>
      </c>
      <c r="J8" s="74">
        <f t="shared" si="3"/>
        <v>10</v>
      </c>
      <c r="K8" s="75" t="str">
        <f t="shared" si="1"/>
        <v>-4,76% to -2,28%</v>
      </c>
      <c r="L8" s="76">
        <f t="shared" si="4"/>
        <v>0.12195121951219512</v>
      </c>
      <c r="M8" s="77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2">
        <f t="shared" si="0"/>
        <v>-5.0196577032113998E-2</v>
      </c>
      <c r="H9" s="72">
        <f>$I$19</f>
        <v>1.974587077064105E-3</v>
      </c>
      <c r="I9" s="73">
        <f t="shared" si="2"/>
        <v>1.974587077064105E-3</v>
      </c>
      <c r="J9" s="74">
        <f t="shared" si="3"/>
        <v>31</v>
      </c>
      <c r="K9" s="75" t="str">
        <f t="shared" si="1"/>
        <v>-2,28% to 0,20%</v>
      </c>
      <c r="L9" s="76">
        <f t="shared" si="4"/>
        <v>0.37804878048780488</v>
      </c>
      <c r="M9" s="77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2">
        <f t="shared" si="0"/>
        <v>4.5971386597077668E-2</v>
      </c>
      <c r="H10" s="72">
        <f>$I$19+0.6*$I$23</f>
        <v>2.676013561387702E-2</v>
      </c>
      <c r="I10" s="73">
        <f t="shared" si="2"/>
        <v>2.676013561387702E-2</v>
      </c>
      <c r="J10" s="74">
        <f t="shared" si="3"/>
        <v>12</v>
      </c>
      <c r="K10" s="75" t="str">
        <f t="shared" si="1"/>
        <v>0,20% to 2,68%</v>
      </c>
      <c r="L10" s="76">
        <f t="shared" si="4"/>
        <v>0.14634146341463414</v>
      </c>
      <c r="M10" s="77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2">
        <f t="shared" si="0"/>
        <v>2.5303906277453381E-2</v>
      </c>
      <c r="H11" s="72">
        <f>$I$19+1.2*$I$23</f>
        <v>5.1545684150689934E-2</v>
      </c>
      <c r="I11" s="73">
        <f t="shared" si="2"/>
        <v>5.1545684150689934E-2</v>
      </c>
      <c r="J11" s="74">
        <f t="shared" si="3"/>
        <v>11</v>
      </c>
      <c r="K11" s="75" t="str">
        <f t="shared" si="1"/>
        <v>2,68% to 5,15%</v>
      </c>
      <c r="L11" s="76">
        <f t="shared" si="4"/>
        <v>0.13414634146341464</v>
      </c>
      <c r="M11" s="77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2">
        <f t="shared" si="0"/>
        <v>4.7358550532365928E-3</v>
      </c>
      <c r="H12" s="72">
        <f>$I$19+1.8*$I$23</f>
        <v>7.6331232687502859E-2</v>
      </c>
      <c r="I12" s="73">
        <f t="shared" si="2"/>
        <v>7.6331232687502859E-2</v>
      </c>
      <c r="J12" s="74">
        <f t="shared" si="3"/>
        <v>4</v>
      </c>
      <c r="K12" s="75" t="str">
        <f t="shared" si="1"/>
        <v>5,15% to 7,63%</v>
      </c>
      <c r="L12" s="76">
        <f t="shared" si="4"/>
        <v>4.878048780487805E-2</v>
      </c>
      <c r="M12" s="77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2">
        <f t="shared" si="0"/>
        <v>-2.1463439024390296E-2</v>
      </c>
      <c r="H13" s="72">
        <f>$I$19+2.4*$I$23</f>
        <v>0.10111678122431576</v>
      </c>
      <c r="I13" s="73">
        <f t="shared" si="2"/>
        <v>0.10111678122431576</v>
      </c>
      <c r="J13" s="74">
        <f t="shared" si="3"/>
        <v>4</v>
      </c>
      <c r="K13" s="75" t="str">
        <f t="shared" si="1"/>
        <v>7,63% to 10,11%</v>
      </c>
      <c r="L13" s="76">
        <f t="shared" si="4"/>
        <v>4.878048780487805E-2</v>
      </c>
      <c r="M13" s="77">
        <f t="shared" si="5"/>
        <v>0.98780487804878059</v>
      </c>
    </row>
    <row r="14" spans="1:13" x14ac:dyDescent="0.25">
      <c r="B14" s="12">
        <v>45320</v>
      </c>
      <c r="C14" s="18">
        <v>82</v>
      </c>
      <c r="D14" s="122">
        <f t="shared" si="0"/>
        <v>7.2175690160472428E-2</v>
      </c>
      <c r="H14" s="72">
        <f>$I$19+3*$I$23</f>
        <v>0.1259023297611287</v>
      </c>
      <c r="I14" s="73">
        <f t="shared" si="2"/>
        <v>0.1259023297611287</v>
      </c>
      <c r="J14" s="74">
        <f t="shared" si="3"/>
        <v>1</v>
      </c>
      <c r="K14" s="75" t="str">
        <f t="shared" si="1"/>
        <v>10,11% to 12,59%</v>
      </c>
      <c r="L14" s="76">
        <f t="shared" si="4"/>
        <v>1.2195121951219513E-2</v>
      </c>
      <c r="M14" s="77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2">
        <f t="shared" si="0"/>
        <v>3.6595337985840803E-2</v>
      </c>
      <c r="H15" s="78"/>
      <c r="I15" s="79" t="s">
        <v>92</v>
      </c>
      <c r="J15" s="79">
        <f>COUNTIF(D:D,"&gt;"&amp;H14)</f>
        <v>0</v>
      </c>
      <c r="K15" s="79" t="str">
        <f>"Greater than "&amp;TEXT(H14,"0,00%")</f>
        <v>Greater than 12,59%</v>
      </c>
      <c r="L15" s="80">
        <f t="shared" si="4"/>
        <v>0</v>
      </c>
      <c r="M15" s="80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2">
        <f t="shared" si="0"/>
        <v>-2.2781470198675491E-2</v>
      </c>
      <c r="H16" s="81"/>
      <c r="M16" s="82"/>
    </row>
    <row r="17" spans="2:13" x14ac:dyDescent="0.25">
      <c r="B17" s="12">
        <v>45299</v>
      </c>
      <c r="C17" s="18">
        <v>75.5</v>
      </c>
      <c r="D17" s="122">
        <f t="shared" si="0"/>
        <v>-1.5645333076088619E-2</v>
      </c>
      <c r="H17" s="143" t="s">
        <v>123</v>
      </c>
      <c r="I17" s="144"/>
      <c r="M17" s="82"/>
    </row>
    <row r="18" spans="2:13" x14ac:dyDescent="0.25">
      <c r="B18" s="12">
        <v>45292</v>
      </c>
      <c r="C18" s="18">
        <v>76.699996999999996</v>
      </c>
      <c r="D18" s="122">
        <f t="shared" si="0"/>
        <v>-4.0050124153939382E-2</v>
      </c>
      <c r="H18" s="145"/>
      <c r="I18" s="146"/>
      <c r="M18" s="82"/>
    </row>
    <row r="19" spans="2:13" x14ac:dyDescent="0.25">
      <c r="B19" s="12">
        <v>45285</v>
      </c>
      <c r="C19" s="18">
        <v>79.900002000000001</v>
      </c>
      <c r="D19" s="122">
        <f t="shared" si="0"/>
        <v>-2.2477521916144383E-3</v>
      </c>
      <c r="H19" s="83" t="s">
        <v>93</v>
      </c>
      <c r="I19" s="120">
        <f>AVERAGE(D:D)</f>
        <v>1.974587077064105E-3</v>
      </c>
      <c r="M19" s="82"/>
    </row>
    <row r="20" spans="2:13" x14ac:dyDescent="0.25">
      <c r="B20" s="12">
        <v>45278</v>
      </c>
      <c r="C20" s="18">
        <v>80.080001999999993</v>
      </c>
      <c r="D20" s="122">
        <f t="shared" si="0"/>
        <v>-1.135800000000009E-2</v>
      </c>
      <c r="H20" s="83" t="s">
        <v>94</v>
      </c>
      <c r="I20" s="120">
        <f>_xlfn.STDEV.S(D:D)/SQRT(COUNT(D:D))</f>
        <v>4.5618432492040501E-3</v>
      </c>
      <c r="M20" s="82"/>
    </row>
    <row r="21" spans="2:13" x14ac:dyDescent="0.25">
      <c r="B21" s="12">
        <v>45271</v>
      </c>
      <c r="C21" s="18">
        <v>81</v>
      </c>
      <c r="D21" s="122">
        <f t="shared" si="0"/>
        <v>-3.0636645060714285E-2</v>
      </c>
      <c r="H21" s="83" t="s">
        <v>95</v>
      </c>
      <c r="I21" s="120">
        <f>MEDIAN(D:D)</f>
        <v>-3.9265976981327499E-3</v>
      </c>
      <c r="M21" s="82"/>
    </row>
    <row r="22" spans="2:13" x14ac:dyDescent="0.25">
      <c r="B22" s="12">
        <v>45264</v>
      </c>
      <c r="C22" s="18">
        <v>83.559997999999993</v>
      </c>
      <c r="D22" s="122">
        <f t="shared" si="0"/>
        <v>-4.0524909641838081E-3</v>
      </c>
      <c r="H22" s="83" t="s">
        <v>96</v>
      </c>
      <c r="I22" s="120" t="e">
        <f>MODE(D:D)</f>
        <v>#N/A</v>
      </c>
      <c r="M22" s="82"/>
    </row>
    <row r="23" spans="2:13" x14ac:dyDescent="0.25">
      <c r="B23" s="12">
        <v>45257</v>
      </c>
      <c r="C23" s="18">
        <v>83.900002000000001</v>
      </c>
      <c r="D23" s="122">
        <f t="shared" si="0"/>
        <v>-2.5551638224196038E-2</v>
      </c>
      <c r="H23" s="83" t="s">
        <v>97</v>
      </c>
      <c r="I23" s="120">
        <f>_xlfn.STDEV.S(D:D)</f>
        <v>4.1309247561354859E-2</v>
      </c>
      <c r="M23" s="82"/>
    </row>
    <row r="24" spans="2:13" x14ac:dyDescent="0.25">
      <c r="B24" s="12">
        <v>45250</v>
      </c>
      <c r="C24" s="18">
        <v>86.099997999999999</v>
      </c>
      <c r="D24" s="122">
        <f t="shared" si="0"/>
        <v>-5.3013639529556622E-2</v>
      </c>
      <c r="H24" s="83" t="s">
        <v>98</v>
      </c>
      <c r="I24" s="120">
        <f>_xlfn.VAR.S(D:D)</f>
        <v>1.7064539340853023E-3</v>
      </c>
      <c r="M24" s="82"/>
    </row>
    <row r="25" spans="2:13" x14ac:dyDescent="0.25">
      <c r="B25" s="12">
        <v>45243</v>
      </c>
      <c r="C25" s="18">
        <v>90.919998000000007</v>
      </c>
      <c r="D25" s="122">
        <f t="shared" si="0"/>
        <v>4.0036605811864634E-2</v>
      </c>
      <c r="H25" s="83" t="s">
        <v>99</v>
      </c>
      <c r="I25" s="121">
        <f>KURT(D:D)</f>
        <v>0.39782837420295225</v>
      </c>
      <c r="M25" s="82"/>
    </row>
    <row r="26" spans="2:13" x14ac:dyDescent="0.25">
      <c r="B26" s="12">
        <v>45236</v>
      </c>
      <c r="C26" s="18">
        <v>87.419998000000007</v>
      </c>
      <c r="D26" s="122">
        <f t="shared" si="0"/>
        <v>-3.0175294321891366E-2</v>
      </c>
      <c r="H26" s="83" t="s">
        <v>100</v>
      </c>
      <c r="I26" s="121">
        <f>SKEW(D:D)</f>
        <v>0.72131975054090247</v>
      </c>
      <c r="M26" s="82"/>
    </row>
    <row r="27" spans="2:13" x14ac:dyDescent="0.25">
      <c r="B27" s="12">
        <v>45229</v>
      </c>
      <c r="C27" s="18">
        <v>90.139999000000003</v>
      </c>
      <c r="D27" s="122">
        <f t="shared" si="0"/>
        <v>9.7661905833101414E-2</v>
      </c>
      <c r="H27" s="83" t="s">
        <v>89</v>
      </c>
      <c r="I27" s="120">
        <f>I29-I28</f>
        <v>0.19515189930473487</v>
      </c>
      <c r="M27" s="82"/>
    </row>
    <row r="28" spans="2:13" x14ac:dyDescent="0.25">
      <c r="B28" s="12">
        <v>45222</v>
      </c>
      <c r="C28" s="18">
        <v>82.120002999999997</v>
      </c>
      <c r="D28" s="122">
        <f t="shared" si="0"/>
        <v>-7.8545778325433857E-2</v>
      </c>
      <c r="H28" s="83" t="s">
        <v>101</v>
      </c>
      <c r="I28" s="120">
        <f>MIN(D:D)</f>
        <v>-7.8545778325433857E-2</v>
      </c>
      <c r="M28" s="82"/>
    </row>
    <row r="29" spans="2:13" x14ac:dyDescent="0.25">
      <c r="B29" s="12">
        <v>45215</v>
      </c>
      <c r="C29" s="18">
        <v>89.120002999999997</v>
      </c>
      <c r="D29" s="122">
        <f t="shared" si="0"/>
        <v>-1.6335486011820888E-2</v>
      </c>
      <c r="H29" s="83" t="s">
        <v>102</v>
      </c>
      <c r="I29" s="120">
        <f>MAX(D:D)</f>
        <v>0.11660612097930101</v>
      </c>
      <c r="M29" s="82"/>
    </row>
    <row r="30" spans="2:13" x14ac:dyDescent="0.25">
      <c r="B30" s="12">
        <v>45208</v>
      </c>
      <c r="C30" s="18">
        <v>90.599997999999999</v>
      </c>
      <c r="D30" s="122">
        <f t="shared" si="0"/>
        <v>1.5467350196510354E-2</v>
      </c>
      <c r="H30" s="83" t="s">
        <v>103</v>
      </c>
      <c r="I30" s="121">
        <f>SUM(D:D)</f>
        <v>0.16191614031925661</v>
      </c>
      <c r="M30" s="82"/>
    </row>
    <row r="31" spans="2:13" ht="15.75" thickBot="1" x14ac:dyDescent="0.3">
      <c r="B31" s="12">
        <v>45201</v>
      </c>
      <c r="C31" s="18">
        <v>89.220000999999996</v>
      </c>
      <c r="D31" s="122">
        <f t="shared" si="0"/>
        <v>2.4719213483146429E-3</v>
      </c>
      <c r="H31" s="84" t="s">
        <v>104</v>
      </c>
      <c r="I31" s="61">
        <f>COUNT(D:D)</f>
        <v>82</v>
      </c>
      <c r="M31" s="82"/>
    </row>
    <row r="32" spans="2:13" ht="15.75" thickBot="1" x14ac:dyDescent="0.3">
      <c r="B32" s="12">
        <v>45194</v>
      </c>
      <c r="C32" s="18">
        <v>89</v>
      </c>
      <c r="D32" s="122">
        <f t="shared" si="0"/>
        <v>-4.2598956998697868E-2</v>
      </c>
      <c r="H32" s="86"/>
      <c r="M32" s="82"/>
    </row>
    <row r="33" spans="2:13" x14ac:dyDescent="0.25">
      <c r="B33" s="12">
        <v>45187</v>
      </c>
      <c r="C33" s="18">
        <v>92.959998999999996</v>
      </c>
      <c r="D33" s="122">
        <f t="shared" si="0"/>
        <v>-6.1957609726692509E-2</v>
      </c>
      <c r="H33" s="87"/>
      <c r="I33" s="88" t="s">
        <v>105</v>
      </c>
      <c r="J33" s="88" t="s">
        <v>104</v>
      </c>
      <c r="K33" s="88" t="s">
        <v>106</v>
      </c>
      <c r="L33" s="89" t="s">
        <v>107</v>
      </c>
      <c r="M33" s="82"/>
    </row>
    <row r="34" spans="2:13" x14ac:dyDescent="0.25">
      <c r="B34" s="12">
        <v>45180</v>
      </c>
      <c r="C34" s="18">
        <v>99.099997999999999</v>
      </c>
      <c r="D34" s="122">
        <f t="shared" si="0"/>
        <v>-2.1717719001449587E-2</v>
      </c>
      <c r="H34" s="90" t="s">
        <v>108</v>
      </c>
      <c r="I34" s="76">
        <f>AVERAGEIF(D:D,"&gt;0")</f>
        <v>3.8724876897246789E-2</v>
      </c>
      <c r="J34" s="74">
        <f>COUNTIF(D:D,"&gt;0")</f>
        <v>35</v>
      </c>
      <c r="K34" s="76">
        <f>J34/$I$31</f>
        <v>0.42682926829268292</v>
      </c>
      <c r="L34" s="77">
        <f>K34*I34</f>
        <v>1.6528910870776067E-2</v>
      </c>
      <c r="M34" s="82"/>
    </row>
    <row r="35" spans="2:13" x14ac:dyDescent="0.25">
      <c r="B35" s="12">
        <v>45173</v>
      </c>
      <c r="C35" s="18">
        <v>101.300003</v>
      </c>
      <c r="D35" s="122">
        <f t="shared" si="0"/>
        <v>3.1988578566072734E-2</v>
      </c>
      <c r="H35" s="90" t="s">
        <v>109</v>
      </c>
      <c r="I35" s="76">
        <f>AVERAGEIF(D:D,"&lt;0")</f>
        <v>-2.5392650023071933E-2</v>
      </c>
      <c r="J35" s="74">
        <f>COUNTIF(D:D,"&lt;0")</f>
        <v>47</v>
      </c>
      <c r="K35" s="76">
        <f>J35/$I$31</f>
        <v>0.57317073170731703</v>
      </c>
      <c r="L35" s="77">
        <f t="shared" ref="L35:L36" si="6">K35*I35</f>
        <v>-1.455432379371196E-2</v>
      </c>
      <c r="M35" s="82"/>
    </row>
    <row r="36" spans="2:13" ht="15.75" thickBot="1" x14ac:dyDescent="0.3">
      <c r="B36" s="12">
        <v>45166</v>
      </c>
      <c r="C36" s="18">
        <v>98.160004000000001</v>
      </c>
      <c r="D36" s="122">
        <f t="shared" si="0"/>
        <v>-1.889054416120306E-2</v>
      </c>
      <c r="H36" s="91" t="s">
        <v>110</v>
      </c>
      <c r="I36" s="79">
        <v>0</v>
      </c>
      <c r="J36" s="79">
        <f>COUNTIF(D:D,"0")</f>
        <v>0</v>
      </c>
      <c r="K36" s="92">
        <f>J36/$I$31</f>
        <v>0</v>
      </c>
      <c r="L36" s="80">
        <f t="shared" si="6"/>
        <v>0</v>
      </c>
      <c r="M36" s="82"/>
    </row>
    <row r="37" spans="2:13" ht="15.75" thickBot="1" x14ac:dyDescent="0.3">
      <c r="B37" s="12">
        <v>45159</v>
      </c>
      <c r="C37" s="18">
        <v>100.050003</v>
      </c>
      <c r="D37" s="122">
        <f t="shared" si="0"/>
        <v>-2.0078305976068633E-2</v>
      </c>
      <c r="H37" s="86"/>
      <c r="I37" s="93"/>
      <c r="J37" s="93"/>
      <c r="K37" s="93"/>
      <c r="L37" s="93"/>
      <c r="M37" s="82"/>
    </row>
    <row r="38" spans="2:13" x14ac:dyDescent="0.25">
      <c r="B38" s="12">
        <v>45152</v>
      </c>
      <c r="C38" s="18">
        <v>102.099998</v>
      </c>
      <c r="D38" s="122">
        <f t="shared" si="0"/>
        <v>-2.483284693885901E-2</v>
      </c>
      <c r="H38" s="67" t="s">
        <v>111</v>
      </c>
      <c r="I38" s="88" t="s">
        <v>112</v>
      </c>
      <c r="J38" s="88" t="s">
        <v>113</v>
      </c>
      <c r="K38" s="88" t="s">
        <v>114</v>
      </c>
      <c r="L38" s="88" t="s">
        <v>115</v>
      </c>
      <c r="M38" s="89" t="s">
        <v>116</v>
      </c>
    </row>
    <row r="39" spans="2:13" x14ac:dyDescent="0.25">
      <c r="B39" s="12">
        <v>45145</v>
      </c>
      <c r="C39" s="18">
        <v>104.699997</v>
      </c>
      <c r="D39" s="122">
        <f t="shared" si="0"/>
        <v>-5.2488714932126701E-2</v>
      </c>
      <c r="H39" s="94">
        <v>1</v>
      </c>
      <c r="I39" s="76">
        <f>$I$19+($H39*$I$23)</f>
        <v>4.3283834638418964E-2</v>
      </c>
      <c r="J39" s="76">
        <f>$I$19-($H39*$I$23)</f>
        <v>-3.9334660484290754E-2</v>
      </c>
      <c r="K39" s="74">
        <f>COUNTIFS(D:D,"&lt;"&amp;I39,D:D,"&gt;"&amp;J39)</f>
        <v>59</v>
      </c>
      <c r="L39" s="76">
        <f>K39/$I$31</f>
        <v>0.71951219512195119</v>
      </c>
      <c r="M39" s="77">
        <v>0.68269999999999997</v>
      </c>
    </row>
    <row r="40" spans="2:13" x14ac:dyDescent="0.25">
      <c r="B40" s="12">
        <v>45138</v>
      </c>
      <c r="C40" s="18">
        <v>110.5</v>
      </c>
      <c r="D40" s="122">
        <f t="shared" si="0"/>
        <v>-1.5590200445434244E-2</v>
      </c>
      <c r="H40" s="94">
        <v>2</v>
      </c>
      <c r="I40" s="76">
        <f>$I$19+($H40*$I$23)</f>
        <v>8.4593082199773822E-2</v>
      </c>
      <c r="J40" s="76">
        <f>$I$19-($H40*$I$23)</f>
        <v>-8.0643908045645613E-2</v>
      </c>
      <c r="K40" s="74">
        <f>COUNTIFS(D:D,"&lt;"&amp;I40,D:D,"&gt;"&amp;J40)</f>
        <v>77</v>
      </c>
      <c r="L40" s="76">
        <f>K40/$I$31</f>
        <v>0.93902439024390238</v>
      </c>
      <c r="M40" s="77">
        <v>0.95450000000000002</v>
      </c>
    </row>
    <row r="41" spans="2:13" x14ac:dyDescent="0.25">
      <c r="B41" s="12">
        <v>45131</v>
      </c>
      <c r="C41" s="18">
        <v>112.25</v>
      </c>
      <c r="D41" s="122">
        <f t="shared" si="0"/>
        <v>9.4424732763258579E-3</v>
      </c>
      <c r="H41" s="94">
        <v>3</v>
      </c>
      <c r="I41" s="76">
        <f>$I$19+($H41*$I$23)</f>
        <v>0.1259023297611287</v>
      </c>
      <c r="J41" s="76">
        <f>$I$19-($H41*$I$23)</f>
        <v>-0.12195315560700047</v>
      </c>
      <c r="K41" s="74">
        <f>COUNTIFS(D:D,"&lt;"&amp;I41,D:D,"&gt;"&amp;J41)</f>
        <v>82</v>
      </c>
      <c r="L41" s="76">
        <f>K41/$I$31</f>
        <v>1</v>
      </c>
      <c r="M41" s="95">
        <v>0.99729999999999996</v>
      </c>
    </row>
    <row r="42" spans="2:13" ht="15.75" thickBot="1" x14ac:dyDescent="0.3">
      <c r="B42" s="12">
        <v>45124</v>
      </c>
      <c r="C42" s="18">
        <v>111.199997</v>
      </c>
      <c r="D42" s="122">
        <f t="shared" si="0"/>
        <v>-3.0514386151204498E-2</v>
      </c>
      <c r="H42" s="72"/>
      <c r="M42" s="95"/>
    </row>
    <row r="43" spans="2:13" ht="15.75" thickBot="1" x14ac:dyDescent="0.3">
      <c r="B43" s="12">
        <v>45117</v>
      </c>
      <c r="C43" s="18">
        <v>114.699997</v>
      </c>
      <c r="D43" s="122">
        <f t="shared" si="0"/>
        <v>3.9420018838604687E-2</v>
      </c>
      <c r="H43" s="147" t="s">
        <v>117</v>
      </c>
      <c r="I43" s="148"/>
      <c r="J43" s="148"/>
      <c r="K43" s="148"/>
      <c r="L43" s="148"/>
      <c r="M43" s="149"/>
    </row>
    <row r="44" spans="2:13" x14ac:dyDescent="0.25">
      <c r="B44" s="12">
        <v>45110</v>
      </c>
      <c r="C44" s="18">
        <v>110.349998</v>
      </c>
      <c r="D44" s="122">
        <f t="shared" si="0"/>
        <v>-2.0846311075899293E-2</v>
      </c>
      <c r="H44" s="96">
        <v>0.01</v>
      </c>
      <c r="I44" s="97">
        <f t="shared" ref="I44:I58" si="7">_xlfn.PERCENTILE.INC(D:D,H44)</f>
        <v>-7.6911905790158608E-2</v>
      </c>
      <c r="J44" s="98">
        <v>0.2</v>
      </c>
      <c r="K44" s="97">
        <f t="shared" ref="K44:K56" si="8">_xlfn.PERCENTILE.INC(D:D,J44)</f>
        <v>-2.9250563102352304E-2</v>
      </c>
      <c r="L44" s="98">
        <v>0.85</v>
      </c>
      <c r="M44" s="99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2">
        <f t="shared" si="0"/>
        <v>4.9354297557943294E-2</v>
      </c>
      <c r="H45" s="100">
        <v>0.02</v>
      </c>
      <c r="I45" s="101">
        <f t="shared" si="7"/>
        <v>-6.7494605691245588E-2</v>
      </c>
      <c r="J45" s="102">
        <v>0.25</v>
      </c>
      <c r="K45" s="101">
        <f t="shared" si="8"/>
        <v>-2.1654149007184764E-2</v>
      </c>
      <c r="L45" s="102">
        <v>0.86</v>
      </c>
      <c r="M45" s="103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2">
        <f t="shared" si="0"/>
        <v>-5.4513767189525608E-2</v>
      </c>
      <c r="H46" s="100">
        <v>0.03</v>
      </c>
      <c r="I46" s="101">
        <f t="shared" si="7"/>
        <v>-5.8756757435710745E-2</v>
      </c>
      <c r="J46" s="102">
        <v>0.3</v>
      </c>
      <c r="K46" s="101">
        <f t="shared" si="8"/>
        <v>-1.9785915292817622E-2</v>
      </c>
      <c r="L46" s="102">
        <v>0.87</v>
      </c>
      <c r="M46" s="103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2">
        <f t="shared" si="0"/>
        <v>-1.7566355043448945E-2</v>
      </c>
      <c r="H47" s="100">
        <v>0.04</v>
      </c>
      <c r="I47" s="101">
        <f t="shared" si="7"/>
        <v>-5.415373655113305E-2</v>
      </c>
      <c r="J47" s="102">
        <v>0.35</v>
      </c>
      <c r="K47" s="101">
        <f t="shared" si="8"/>
        <v>-1.6299362336560597E-2</v>
      </c>
      <c r="L47" s="102">
        <v>0.88</v>
      </c>
      <c r="M47" s="103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2">
        <f t="shared" si="0"/>
        <v>-1.1016969166471546E-2</v>
      </c>
      <c r="H48" s="100">
        <v>0.05</v>
      </c>
      <c r="I48" s="101">
        <f t="shared" si="7"/>
        <v>-5.2987393299685125E-2</v>
      </c>
      <c r="J48" s="102">
        <v>0.4</v>
      </c>
      <c r="K48" s="101">
        <f t="shared" si="8"/>
        <v>-1.3651492131425337E-2</v>
      </c>
      <c r="L48" s="102">
        <v>0.89</v>
      </c>
      <c r="M48" s="103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2">
        <f t="shared" si="0"/>
        <v>4.2390690135718501E-4</v>
      </c>
      <c r="H49" s="100">
        <v>0.06</v>
      </c>
      <c r="I49" s="101">
        <f t="shared" si="7"/>
        <v>-5.2562204375766891E-2</v>
      </c>
      <c r="J49" s="102">
        <v>0.45</v>
      </c>
      <c r="K49" s="101">
        <f t="shared" si="8"/>
        <v>-1.0041670798221772E-2</v>
      </c>
      <c r="L49" s="102">
        <v>0.9</v>
      </c>
      <c r="M49" s="103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2">
        <f t="shared" si="0"/>
        <v>-3.8007044320816918E-3</v>
      </c>
      <c r="H50" s="100">
        <v>7.0000000000000007E-2</v>
      </c>
      <c r="I50" s="101">
        <f t="shared" si="7"/>
        <v>-5.2386664604548196E-2</v>
      </c>
      <c r="J50" s="102">
        <v>0.5</v>
      </c>
      <c r="K50" s="101">
        <f t="shared" si="8"/>
        <v>-3.9265976981327499E-3</v>
      </c>
      <c r="L50" s="102">
        <v>0.91</v>
      </c>
      <c r="M50" s="103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2">
        <f t="shared" si="0"/>
        <v>3.5417608318533356E-2</v>
      </c>
      <c r="H51" s="100">
        <v>0.08</v>
      </c>
      <c r="I51" s="101">
        <f t="shared" si="7"/>
        <v>-5.1309285500805941E-2</v>
      </c>
      <c r="J51" s="102">
        <v>0.55000000000000004</v>
      </c>
      <c r="K51" s="101">
        <f t="shared" si="8"/>
        <v>-1.7454436849354731E-3</v>
      </c>
      <c r="L51" s="102">
        <v>0.92</v>
      </c>
      <c r="M51" s="103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2">
        <f t="shared" si="0"/>
        <v>-9.5279000184396168E-3</v>
      </c>
      <c r="H52" s="100">
        <v>0.09</v>
      </c>
      <c r="I52" s="101">
        <f t="shared" si="7"/>
        <v>-5.0183654742349433E-2</v>
      </c>
      <c r="J52" s="102">
        <v>0.6</v>
      </c>
      <c r="K52" s="101">
        <f t="shared" si="8"/>
        <v>1.4412159450729615E-3</v>
      </c>
      <c r="L52" s="102">
        <v>0.93</v>
      </c>
      <c r="M52" s="103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2">
        <f t="shared" si="0"/>
        <v>1.807755356458518E-2</v>
      </c>
      <c r="H53" s="100">
        <v>0.1</v>
      </c>
      <c r="I53" s="101">
        <f t="shared" si="7"/>
        <v>-4.9396711370882355E-2</v>
      </c>
      <c r="J53" s="102">
        <v>0.65</v>
      </c>
      <c r="K53" s="101">
        <f t="shared" si="8"/>
        <v>5.0936774904036244E-3</v>
      </c>
      <c r="L53" s="102">
        <v>0.94</v>
      </c>
      <c r="M53" s="103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2">
        <f t="shared" si="0"/>
        <v>-1.3913036930066403E-2</v>
      </c>
      <c r="H54" s="100">
        <v>0.11</v>
      </c>
      <c r="I54" s="101">
        <f t="shared" si="7"/>
        <v>-4.3278732435916317E-2</v>
      </c>
      <c r="J54" s="102">
        <v>0.7</v>
      </c>
      <c r="K54" s="101">
        <f t="shared" si="8"/>
        <v>1.0220585085291861E-2</v>
      </c>
      <c r="L54" s="102">
        <v>0.95</v>
      </c>
      <c r="M54" s="103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2">
        <f t="shared" si="0"/>
        <v>-3.2800713836315332E-2</v>
      </c>
      <c r="H55" s="100">
        <v>0.12</v>
      </c>
      <c r="I55" s="101">
        <f t="shared" si="7"/>
        <v>-4.076379735047176E-2</v>
      </c>
      <c r="J55" s="102">
        <v>0.75</v>
      </c>
      <c r="K55" s="101">
        <f t="shared" si="8"/>
        <v>2.4576777916781867E-2</v>
      </c>
      <c r="L55" s="102">
        <v>0.96</v>
      </c>
      <c r="M55" s="103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2">
        <f t="shared" si="0"/>
        <v>8.4818019065802108E-3</v>
      </c>
      <c r="H56" s="100">
        <v>0.13</v>
      </c>
      <c r="I56" s="101">
        <f t="shared" si="7"/>
        <v>-3.620793668559863E-2</v>
      </c>
      <c r="J56" s="102">
        <v>0.8</v>
      </c>
      <c r="K56" s="101">
        <f t="shared" si="8"/>
        <v>3.6359792052379311E-2</v>
      </c>
      <c r="L56" s="102">
        <v>0.97</v>
      </c>
      <c r="M56" s="103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2">
        <f t="shared" si="0"/>
        <v>-8.4744600729680375E-4</v>
      </c>
      <c r="H57" s="100">
        <v>0.14000000000000001</v>
      </c>
      <c r="I57" s="101">
        <f t="shared" si="7"/>
        <v>-3.2375903306623682E-2</v>
      </c>
      <c r="J57" s="102"/>
      <c r="K57" s="101"/>
      <c r="L57" s="102">
        <v>0.98</v>
      </c>
      <c r="M57" s="103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2">
        <f t="shared" si="0"/>
        <v>4.9822016218267651E-2</v>
      </c>
      <c r="H58" s="104">
        <v>0.15</v>
      </c>
      <c r="I58" s="105">
        <f t="shared" si="7"/>
        <v>-3.1536371462825501E-2</v>
      </c>
      <c r="J58" s="106"/>
      <c r="K58" s="85"/>
      <c r="L58" s="107">
        <v>0.99</v>
      </c>
      <c r="M58" s="108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2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2">
        <f t="shared" si="0"/>
        <v>4.3820784766912535E-3</v>
      </c>
      <c r="H60" s="109" t="s">
        <v>118</v>
      </c>
      <c r="I60" s="110"/>
    </row>
    <row r="61" spans="2:13" ht="15.75" thickBot="1" x14ac:dyDescent="0.3">
      <c r="B61" s="12">
        <v>44991</v>
      </c>
      <c r="C61" s="18">
        <v>113.046127</v>
      </c>
      <c r="D61" s="122">
        <f t="shared" si="0"/>
        <v>-5.2309835556187956E-3</v>
      </c>
      <c r="H61" s="111" t="s">
        <v>119</v>
      </c>
      <c r="I61" s="112"/>
    </row>
    <row r="62" spans="2:13" ht="15.75" thickBot="1" x14ac:dyDescent="0.3">
      <c r="B62" s="12">
        <v>44984</v>
      </c>
      <c r="C62" s="18">
        <v>113.640579</v>
      </c>
      <c r="D62" s="122">
        <f t="shared" si="0"/>
        <v>3.8008993803380964E-2</v>
      </c>
      <c r="H62" s="113"/>
    </row>
    <row r="63" spans="2:13" x14ac:dyDescent="0.25">
      <c r="B63" s="12">
        <v>44977</v>
      </c>
      <c r="C63" s="18">
        <v>109.479378</v>
      </c>
      <c r="D63" s="122">
        <f t="shared" si="0"/>
        <v>-3.1551271101928124E-2</v>
      </c>
      <c r="H63" s="109" t="s">
        <v>120</v>
      </c>
      <c r="I63" s="114"/>
    </row>
    <row r="64" spans="2:13" x14ac:dyDescent="0.25">
      <c r="B64" s="12">
        <v>44970</v>
      </c>
      <c r="C64" s="18">
        <v>113.046127</v>
      </c>
      <c r="D64" s="122">
        <f t="shared" si="0"/>
        <v>5.2863511104166427E-3</v>
      </c>
      <c r="H64" s="115" t="s">
        <v>121</v>
      </c>
      <c r="I64" s="116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2">
        <f t="shared" si="0"/>
        <v>-1.0462028708952631E-2</v>
      </c>
      <c r="H65" s="111" t="s">
        <v>122</v>
      </c>
      <c r="I65" s="117">
        <f>I63*(1+I61)</f>
        <v>0</v>
      </c>
    </row>
    <row r="66" spans="2:9" x14ac:dyDescent="0.25">
      <c r="B66" s="12">
        <v>44956</v>
      </c>
      <c r="C66" s="18">
        <v>113.640579</v>
      </c>
      <c r="D66" s="122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2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2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2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2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2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2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2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2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2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2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2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2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2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2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2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2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2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2025-02-02T23:31:43Z</dcterms:modified>
</cp:coreProperties>
</file>