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92029C4D-50DA-4A61-95A7-B2D4DB1DC84C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Model!$K$21:$O$21</definedName>
    <definedName name="_xlchart.v1.3" hidden="1">Model!$K$22:$O$22</definedName>
    <definedName name="_xlchart.v1.4" hidden="1">Model!$K$2:$O$2</definedName>
    <definedName name="_xlchart.v1.5" hidden="1">Model!$B$3</definedName>
    <definedName name="_xlchart.v1.6" hidden="1">Model!$B$4</definedName>
    <definedName name="_xlchart.v1.7" hidden="1">Model!$K$2:$O$2</definedName>
    <definedName name="_xlchart.v1.8" hidden="1">Model!$K$3:$O$3</definedName>
    <definedName name="_xlchart.v1.9" hidden="1">Model!$K$4:$O$4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6" l="1"/>
  <c r="J10" i="6"/>
  <c r="F10" i="6"/>
  <c r="F9" i="6"/>
  <c r="R5" i="2"/>
  <c r="Q10" i="2"/>
  <c r="R10" i="2" s="1"/>
  <c r="P23" i="2"/>
  <c r="Q6" i="2"/>
  <c r="R6" i="2" s="1"/>
  <c r="Q5" i="2"/>
  <c r="Q27" i="2" s="1"/>
  <c r="H63" i="2"/>
  <c r="H19" i="2"/>
  <c r="G19" i="2"/>
  <c r="G63" i="2" s="1"/>
  <c r="C17" i="1"/>
  <c r="C14" i="1"/>
  <c r="C15" i="1"/>
  <c r="R27" i="2"/>
  <c r="Q15" i="2"/>
  <c r="R15" i="2" s="1"/>
  <c r="Q14" i="2"/>
  <c r="R14" i="2" s="1"/>
  <c r="Q26" i="2"/>
  <c r="N20" i="2"/>
  <c r="N18" i="2"/>
  <c r="N17" i="2"/>
  <c r="N15" i="2"/>
  <c r="N14" i="2"/>
  <c r="N13" i="2"/>
  <c r="N10" i="2"/>
  <c r="N9" i="2"/>
  <c r="N8" i="2"/>
  <c r="N7" i="2"/>
  <c r="N6" i="2"/>
  <c r="N5" i="2"/>
  <c r="N27" i="2" s="1"/>
  <c r="N3" i="2"/>
  <c r="N28" i="2" s="1"/>
  <c r="Q34" i="2"/>
  <c r="P34" i="2"/>
  <c r="O34" i="2"/>
  <c r="M34" i="2"/>
  <c r="L34" i="2"/>
  <c r="K34" i="2"/>
  <c r="N59" i="2"/>
  <c r="N58" i="2"/>
  <c r="N57" i="2"/>
  <c r="N56" i="2"/>
  <c r="N55" i="2"/>
  <c r="N53" i="2"/>
  <c r="N52" i="2"/>
  <c r="N51" i="2"/>
  <c r="N50" i="2"/>
  <c r="N49" i="2"/>
  <c r="N48" i="2"/>
  <c r="N46" i="2"/>
  <c r="N44" i="2"/>
  <c r="N43" i="2"/>
  <c r="N42" i="2"/>
  <c r="N40" i="2"/>
  <c r="N39" i="2"/>
  <c r="N38" i="2"/>
  <c r="N37" i="2"/>
  <c r="N36" i="2"/>
  <c r="N35" i="2"/>
  <c r="H29" i="2"/>
  <c r="O25" i="2"/>
  <c r="P25" i="2"/>
  <c r="L12" i="2"/>
  <c r="L31" i="2" s="1"/>
  <c r="P30" i="2"/>
  <c r="K23" i="2"/>
  <c r="L23" i="2"/>
  <c r="M23" i="2"/>
  <c r="O23" i="2"/>
  <c r="K26" i="2"/>
  <c r="L26" i="2"/>
  <c r="M26" i="2"/>
  <c r="O26" i="2"/>
  <c r="P26" i="2"/>
  <c r="K27" i="2"/>
  <c r="L27" i="2"/>
  <c r="M27" i="2"/>
  <c r="O27" i="2"/>
  <c r="P27" i="2"/>
  <c r="K28" i="2"/>
  <c r="L28" i="2"/>
  <c r="M28" i="2"/>
  <c r="O28" i="2"/>
  <c r="P28" i="2"/>
  <c r="Q28" i="2"/>
  <c r="R28" i="2"/>
  <c r="K30" i="2"/>
  <c r="L30" i="2"/>
  <c r="M30" i="2"/>
  <c r="O30" i="2"/>
  <c r="F30" i="2"/>
  <c r="E30" i="2"/>
  <c r="K12" i="2"/>
  <c r="K31" i="2" s="1"/>
  <c r="M12" i="2"/>
  <c r="M31" i="2" s="1"/>
  <c r="O12" i="2"/>
  <c r="O31" i="2" s="1"/>
  <c r="P12" i="2"/>
  <c r="P31" i="2" s="1"/>
  <c r="P54" i="2"/>
  <c r="P60" i="2" s="1"/>
  <c r="O54" i="2"/>
  <c r="O60" i="2" s="1"/>
  <c r="P41" i="2"/>
  <c r="P47" i="2" s="1"/>
  <c r="O41" i="2"/>
  <c r="O47" i="2" s="1"/>
  <c r="E34" i="2"/>
  <c r="D34" i="2"/>
  <c r="C34" i="2"/>
  <c r="F34" i="2"/>
  <c r="D43" i="2"/>
  <c r="C43" i="2"/>
  <c r="E23" i="2"/>
  <c r="F23" i="2"/>
  <c r="F27" i="2"/>
  <c r="E27" i="2"/>
  <c r="D3" i="2"/>
  <c r="D12" i="2" s="1"/>
  <c r="C3" i="2"/>
  <c r="C12" i="2" s="1"/>
  <c r="C21" i="1"/>
  <c r="C20" i="1"/>
  <c r="C7" i="1"/>
  <c r="J6" i="1" s="1"/>
  <c r="E15" i="2"/>
  <c r="E12" i="2"/>
  <c r="F12" i="2"/>
  <c r="C16" i="1" s="1"/>
  <c r="E5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6" i="2" s="1"/>
  <c r="H12" i="2"/>
  <c r="H16" i="2" s="1"/>
  <c r="D27" i="2" l="1"/>
  <c r="J8" i="1"/>
  <c r="N30" i="2"/>
  <c r="C30" i="1"/>
  <c r="N12" i="2"/>
  <c r="C31" i="1"/>
  <c r="Q23" i="2"/>
  <c r="C27" i="2"/>
  <c r="N23" i="2"/>
  <c r="C29" i="1"/>
  <c r="Q13" i="2"/>
  <c r="Q30" i="2" s="1"/>
  <c r="N41" i="2"/>
  <c r="J9" i="1"/>
  <c r="J10" i="1"/>
  <c r="J3" i="1"/>
  <c r="J4" i="1"/>
  <c r="J5" i="1"/>
  <c r="R23" i="2"/>
  <c r="R26" i="2"/>
  <c r="Q12" i="2"/>
  <c r="N31" i="2"/>
  <c r="N26" i="2"/>
  <c r="C23" i="2"/>
  <c r="N34" i="2"/>
  <c r="D23" i="2"/>
  <c r="D26" i="2"/>
  <c r="C30" i="2"/>
  <c r="D30" i="2"/>
  <c r="P61" i="2"/>
  <c r="O61" i="2"/>
  <c r="F31" i="2"/>
  <c r="L16" i="2"/>
  <c r="L19" i="2" s="1"/>
  <c r="L21" i="2" s="1"/>
  <c r="P16" i="2"/>
  <c r="P19" i="2" s="1"/>
  <c r="P21" i="2" s="1"/>
  <c r="K16" i="2"/>
  <c r="K19" i="2" s="1"/>
  <c r="K21" i="2" s="1"/>
  <c r="O16" i="2"/>
  <c r="O19" i="2" s="1"/>
  <c r="O21" i="2" s="1"/>
  <c r="N16" i="2"/>
  <c r="N19" i="2" s="1"/>
  <c r="N21" i="2" s="1"/>
  <c r="M16" i="2"/>
  <c r="M19" i="2" s="1"/>
  <c r="M21" i="2" s="1"/>
  <c r="C22" i="1"/>
  <c r="C28" i="1" s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Q16" i="2" l="1"/>
  <c r="Q19" i="2" s="1"/>
  <c r="Q24" i="2" s="1"/>
  <c r="R13" i="2"/>
  <c r="R30" i="2" s="1"/>
  <c r="R12" i="2"/>
  <c r="Q31" i="2"/>
  <c r="N24" i="2"/>
  <c r="O24" i="2"/>
  <c r="M24" i="2"/>
  <c r="K24" i="2"/>
  <c r="L24" i="2"/>
  <c r="P24" i="2"/>
  <c r="I27" i="5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K41" i="2"/>
  <c r="K47" i="2" s="1"/>
  <c r="L41" i="2"/>
  <c r="L47" i="2" s="1"/>
  <c r="M41" i="2"/>
  <c r="M47" i="2" s="1"/>
  <c r="N47" i="2"/>
  <c r="K54" i="2"/>
  <c r="K60" i="2" s="1"/>
  <c r="L54" i="2"/>
  <c r="L60" i="2" s="1"/>
  <c r="M54" i="2"/>
  <c r="M60" i="2" s="1"/>
  <c r="N54" i="2"/>
  <c r="N60" i="2" s="1"/>
  <c r="H30" i="2"/>
  <c r="G30" i="2"/>
  <c r="C41" i="2"/>
  <c r="C47" i="2" s="1"/>
  <c r="D41" i="2"/>
  <c r="D47" i="2" s="1"/>
  <c r="H24" i="2"/>
  <c r="G24" i="2"/>
  <c r="H25" i="2"/>
  <c r="Q21" i="2" l="1"/>
  <c r="R31" i="2"/>
  <c r="R16" i="2"/>
  <c r="R19" i="2" s="1"/>
  <c r="R24" i="2" s="1"/>
  <c r="O29" i="2"/>
  <c r="P29" i="2"/>
  <c r="L61" i="2"/>
  <c r="K61" i="2"/>
  <c r="N61" i="2"/>
  <c r="M61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G31" i="2"/>
  <c r="H31" i="2"/>
  <c r="G25" i="2"/>
  <c r="E26" i="2"/>
  <c r="F25" i="2"/>
  <c r="F54" i="2"/>
  <c r="F60" i="2" s="1"/>
  <c r="F41" i="2"/>
  <c r="F47" i="2" s="1"/>
  <c r="C33" i="1" s="1"/>
  <c r="D25" i="2"/>
  <c r="E25" i="2"/>
  <c r="C54" i="2"/>
  <c r="C60" i="2" s="1"/>
  <c r="C61" i="2" s="1"/>
  <c r="D54" i="2"/>
  <c r="E41" i="2"/>
  <c r="E47" i="2" s="1"/>
  <c r="C34" i="1" l="1"/>
  <c r="R21" i="2"/>
  <c r="F61" i="2"/>
  <c r="C35" i="1" s="1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0" i="2"/>
  <c r="E61" i="2" s="1"/>
  <c r="D60" i="2"/>
  <c r="D61" i="2" s="1"/>
  <c r="C18" i="1" l="1"/>
  <c r="D21" i="2"/>
  <c r="C24" i="2"/>
  <c r="F21" i="2"/>
  <c r="C13" i="1" s="1"/>
  <c r="F24" i="2"/>
  <c r="G29" i="2" l="1"/>
  <c r="D24" i="2"/>
  <c r="E29" i="2"/>
  <c r="E21" i="2"/>
  <c r="F29" i="2" s="1"/>
  <c r="D29" i="2"/>
  <c r="C21" i="2"/>
  <c r="E24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<sst xmlns="http://schemas.openxmlformats.org/spreadsheetml/2006/main" count="217" uniqueCount="192">
  <si>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</si>
  <si>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</si>
  <si>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</si>
  <si>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</si>
  <si>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</si>
  <si>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</si>
  <si>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</si>
  <si>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</si>
  <si>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</si>
  <si>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</si>
  <si>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</si>
  <si>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</si>
  <si>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</si>
  <si>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</si>
  <si>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</si>
  <si>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</si>
  <si>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</si>
  <si>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</si>
  <si>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</si>
  <si>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</si>
  <si>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</si>
  <si>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</si>
  <si>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</si>
  <si>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</si>
  <si>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</si>
  <si>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</si>
  <si>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</si>
  <si>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</si>
  <si>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</si>
  <si>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</si>
  <si>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</si>
  <si>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</si>
  <si>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</si>
  <si>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</si>
  <si>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</si>
  <si>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</si>
  <si>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</si>
  <si>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</si>
  <si>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</si>
  <si>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</si>
  <si>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</si>
  <si>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</si>
  <si>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</si>
  <si>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</si>
  <si>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</si>
  <si>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</si>
  <si>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</si>
  <si>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</si>
  <si>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</si>
  <si>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</si>
  <si>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</si>
  <si>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</si>
  <si>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</si>
  <si>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</si>
  <si>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</si>
  <si>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</si>
  <si>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</si>
  <si>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</si>
  <si>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</si>
  <si>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</si>
  <si>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</si>
  <si>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</si>
  <si>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</si>
  <si>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</si>
  <si>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</si>
  <si>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</si>
  <si>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</si>
  <si>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</si>
  <si>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</si>
  <si>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</si>
  <si>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</si>
  <si>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</si>
  <si>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</si>
  <si>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</si>
  <si>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</si>
  <si>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</si>
  <si>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</si>
  <si>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</si>
  <si>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</si>
  <si>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</si>
  <si>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</si>
  <si>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</si>
  <si>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</si>
  <si>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</si>
  <si>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</si>
  <si>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</si>
  <si>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</si>
  <si>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</si>
  <si>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</si>
  <si>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</si>
  <si>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</si>
  <si>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</si>
  <si>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</si>
  <si>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</si>
  <si>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</si>
  <si>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</si>
  <si>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</si>
  <si>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</si>
  <si>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</si>
  <si>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</si>
  <si>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</si>
  <si>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</si>
  <si>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</si>
  <si>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</si>
  <si>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</si>
  <si>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</si>
  <si>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</si>
  <si>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</si>
  <si>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</si>
  <si>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</si>
  <si>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</si>
  <si>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</si>
  <si>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</si>
  <si>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</si>
  <si>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</si>
  <si>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</si>
  <si>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</si>
  <si>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</si>
  <si>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</si>
  <si>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</si>
  <si>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</si>
  <si>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</si>
  <si>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</si>
  <si>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</si>
  <si>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</si>
  <si>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</si>
  <si>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</si>
  <si>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</si>
  <si>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</si>
  <si>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</si>
  <si>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</si>
  <si>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</si>
  <si>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</si>
  <si>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</si>
  <si>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</si>
  <si>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</si>
  <si>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</si>
  <si>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</si>
  <si>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</si>
  <si>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</si>
  <si>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</si>
  <si>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</si>
  <si>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</si>
  <si>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</si>
  <si>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</si>
  <si>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</si>
  <si>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</si>
  <si>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</si>
  <si>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</si>
  <si>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</si>
  <si>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</si>
  <si>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</si>
  <si>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</si>
  <si>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</si>
  <si>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</si>
  <si>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</si>
  <si>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</si>
  <si>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</si>
  <si>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</si>
  <si>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</si>
  <si>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</si>
  <si>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</si>
  <si>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</si>
  <si>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</si>
  <si>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</si>
  <si>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</si>
  <si>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</si>
  <si>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</si>
  <si>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</si>
  <si>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</si>
  <si>
    <t>I dont like the Management</t>
  </si>
  <si>
    <t>little experience</t>
  </si>
  <si>
    <t>might be in over their head when this thing grows</t>
  </si>
  <si>
    <t>HARTJE KARENChief Financial Officer</t>
  </si>
  <si>
    <t>KRAUSE JUSTINOfficer</t>
  </si>
  <si>
    <t>LAHIFF PAUL ALANDirector</t>
  </si>
  <si>
    <t>PARADIS PAULPresident</t>
  </si>
  <si>
    <t>PURCELL PAUL MARTINFormer</t>
  </si>
  <si>
    <t>SABZIVAND AMINChief Operating Officer</t>
  </si>
  <si>
    <t>WEBSTER KAREN LDirector</t>
  </si>
  <si>
    <t>YOUAKIM CHARLESChief Executive Officer</t>
  </si>
  <si>
    <t>CEO hält 40% der Aktien</t>
  </si>
  <si>
    <t>Haben bereits Aktienrückkaufprogramme durchgeführt</t>
  </si>
  <si>
    <t>Buy now Pay Later Anbieter</t>
  </si>
  <si>
    <t>Active Subscribers</t>
  </si>
  <si>
    <t>Active Consumers</t>
  </si>
  <si>
    <t>Unique Merchants shopped at by consumers</t>
  </si>
  <si>
    <t>Repeat Usage as a % of total oders</t>
  </si>
  <si>
    <t>Quarterly Purchase Frequency</t>
  </si>
  <si>
    <t>Number of Transactions</t>
  </si>
  <si>
    <t>Subscribers y/y</t>
  </si>
  <si>
    <t>Number of Transactions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</si>
</sst>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%"/>
    <numFmt numFmtId="166" formatCode="0.0000"/>
    <numFmt numFmtId="167" formatCode="#,##0.000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7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10" fontId="0" fillId="0" borderId="0" xfId="1" applyNumberFormat="1" applyFont="1" applyAlignment="1">
      <alignment horizontal="right"/>
    </xf>
    <xf numFmtId="4" fontId="2" fillId="0" borderId="0" xfId="0" applyNumberFormat="1" applyFont="1"/>
    <xf numFmtId="167" fontId="0" fillId="0" borderId="0" xfId="0" applyNumberFormat="1"/>
    <xf numFmtId="4" fontId="0" fillId="0" borderId="0" xfId="0" applyNumberFormat="1"/>
    <xf numFmtId="4" fontId="0" fillId="0" borderId="2" xfId="0" applyNumberFormat="1" applyBorder="1"/>
    <xf numFmtId="4" fontId="2" fillId="0" borderId="2" xfId="0" applyNumberFormat="1" applyFon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164" fontId="5" fillId="12" borderId="0" xfId="0" applyNumberFormat="1" applyFont="1" applyFill="1"/>
    <xf numFmtId="164" fontId="6" fillId="12" borderId="0" xfId="0" applyNumberFormat="1" applyFont="1" applyFill="1"/>
    <xf numFmtId="164" fontId="6" fillId="12" borderId="2" xfId="0" applyNumberFormat="1" applyFont="1" applyFill="1" applyBorder="1"/>
    <xf numFmtId="164" fontId="5" fillId="12" borderId="2" xfId="0" applyNumberFormat="1" applyFont="1" applyFill="1" applyBorder="1"/>
    <xf numFmtId="164" fontId="5" fillId="12" borderId="0" xfId="1" applyNumberFormat="1" applyFont="1" applyFill="1" applyBorder="1"/>
    <xf numFmtId="164" fontId="5" fillId="12" borderId="0" xfId="1" applyNumberFormat="1" applyFont="1" applyFill="1"/>
    <xf numFmtId="9" fontId="2" fillId="0" borderId="0" xfId="1" applyFont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4" fontId="2" fillId="0" borderId="0" xfId="0" applyNumberFormat="1" applyFon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3" fontId="2" fillId="0" borderId="0" xfId="0" applyNumberFormat="1" applyFont="1" applyBorder="1"/>
    <xf numFmtId="3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164" fontId="5" fillId="12" borderId="2" xfId="1" applyNumberFormat="1" applyFont="1" applyFill="1" applyBorder="1"/>
    <xf numFmtId="164" fontId="5" fillId="3" borderId="2" xfId="0" applyNumberFormat="1" applyFont="1" applyFill="1" applyBorder="1"/>
    <xf numFmtId="9" fontId="0" fillId="0" borderId="0" xfId="1" applyFont="1"/>
    <xf numFmtId="169" fontId="0" fillId="0" borderId="0" xfId="1" applyNumberFormat="1" applyFo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Model!$K$2:$O$2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Model!$K$3:$O$3</c:f>
              <c:numCache>
                <c:formatCode>#,##0.00</c:formatCode>
                <c:ptCount val="5"/>
                <c:pt idx="0" formatCode="0.00">
                  <c:v>34.673431000000001</c:v>
                </c:pt>
                <c:pt idx="1">
                  <c:v>34.937665000000003</c:v>
                </c:pt>
                <c:pt idx="2">
                  <c:v>40.844200999999998</c:v>
                </c:pt>
                <c:pt idx="3">
                  <c:v>48.901474999999998</c:v>
                </c:pt>
                <c:pt idx="4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Model!$K$25:$O$25</c:f>
              <c:numCache>
                <c:formatCode>0%</c:formatCode>
                <c:ptCount val="5"/>
                <c:pt idx="4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9-4C5F-BC60-95E8249AFCF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0.38550748254363465</c:v>
                </c:pt>
                <c:pt idx="5">
                  <c:v>0.25431405407853624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Model!$K$2:$O$2</c:f>
              <c:strCache>
                <c:ptCount val="5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  <c:pt idx="3">
                  <c:v>Q423</c:v>
                </c:pt>
                <c:pt idx="4">
                  <c:v>Q124</c:v>
                </c:pt>
              </c:strCache>
            </c:strRef>
          </c:cat>
          <c:val>
            <c:numRef>
              <c:f>Model!$K$19:$O$19</c:f>
              <c:numCache>
                <c:formatCode>#,##0.00</c:formatCode>
                <c:ptCount val="5"/>
                <c:pt idx="0" formatCode="0.00">
                  <c:v>1.5787380000000018</c:v>
                </c:pt>
                <c:pt idx="1">
                  <c:v>1.4444650000000023</c:v>
                </c:pt>
                <c:pt idx="2">
                  <c:v>0.93593499999999885</c:v>
                </c:pt>
                <c:pt idx="3">
                  <c:v>3.1419090000000067</c:v>
                </c:pt>
                <c:pt idx="4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Model!$K$23:$O$23</c:f>
              <c:numCache>
                <c:formatCode>0%</c:formatCode>
                <c:ptCount val="5"/>
                <c:pt idx="0">
                  <c:v>0.76239484347539765</c:v>
                </c:pt>
                <c:pt idx="1">
                  <c:v>0.77256785764017144</c:v>
                </c:pt>
                <c:pt idx="2">
                  <c:v>0.75671444766418616</c:v>
                </c:pt>
                <c:pt idx="3">
                  <c:v>0.73239191660374248</c:v>
                </c:pt>
                <c:pt idx="4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  <c:pt idx="4" formatCode="#,##0">
                  <c:v>38.216486709999998</c:v>
                </c:pt>
                <c:pt idx="5" formatCode="#,##0">
                  <c:v>51.844951510000001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4.3818101344773526</c:v>
                </c:pt>
                <c:pt idx="5">
                  <c:v>0.35661218424962859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Model!$K$2:$M$2</c:f>
              <c:strCache>
                <c:ptCount val="3"/>
                <c:pt idx="0">
                  <c:v>Q123</c:v>
                </c:pt>
                <c:pt idx="1">
                  <c:v>Q223</c:v>
                </c:pt>
                <c:pt idx="2">
                  <c:v>Q323</c:v>
                </c:pt>
              </c:strCache>
            </c:strRef>
          </c:cat>
          <c:val>
            <c:numRef>
              <c:f>Model!$K$26:$M$26</c:f>
              <c:numCache>
                <c:formatCode>0%</c:formatCode>
                <c:ptCount val="3"/>
                <c:pt idx="0">
                  <c:v>9.2265862008291025E-2</c:v>
                </c:pt>
                <c:pt idx="1">
                  <c:v>9.4844976045193624E-2</c:v>
                </c:pt>
                <c:pt idx="2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Model!$K$27:$N$27</c:f>
              <c:numCache>
                <c:formatCode>0%</c:formatCode>
                <c:ptCount val="4"/>
                <c:pt idx="0">
                  <c:v>0.33379996343598073</c:v>
                </c:pt>
                <c:pt idx="1">
                  <c:v>0.34395747397543591</c:v>
                </c:pt>
                <c:pt idx="2">
                  <c:v>0.27125451664484757</c:v>
                </c:pt>
                <c:pt idx="3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Model!$K$28:$N$28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opLeftCell="A13" workbookViewId="0">
      <selection activeCell="L29" sqref="L29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10.5703125" bestFit="1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40</v>
      </c>
      <c r="F2" s="64" t="s">
        <v>41</v>
      </c>
      <c r="G2" s="24"/>
      <c r="H2" s="25" t="s">
        <v>48</v>
      </c>
      <c r="I2" s="25" t="s">
        <v>1</v>
      </c>
      <c r="J2" s="26" t="s">
        <v>41</v>
      </c>
      <c r="L2" s="29" t="s">
        <v>34</v>
      </c>
      <c r="M2" s="30" t="s">
        <v>50</v>
      </c>
      <c r="N2" s="31" t="s">
        <v>49</v>
      </c>
    </row>
    <row r="3" spans="2:14" x14ac:dyDescent="0.25">
      <c r="B3" s="4" t="s">
        <v>33</v>
      </c>
      <c r="C3" s="19">
        <v>45547</v>
      </c>
      <c r="E3" s="4" t="s">
        <v>48</v>
      </c>
      <c r="F3" s="128">
        <v>0.62009999999999998</v>
      </c>
      <c r="H3" t="s">
        <v>173</v>
      </c>
      <c r="I3" s="9">
        <v>37.363</v>
      </c>
      <c r="J3" s="5">
        <f t="shared" ref="J3:J9" si="0">I3/($C$7*1000)</f>
        <v>6.5796992776471783E-3</v>
      </c>
      <c r="L3" s="4" t="s">
        <v>126</v>
      </c>
      <c r="M3" t="s">
        <v>127</v>
      </c>
      <c r="N3" s="36" t="s">
        <v>170</v>
      </c>
    </row>
    <row r="4" spans="2:14" x14ac:dyDescent="0.25">
      <c r="B4" s="4"/>
      <c r="C4" s="20">
        <v>0.95625000000000004</v>
      </c>
      <c r="E4" s="4" t="s">
        <v>140</v>
      </c>
      <c r="F4" s="128">
        <v>0.14199999999999999</v>
      </c>
      <c r="H4" t="s">
        <v>174</v>
      </c>
      <c r="I4" s="9">
        <v>16.533000000000001</v>
      </c>
      <c r="J4" s="5">
        <f t="shared" si="0"/>
        <v>2.9114944773530179E-3</v>
      </c>
      <c r="L4" s="4" t="s">
        <v>128</v>
      </c>
      <c r="M4" t="s">
        <v>129</v>
      </c>
      <c r="N4" s="12" t="s">
        <v>171</v>
      </c>
    </row>
    <row r="5" spans="2:14" x14ac:dyDescent="0.25">
      <c r="B5" s="4"/>
      <c r="C5" s="12"/>
      <c r="E5" s="4"/>
      <c r="F5" s="27"/>
      <c r="H5" t="s">
        <v>175</v>
      </c>
      <c r="I5" s="9">
        <v>5.0979999999999999</v>
      </c>
      <c r="J5" s="5">
        <f t="shared" si="0"/>
        <v>8.9776803033603605E-4</v>
      </c>
      <c r="L5" s="4" t="s">
        <v>130</v>
      </c>
      <c r="M5" t="s">
        <v>131</v>
      </c>
      <c r="N5" s="12" t="s">
        <v>172</v>
      </c>
    </row>
    <row r="6" spans="2:14" x14ac:dyDescent="0.25">
      <c r="B6" s="4" t="s">
        <v>0</v>
      </c>
      <c r="C6" s="12">
        <v>149.26</v>
      </c>
      <c r="E6" s="4"/>
      <c r="F6" s="27"/>
      <c r="H6" t="s">
        <v>176</v>
      </c>
      <c r="I6" s="9">
        <v>173.11199999999999</v>
      </c>
      <c r="J6" s="5">
        <f t="shared" si="0"/>
        <v>3.0485370589943481E-2</v>
      </c>
      <c r="L6" s="4" t="s">
        <v>132</v>
      </c>
      <c r="M6" t="s">
        <v>133</v>
      </c>
      <c r="N6" s="12"/>
    </row>
    <row r="7" spans="2:14" x14ac:dyDescent="0.25">
      <c r="B7" s="4" t="s">
        <v>1</v>
      </c>
      <c r="C7" s="14">
        <f>Model!F20</f>
        <v>5.6785269999999999</v>
      </c>
      <c r="E7" s="4"/>
      <c r="F7" s="27"/>
      <c r="H7" t="s">
        <v>177</v>
      </c>
      <c r="I7" s="9"/>
      <c r="J7" s="5"/>
      <c r="L7" s="4" t="s">
        <v>134</v>
      </c>
      <c r="M7" t="s">
        <v>135</v>
      </c>
      <c r="N7" s="12"/>
    </row>
    <row r="8" spans="2:14" x14ac:dyDescent="0.25">
      <c r="B8" s="4" t="s">
        <v>2</v>
      </c>
      <c r="C8" s="14">
        <f>C6*C7</f>
        <v>847.57694001999994</v>
      </c>
      <c r="E8" s="4"/>
      <c r="F8" s="27"/>
      <c r="H8" t="s">
        <v>178</v>
      </c>
      <c r="I8" s="9">
        <v>53.247999999999998</v>
      </c>
      <c r="J8" s="5">
        <f t="shared" si="0"/>
        <v>9.3770796546357883E-3</v>
      </c>
      <c r="L8" s="4" t="s">
        <v>136</v>
      </c>
      <c r="M8" t="s">
        <v>137</v>
      </c>
      <c r="N8" s="12"/>
    </row>
    <row r="9" spans="2:14" x14ac:dyDescent="0.25">
      <c r="B9" s="4" t="s">
        <v>3</v>
      </c>
      <c r="C9" s="14">
        <f>Model!E24</f>
        <v>-0.29374644786028892</v>
      </c>
      <c r="E9" s="4"/>
      <c r="F9" s="27"/>
      <c r="H9" t="s">
        <v>179</v>
      </c>
      <c r="I9" s="9">
        <v>1.1499999999999999</v>
      </c>
      <c r="J9" s="5">
        <f t="shared" si="0"/>
        <v>2.0251730774547693E-4</v>
      </c>
      <c r="L9" s="4" t="s">
        <v>138</v>
      </c>
      <c r="M9" t="s">
        <v>139</v>
      </c>
      <c r="N9" s="12"/>
    </row>
    <row r="10" spans="2:14" x14ac:dyDescent="0.25">
      <c r="B10" s="4" t="s">
        <v>4</v>
      </c>
      <c r="C10" s="14">
        <f>Model!E35+Model!E39</f>
        <v>70.812248999999994</v>
      </c>
      <c r="E10" s="4"/>
      <c r="F10" s="27"/>
      <c r="H10" t="s">
        <v>180</v>
      </c>
      <c r="I10" s="9">
        <v>2226.58</v>
      </c>
      <c r="J10" s="5">
        <f>I10/($C$7*1000)</f>
        <v>0.39210520615645572</v>
      </c>
      <c r="L10" s="4"/>
      <c r="N10" s="12"/>
    </row>
    <row r="11" spans="2:14" x14ac:dyDescent="0.25">
      <c r="B11" s="4" t="s">
        <v>28</v>
      </c>
      <c r="C11" s="14">
        <f>C9-C10</f>
        <v>-71.10599544786028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918.68293546786015</v>
      </c>
      <c r="E12" s="4"/>
      <c r="F12" s="27"/>
      <c r="J12" s="12"/>
      <c r="L12" s="4"/>
      <c r="N12" s="12"/>
    </row>
    <row r="13" spans="2:14" x14ac:dyDescent="0.25">
      <c r="B13" s="4" t="s">
        <v>39</v>
      </c>
      <c r="C13" s="35">
        <f>C6/Model!F21</f>
        <v>119.35943249213811</v>
      </c>
      <c r="E13" s="4"/>
      <c r="J13" s="12"/>
      <c r="L13" s="4"/>
      <c r="N13" s="12"/>
    </row>
    <row r="14" spans="2:14" x14ac:dyDescent="0.25">
      <c r="B14" s="4" t="s">
        <v>37</v>
      </c>
      <c r="C14" s="35">
        <f>C6/Model!G22</f>
        <v>22.17830609212481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38</v>
      </c>
      <c r="C15" s="35">
        <f>C6/Model!H22</f>
        <v>16.348302300109527</v>
      </c>
    </row>
    <row r="16" spans="2:14" x14ac:dyDescent="0.25">
      <c r="B16" s="4" t="s">
        <v>35</v>
      </c>
      <c r="C16" s="5">
        <f>Model!F12/Model!G22-1</f>
        <v>2.2987222882615153</v>
      </c>
    </row>
    <row r="17" spans="2:14" x14ac:dyDescent="0.25">
      <c r="B17" s="4" t="s">
        <v>36</v>
      </c>
      <c r="C17" s="5">
        <f>Model!H22/Model!G22-1</f>
        <v>0.35661218424962859</v>
      </c>
      <c r="E17" s="32" t="s">
        <v>46</v>
      </c>
      <c r="L17" s="145" t="s">
        <v>183</v>
      </c>
      <c r="M17" s="146"/>
      <c r="N17" s="147"/>
    </row>
    <row r="18" spans="2:14" x14ac:dyDescent="0.25">
      <c r="B18" s="4" t="s">
        <v>60</v>
      </c>
      <c r="C18" s="50">
        <f>C14/(C16*100)</f>
        <v>9.6481015585827418E-2</v>
      </c>
      <c r="L18" s="148"/>
      <c r="M18" s="149"/>
      <c r="N18" s="150"/>
    </row>
    <row r="19" spans="2:14" x14ac:dyDescent="0.25">
      <c r="B19" s="4" t="s">
        <v>61</v>
      </c>
      <c r="C19" s="50">
        <f>C15/(C17*100)</f>
        <v>0.45843364366557121</v>
      </c>
      <c r="L19" s="148"/>
      <c r="M19" s="149"/>
      <c r="N19" s="150"/>
    </row>
    <row r="20" spans="2:14" x14ac:dyDescent="0.25">
      <c r="B20" s="4" t="s">
        <v>71</v>
      </c>
      <c r="C20" s="5">
        <f>Model!G4/Model!F3-1</f>
        <v>0.38550748254363465</v>
      </c>
      <c r="L20" s="148"/>
      <c r="M20" s="149"/>
      <c r="N20" s="150"/>
    </row>
    <row r="21" spans="2:14" x14ac:dyDescent="0.25">
      <c r="B21" s="4" t="s">
        <v>72</v>
      </c>
      <c r="C21" s="5">
        <f>Model!H4/Model!G4-1</f>
        <v>0.25431405407853624</v>
      </c>
      <c r="L21" s="148"/>
      <c r="M21" s="149"/>
      <c r="N21" s="150"/>
    </row>
    <row r="22" spans="2:14" x14ac:dyDescent="0.25">
      <c r="B22" s="4" t="s">
        <v>62</v>
      </c>
      <c r="C22" s="14">
        <f>Model!E8+Model!E7</f>
        <v>27.162047000000001</v>
      </c>
      <c r="L22" s="148"/>
      <c r="M22" s="149"/>
      <c r="N22" s="150"/>
    </row>
    <row r="23" spans="2:14" x14ac:dyDescent="0.25">
      <c r="B23" s="4" t="s">
        <v>14</v>
      </c>
      <c r="C23" s="14">
        <f>Model!E8</f>
        <v>18.972024999999999</v>
      </c>
      <c r="L23" s="148"/>
      <c r="M23" s="149"/>
      <c r="N23" s="150"/>
    </row>
    <row r="24" spans="2:14" x14ac:dyDescent="0.25">
      <c r="B24" s="4" t="s">
        <v>23</v>
      </c>
      <c r="C24" s="6"/>
      <c r="L24" s="148"/>
      <c r="M24" s="149"/>
      <c r="N24" s="150"/>
    </row>
    <row r="25" spans="2:14" x14ac:dyDescent="0.25">
      <c r="B25" s="4" t="s">
        <v>24</v>
      </c>
      <c r="C25" s="6"/>
      <c r="L25" s="148"/>
      <c r="M25" s="149"/>
      <c r="N25" s="150"/>
    </row>
    <row r="26" spans="2:14" x14ac:dyDescent="0.25">
      <c r="B26" s="4" t="s">
        <v>63</v>
      </c>
      <c r="C26" s="35">
        <f>C12/C23</f>
        <v>48.423029985879751</v>
      </c>
      <c r="L26" s="148"/>
      <c r="M26" s="149"/>
      <c r="N26" s="150"/>
    </row>
    <row r="27" spans="2:14" x14ac:dyDescent="0.25">
      <c r="B27" s="4" t="s">
        <v>73</v>
      </c>
      <c r="C27" s="124"/>
      <c r="E27" t="s">
        <v>64</v>
      </c>
      <c r="L27" s="148"/>
      <c r="M27" s="149"/>
      <c r="N27" s="150"/>
    </row>
    <row r="28" spans="2:14" x14ac:dyDescent="0.25">
      <c r="B28" s="4" t="s">
        <v>74</v>
      </c>
      <c r="C28" s="35">
        <f>C22/-Model!E7</f>
        <v>-3.3164803464508394</v>
      </c>
      <c r="E28" t="s">
        <v>181</v>
      </c>
      <c r="L28" s="151"/>
      <c r="M28" s="152"/>
      <c r="N28" s="153"/>
    </row>
    <row r="29" spans="2:14" x14ac:dyDescent="0.25">
      <c r="B29" s="4" t="s">
        <v>75</v>
      </c>
      <c r="C29" s="35">
        <f>Model!P41/Model!P54</f>
        <v>2.0715283893564633</v>
      </c>
      <c r="E29" t="s">
        <v>182</v>
      </c>
    </row>
    <row r="30" spans="2:14" x14ac:dyDescent="0.25">
      <c r="B30" s="4" t="s">
        <v>76</v>
      </c>
      <c r="C30" s="35">
        <f>(Model!P35+Model!P37)/Model!P54</f>
        <v>2.0560557070594001</v>
      </c>
    </row>
    <row r="31" spans="2:14" x14ac:dyDescent="0.25">
      <c r="B31" s="4" t="s">
        <v>77</v>
      </c>
      <c r="C31" s="5">
        <f>(Model!P41-Model!P54)/Model!P47</f>
        <v>0.46456548896968874</v>
      </c>
    </row>
    <row r="32" spans="2:14" x14ac:dyDescent="0.25">
      <c r="B32" s="4" t="s">
        <v>78</v>
      </c>
      <c r="C32" s="35" t="e">
        <f>(Model!#REF!-Model!#REF!)/Main!C7</f>
        <v>#REF!</v>
      </c>
    </row>
    <row r="33" spans="2:9" x14ac:dyDescent="0.25">
      <c r="B33" s="4" t="s">
        <v>79</v>
      </c>
      <c r="C33" s="35">
        <f>Model!F3/Model!F47</f>
        <v>0.74940186658172903</v>
      </c>
    </row>
    <row r="34" spans="2:9" x14ac:dyDescent="0.25">
      <c r="B34" s="4" t="s">
        <v>80</v>
      </c>
      <c r="C34" s="37">
        <f>Model!F19/Model!F47</f>
        <v>3.3393860892743155E-2</v>
      </c>
    </row>
    <row r="35" spans="2:9" x14ac:dyDescent="0.25">
      <c r="B35" s="4" t="s">
        <v>81</v>
      </c>
      <c r="C35" s="37">
        <f>Model!F19/Model!F61</f>
        <v>0.32139688908336822</v>
      </c>
    </row>
    <row r="36" spans="2:9" x14ac:dyDescent="0.25">
      <c r="B36" s="21" t="s">
        <v>82</v>
      </c>
      <c r="C36" s="22"/>
    </row>
    <row r="41" spans="2:9" x14ac:dyDescent="0.25">
      <c r="E41" s="60"/>
      <c r="F41" s="60"/>
      <c r="G41" s="63"/>
      <c r="H41" s="63"/>
      <c r="I41" s="63"/>
    </row>
    <row r="42" spans="2:9" x14ac:dyDescent="0.25">
      <c r="E42" s="61"/>
      <c r="F42" s="62"/>
      <c r="G42" s="62"/>
    </row>
    <row r="43" spans="2:9" x14ac:dyDescent="0.25">
      <c r="E43" s="61"/>
      <c r="F43" s="62"/>
      <c r="G43" s="62"/>
    </row>
    <row r="44" spans="2:9" x14ac:dyDescent="0.25">
      <c r="E44" s="61"/>
      <c r="F44" s="62"/>
      <c r="G44" s="6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R82"/>
  <sheetViews>
    <sheetView tabSelected="1" zoomScaleNormal="100" workbookViewId="0">
      <pane xSplit="2" ySplit="2" topLeftCell="N3" activePane="bottomRight" state="frozen"/>
      <selection pane="topRight" activeCell="B1" sqref="B1"/>
      <selection pane="bottomLeft" activeCell="A3" sqref="A3"/>
      <selection pane="bottomRight" activeCell="S5" sqref="S5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2"/>
    <col min="16" max="16" width="11.42578125" style="164"/>
    <col min="17" max="17" width="11.42578125" style="12"/>
  </cols>
  <sheetData>
    <row r="1" spans="1:18" x14ac:dyDescent="0.25">
      <c r="A1" s="7" t="s">
        <v>29</v>
      </c>
    </row>
    <row r="2" spans="1:18" x14ac:dyDescent="0.25">
      <c r="C2" t="s">
        <v>13</v>
      </c>
      <c r="D2" t="s">
        <v>9</v>
      </c>
      <c r="E2" t="s">
        <v>10</v>
      </c>
      <c r="F2" s="12" t="s">
        <v>11</v>
      </c>
      <c r="G2" t="s">
        <v>26</v>
      </c>
      <c r="H2" t="s">
        <v>59</v>
      </c>
      <c r="K2" t="s">
        <v>8</v>
      </c>
      <c r="L2" t="s">
        <v>27</v>
      </c>
      <c r="M2" t="s">
        <v>31</v>
      </c>
      <c r="N2" t="s">
        <v>32</v>
      </c>
      <c r="O2" t="s">
        <v>53</v>
      </c>
      <c r="P2" s="164" t="s">
        <v>57</v>
      </c>
      <c r="Q2" s="12" t="s">
        <v>166</v>
      </c>
      <c r="R2" t="s">
        <v>167</v>
      </c>
    </row>
    <row r="3" spans="1:18" s="1" customFormat="1" x14ac:dyDescent="0.25">
      <c r="B3" s="1" t="s">
        <v>12</v>
      </c>
      <c r="C3" s="131">
        <f>49.659042+9.129231</f>
        <v>58.788273000000004</v>
      </c>
      <c r="D3" s="131">
        <f>98.200184+16.616451</f>
        <v>114.81663499999999</v>
      </c>
      <c r="E3" s="131">
        <v>125.570441</v>
      </c>
      <c r="F3" s="132">
        <v>159.35677200000001</v>
      </c>
      <c r="G3" s="42"/>
      <c r="H3" s="42"/>
      <c r="K3" s="17">
        <v>34.673431000000001</v>
      </c>
      <c r="L3" s="131">
        <v>34.937665000000003</v>
      </c>
      <c r="M3" s="131">
        <v>40.844200999999998</v>
      </c>
      <c r="N3" s="131">
        <f>F3-M3-L3-K3</f>
        <v>48.901474999999998</v>
      </c>
      <c r="O3" s="131">
        <v>46.978634</v>
      </c>
      <c r="P3" s="165">
        <v>55.968505</v>
      </c>
      <c r="Q3" s="15">
        <v>69.957999999999998</v>
      </c>
    </row>
    <row r="4" spans="1:18" x14ac:dyDescent="0.25">
      <c r="B4" s="8" t="s">
        <v>55</v>
      </c>
      <c r="C4" s="131"/>
      <c r="D4" s="131"/>
      <c r="E4" s="131"/>
      <c r="F4" s="132"/>
      <c r="G4" s="41">
        <v>220.79</v>
      </c>
      <c r="H4" s="41">
        <v>276.94</v>
      </c>
      <c r="K4" s="17"/>
      <c r="L4" s="131"/>
      <c r="M4" s="131"/>
      <c r="N4" s="131"/>
      <c r="O4" s="131"/>
      <c r="P4" s="165"/>
      <c r="Q4" s="175">
        <v>52.63</v>
      </c>
      <c r="R4" s="138">
        <v>65.180000000000007</v>
      </c>
    </row>
    <row r="5" spans="1:18" x14ac:dyDescent="0.25">
      <c r="B5" t="s">
        <v>160</v>
      </c>
      <c r="C5" s="131">
        <v>30.689461999999999</v>
      </c>
      <c r="D5" s="131">
        <v>56.831367999999998</v>
      </c>
      <c r="E5" s="131">
        <v>51.217083000000002</v>
      </c>
      <c r="F5" s="132">
        <v>46.373914999999997</v>
      </c>
      <c r="G5" s="41"/>
      <c r="H5" s="41"/>
      <c r="K5" s="17">
        <v>11.57399</v>
      </c>
      <c r="L5" s="131">
        <v>12.017071</v>
      </c>
      <c r="M5" s="131">
        <v>11.079174</v>
      </c>
      <c r="N5" s="131">
        <f>F5-M5-L5-K5</f>
        <v>11.703679999999993</v>
      </c>
      <c r="O5" s="131">
        <v>11.025040000000001</v>
      </c>
      <c r="P5" s="165">
        <v>12.736523</v>
      </c>
      <c r="Q5" s="141">
        <f>Q4*0.23</f>
        <v>12.104900000000001</v>
      </c>
      <c r="R5" s="138">
        <f>R4*0.23</f>
        <v>14.991400000000002</v>
      </c>
    </row>
    <row r="6" spans="1:18" x14ac:dyDescent="0.25">
      <c r="B6" t="s">
        <v>159</v>
      </c>
      <c r="C6" s="131">
        <v>22.489626000000001</v>
      </c>
      <c r="D6" s="131">
        <v>43.476143</v>
      </c>
      <c r="E6" s="131">
        <v>40.776825000000002</v>
      </c>
      <c r="F6" s="132">
        <v>39.207768000000002</v>
      </c>
      <c r="G6" s="41"/>
      <c r="H6" s="41"/>
      <c r="K6" s="17">
        <v>8.2385859999999997</v>
      </c>
      <c r="L6" s="131">
        <v>7.9459479999999996</v>
      </c>
      <c r="M6" s="131">
        <v>9.9368040000000004</v>
      </c>
      <c r="N6" s="131">
        <f>F6-M6-L6-K6</f>
        <v>13.086429999999998</v>
      </c>
      <c r="O6" s="131">
        <v>11.787146</v>
      </c>
      <c r="P6" s="165">
        <v>10.741618000000001</v>
      </c>
      <c r="Q6" s="141">
        <f>$Q$4*(P6/$P$3)</f>
        <v>10.100883619099708</v>
      </c>
      <c r="R6" s="138">
        <f>$R$4*(Q6/$P$3)</f>
        <v>11.763322859756911</v>
      </c>
    </row>
    <row r="7" spans="1:18" x14ac:dyDescent="0.25">
      <c r="B7" t="s">
        <v>158</v>
      </c>
      <c r="C7" s="131">
        <v>2.454113</v>
      </c>
      <c r="D7" s="131">
        <v>5.5498440000000002</v>
      </c>
      <c r="E7" s="131">
        <v>8.1900220000000008</v>
      </c>
      <c r="F7" s="132">
        <v>7.8159150000000004</v>
      </c>
      <c r="G7" s="41"/>
      <c r="H7" s="41"/>
      <c r="K7" s="17">
        <v>1.7491760000000001</v>
      </c>
      <c r="L7" s="131">
        <v>1.9036299999999999</v>
      </c>
      <c r="M7" s="131">
        <v>2.0025149999999998</v>
      </c>
      <c r="N7" s="131">
        <f>F7-M7-L7-K7</f>
        <v>2.1605940000000006</v>
      </c>
      <c r="O7" s="131">
        <v>2.1571720000000001</v>
      </c>
      <c r="P7" s="165">
        <v>2.1802329999999999</v>
      </c>
      <c r="Q7" s="141">
        <v>2.2000000000000002</v>
      </c>
      <c r="R7" s="138">
        <v>2.2200000000000002</v>
      </c>
    </row>
    <row r="8" spans="1:18" x14ac:dyDescent="0.25">
      <c r="B8" t="s">
        <v>157</v>
      </c>
      <c r="C8" s="131">
        <v>4.2749290000000002</v>
      </c>
      <c r="D8" s="131">
        <v>9.2518539999999998</v>
      </c>
      <c r="E8" s="131">
        <v>18.972024999999999</v>
      </c>
      <c r="F8" s="132">
        <v>11.984019</v>
      </c>
      <c r="G8" s="39"/>
      <c r="H8" s="39"/>
      <c r="K8" s="17">
        <v>3.1991740000000002</v>
      </c>
      <c r="L8" s="131">
        <v>3.3136619999999999</v>
      </c>
      <c r="M8" s="131">
        <v>3.6153390000000001</v>
      </c>
      <c r="N8" s="131">
        <f>F8-M8-L8-K8</f>
        <v>1.8558439999999994</v>
      </c>
      <c r="O8" s="131">
        <v>0.65487499999999998</v>
      </c>
      <c r="P8" s="165">
        <v>0.995089</v>
      </c>
      <c r="Q8" s="141">
        <v>1.5</v>
      </c>
      <c r="R8" s="138">
        <v>1.5</v>
      </c>
    </row>
    <row r="9" spans="1:18" x14ac:dyDescent="0.25">
      <c r="B9" t="s">
        <v>124</v>
      </c>
      <c r="C9" s="131">
        <v>7.2145349999999997</v>
      </c>
      <c r="D9" s="131">
        <v>15.768583</v>
      </c>
      <c r="E9" s="131">
        <v>16.411912000000001</v>
      </c>
      <c r="F9" s="132">
        <v>8.5877809999999997</v>
      </c>
      <c r="G9" s="39"/>
      <c r="H9" s="39"/>
      <c r="K9" s="17">
        <v>2.7982100000000001</v>
      </c>
      <c r="L9" s="131">
        <v>1.6976290000000001</v>
      </c>
      <c r="M9" s="131">
        <v>2.1840760000000001</v>
      </c>
      <c r="N9" s="131">
        <f>F9-M9-L9-K9</f>
        <v>1.9078659999999994</v>
      </c>
      <c r="O9" s="131">
        <v>2.3797779999999999</v>
      </c>
      <c r="P9" s="165">
        <v>2.521782</v>
      </c>
      <c r="Q9" s="141">
        <v>2.6</v>
      </c>
      <c r="R9" s="138">
        <v>2.6</v>
      </c>
    </row>
    <row r="10" spans="1:18" x14ac:dyDescent="0.25">
      <c r="B10" t="s">
        <v>156</v>
      </c>
      <c r="C10" s="131">
        <v>19.587917999999998</v>
      </c>
      <c r="D10" s="131">
        <v>52.621682</v>
      </c>
      <c r="E10" s="131">
        <v>29.437179</v>
      </c>
      <c r="F10" s="132">
        <v>23.186972999999998</v>
      </c>
      <c r="G10" s="9"/>
      <c r="H10" s="9"/>
      <c r="K10" s="17">
        <v>1.694364</v>
      </c>
      <c r="L10" s="131">
        <v>4.2964339999999996</v>
      </c>
      <c r="M10" s="131">
        <v>6.6765480000000004</v>
      </c>
      <c r="N10" s="131">
        <f>F10-M10-L10-K10</f>
        <v>10.519626999999998</v>
      </c>
      <c r="O10" s="131">
        <v>5.1399660000000003</v>
      </c>
      <c r="P10" s="165">
        <v>10.09388</v>
      </c>
      <c r="Q10" s="141">
        <f>$Q$4*(P10/$P$3)</f>
        <v>9.4917830018865086</v>
      </c>
      <c r="R10" s="138">
        <f>$R$4*(Q10/$P$3)</f>
        <v>11.053974303279366</v>
      </c>
    </row>
    <row r="11" spans="1:18" x14ac:dyDescent="0.25">
      <c r="B11" t="s">
        <v>155</v>
      </c>
      <c r="C11" s="131"/>
      <c r="D11" s="131"/>
      <c r="E11" s="131">
        <v>-11</v>
      </c>
      <c r="F11" s="132"/>
      <c r="G11" s="39"/>
      <c r="H11" s="39"/>
      <c r="K11" s="17"/>
      <c r="L11" s="131"/>
      <c r="M11" s="131"/>
      <c r="N11" s="131"/>
      <c r="O11" s="131"/>
      <c r="P11" s="165"/>
      <c r="Q11" s="141"/>
      <c r="R11" s="138"/>
    </row>
    <row r="12" spans="1:18" s="1" customFormat="1" x14ac:dyDescent="0.25">
      <c r="B12" s="1" t="s">
        <v>18</v>
      </c>
      <c r="C12" s="129">
        <f t="shared" ref="C12:E12" si="0">C3-SUM(C5:C11)</f>
        <v>-27.922309999999996</v>
      </c>
      <c r="D12" s="129">
        <f t="shared" si="0"/>
        <v>-68.682839000000001</v>
      </c>
      <c r="E12" s="129">
        <f t="shared" si="0"/>
        <v>-28.434604999999991</v>
      </c>
      <c r="F12" s="133">
        <f>F3-SUM(F5:F11)</f>
        <v>22.200400999999999</v>
      </c>
      <c r="G12" s="10">
        <f>G3-SUM(G8:G11)</f>
        <v>0</v>
      </c>
      <c r="H12" s="10">
        <f>H3-SUM(H8:H11)</f>
        <v>0</v>
      </c>
      <c r="I12" s="10"/>
      <c r="J12" s="10"/>
      <c r="K12" s="2">
        <f t="shared" ref="K12" si="1">K3-SUM(K5:K11)</f>
        <v>5.4199310000000018</v>
      </c>
      <c r="L12" s="129">
        <f>L3-SUM(L5:L11)</f>
        <v>3.7632910000000024</v>
      </c>
      <c r="M12" s="129">
        <f t="shared" ref="M12" si="2">M3-SUM(M5:M11)</f>
        <v>5.3497449999999986</v>
      </c>
      <c r="N12" s="129">
        <f t="shared" ref="N12" si="3">N3-SUM(N5:N11)</f>
        <v>7.6674340000000072</v>
      </c>
      <c r="O12" s="129">
        <f t="shared" ref="O12" si="4">O3-SUM(O5:O11)</f>
        <v>13.834657</v>
      </c>
      <c r="P12" s="166">
        <f t="shared" ref="P12" si="5">P3-SUM(P5:P11)</f>
        <v>16.699379999999998</v>
      </c>
      <c r="Q12" s="140">
        <f>Q4-SUM(Q5:Q11)</f>
        <v>14.632433379013783</v>
      </c>
      <c r="R12" s="139">
        <f>R4-SUM(R5:R11)</f>
        <v>21.051302836963728</v>
      </c>
    </row>
    <row r="13" spans="1:18" x14ac:dyDescent="0.25">
      <c r="B13" t="s">
        <v>58</v>
      </c>
      <c r="C13" s="131">
        <v>-4.3031750000000004</v>
      </c>
      <c r="D13" s="131">
        <v>-5.2692839999999999</v>
      </c>
      <c r="E13" s="131">
        <v>-8.6007160000000002</v>
      </c>
      <c r="F13" s="132">
        <v>-15.96838</v>
      </c>
      <c r="G13" s="39"/>
      <c r="H13" s="39"/>
      <c r="K13" s="17">
        <v>-3.3770470000000001</v>
      </c>
      <c r="L13" s="131">
        <v>-3.933446</v>
      </c>
      <c r="M13" s="131">
        <v>-4.1432580000000003</v>
      </c>
      <c r="N13" s="131">
        <f>F13-M13-L13-K13</f>
        <v>-4.5146290000000002</v>
      </c>
      <c r="O13" s="131">
        <v>-4.081442</v>
      </c>
      <c r="P13" s="165">
        <v>-2.911133</v>
      </c>
      <c r="Q13" s="141">
        <f>$Q$4*(AVERAGE(M13:P13)/Q4)-1</f>
        <v>-4.9126155000000002</v>
      </c>
      <c r="R13" s="138">
        <f>$Q$4*(AVERAGE(N13:Q13)/R4)-1</f>
        <v>-4.3145715721271856</v>
      </c>
    </row>
    <row r="14" spans="1:18" x14ac:dyDescent="0.25">
      <c r="B14" t="s">
        <v>161</v>
      </c>
      <c r="C14" s="131">
        <v>-0.12629099999999999</v>
      </c>
      <c r="D14" s="131">
        <v>-6.5144999999999995E-2</v>
      </c>
      <c r="E14" s="131">
        <v>-0.225606</v>
      </c>
      <c r="F14" s="132">
        <v>1.9334499999999999</v>
      </c>
      <c r="G14" s="39"/>
      <c r="H14" s="39"/>
      <c r="K14" s="17">
        <v>0.113487</v>
      </c>
      <c r="L14" s="131">
        <v>1.0787530000000001</v>
      </c>
      <c r="M14" s="131">
        <v>1.456E-2</v>
      </c>
      <c r="N14" s="131">
        <f>F14-M14-L14-K14</f>
        <v>0.72664999999999991</v>
      </c>
      <c r="O14" s="131">
        <v>-9.1560000000000002E-2</v>
      </c>
      <c r="P14" s="165">
        <v>5.0126999999999998E-2</v>
      </c>
      <c r="Q14" s="141">
        <f>$Q$4*(P14/$P$3)</f>
        <v>4.7136939069571358E-2</v>
      </c>
      <c r="R14" s="138">
        <f>$R$4*(Q14/$P$3)</f>
        <v>5.4894903634725663E-2</v>
      </c>
    </row>
    <row r="15" spans="1:18" x14ac:dyDescent="0.25">
      <c r="B15" t="s">
        <v>162</v>
      </c>
      <c r="C15" s="131">
        <v>0</v>
      </c>
      <c r="D15" s="131">
        <v>-1.092679</v>
      </c>
      <c r="E15" s="131">
        <f>-0.813806+0.050424</f>
        <v>-0.76338200000000001</v>
      </c>
      <c r="F15" s="132">
        <v>-0.45596199999999998</v>
      </c>
      <c r="G15" s="39"/>
      <c r="H15" s="39"/>
      <c r="K15" s="17">
        <v>-0.42020099999999999</v>
      </c>
      <c r="L15" s="131">
        <v>0.25170599999999999</v>
      </c>
      <c r="M15" s="131">
        <v>8.9227000000000001E-2</v>
      </c>
      <c r="N15" s="131">
        <f>F15-M15-L15-K15</f>
        <v>-0.37669399999999992</v>
      </c>
      <c r="O15" s="131">
        <v>-1.2615559999999999</v>
      </c>
      <c r="P15" s="165">
        <v>-0.25970599999999999</v>
      </c>
      <c r="Q15" s="141">
        <f>$Q$4*(P15/$P$3)</f>
        <v>-0.24421461284341969</v>
      </c>
      <c r="R15" s="138">
        <f>$R$4*(Q15/$P$3)</f>
        <v>-0.28440831973507419</v>
      </c>
    </row>
    <row r="16" spans="1:18" s="1" customFormat="1" x14ac:dyDescent="0.25">
      <c r="B16" s="1" t="s">
        <v>125</v>
      </c>
      <c r="C16" s="129">
        <f>C12+SUM(C13:C15)</f>
        <v>-32.351775999999994</v>
      </c>
      <c r="D16" s="129">
        <f t="shared" ref="D16:H16" si="6">D12+SUM(D13:D15)</f>
        <v>-75.109947000000005</v>
      </c>
      <c r="E16" s="129">
        <f t="shared" si="6"/>
        <v>-38.024308999999988</v>
      </c>
      <c r="F16" s="133">
        <f t="shared" si="6"/>
        <v>7.7095090000000006</v>
      </c>
      <c r="G16" s="10">
        <f t="shared" si="6"/>
        <v>0</v>
      </c>
      <c r="H16" s="10">
        <f t="shared" si="6"/>
        <v>0</v>
      </c>
      <c r="K16" s="2">
        <f t="shared" ref="K16" si="7">K12+SUM(K13:K15)</f>
        <v>1.7361700000000018</v>
      </c>
      <c r="L16" s="129">
        <f>L12+SUM(L13:L15)</f>
        <v>1.1603040000000022</v>
      </c>
      <c r="M16" s="129">
        <f t="shared" ref="M16" si="8">M12+SUM(M13:M15)</f>
        <v>1.3102739999999988</v>
      </c>
      <c r="N16" s="129">
        <f t="shared" ref="N16" si="9">N12+SUM(N13:N15)</f>
        <v>3.5027610000000067</v>
      </c>
      <c r="O16" s="129">
        <f t="shared" ref="O16" si="10">O12+SUM(O13:O15)</f>
        <v>8.4000990000000009</v>
      </c>
      <c r="P16" s="166">
        <f t="shared" ref="P16:Q16" si="11">P12+SUM(P13:P15)</f>
        <v>13.578667999999997</v>
      </c>
      <c r="Q16" s="140">
        <f t="shared" si="11"/>
        <v>9.5227402052399341</v>
      </c>
      <c r="R16" s="140">
        <f t="shared" ref="R16" si="12">R12+SUM(R13:R15)</f>
        <v>16.507217848736193</v>
      </c>
    </row>
    <row r="17" spans="2:18" x14ac:dyDescent="0.25">
      <c r="B17" t="s">
        <v>15</v>
      </c>
      <c r="C17" s="131">
        <v>3.0963999999999998E-2</v>
      </c>
      <c r="D17" s="131">
        <v>5.8416000000000003E-2</v>
      </c>
      <c r="E17" s="131">
        <v>6.9446999999999995E-2</v>
      </c>
      <c r="F17" s="132">
        <v>0.611487</v>
      </c>
      <c r="G17" s="39"/>
      <c r="H17" s="39"/>
      <c r="K17" s="17">
        <v>1.1624000000000001E-2</v>
      </c>
      <c r="L17" s="131">
        <v>2.0525999999999999E-2</v>
      </c>
      <c r="M17" s="131">
        <v>1.5873999999999999E-2</v>
      </c>
      <c r="N17" s="131">
        <f>F17-M17-L17-K17</f>
        <v>0.56346299999999994</v>
      </c>
      <c r="O17" s="131">
        <v>0.393094</v>
      </c>
      <c r="P17" s="165">
        <v>-16.123213</v>
      </c>
      <c r="Q17" s="141">
        <v>0.5</v>
      </c>
      <c r="R17" s="138">
        <v>0.5</v>
      </c>
    </row>
    <row r="18" spans="2:18" x14ac:dyDescent="0.25">
      <c r="B18" t="s">
        <v>163</v>
      </c>
      <c r="C18" s="131">
        <v>0.49450499999999997</v>
      </c>
      <c r="D18" s="131">
        <v>6.9405999999999995E-2</v>
      </c>
      <c r="E18" s="131">
        <v>-1.2078850000000001</v>
      </c>
      <c r="F18" s="132">
        <v>-3.0249999999999999E-3</v>
      </c>
      <c r="G18" s="39"/>
      <c r="H18" s="39"/>
      <c r="K18" s="17">
        <v>0.14580799999999999</v>
      </c>
      <c r="L18" s="131">
        <v>-0.30468699999999999</v>
      </c>
      <c r="M18" s="131">
        <v>0.35846499999999998</v>
      </c>
      <c r="N18" s="131">
        <f>F18-M18-L18-K18</f>
        <v>-0.20261099999999999</v>
      </c>
      <c r="O18" s="131">
        <v>-1.451E-3</v>
      </c>
      <c r="P18" s="165">
        <v>-7.5401999999999997E-2</v>
      </c>
      <c r="Q18" s="141">
        <v>-0.3</v>
      </c>
      <c r="R18" s="138">
        <v>-0.3</v>
      </c>
    </row>
    <row r="19" spans="2:18" s="1" customFormat="1" x14ac:dyDescent="0.25">
      <c r="B19" s="1" t="s">
        <v>16</v>
      </c>
      <c r="C19" s="129">
        <f t="shared" ref="C19:F19" si="13">C16-SUM(C17:C18)</f>
        <v>-32.877244999999995</v>
      </c>
      <c r="D19" s="129">
        <f t="shared" si="13"/>
        <v>-75.237769</v>
      </c>
      <c r="E19" s="129">
        <f t="shared" si="13"/>
        <v>-36.885870999999987</v>
      </c>
      <c r="F19" s="133">
        <f t="shared" si="13"/>
        <v>7.1010470000000003</v>
      </c>
      <c r="G19" s="59">
        <f>G22*G20</f>
        <v>38.216486709999998</v>
      </c>
      <c r="H19" s="59">
        <f>H22*H20</f>
        <v>51.844951510000001</v>
      </c>
      <c r="K19" s="2">
        <f t="shared" ref="K19:L19" si="14">K16-SUM(K17:K18)</f>
        <v>1.5787380000000018</v>
      </c>
      <c r="L19" s="129">
        <f t="shared" si="14"/>
        <v>1.4444650000000023</v>
      </c>
      <c r="M19" s="129">
        <f t="shared" ref="M19" si="15">M16-SUM(M17:M18)</f>
        <v>0.93593499999999885</v>
      </c>
      <c r="N19" s="129">
        <f t="shared" ref="N19" si="16">N16-SUM(N17:N18)</f>
        <v>3.1419090000000067</v>
      </c>
      <c r="O19" s="129">
        <f t="shared" ref="O19" si="17">O16-SUM(O17:O18)</f>
        <v>8.0084560000000007</v>
      </c>
      <c r="P19" s="166">
        <f t="shared" ref="P19:Q19" si="18">P16-SUM(P17:P18)</f>
        <v>29.777282999999997</v>
      </c>
      <c r="Q19" s="140">
        <f t="shared" si="18"/>
        <v>9.3227402052399349</v>
      </c>
      <c r="R19" s="140">
        <f t="shared" ref="R19" si="19">R16-SUM(R17:R18)</f>
        <v>16.307217848736194</v>
      </c>
    </row>
    <row r="20" spans="2:18" x14ac:dyDescent="0.25">
      <c r="B20" t="s">
        <v>164</v>
      </c>
      <c r="C20" s="131">
        <v>186.842646</v>
      </c>
      <c r="D20" s="131">
        <v>200.34402800000001</v>
      </c>
      <c r="E20" s="131">
        <v>5.4436049999999998</v>
      </c>
      <c r="F20" s="132">
        <v>5.6785269999999999</v>
      </c>
      <c r="G20" s="131">
        <v>5.6785269999999999</v>
      </c>
      <c r="H20" s="131">
        <v>5.6785269999999999</v>
      </c>
      <c r="K20" s="17">
        <v>5.5568299999999997</v>
      </c>
      <c r="L20" s="131">
        <v>5.6557409999999999</v>
      </c>
      <c r="M20" s="130">
        <v>5.7296649999999998</v>
      </c>
      <c r="N20" s="131">
        <f>F20</f>
        <v>5.6785269999999999</v>
      </c>
      <c r="O20" s="131">
        <v>5.9607679999999998</v>
      </c>
      <c r="P20" s="165">
        <v>6.0243779999999996</v>
      </c>
      <c r="Q20" s="141">
        <v>6.15</v>
      </c>
      <c r="R20" s="141">
        <v>6.3</v>
      </c>
    </row>
    <row r="21" spans="2:18" s="1" customFormat="1" x14ac:dyDescent="0.25">
      <c r="B21" s="1" t="s">
        <v>17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56">
        <f>F19/F20</f>
        <v>1.2505086266209531</v>
      </c>
      <c r="G21" s="57"/>
      <c r="H21" s="58"/>
      <c r="K21" s="2">
        <f t="shared" ref="K21:L21" si="20">(K19+K18)/K20</f>
        <v>0.3103470863783851</v>
      </c>
      <c r="L21" s="2">
        <f t="shared" si="20"/>
        <v>0.2015258478066804</v>
      </c>
      <c r="M21" s="2">
        <f>(M19+M18)/M20</f>
        <v>0.22591198612833366</v>
      </c>
      <c r="N21" s="2">
        <f t="shared" ref="N21:R21" si="21">(N19+N18)/N20</f>
        <v>0.5176162761927533</v>
      </c>
      <c r="O21" s="2">
        <f t="shared" si="21"/>
        <v>1.3432841204354877</v>
      </c>
      <c r="P21" s="167">
        <f>(P19+P18)/P20</f>
        <v>4.9302817651880408</v>
      </c>
      <c r="Q21" s="140">
        <f t="shared" si="21"/>
        <v>1.4671122284942981</v>
      </c>
      <c r="R21" s="140">
        <f t="shared" si="21"/>
        <v>2.5408282299581262</v>
      </c>
    </row>
    <row r="22" spans="2:18" s="1" customFormat="1" x14ac:dyDescent="0.25">
      <c r="B22" s="8" t="s">
        <v>54</v>
      </c>
      <c r="C22" s="2"/>
      <c r="D22" s="2"/>
      <c r="E22" s="2"/>
      <c r="F22" s="34"/>
      <c r="G22" s="43">
        <v>6.73</v>
      </c>
      <c r="H22" s="44">
        <v>9.1300000000000008</v>
      </c>
      <c r="K22" s="49"/>
      <c r="L22" s="49"/>
      <c r="M22" s="49"/>
      <c r="N22" s="48"/>
      <c r="O22" s="48"/>
      <c r="P22" s="168"/>
      <c r="Q22" s="140">
        <v>0.89</v>
      </c>
      <c r="R22" s="139">
        <v>2.21</v>
      </c>
    </row>
    <row r="23" spans="2:18" s="1" customFormat="1" x14ac:dyDescent="0.25">
      <c r="B23" t="s">
        <v>23</v>
      </c>
      <c r="C23" s="38">
        <f t="shared" ref="C23:E23" si="22">1-(C6)/C3</f>
        <v>0.61744707145930278</v>
      </c>
      <c r="D23" s="38">
        <f t="shared" si="22"/>
        <v>0.62134282197000457</v>
      </c>
      <c r="E23" s="38">
        <f t="shared" si="22"/>
        <v>0.67526732664735967</v>
      </c>
      <c r="F23" s="5">
        <f>1-(F6)/F3</f>
        <v>0.75396233553224834</v>
      </c>
      <c r="G23" s="45"/>
      <c r="H23" s="45"/>
      <c r="K23" s="38">
        <f t="shared" ref="K23:R23" si="23">1-(K6)/K3</f>
        <v>0.76239484347539765</v>
      </c>
      <c r="L23" s="38">
        <f t="shared" si="23"/>
        <v>0.77256785764017144</v>
      </c>
      <c r="M23" s="38">
        <f t="shared" si="23"/>
        <v>0.75671444766418616</v>
      </c>
      <c r="N23" s="38">
        <f t="shared" si="23"/>
        <v>0.73239191660374248</v>
      </c>
      <c r="O23" s="38">
        <f t="shared" si="23"/>
        <v>0.74909559950167992</v>
      </c>
      <c r="P23" s="38">
        <f>1-(P6)/P3</f>
        <v>0.80807745356071237</v>
      </c>
      <c r="Q23" s="174">
        <f t="shared" si="23"/>
        <v>0.85561503160325181</v>
      </c>
      <c r="R23" s="142" t="e">
        <f t="shared" si="23"/>
        <v>#DIV/0!</v>
      </c>
    </row>
    <row r="24" spans="2:18" x14ac:dyDescent="0.25">
      <c r="B24" t="s">
        <v>24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6">
        <f>F19/F3</f>
        <v>4.4560685503845419E-2</v>
      </c>
      <c r="G24" s="46">
        <f>G19/G4</f>
        <v>0.17308975365732143</v>
      </c>
      <c r="H24" s="46">
        <f>H19/H4</f>
        <v>0.1872064400592186</v>
      </c>
      <c r="K24" s="3">
        <f t="shared" ref="K24:P24" si="24">K19/K3</f>
        <v>4.5531634870515168E-2</v>
      </c>
      <c r="L24" s="3">
        <f t="shared" si="24"/>
        <v>4.1344062346467696E-2</v>
      </c>
      <c r="M24" s="3">
        <f t="shared" si="24"/>
        <v>2.2914758450042857E-2</v>
      </c>
      <c r="N24" s="3">
        <f t="shared" si="24"/>
        <v>6.4249779786806169E-2</v>
      </c>
      <c r="O24" s="3">
        <f t="shared" si="24"/>
        <v>0.17047017586760826</v>
      </c>
      <c r="P24" s="169">
        <f t="shared" si="24"/>
        <v>0.53203641941123847</v>
      </c>
      <c r="Q24" s="6">
        <f>Q19/Q4</f>
        <v>0.17713737802089938</v>
      </c>
      <c r="R24" s="3">
        <f>R19/R4</f>
        <v>0.25018744781737023</v>
      </c>
    </row>
    <row r="25" spans="2:18" s="134" customFormat="1" x14ac:dyDescent="0.25">
      <c r="B25" s="134" t="s">
        <v>25</v>
      </c>
      <c r="C25" s="135"/>
      <c r="D25" s="135">
        <f>D3/C3-1</f>
        <v>0.95305337511785693</v>
      </c>
      <c r="E25" s="136">
        <f>E3/D3-1</f>
        <v>9.3660696466152382E-2</v>
      </c>
      <c r="F25" s="137">
        <f>F3/E3-1</f>
        <v>0.26906277250392074</v>
      </c>
      <c r="G25" s="47">
        <f>G4/F3-1</f>
        <v>0.38550748254363465</v>
      </c>
      <c r="H25" s="47">
        <f>H4/G4-1</f>
        <v>0.25431405407853624</v>
      </c>
      <c r="K25" s="136"/>
      <c r="L25" s="136"/>
      <c r="M25" s="136"/>
      <c r="N25" s="136"/>
      <c r="O25" s="136">
        <f t="shared" ref="O25" si="25">O3/K3-1</f>
        <v>0.3548885312214991</v>
      </c>
      <c r="P25" s="136">
        <f>P3/L3-1</f>
        <v>0.60195322154471387</v>
      </c>
      <c r="Q25" s="174"/>
      <c r="R25" s="143"/>
    </row>
    <row r="26" spans="2:18" x14ac:dyDescent="0.25">
      <c r="B26" t="s">
        <v>56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6">
        <f>F8/F3</f>
        <v>7.5202445742312093E-2</v>
      </c>
      <c r="G26" s="125"/>
      <c r="H26" s="125"/>
      <c r="K26" s="3">
        <f t="shared" ref="K26:R26" si="26">K8/K3</f>
        <v>9.2265862008291025E-2</v>
      </c>
      <c r="L26" s="3">
        <f t="shared" si="26"/>
        <v>9.4844976045193624E-2</v>
      </c>
      <c r="M26" s="3">
        <f t="shared" si="26"/>
        <v>8.8515356194628469E-2</v>
      </c>
      <c r="N26" s="3">
        <f t="shared" si="26"/>
        <v>3.795067531194099E-2</v>
      </c>
      <c r="O26" s="3">
        <f t="shared" si="26"/>
        <v>1.3939847633713658E-2</v>
      </c>
      <c r="P26" s="169">
        <f t="shared" si="26"/>
        <v>1.7779445779371808E-2</v>
      </c>
      <c r="Q26" s="141">
        <f t="shared" si="26"/>
        <v>2.1441436290345638E-2</v>
      </c>
      <c r="R26" s="138" t="e">
        <f t="shared" si="26"/>
        <v>#DIV/0!</v>
      </c>
    </row>
    <row r="27" spans="2:18" x14ac:dyDescent="0.25">
      <c r="B27" t="s">
        <v>165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6">
        <f>F5/F3</f>
        <v>0.29100686728267811</v>
      </c>
      <c r="G27" s="125"/>
      <c r="H27" s="125"/>
      <c r="K27" s="3">
        <f t="shared" ref="K27:R27" si="27">K5/K3</f>
        <v>0.33379996343598073</v>
      </c>
      <c r="L27" s="3">
        <f t="shared" si="27"/>
        <v>0.34395747397543591</v>
      </c>
      <c r="M27" s="3">
        <f t="shared" si="27"/>
        <v>0.27125451664484757</v>
      </c>
      <c r="N27" s="3">
        <f t="shared" si="27"/>
        <v>0.23933184019500423</v>
      </c>
      <c r="O27" s="3">
        <f t="shared" si="27"/>
        <v>0.23468200458957578</v>
      </c>
      <c r="P27" s="169">
        <f t="shared" si="27"/>
        <v>0.22756589621252166</v>
      </c>
      <c r="Q27" s="141">
        <f t="shared" si="27"/>
        <v>0.17303096143400326</v>
      </c>
      <c r="R27" s="138" t="e">
        <f t="shared" si="27"/>
        <v>#DIV/0!</v>
      </c>
    </row>
    <row r="28" spans="2:18" x14ac:dyDescent="0.25">
      <c r="B28" t="s">
        <v>123</v>
      </c>
      <c r="C28" s="3">
        <f>C11/C3</f>
        <v>0</v>
      </c>
      <c r="D28" s="3">
        <f>D11/D3</f>
        <v>0</v>
      </c>
      <c r="E28" s="3">
        <f>E11/E3</f>
        <v>-8.7600233879882611E-2</v>
      </c>
      <c r="F28" s="6">
        <f>F11/F3</f>
        <v>0</v>
      </c>
      <c r="G28" s="125"/>
      <c r="H28" s="125"/>
      <c r="K28" s="3">
        <f t="shared" ref="K28:R28" si="28">K11/K3</f>
        <v>0</v>
      </c>
      <c r="L28" s="3">
        <f t="shared" si="28"/>
        <v>0</v>
      </c>
      <c r="M28" s="3">
        <f t="shared" si="28"/>
        <v>0</v>
      </c>
      <c r="N28" s="3">
        <f t="shared" si="28"/>
        <v>0</v>
      </c>
      <c r="O28" s="3">
        <f t="shared" si="28"/>
        <v>0</v>
      </c>
      <c r="P28" s="169">
        <f t="shared" si="28"/>
        <v>0</v>
      </c>
      <c r="Q28" s="141">
        <f t="shared" si="28"/>
        <v>0</v>
      </c>
      <c r="R28" s="138" t="e">
        <f t="shared" si="28"/>
        <v>#DIV/0!</v>
      </c>
    </row>
    <row r="29" spans="2:18" s="134" customFormat="1" x14ac:dyDescent="0.25">
      <c r="B29" s="134" t="s">
        <v>168</v>
      </c>
      <c r="C29" s="135"/>
      <c r="D29" s="135">
        <f>-(D19/C19-1)</f>
        <v>-1.2884450628390551</v>
      </c>
      <c r="E29" s="136">
        <f>E19/D19-1</f>
        <v>-0.50974262673844062</v>
      </c>
      <c r="F29" s="137">
        <f>F21/E21-1</f>
        <v>-1.1845496616419049</v>
      </c>
      <c r="G29" s="47">
        <f>G22/F21-1</f>
        <v>4.3818101344773526</v>
      </c>
      <c r="H29" s="47">
        <f>H22/G22-1</f>
        <v>0.35661218424962859</v>
      </c>
      <c r="K29" s="136"/>
      <c r="L29" s="136"/>
      <c r="M29" s="136"/>
      <c r="N29" s="136"/>
      <c r="O29" s="136">
        <f t="shared" ref="O29" si="29">O21/K21-1</f>
        <v>3.3283284406211981</v>
      </c>
      <c r="P29" s="136">
        <f>P21/L21-1</f>
        <v>23.46476131398072</v>
      </c>
      <c r="Q29" s="174"/>
      <c r="R29" s="143"/>
    </row>
    <row r="30" spans="2:18" x14ac:dyDescent="0.25">
      <c r="B30" t="s">
        <v>68</v>
      </c>
      <c r="C30" s="51">
        <f>C13/C3</f>
        <v>-7.3197846788253168E-2</v>
      </c>
      <c r="D30" s="51">
        <f>D13/D3</f>
        <v>-4.5893036318300044E-2</v>
      </c>
      <c r="E30" s="51">
        <f>E13/E3</f>
        <v>-6.8493157557677126E-2</v>
      </c>
      <c r="F30" s="52">
        <f>F13/F3</f>
        <v>-0.10020521751030448</v>
      </c>
      <c r="G30" s="51">
        <f>G13/G4</f>
        <v>0</v>
      </c>
      <c r="H30" s="51">
        <f>H13/H4</f>
        <v>0</v>
      </c>
      <c r="K30" s="51">
        <f t="shared" ref="K30:R30" si="30">K13/K3</f>
        <v>-9.7395812949690505E-2</v>
      </c>
      <c r="L30" s="51">
        <f t="shared" si="30"/>
        <v>-0.11258468475211493</v>
      </c>
      <c r="M30" s="51">
        <f t="shared" si="30"/>
        <v>-0.1014405447666855</v>
      </c>
      <c r="N30" s="51">
        <f t="shared" si="30"/>
        <v>-9.232091670036538E-2</v>
      </c>
      <c r="O30" s="51">
        <f t="shared" si="30"/>
        <v>-8.6878686170398234E-2</v>
      </c>
      <c r="P30" s="51">
        <f>P13/P3</f>
        <v>-5.2013770959220725E-2</v>
      </c>
      <c r="Q30" s="174">
        <f t="shared" si="30"/>
        <v>-7.022235484147632E-2</v>
      </c>
      <c r="R30" s="142" t="e">
        <f t="shared" si="30"/>
        <v>#DIV/0!</v>
      </c>
    </row>
    <row r="31" spans="2:18" x14ac:dyDescent="0.25">
      <c r="B31" t="s">
        <v>69</v>
      </c>
      <c r="C31" s="53">
        <f t="shared" ref="C31:H31" si="31">-C13/C12</f>
        <v>-0.1541124283771651</v>
      </c>
      <c r="D31" s="53">
        <f t="shared" si="31"/>
        <v>-7.671907679879103E-2</v>
      </c>
      <c r="E31" s="53">
        <f t="shared" si="31"/>
        <v>-0.30247355291202405</v>
      </c>
      <c r="F31" s="52">
        <f t="shared" si="31"/>
        <v>0.71928340393491097</v>
      </c>
      <c r="G31" s="51" t="e">
        <f t="shared" si="31"/>
        <v>#DIV/0!</v>
      </c>
      <c r="H31" s="51" t="e">
        <f t="shared" si="31"/>
        <v>#DIV/0!</v>
      </c>
      <c r="K31" s="53">
        <f t="shared" ref="K31:R31" si="32">-K13/K12</f>
        <v>0.62307933440481045</v>
      </c>
      <c r="L31" s="53">
        <f t="shared" si="32"/>
        <v>1.0452144147237079</v>
      </c>
      <c r="M31" s="53">
        <f t="shared" si="32"/>
        <v>0.77447766201940493</v>
      </c>
      <c r="N31" s="53">
        <f t="shared" si="32"/>
        <v>0.58880572040137491</v>
      </c>
      <c r="O31" s="53">
        <f t="shared" si="32"/>
        <v>0.2950157709005724</v>
      </c>
      <c r="P31" s="51">
        <f>-P13/P12</f>
        <v>0.1743258132936672</v>
      </c>
      <c r="Q31" s="174">
        <f t="shared" si="32"/>
        <v>0.33573469106278669</v>
      </c>
      <c r="R31" s="143">
        <f t="shared" si="32"/>
        <v>0.20495508546631525</v>
      </c>
    </row>
    <row r="34" spans="2:18" s="1" customFormat="1" x14ac:dyDescent="0.25">
      <c r="B34" s="1" t="s">
        <v>30</v>
      </c>
      <c r="C34" s="10">
        <f t="shared" ref="C34:E34" si="33">C35-C55-C57</f>
        <v>42.988823999999994</v>
      </c>
      <c r="D34" s="10">
        <f t="shared" si="33"/>
        <v>-0.97740299999999536</v>
      </c>
      <c r="E34" s="10">
        <f t="shared" si="33"/>
        <v>4.2520639999999972</v>
      </c>
      <c r="F34" s="13">
        <f>F35-F55-F57</f>
        <v>67.374212</v>
      </c>
      <c r="K34" s="10">
        <f t="shared" ref="K34" si="34">K35-K55-K57</f>
        <v>0</v>
      </c>
      <c r="L34" s="10">
        <f t="shared" ref="L34" si="35">L35-L55-L57</f>
        <v>0</v>
      </c>
      <c r="M34" s="10">
        <f t="shared" ref="M34" si="36">M35-M55-M57</f>
        <v>-10.23635800000001</v>
      </c>
      <c r="N34" s="10">
        <f t="shared" ref="N34" si="37">N35-N55-N57</f>
        <v>67.374212</v>
      </c>
      <c r="O34" s="10">
        <f t="shared" ref="O34" si="38">O35-O55-O57</f>
        <v>6.0957769999999982</v>
      </c>
      <c r="P34" s="170">
        <f t="shared" ref="P34" si="39">P35-P55-P57</f>
        <v>-10.855995</v>
      </c>
      <c r="Q34" s="13">
        <f t="shared" ref="Q34" si="40">Q35-Q55-Q57</f>
        <v>0</v>
      </c>
      <c r="R34" s="10"/>
    </row>
    <row r="35" spans="2:18" x14ac:dyDescent="0.25">
      <c r="B35" t="s">
        <v>19</v>
      </c>
      <c r="C35" s="9">
        <v>84.285382999999996</v>
      </c>
      <c r="D35" s="9">
        <v>76.983727999999999</v>
      </c>
      <c r="E35" s="9">
        <v>68.279539</v>
      </c>
      <c r="F35" s="14">
        <v>67.624212</v>
      </c>
      <c r="K35" s="9"/>
      <c r="L35" s="9"/>
      <c r="M35" s="131">
        <v>65.150279999999995</v>
      </c>
      <c r="N35" s="9">
        <f>F35</f>
        <v>67.624212</v>
      </c>
      <c r="O35" s="9">
        <v>77.784582999999998</v>
      </c>
      <c r="P35" s="171">
        <v>58.026052999999997</v>
      </c>
      <c r="Q35" s="14"/>
      <c r="R35" s="9"/>
    </row>
    <row r="36" spans="2:18" x14ac:dyDescent="0.25">
      <c r="B36" t="s">
        <v>65</v>
      </c>
      <c r="C36" s="9">
        <v>4.7985199999999999</v>
      </c>
      <c r="D36" s="9">
        <v>1.8864399999999999</v>
      </c>
      <c r="E36" s="9">
        <v>1.2231190000000001</v>
      </c>
      <c r="F36" s="14">
        <v>2.9930110000000001</v>
      </c>
      <c r="K36" s="9"/>
      <c r="L36" s="9"/>
      <c r="M36" s="131">
        <v>1.5804180000000001</v>
      </c>
      <c r="N36" s="9">
        <f>F36</f>
        <v>2.9930110000000001</v>
      </c>
      <c r="O36" s="9">
        <v>3.8184969999999998</v>
      </c>
      <c r="P36" s="171">
        <v>5.384366</v>
      </c>
      <c r="Q36" s="14"/>
      <c r="R36" s="9"/>
    </row>
    <row r="37" spans="2:18" x14ac:dyDescent="0.25">
      <c r="B37" t="s">
        <v>141</v>
      </c>
      <c r="C37" s="9">
        <v>80.807299999999998</v>
      </c>
      <c r="D37" s="9">
        <v>133.986583</v>
      </c>
      <c r="E37" s="9">
        <v>103.581855</v>
      </c>
      <c r="F37" s="14">
        <v>142.885682</v>
      </c>
      <c r="K37" s="9"/>
      <c r="L37" s="9"/>
      <c r="M37" s="131">
        <v>111.146024</v>
      </c>
      <c r="N37" s="9">
        <f>F37</f>
        <v>142.885682</v>
      </c>
      <c r="O37" s="9">
        <v>112.514403</v>
      </c>
      <c r="P37" s="171">
        <v>131.02147400000001</v>
      </c>
      <c r="Q37" s="14"/>
      <c r="R37" s="9"/>
    </row>
    <row r="38" spans="2:18" x14ac:dyDescent="0.25">
      <c r="B38" t="s">
        <v>142</v>
      </c>
      <c r="C38" s="9"/>
      <c r="D38" s="9"/>
      <c r="E38" s="9">
        <v>-10.223451000000001</v>
      </c>
      <c r="F38" s="14">
        <v>-12.253041</v>
      </c>
      <c r="K38" s="9"/>
      <c r="L38" s="9"/>
      <c r="M38" s="131">
        <v>-8.5979419999999998</v>
      </c>
      <c r="N38" s="9">
        <f>F38</f>
        <v>-12.253041</v>
      </c>
      <c r="O38" s="9">
        <v>-9.1827319999999997</v>
      </c>
      <c r="P38" s="171">
        <v>-11.786141000000001</v>
      </c>
      <c r="Q38" s="14"/>
      <c r="R38" s="9"/>
    </row>
    <row r="39" spans="2:18" x14ac:dyDescent="0.25">
      <c r="B39" t="s">
        <v>143</v>
      </c>
      <c r="C39" s="9">
        <v>1.4033059999999999</v>
      </c>
      <c r="D39" s="9">
        <v>5.0840990000000001</v>
      </c>
      <c r="E39" s="9">
        <v>2.5327099999999998</v>
      </c>
      <c r="F39" s="14">
        <v>1.571728</v>
      </c>
      <c r="K39" s="9"/>
      <c r="L39" s="9"/>
      <c r="M39" s="9">
        <v>2.0556489999999998</v>
      </c>
      <c r="N39" s="9">
        <f>F39</f>
        <v>1.571728</v>
      </c>
      <c r="O39" s="9">
        <v>1.31633</v>
      </c>
      <c r="P39" s="171">
        <v>1.023752</v>
      </c>
      <c r="Q39" s="14"/>
      <c r="R39" s="9"/>
    </row>
    <row r="40" spans="2:18" x14ac:dyDescent="0.25">
      <c r="B40" t="s">
        <v>144</v>
      </c>
      <c r="C40" s="9">
        <v>1.705919</v>
      </c>
      <c r="D40" s="9">
        <v>3.3500529999999999</v>
      </c>
      <c r="E40" s="9">
        <v>4.7376880000000003</v>
      </c>
      <c r="F40" s="14">
        <v>6.223274</v>
      </c>
      <c r="K40" s="9"/>
      <c r="L40" s="9"/>
      <c r="M40" s="9">
        <v>4.8685590000000003</v>
      </c>
      <c r="N40" s="9">
        <f>F40</f>
        <v>6.223274</v>
      </c>
      <c r="O40" s="9">
        <v>5.4328779999999997</v>
      </c>
      <c r="P40" s="171">
        <v>6.8006849999999996</v>
      </c>
      <c r="Q40" s="14"/>
      <c r="R40" s="9"/>
    </row>
    <row r="41" spans="2:18" s="1" customFormat="1" x14ac:dyDescent="0.25">
      <c r="B41" s="1" t="s">
        <v>51</v>
      </c>
      <c r="C41" s="10">
        <f t="shared" ref="C41" si="41">SUM(C35:C40)</f>
        <v>173.00042799999997</v>
      </c>
      <c r="D41" s="10">
        <f>SUM(D35:D40)</f>
        <v>221.29090299999999</v>
      </c>
      <c r="E41" s="10">
        <f t="shared" ref="E41:F41" si="42">SUM(E35:E40)</f>
        <v>170.13146</v>
      </c>
      <c r="F41" s="13">
        <f t="shared" si="42"/>
        <v>209.04486600000001</v>
      </c>
      <c r="K41" s="10">
        <f t="shared" ref="K41:P41" si="43">SUM(K35:K40)</f>
        <v>0</v>
      </c>
      <c r="L41" s="10">
        <f t="shared" si="43"/>
        <v>0</v>
      </c>
      <c r="M41" s="10">
        <f t="shared" si="43"/>
        <v>176.20298799999998</v>
      </c>
      <c r="N41" s="10">
        <f t="shared" si="43"/>
        <v>209.04486600000001</v>
      </c>
      <c r="O41" s="10">
        <f t="shared" si="43"/>
        <v>191.68395899999999</v>
      </c>
      <c r="P41" s="170">
        <f t="shared" si="43"/>
        <v>190.470189</v>
      </c>
      <c r="Q41" s="13"/>
      <c r="R41" s="10"/>
    </row>
    <row r="42" spans="2:18" x14ac:dyDescent="0.25">
      <c r="B42" t="s">
        <v>145</v>
      </c>
      <c r="C42" s="9">
        <v>0.53704600000000002</v>
      </c>
      <c r="D42" s="9">
        <v>0.91058399999999995</v>
      </c>
      <c r="E42" s="9">
        <v>1.3228359999999999</v>
      </c>
      <c r="F42" s="14">
        <v>1.8984700000000001</v>
      </c>
      <c r="K42" s="9"/>
      <c r="L42" s="9"/>
      <c r="M42" s="9">
        <v>1.791784</v>
      </c>
      <c r="N42" s="9">
        <f>F42</f>
        <v>1.8984700000000001</v>
      </c>
      <c r="O42" s="9">
        <v>2.058271</v>
      </c>
      <c r="P42" s="171">
        <v>2.1996370000000001</v>
      </c>
      <c r="Q42" s="14"/>
      <c r="R42" s="9"/>
    </row>
    <row r="43" spans="2:18" x14ac:dyDescent="0.25">
      <c r="B43" t="s">
        <v>146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14">
        <v>0.99447600000000003</v>
      </c>
      <c r="K43" s="9"/>
      <c r="L43" s="9"/>
      <c r="M43" s="9">
        <v>0.166264</v>
      </c>
      <c r="N43" s="9">
        <f>F43</f>
        <v>0.99447600000000003</v>
      </c>
      <c r="O43" s="9">
        <v>0.86786099999999999</v>
      </c>
      <c r="P43" s="171">
        <v>0.86539299999999997</v>
      </c>
      <c r="Q43" s="14"/>
      <c r="R43" s="9"/>
    </row>
    <row r="44" spans="2:18" x14ac:dyDescent="0.25">
      <c r="B44" t="s">
        <v>147</v>
      </c>
      <c r="C44" s="9">
        <v>0.02</v>
      </c>
      <c r="D44" s="9">
        <v>0.02</v>
      </c>
      <c r="E44" s="9">
        <v>0.02</v>
      </c>
      <c r="F44" s="14">
        <v>8.2000000000000003E-2</v>
      </c>
      <c r="K44" s="9"/>
      <c r="L44" s="9"/>
      <c r="M44" s="9">
        <v>1.028165</v>
      </c>
      <c r="N44" s="9">
        <f>F44</f>
        <v>8.2000000000000003E-2</v>
      </c>
      <c r="O44" s="9">
        <v>0.58199999999999996</v>
      </c>
      <c r="P44" s="171">
        <v>0.58199999999999996</v>
      </c>
      <c r="Q44" s="14"/>
      <c r="R44" s="9"/>
    </row>
    <row r="45" spans="2:18" x14ac:dyDescent="0.25">
      <c r="B45" t="s">
        <v>169</v>
      </c>
      <c r="C45" s="9"/>
      <c r="D45" s="9"/>
      <c r="E45" s="9"/>
      <c r="F45" s="14"/>
      <c r="K45" s="9"/>
      <c r="L45" s="9"/>
      <c r="M45" s="9">
        <v>8.2000000000000003E-2</v>
      </c>
      <c r="N45" s="9"/>
      <c r="O45" s="9"/>
      <c r="P45" s="171">
        <v>17.557068000000001</v>
      </c>
      <c r="Q45" s="14"/>
      <c r="R45" s="9"/>
    </row>
    <row r="46" spans="2:18" x14ac:dyDescent="0.25">
      <c r="B46" t="s">
        <v>20</v>
      </c>
      <c r="C46" s="9">
        <v>3.2537000000000003E-2</v>
      </c>
      <c r="D46" s="9">
        <v>0.23375199999999999</v>
      </c>
      <c r="E46" s="9">
        <v>1.0155270000000001</v>
      </c>
      <c r="F46" s="14">
        <v>0.625471</v>
      </c>
      <c r="K46" s="9"/>
      <c r="L46" s="9"/>
      <c r="M46" s="9">
        <v>0.632158</v>
      </c>
      <c r="N46" s="9">
        <f>F46</f>
        <v>0.625471</v>
      </c>
      <c r="O46" s="9">
        <v>0.51632999999999996</v>
      </c>
      <c r="P46" s="171">
        <v>0.402366</v>
      </c>
      <c r="Q46" s="14"/>
      <c r="R46" s="9"/>
    </row>
    <row r="47" spans="2:18" x14ac:dyDescent="0.25">
      <c r="B47" s="1" t="s">
        <v>21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3">
        <f>SUM(F41:F46)</f>
        <v>212.64528300000001</v>
      </c>
      <c r="K47" s="10">
        <f t="shared" ref="K47:P47" si="44">SUM(K41:K46)</f>
        <v>0</v>
      </c>
      <c r="L47" s="10">
        <f t="shared" si="44"/>
        <v>0</v>
      </c>
      <c r="M47" s="10">
        <f t="shared" si="44"/>
        <v>179.90335899999999</v>
      </c>
      <c r="N47" s="10">
        <f t="shared" si="44"/>
        <v>212.64528300000001</v>
      </c>
      <c r="O47" s="10">
        <f t="shared" si="44"/>
        <v>195.70842099999999</v>
      </c>
      <c r="P47" s="170">
        <f t="shared" si="44"/>
        <v>212.07665299999999</v>
      </c>
      <c r="Q47" s="13"/>
      <c r="R47" s="10"/>
    </row>
    <row r="48" spans="2:18" x14ac:dyDescent="0.25">
      <c r="B48" t="s">
        <v>148</v>
      </c>
      <c r="C48" s="9">
        <v>60.933272000000002</v>
      </c>
      <c r="D48" s="9">
        <v>96.516667999999996</v>
      </c>
      <c r="E48" s="9">
        <v>83.020739000000006</v>
      </c>
      <c r="F48" s="14">
        <v>74.135491000000002</v>
      </c>
      <c r="K48" s="9"/>
      <c r="L48" s="9"/>
      <c r="M48" s="9">
        <v>68.182563000000002</v>
      </c>
      <c r="N48" s="9">
        <f>F48</f>
        <v>74.135491000000002</v>
      </c>
      <c r="O48" s="9">
        <v>73.732664999999997</v>
      </c>
      <c r="P48" s="171">
        <v>71.251579000000007</v>
      </c>
      <c r="Q48" s="14"/>
      <c r="R48" s="9"/>
    </row>
    <row r="49" spans="2:18" x14ac:dyDescent="0.25">
      <c r="B49" t="s">
        <v>149</v>
      </c>
      <c r="C49" s="9">
        <v>0.14274300000000001</v>
      </c>
      <c r="D49" s="9">
        <v>0.171959</v>
      </c>
      <c r="E49" s="9">
        <v>7.9311999999999994E-2</v>
      </c>
      <c r="F49" s="14">
        <v>5.7315999999999999E-2</v>
      </c>
      <c r="K49" s="9"/>
      <c r="L49" s="9"/>
      <c r="M49" s="9">
        <v>5.2116999999999997E-2</v>
      </c>
      <c r="N49" s="9">
        <f>F49</f>
        <v>5.7315999999999999E-2</v>
      </c>
      <c r="O49" s="9">
        <v>5.0430999999999997E-2</v>
      </c>
      <c r="P49" s="171">
        <v>6.9705000000000003E-2</v>
      </c>
      <c r="Q49" s="14"/>
      <c r="R49" s="9"/>
    </row>
    <row r="50" spans="2:18" x14ac:dyDescent="0.25">
      <c r="B50" t="s">
        <v>150</v>
      </c>
      <c r="C50" s="9">
        <v>6.6808699999999996</v>
      </c>
      <c r="D50" s="9">
        <v>7.996772</v>
      </c>
      <c r="E50" s="9">
        <v>10.448872</v>
      </c>
      <c r="F50" s="14">
        <v>10.790308</v>
      </c>
      <c r="K50" s="9"/>
      <c r="L50" s="9"/>
      <c r="M50" s="9">
        <v>7.8326510000000003</v>
      </c>
      <c r="N50" s="9">
        <f>F50</f>
        <v>10.790308</v>
      </c>
      <c r="O50" s="9">
        <v>10.488273</v>
      </c>
      <c r="P50" s="171">
        <v>8.4402989999999996</v>
      </c>
      <c r="Q50" s="14"/>
      <c r="R50" s="9"/>
    </row>
    <row r="51" spans="2:18" x14ac:dyDescent="0.25">
      <c r="B51" t="s">
        <v>151</v>
      </c>
      <c r="C51" s="9">
        <v>0.61583900000000003</v>
      </c>
      <c r="D51" s="9">
        <v>2.8740459999999999</v>
      </c>
      <c r="E51" s="9">
        <v>4.1293709999999999</v>
      </c>
      <c r="F51" s="14">
        <v>5.2614359999999998</v>
      </c>
      <c r="K51" s="9"/>
      <c r="L51" s="9"/>
      <c r="M51" s="9">
        <v>5.300675</v>
      </c>
      <c r="N51" s="9">
        <f>F51</f>
        <v>5.2614359999999998</v>
      </c>
      <c r="O51" s="9">
        <v>5.5360370000000003</v>
      </c>
      <c r="P51" s="171">
        <v>8.2429919999999992</v>
      </c>
      <c r="Q51" s="14"/>
      <c r="R51" s="9"/>
    </row>
    <row r="52" spans="2:18" x14ac:dyDescent="0.25">
      <c r="B52" t="s">
        <v>152</v>
      </c>
      <c r="C52" s="9"/>
      <c r="D52" s="9"/>
      <c r="E52" s="9">
        <v>1.5162279999999999</v>
      </c>
      <c r="F52" s="14">
        <v>2.64323</v>
      </c>
      <c r="K52" s="9"/>
      <c r="L52" s="9"/>
      <c r="M52" s="9">
        <v>2.0702310000000002</v>
      </c>
      <c r="N52" s="9">
        <f>F52</f>
        <v>2.64323</v>
      </c>
      <c r="O52" s="9">
        <v>3.1341350000000001</v>
      </c>
      <c r="P52" s="171">
        <v>3.9421200000000001</v>
      </c>
      <c r="Q52" s="14"/>
      <c r="R52" s="9"/>
    </row>
    <row r="53" spans="2:18" x14ac:dyDescent="0.25">
      <c r="B53" t="s">
        <v>153</v>
      </c>
      <c r="C53" s="9"/>
      <c r="D53" s="9"/>
      <c r="E53" s="9"/>
      <c r="F53" s="14">
        <v>94.380905999999996</v>
      </c>
      <c r="K53" s="9"/>
      <c r="L53" s="9"/>
      <c r="M53" s="9"/>
      <c r="N53" s="9">
        <f>F53</f>
        <v>94.380905999999996</v>
      </c>
      <c r="O53" s="9"/>
      <c r="P53" s="171"/>
      <c r="Q53" s="14"/>
      <c r="R53" s="9"/>
    </row>
    <row r="54" spans="2:18" s="1" customFormat="1" x14ac:dyDescent="0.25">
      <c r="B54" s="1" t="s">
        <v>52</v>
      </c>
      <c r="C54" s="10">
        <f>SUM(C48:C53)</f>
        <v>68.372724000000005</v>
      </c>
      <c r="D54" s="10">
        <f>SUM(D48:D53)</f>
        <v>107.55944499999998</v>
      </c>
      <c r="E54" s="10">
        <f>SUM(E48:E53)</f>
        <v>99.194522000000006</v>
      </c>
      <c r="F54" s="13">
        <f>SUM(F48:F53)</f>
        <v>187.268687</v>
      </c>
      <c r="K54" s="10">
        <f t="shared" ref="K54:P54" si="45">SUM(K48:K53)</f>
        <v>0</v>
      </c>
      <c r="L54" s="10">
        <f t="shared" si="45"/>
        <v>0</v>
      </c>
      <c r="M54" s="10">
        <f t="shared" si="45"/>
        <v>83.438237000000001</v>
      </c>
      <c r="N54" s="10">
        <f t="shared" si="45"/>
        <v>187.268687</v>
      </c>
      <c r="O54" s="10">
        <f t="shared" si="45"/>
        <v>92.941540999999987</v>
      </c>
      <c r="P54" s="170">
        <f t="shared" si="45"/>
        <v>91.946695000000005</v>
      </c>
      <c r="Q54" s="13"/>
      <c r="R54" s="10"/>
    </row>
    <row r="55" spans="2:18" x14ac:dyDescent="0.25">
      <c r="B55" t="s">
        <v>66</v>
      </c>
      <c r="C55" s="9">
        <v>1.470332</v>
      </c>
      <c r="D55" s="9">
        <v>0.25</v>
      </c>
      <c r="E55" s="9">
        <v>0.25</v>
      </c>
      <c r="F55" s="14">
        <v>0.25</v>
      </c>
      <c r="K55" s="9"/>
      <c r="L55" s="9"/>
      <c r="M55" s="9">
        <v>0.25</v>
      </c>
      <c r="N55" s="9">
        <f>F55</f>
        <v>0.25</v>
      </c>
      <c r="O55" s="9">
        <v>0.25</v>
      </c>
      <c r="P55" s="171">
        <v>0</v>
      </c>
      <c r="Q55" s="14"/>
      <c r="R55" s="9"/>
    </row>
    <row r="56" spans="2:18" x14ac:dyDescent="0.25">
      <c r="B56" t="s">
        <v>149</v>
      </c>
      <c r="C56" s="9"/>
      <c r="D56" s="9">
        <v>9.0962000000000001E-2</v>
      </c>
      <c r="E56" s="9"/>
      <c r="F56" s="14">
        <v>0.98169200000000001</v>
      </c>
      <c r="K56" s="9"/>
      <c r="L56" s="9"/>
      <c r="M56" s="9">
        <v>0.99831599999999998</v>
      </c>
      <c r="N56" s="9">
        <f>F56</f>
        <v>0.98169200000000001</v>
      </c>
      <c r="O56" s="9">
        <v>0.88422699999999999</v>
      </c>
      <c r="P56" s="171">
        <v>0.88412400000000002</v>
      </c>
      <c r="Q56" s="14"/>
      <c r="R56" s="9"/>
    </row>
    <row r="57" spans="2:18" x14ac:dyDescent="0.25">
      <c r="B57" t="s">
        <v>153</v>
      </c>
      <c r="C57" s="9">
        <v>39.826227000000003</v>
      </c>
      <c r="D57" s="9">
        <v>77.711130999999995</v>
      </c>
      <c r="E57" s="9">
        <v>63.777475000000003</v>
      </c>
      <c r="F57" s="14">
        <v>0</v>
      </c>
      <c r="K57" s="9"/>
      <c r="L57" s="9"/>
      <c r="M57" s="9">
        <v>75.136638000000005</v>
      </c>
      <c r="N57" s="9">
        <f>F57</f>
        <v>0</v>
      </c>
      <c r="O57" s="9">
        <v>71.438806</v>
      </c>
      <c r="P57" s="171">
        <v>68.882047999999998</v>
      </c>
      <c r="Q57" s="14"/>
      <c r="R57" s="9"/>
    </row>
    <row r="58" spans="2:18" x14ac:dyDescent="0.25">
      <c r="B58" t="s">
        <v>154</v>
      </c>
      <c r="C58" s="9"/>
      <c r="D58" s="9"/>
      <c r="E58" s="9">
        <v>0.51129500000000005</v>
      </c>
      <c r="F58" s="14">
        <v>0.96725700000000003</v>
      </c>
      <c r="K58" s="9"/>
      <c r="L58" s="9"/>
      <c r="M58" s="9">
        <v>0.59056299999999995</v>
      </c>
      <c r="N58" s="9">
        <f>F58</f>
        <v>0.96725700000000003</v>
      </c>
      <c r="O58" s="9"/>
      <c r="P58" s="171"/>
      <c r="Q58" s="14"/>
      <c r="R58" s="9"/>
    </row>
    <row r="59" spans="2:18" x14ac:dyDescent="0.25">
      <c r="B59" t="s">
        <v>20</v>
      </c>
      <c r="C59" s="9">
        <v>4.4830730000000001</v>
      </c>
      <c r="D59" s="9"/>
      <c r="E59" s="9"/>
      <c r="F59" s="14">
        <v>1.083323</v>
      </c>
      <c r="K59" s="9"/>
      <c r="L59" s="9"/>
      <c r="M59" s="9">
        <v>1.51555</v>
      </c>
      <c r="N59" s="9">
        <f>F59</f>
        <v>1.083323</v>
      </c>
      <c r="O59" s="9">
        <v>0.58045599999999997</v>
      </c>
      <c r="P59" s="171">
        <v>7.4070999999999998E-2</v>
      </c>
      <c r="Q59" s="14"/>
      <c r="R59" s="9"/>
    </row>
    <row r="60" spans="2:18" x14ac:dyDescent="0.25">
      <c r="B60" s="1" t="s">
        <v>22</v>
      </c>
      <c r="C60" s="10">
        <f>SUM(C54:C59)</f>
        <v>114.15235600000001</v>
      </c>
      <c r="D60" s="10">
        <f>SUM(D54:D59)</f>
        <v>185.611538</v>
      </c>
      <c r="E60" s="10">
        <f>SUM(E54:E59)</f>
        <v>163.73329200000001</v>
      </c>
      <c r="F60" s="13">
        <f>SUM(F54:F59)</f>
        <v>190.55095900000001</v>
      </c>
      <c r="K60" s="10">
        <f t="shared" ref="K60:N60" si="46">SUM(K54:K59)</f>
        <v>0</v>
      </c>
      <c r="L60" s="10">
        <f t="shared" si="46"/>
        <v>0</v>
      </c>
      <c r="M60" s="10">
        <f t="shared" si="46"/>
        <v>161.929304</v>
      </c>
      <c r="N60" s="10">
        <f t="shared" si="46"/>
        <v>190.55095900000001</v>
      </c>
      <c r="O60" s="10">
        <f t="shared" ref="O60:P60" si="47">SUM(O54:O59)</f>
        <v>166.09502999999998</v>
      </c>
      <c r="P60" s="170">
        <f t="shared" si="47"/>
        <v>161.78693800000002</v>
      </c>
      <c r="Q60" s="13"/>
      <c r="R60" s="10"/>
    </row>
    <row r="61" spans="2:18" x14ac:dyDescent="0.25">
      <c r="B61" t="s">
        <v>67</v>
      </c>
      <c r="C61" s="9">
        <f t="shared" ref="C61:D61" si="48">C47-C60</f>
        <v>59.958416999999955</v>
      </c>
      <c r="D61" s="9">
        <f t="shared" si="48"/>
        <v>37.792038000000019</v>
      </c>
      <c r="E61" s="9">
        <f>E47-E60</f>
        <v>8.8432459999999935</v>
      </c>
      <c r="F61" s="14">
        <f>F47-F60</f>
        <v>22.094324</v>
      </c>
      <c r="G61">
        <v>50</v>
      </c>
      <c r="H61">
        <v>60</v>
      </c>
      <c r="K61" s="9">
        <f t="shared" ref="K61:N61" si="49">K47-K60</f>
        <v>0</v>
      </c>
      <c r="L61" s="9">
        <f t="shared" si="49"/>
        <v>0</v>
      </c>
      <c r="M61" s="9">
        <f t="shared" si="49"/>
        <v>17.974054999999993</v>
      </c>
      <c r="N61" s="9">
        <f t="shared" si="49"/>
        <v>22.094324</v>
      </c>
      <c r="O61" s="9">
        <f t="shared" ref="O61:P61" si="50">O47-O60</f>
        <v>29.613391000000007</v>
      </c>
      <c r="P61" s="171">
        <f t="shared" si="50"/>
        <v>50.289714999999973</v>
      </c>
      <c r="Q61" s="14"/>
      <c r="R61" s="9"/>
    </row>
    <row r="63" spans="2:18" s="1" customFormat="1" x14ac:dyDescent="0.25">
      <c r="B63" s="1" t="s">
        <v>70</v>
      </c>
      <c r="C63" s="54"/>
      <c r="D63" s="54"/>
      <c r="E63" s="54"/>
      <c r="F63" s="55"/>
      <c r="G63" s="144">
        <f>G19/G61</f>
        <v>0.76432973419999994</v>
      </c>
      <c r="H63" s="144">
        <f>H19/H61</f>
        <v>0.86408252516666673</v>
      </c>
      <c r="P63" s="172"/>
      <c r="Q63" s="15"/>
    </row>
    <row r="81" spans="6:17" s="8" customFormat="1" x14ac:dyDescent="0.25">
      <c r="F81" s="40"/>
      <c r="P81" s="173"/>
      <c r="Q81" s="40"/>
    </row>
    <row r="82" spans="6:17" s="1" customFormat="1" x14ac:dyDescent="0.25">
      <c r="F82" s="15"/>
      <c r="P82" s="172"/>
      <c r="Q82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7" t="s">
        <v>29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K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33.7109375" customWidth="1"/>
  </cols>
  <sheetData>
    <row r="1" spans="1:11" x14ac:dyDescent="0.25">
      <c r="B1" t="s">
        <v>6</v>
      </c>
      <c r="C1" t="s">
        <v>7</v>
      </c>
      <c r="D1" t="s">
        <v>8</v>
      </c>
      <c r="E1" t="s">
        <v>27</v>
      </c>
      <c r="F1" t="s">
        <v>31</v>
      </c>
      <c r="G1" t="s">
        <v>32</v>
      </c>
      <c r="H1" t="s">
        <v>53</v>
      </c>
      <c r="I1" t="s">
        <v>57</v>
      </c>
      <c r="J1" t="s">
        <v>166</v>
      </c>
      <c r="K1" t="s">
        <v>167</v>
      </c>
    </row>
    <row r="2" spans="1:11" x14ac:dyDescent="0.25">
      <c r="A2" t="s">
        <v>184</v>
      </c>
      <c r="B2" s="9">
        <v>88000</v>
      </c>
      <c r="C2" s="9"/>
      <c r="D2" s="9"/>
      <c r="E2" s="9"/>
      <c r="F2" s="9">
        <v>210000</v>
      </c>
      <c r="G2" s="9"/>
      <c r="H2" s="9"/>
      <c r="I2" s="9"/>
      <c r="J2" s="9">
        <v>529000</v>
      </c>
      <c r="K2" s="9"/>
    </row>
    <row r="3" spans="1:11" x14ac:dyDescent="0.25">
      <c r="A3" t="s">
        <v>185</v>
      </c>
      <c r="B3" s="9">
        <v>3131000</v>
      </c>
      <c r="C3" s="9"/>
      <c r="D3" s="9"/>
      <c r="E3" s="9"/>
      <c r="F3" s="9">
        <v>2572000</v>
      </c>
      <c r="G3" s="9"/>
      <c r="H3" s="9"/>
      <c r="I3" s="9"/>
      <c r="J3" s="9">
        <v>2667000</v>
      </c>
      <c r="K3" s="9"/>
    </row>
    <row r="4" spans="1:11" x14ac:dyDescent="0.25">
      <c r="A4" t="s">
        <v>186</v>
      </c>
      <c r="B4" s="9">
        <v>27000</v>
      </c>
      <c r="C4" s="9"/>
      <c r="D4" s="9"/>
      <c r="E4" s="9"/>
      <c r="F4" s="9">
        <v>139000</v>
      </c>
      <c r="G4" s="9"/>
      <c r="H4" s="9"/>
      <c r="I4" s="9"/>
      <c r="J4" s="9">
        <v>274000</v>
      </c>
      <c r="K4" s="9"/>
    </row>
    <row r="5" spans="1:11" x14ac:dyDescent="0.25">
      <c r="A5" t="s">
        <v>187</v>
      </c>
      <c r="B5" s="177">
        <v>0.93799999999999994</v>
      </c>
      <c r="C5" s="177"/>
      <c r="D5" s="177"/>
      <c r="E5" s="177"/>
      <c r="F5" s="177">
        <v>0.95699999999999996</v>
      </c>
      <c r="G5" s="177"/>
      <c r="H5" s="177"/>
      <c r="I5" s="177"/>
      <c r="J5" s="177">
        <v>0.95699999999999996</v>
      </c>
      <c r="K5" s="177"/>
    </row>
    <row r="6" spans="1:11" x14ac:dyDescent="0.25">
      <c r="A6" t="s">
        <v>188</v>
      </c>
      <c r="B6" s="17">
        <v>3</v>
      </c>
      <c r="C6" s="17"/>
      <c r="D6" s="17"/>
      <c r="E6" s="17"/>
      <c r="F6" s="17">
        <v>4.0999999999999996</v>
      </c>
      <c r="G6" s="17"/>
      <c r="H6" s="17"/>
      <c r="I6" s="17"/>
      <c r="J6" s="17">
        <v>5.4</v>
      </c>
      <c r="K6" s="17"/>
    </row>
    <row r="7" spans="1:11" x14ac:dyDescent="0.25">
      <c r="A7" t="s">
        <v>189</v>
      </c>
      <c r="B7" s="9">
        <v>3672000</v>
      </c>
      <c r="C7" s="9"/>
      <c r="D7" s="9"/>
      <c r="E7" s="9"/>
      <c r="F7" s="9">
        <v>4586000</v>
      </c>
      <c r="G7" s="9"/>
      <c r="H7" s="9"/>
      <c r="I7" s="9"/>
      <c r="J7" s="9">
        <v>6244000</v>
      </c>
      <c r="K7" s="9"/>
    </row>
    <row r="8" spans="1:11" x14ac:dyDescent="0.25"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t="s">
        <v>190</v>
      </c>
      <c r="B9" s="176"/>
      <c r="C9" s="176"/>
      <c r="D9" s="176"/>
      <c r="E9" s="176"/>
      <c r="F9" s="176">
        <f>F2/B2-1</f>
        <v>1.3863636363636362</v>
      </c>
      <c r="G9" s="176"/>
      <c r="H9" s="176"/>
      <c r="I9" s="176"/>
      <c r="J9" s="176">
        <f t="shared" ref="G9:J9" si="0">J2/F2-1</f>
        <v>1.519047619047619</v>
      </c>
    </row>
    <row r="10" spans="1:11" x14ac:dyDescent="0.25">
      <c r="A10" t="s">
        <v>191</v>
      </c>
      <c r="B10" s="176"/>
      <c r="C10" s="176"/>
      <c r="D10" s="176"/>
      <c r="E10" s="176"/>
      <c r="F10" s="176">
        <f>F7/B7-1</f>
        <v>0.24891067538126355</v>
      </c>
      <c r="G10" s="176"/>
      <c r="H10" s="176"/>
      <c r="I10" s="176"/>
      <c r="J10" s="176">
        <f t="shared" ref="G10:J10" si="1">J7/F7-1</f>
        <v>0.36153510684692547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29</v>
      </c>
      <c r="B1" t="s">
        <v>42</v>
      </c>
      <c r="C1" s="16" t="s">
        <v>43</v>
      </c>
    </row>
    <row r="2" spans="1:13" x14ac:dyDescent="0.25">
      <c r="B2" s="11"/>
      <c r="C2" s="17"/>
      <c r="E2" t="s">
        <v>42</v>
      </c>
      <c r="F2" t="s">
        <v>44</v>
      </c>
      <c r="M2" t="s">
        <v>45</v>
      </c>
    </row>
    <row r="3" spans="1:13" x14ac:dyDescent="0.25">
      <c r="B3" s="11"/>
      <c r="C3" s="17"/>
      <c r="E3" s="11">
        <v>45328</v>
      </c>
      <c r="F3" t="s">
        <v>47</v>
      </c>
      <c r="M3" s="11"/>
    </row>
    <row r="4" spans="1:13" x14ac:dyDescent="0.25">
      <c r="B4" s="11"/>
      <c r="C4" s="17"/>
      <c r="E4" s="11">
        <v>45302</v>
      </c>
      <c r="F4" t="s">
        <v>47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29</v>
      </c>
      <c r="B1" s="1" t="s">
        <v>42</v>
      </c>
      <c r="C1" s="1" t="s">
        <v>0</v>
      </c>
      <c r="D1" s="1" t="s">
        <v>83</v>
      </c>
      <c r="H1" s="154" t="s">
        <v>84</v>
      </c>
      <c r="I1" s="155"/>
      <c r="J1" s="155"/>
      <c r="K1" s="155"/>
      <c r="L1" s="155"/>
      <c r="M1" s="156"/>
    </row>
    <row r="2" spans="1:13" ht="15.75" thickBot="1" x14ac:dyDescent="0.3">
      <c r="D2" t="e">
        <f>C2/C3-1</f>
        <v>#DIV/0!</v>
      </c>
      <c r="H2" s="65"/>
      <c r="I2" s="66"/>
      <c r="J2" s="66"/>
      <c r="K2" s="66"/>
      <c r="L2" s="66"/>
      <c r="M2" s="67"/>
    </row>
    <row r="3" spans="1:13" ht="15.75" thickBot="1" x14ac:dyDescent="0.3">
      <c r="D3" t="e">
        <f t="shared" ref="D3:D66" si="0">C3/C4-1</f>
        <v>#DIV/0!</v>
      </c>
      <c r="H3" s="68" t="s">
        <v>85</v>
      </c>
      <c r="I3" s="69" t="s">
        <v>86</v>
      </c>
      <c r="J3" s="70" t="s">
        <v>87</v>
      </c>
      <c r="K3" s="71" t="s">
        <v>88</v>
      </c>
      <c r="L3" s="71" t="s">
        <v>89</v>
      </c>
      <c r="M3" s="72" t="s">
        <v>90</v>
      </c>
    </row>
    <row r="4" spans="1:13" x14ac:dyDescent="0.25">
      <c r="D4" t="e">
        <f t="shared" si="0"/>
        <v>#DIV/0!</v>
      </c>
      <c r="H4" s="73" t="e">
        <f>$I$19-3*$I$23</f>
        <v>#DIV/0!</v>
      </c>
      <c r="I4" s="74" t="e">
        <f>H4</f>
        <v>#DIV/0!</v>
      </c>
      <c r="J4" s="75">
        <f>COUNTIF(D:D,"&lt;="&amp;H4)</f>
        <v>67</v>
      </c>
      <c r="K4" s="75" t="e">
        <f>"Less than "&amp;TEXT(H4,"0,00%")</f>
        <v>#DIV/0!</v>
      </c>
      <c r="L4" s="76" t="e">
        <f>J4/$I$31</f>
        <v>#DIV/0!</v>
      </c>
      <c r="M4" s="77" t="e">
        <f>L4</f>
        <v>#DIV/0!</v>
      </c>
    </row>
    <row r="5" spans="1:13" x14ac:dyDescent="0.25">
      <c r="D5" t="e">
        <f t="shared" si="0"/>
        <v>#DIV/0!</v>
      </c>
      <c r="H5" s="78" t="e">
        <f>$I$19-2.4*$I$23</f>
        <v>#DIV/0!</v>
      </c>
      <c r="I5" s="79" t="e">
        <f>H5</f>
        <v>#DIV/0!</v>
      </c>
      <c r="J5" s="80">
        <f>COUNTIFS(D:D,"&lt;="&amp;H5,D:D,"&gt;"&amp;H4)</f>
        <v>67</v>
      </c>
      <c r="K5" s="81" t="e">
        <f t="shared" ref="K5:K14" si="1">TEXT(H4,"0,00%")&amp;" to "&amp;TEXT(H5,"0,00%")</f>
        <v>#DIV/0!</v>
      </c>
      <c r="L5" s="82" t="e">
        <f>J5/$I$31</f>
        <v>#DIV/0!</v>
      </c>
      <c r="M5" s="83" t="e">
        <f>M4+L5</f>
        <v>#DIV/0!</v>
      </c>
    </row>
    <row r="6" spans="1:13" x14ac:dyDescent="0.25">
      <c r="D6" t="e">
        <f t="shared" si="0"/>
        <v>#DIV/0!</v>
      </c>
      <c r="H6" s="78" t="e">
        <f>$I$19-1.8*$I$23</f>
        <v>#DIV/0!</v>
      </c>
      <c r="I6" s="79" t="e">
        <f t="shared" ref="I6:I14" si="2">H6</f>
        <v>#DIV/0!</v>
      </c>
      <c r="J6" s="80">
        <f t="shared" ref="J6:J14" si="3">COUNTIFS(D:D,"&lt;="&amp;H6,D:D,"&gt;"&amp;H5)</f>
        <v>67</v>
      </c>
      <c r="K6" s="81" t="e">
        <f t="shared" si="1"/>
        <v>#DIV/0!</v>
      </c>
      <c r="L6" s="82" t="e">
        <f t="shared" ref="L6:L15" si="4">J6/$I$31</f>
        <v>#DIV/0!</v>
      </c>
      <c r="M6" s="83" t="e">
        <f t="shared" ref="M6:M15" si="5">M5+L6</f>
        <v>#DIV/0!</v>
      </c>
    </row>
    <row r="7" spans="1:13" x14ac:dyDescent="0.25">
      <c r="D7" t="e">
        <f t="shared" si="0"/>
        <v>#DIV/0!</v>
      </c>
      <c r="H7" s="78" t="e">
        <f>$I$19-1.2*$I$23</f>
        <v>#DIV/0!</v>
      </c>
      <c r="I7" s="79" t="e">
        <f t="shared" si="2"/>
        <v>#DIV/0!</v>
      </c>
      <c r="J7" s="80">
        <f t="shared" si="3"/>
        <v>67</v>
      </c>
      <c r="K7" s="81" t="e">
        <f t="shared" si="1"/>
        <v>#DIV/0!</v>
      </c>
      <c r="L7" s="82" t="e">
        <f t="shared" si="4"/>
        <v>#DIV/0!</v>
      </c>
      <c r="M7" s="83" t="e">
        <f t="shared" si="5"/>
        <v>#DIV/0!</v>
      </c>
    </row>
    <row r="8" spans="1:13" x14ac:dyDescent="0.25">
      <c r="D8" t="e">
        <f t="shared" si="0"/>
        <v>#DIV/0!</v>
      </c>
      <c r="H8" s="78" t="e">
        <f>$I$19-0.6*$I$23</f>
        <v>#DIV/0!</v>
      </c>
      <c r="I8" s="79" t="e">
        <f t="shared" si="2"/>
        <v>#DIV/0!</v>
      </c>
      <c r="J8" s="80">
        <f t="shared" si="3"/>
        <v>67</v>
      </c>
      <c r="K8" s="81" t="e">
        <f t="shared" si="1"/>
        <v>#DIV/0!</v>
      </c>
      <c r="L8" s="82" t="e">
        <f t="shared" si="4"/>
        <v>#DIV/0!</v>
      </c>
      <c r="M8" s="83" t="e">
        <f t="shared" si="5"/>
        <v>#DIV/0!</v>
      </c>
    </row>
    <row r="9" spans="1:13" x14ac:dyDescent="0.25">
      <c r="D9" t="e">
        <f t="shared" si="0"/>
        <v>#DIV/0!</v>
      </c>
      <c r="H9" s="78" t="e">
        <f>$I$19</f>
        <v>#DIV/0!</v>
      </c>
      <c r="I9" s="79" t="e">
        <f t="shared" si="2"/>
        <v>#DIV/0!</v>
      </c>
      <c r="J9" s="80">
        <f t="shared" si="3"/>
        <v>67</v>
      </c>
      <c r="K9" s="81" t="e">
        <f t="shared" si="1"/>
        <v>#DIV/0!</v>
      </c>
      <c r="L9" s="82" t="e">
        <f t="shared" si="4"/>
        <v>#DIV/0!</v>
      </c>
      <c r="M9" s="83" t="e">
        <f t="shared" si="5"/>
        <v>#DIV/0!</v>
      </c>
    </row>
    <row r="10" spans="1:13" x14ac:dyDescent="0.25">
      <c r="D10" t="e">
        <f t="shared" si="0"/>
        <v>#DIV/0!</v>
      </c>
      <c r="H10" s="78" t="e">
        <f>$I$19+0.6*$I$23</f>
        <v>#DIV/0!</v>
      </c>
      <c r="I10" s="79" t="e">
        <f t="shared" si="2"/>
        <v>#DIV/0!</v>
      </c>
      <c r="J10" s="80">
        <f t="shared" si="3"/>
        <v>67</v>
      </c>
      <c r="K10" s="81" t="e">
        <f t="shared" si="1"/>
        <v>#DIV/0!</v>
      </c>
      <c r="L10" s="82" t="e">
        <f t="shared" si="4"/>
        <v>#DIV/0!</v>
      </c>
      <c r="M10" s="83" t="e">
        <f t="shared" si="5"/>
        <v>#DIV/0!</v>
      </c>
    </row>
    <row r="11" spans="1:13" x14ac:dyDescent="0.25">
      <c r="D11" t="e">
        <f t="shared" si="0"/>
        <v>#DIV/0!</v>
      </c>
      <c r="H11" s="78" t="e">
        <f>$I$19+1.2*$I$23</f>
        <v>#DIV/0!</v>
      </c>
      <c r="I11" s="79" t="e">
        <f t="shared" si="2"/>
        <v>#DIV/0!</v>
      </c>
      <c r="J11" s="80">
        <f t="shared" si="3"/>
        <v>67</v>
      </c>
      <c r="K11" s="81" t="e">
        <f t="shared" si="1"/>
        <v>#DIV/0!</v>
      </c>
      <c r="L11" s="82" t="e">
        <f t="shared" si="4"/>
        <v>#DIV/0!</v>
      </c>
      <c r="M11" s="83" t="e">
        <f t="shared" si="5"/>
        <v>#DIV/0!</v>
      </c>
    </row>
    <row r="12" spans="1:13" x14ac:dyDescent="0.25">
      <c r="D12" t="e">
        <f t="shared" si="0"/>
        <v>#DIV/0!</v>
      </c>
      <c r="H12" s="78" t="e">
        <f>$I$19+1.8*$I$23</f>
        <v>#DIV/0!</v>
      </c>
      <c r="I12" s="79" t="e">
        <f t="shared" si="2"/>
        <v>#DIV/0!</v>
      </c>
      <c r="J12" s="80">
        <f t="shared" si="3"/>
        <v>67</v>
      </c>
      <c r="K12" s="81" t="e">
        <f t="shared" si="1"/>
        <v>#DIV/0!</v>
      </c>
      <c r="L12" s="82" t="e">
        <f t="shared" si="4"/>
        <v>#DIV/0!</v>
      </c>
      <c r="M12" s="83" t="e">
        <f t="shared" si="5"/>
        <v>#DIV/0!</v>
      </c>
    </row>
    <row r="13" spans="1:13" x14ac:dyDescent="0.25">
      <c r="D13" t="e">
        <f t="shared" si="0"/>
        <v>#DIV/0!</v>
      </c>
      <c r="H13" s="78" t="e">
        <f>$I$19+2.4*$I$23</f>
        <v>#DIV/0!</v>
      </c>
      <c r="I13" s="79" t="e">
        <f t="shared" si="2"/>
        <v>#DIV/0!</v>
      </c>
      <c r="J13" s="80">
        <f t="shared" si="3"/>
        <v>67</v>
      </c>
      <c r="K13" s="81" t="e">
        <f t="shared" si="1"/>
        <v>#DIV/0!</v>
      </c>
      <c r="L13" s="82" t="e">
        <f t="shared" si="4"/>
        <v>#DIV/0!</v>
      </c>
      <c r="M13" s="83" t="e">
        <f t="shared" si="5"/>
        <v>#DIV/0!</v>
      </c>
    </row>
    <row r="14" spans="1:13" x14ac:dyDescent="0.25">
      <c r="D14" t="e">
        <f t="shared" si="0"/>
        <v>#DIV/0!</v>
      </c>
      <c r="H14" s="78" t="e">
        <f>$I$19+3*$I$23</f>
        <v>#DIV/0!</v>
      </c>
      <c r="I14" s="79" t="e">
        <f t="shared" si="2"/>
        <v>#DIV/0!</v>
      </c>
      <c r="J14" s="80">
        <f t="shared" si="3"/>
        <v>67</v>
      </c>
      <c r="K14" s="81" t="e">
        <f t="shared" si="1"/>
        <v>#DIV/0!</v>
      </c>
      <c r="L14" s="82" t="e">
        <f t="shared" si="4"/>
        <v>#DIV/0!</v>
      </c>
      <c r="M14" s="83" t="e">
        <f t="shared" si="5"/>
        <v>#DIV/0!</v>
      </c>
    </row>
    <row r="15" spans="1:13" ht="15.75" thickBot="1" x14ac:dyDescent="0.3">
      <c r="D15" t="e">
        <f t="shared" si="0"/>
        <v>#DIV/0!</v>
      </c>
      <c r="H15" s="84"/>
      <c r="I15" s="85" t="s">
        <v>91</v>
      </c>
      <c r="J15" s="85">
        <f>COUNTIF(D:D,"&gt;"&amp;H14)</f>
        <v>67</v>
      </c>
      <c r="K15" s="85" t="e">
        <f>"Greater than "&amp;TEXT(H14,"0,00%")</f>
        <v>#DIV/0!</v>
      </c>
      <c r="L15" s="86" t="e">
        <f t="shared" si="4"/>
        <v>#DIV/0!</v>
      </c>
      <c r="M15" s="86" t="e">
        <f t="shared" si="5"/>
        <v>#DIV/0!</v>
      </c>
    </row>
    <row r="16" spans="1:13" ht="15.75" thickBot="1" x14ac:dyDescent="0.3">
      <c r="D16" t="e">
        <f t="shared" si="0"/>
        <v>#DIV/0!</v>
      </c>
      <c r="H16" s="87"/>
      <c r="M16" s="88"/>
    </row>
    <row r="17" spans="4:13" x14ac:dyDescent="0.25">
      <c r="D17" t="e">
        <f t="shared" si="0"/>
        <v>#DIV/0!</v>
      </c>
      <c r="H17" s="157" t="s">
        <v>122</v>
      </c>
      <c r="I17" s="158"/>
      <c r="M17" s="88"/>
    </row>
    <row r="18" spans="4:13" x14ac:dyDescent="0.25">
      <c r="D18" t="e">
        <f t="shared" si="0"/>
        <v>#DIV/0!</v>
      </c>
      <c r="H18" s="159"/>
      <c r="I18" s="160"/>
      <c r="M18" s="88"/>
    </row>
    <row r="19" spans="4:13" x14ac:dyDescent="0.25">
      <c r="D19" t="e">
        <f t="shared" si="0"/>
        <v>#DIV/0!</v>
      </c>
      <c r="H19" s="89" t="s">
        <v>92</v>
      </c>
      <c r="I19" s="126" t="e">
        <f>AVERAGE(D:D)</f>
        <v>#DIV/0!</v>
      </c>
      <c r="M19" s="88"/>
    </row>
    <row r="20" spans="4:13" x14ac:dyDescent="0.25">
      <c r="D20" t="e">
        <f t="shared" si="0"/>
        <v>#DIV/0!</v>
      </c>
      <c r="H20" s="89" t="s">
        <v>93</v>
      </c>
      <c r="I20" s="126" t="e">
        <f>_xlfn.STDEV.S(D:D)/SQRT(COUNT(D:D))</f>
        <v>#DIV/0!</v>
      </c>
      <c r="M20" s="88"/>
    </row>
    <row r="21" spans="4:13" x14ac:dyDescent="0.25">
      <c r="D21" t="e">
        <f t="shared" si="0"/>
        <v>#DIV/0!</v>
      </c>
      <c r="H21" s="89" t="s">
        <v>94</v>
      </c>
      <c r="I21" s="126" t="e">
        <f>MEDIAN(D:D)</f>
        <v>#DIV/0!</v>
      </c>
      <c r="M21" s="88"/>
    </row>
    <row r="22" spans="4:13" x14ac:dyDescent="0.25">
      <c r="D22" t="e">
        <f t="shared" si="0"/>
        <v>#DIV/0!</v>
      </c>
      <c r="H22" s="89" t="s">
        <v>95</v>
      </c>
      <c r="I22" s="126" t="e">
        <f>MODE(D:D)</f>
        <v>#DIV/0!</v>
      </c>
      <c r="M22" s="88"/>
    </row>
    <row r="23" spans="4:13" x14ac:dyDescent="0.25">
      <c r="D23" t="e">
        <f t="shared" si="0"/>
        <v>#DIV/0!</v>
      </c>
      <c r="H23" s="89" t="s">
        <v>96</v>
      </c>
      <c r="I23" s="126" t="e">
        <f>_xlfn.STDEV.S(D:D)</f>
        <v>#DIV/0!</v>
      </c>
      <c r="M23" s="88"/>
    </row>
    <row r="24" spans="4:13" x14ac:dyDescent="0.25">
      <c r="D24" t="e">
        <f t="shared" si="0"/>
        <v>#DIV/0!</v>
      </c>
      <c r="H24" s="89" t="s">
        <v>97</v>
      </c>
      <c r="I24" s="126" t="e">
        <f>_xlfn.VAR.S(D:D)</f>
        <v>#DIV/0!</v>
      </c>
      <c r="M24" s="88"/>
    </row>
    <row r="25" spans="4:13" x14ac:dyDescent="0.25">
      <c r="D25" t="e">
        <f t="shared" si="0"/>
        <v>#DIV/0!</v>
      </c>
      <c r="H25" s="89" t="s">
        <v>98</v>
      </c>
      <c r="I25" s="127" t="e">
        <f>KURT(D:D)</f>
        <v>#DIV/0!</v>
      </c>
      <c r="M25" s="88"/>
    </row>
    <row r="26" spans="4:13" x14ac:dyDescent="0.25">
      <c r="D26" t="e">
        <f t="shared" si="0"/>
        <v>#DIV/0!</v>
      </c>
      <c r="H26" s="89" t="s">
        <v>99</v>
      </c>
      <c r="I26" s="127" t="e">
        <f>SKEW(D:D)</f>
        <v>#DIV/0!</v>
      </c>
      <c r="M26" s="88"/>
    </row>
    <row r="27" spans="4:13" x14ac:dyDescent="0.25">
      <c r="D27" t="e">
        <f t="shared" si="0"/>
        <v>#DIV/0!</v>
      </c>
      <c r="H27" s="89" t="s">
        <v>88</v>
      </c>
      <c r="I27" s="126" t="e">
        <f>I29-I28</f>
        <v>#DIV/0!</v>
      </c>
      <c r="M27" s="88"/>
    </row>
    <row r="28" spans="4:13" x14ac:dyDescent="0.25">
      <c r="D28" t="e">
        <f t="shared" si="0"/>
        <v>#DIV/0!</v>
      </c>
      <c r="H28" s="89" t="s">
        <v>100</v>
      </c>
      <c r="I28" s="126" t="e">
        <f>MIN(D:D)</f>
        <v>#DIV/0!</v>
      </c>
      <c r="M28" s="88"/>
    </row>
    <row r="29" spans="4:13" x14ac:dyDescent="0.25">
      <c r="D29" t="e">
        <f t="shared" si="0"/>
        <v>#DIV/0!</v>
      </c>
      <c r="H29" s="89" t="s">
        <v>101</v>
      </c>
      <c r="I29" s="126" t="e">
        <f>MAX(D:D)</f>
        <v>#DIV/0!</v>
      </c>
      <c r="M29" s="88"/>
    </row>
    <row r="30" spans="4:13" x14ac:dyDescent="0.25">
      <c r="D30" t="e">
        <f t="shared" si="0"/>
        <v>#DIV/0!</v>
      </c>
      <c r="H30" s="89" t="s">
        <v>102</v>
      </c>
      <c r="I30" s="127" t="e">
        <f>SUM(D:D)</f>
        <v>#DIV/0!</v>
      </c>
      <c r="M30" s="88"/>
    </row>
    <row r="31" spans="4:13" ht="15.75" thickBot="1" x14ac:dyDescent="0.3">
      <c r="D31" t="e">
        <f t="shared" si="0"/>
        <v>#DIV/0!</v>
      </c>
      <c r="H31" s="90" t="s">
        <v>103</v>
      </c>
      <c r="I31" s="67">
        <f>COUNT(D:D)</f>
        <v>0</v>
      </c>
      <c r="M31" s="88"/>
    </row>
    <row r="32" spans="4:13" ht="15.75" thickBot="1" x14ac:dyDescent="0.3">
      <c r="D32" t="e">
        <f t="shared" si="0"/>
        <v>#DIV/0!</v>
      </c>
      <c r="H32" s="92"/>
      <c r="M32" s="88"/>
    </row>
    <row r="33" spans="4:13" x14ac:dyDescent="0.25">
      <c r="D33" t="e">
        <f t="shared" si="0"/>
        <v>#DIV/0!</v>
      </c>
      <c r="H33" s="93"/>
      <c r="I33" s="94" t="s">
        <v>104</v>
      </c>
      <c r="J33" s="94" t="s">
        <v>103</v>
      </c>
      <c r="K33" s="94" t="s">
        <v>105</v>
      </c>
      <c r="L33" s="95" t="s">
        <v>106</v>
      </c>
      <c r="M33" s="88"/>
    </row>
    <row r="34" spans="4:13" x14ac:dyDescent="0.25">
      <c r="D34" t="e">
        <f t="shared" si="0"/>
        <v>#DIV/0!</v>
      </c>
      <c r="H34" s="96" t="s">
        <v>107</v>
      </c>
      <c r="I34" s="82" t="e">
        <f>AVERAGEIF(D:D,"&gt;0")</f>
        <v>#DIV/0!</v>
      </c>
      <c r="J34" s="80">
        <f>COUNTIF(D:D,"&gt;0")</f>
        <v>0</v>
      </c>
      <c r="K34" s="82" t="e">
        <f>J34/$I$31</f>
        <v>#DIV/0!</v>
      </c>
      <c r="L34" s="83" t="e">
        <f>K34*I34</f>
        <v>#DIV/0!</v>
      </c>
      <c r="M34" s="88"/>
    </row>
    <row r="35" spans="4:13" x14ac:dyDescent="0.25">
      <c r="D35" t="e">
        <f t="shared" si="0"/>
        <v>#DIV/0!</v>
      </c>
      <c r="H35" s="96" t="s">
        <v>108</v>
      </c>
      <c r="I35" s="82" t="e">
        <f>AVERAGEIF(D:D,"&lt;0")</f>
        <v>#DIV/0!</v>
      </c>
      <c r="J35" s="80">
        <f>COUNTIF(D:D,"&lt;0")</f>
        <v>0</v>
      </c>
      <c r="K35" s="82" t="e">
        <f>J35/$I$31</f>
        <v>#DIV/0!</v>
      </c>
      <c r="L35" s="83" t="e">
        <f t="shared" ref="L35:L36" si="6">K35*I35</f>
        <v>#DIV/0!</v>
      </c>
      <c r="M35" s="88"/>
    </row>
    <row r="36" spans="4:13" ht="15.75" thickBot="1" x14ac:dyDescent="0.3">
      <c r="D36" t="e">
        <f t="shared" si="0"/>
        <v>#DIV/0!</v>
      </c>
      <c r="H36" s="97" t="s">
        <v>109</v>
      </c>
      <c r="I36" s="85">
        <v>0</v>
      </c>
      <c r="J36" s="85">
        <f>COUNTIF(D:D,"0")</f>
        <v>0</v>
      </c>
      <c r="K36" s="98" t="e">
        <f>J36/$I$31</f>
        <v>#DIV/0!</v>
      </c>
      <c r="L36" s="86" t="e">
        <f t="shared" si="6"/>
        <v>#DIV/0!</v>
      </c>
      <c r="M36" s="88"/>
    </row>
    <row r="37" spans="4:13" ht="15.75" thickBot="1" x14ac:dyDescent="0.3">
      <c r="D37" t="e">
        <f t="shared" si="0"/>
        <v>#DIV/0!</v>
      </c>
      <c r="H37" s="92"/>
      <c r="I37" s="99"/>
      <c r="J37" s="99"/>
      <c r="K37" s="99"/>
      <c r="L37" s="99"/>
      <c r="M37" s="88"/>
    </row>
    <row r="38" spans="4:13" x14ac:dyDescent="0.25">
      <c r="D38" t="e">
        <f t="shared" si="0"/>
        <v>#DIV/0!</v>
      </c>
      <c r="H38" s="73" t="s">
        <v>110</v>
      </c>
      <c r="I38" s="94" t="s">
        <v>111</v>
      </c>
      <c r="J38" s="94" t="s">
        <v>112</v>
      </c>
      <c r="K38" s="94" t="s">
        <v>113</v>
      </c>
      <c r="L38" s="94" t="s">
        <v>114</v>
      </c>
      <c r="M38" s="95" t="s">
        <v>115</v>
      </c>
    </row>
    <row r="39" spans="4:13" x14ac:dyDescent="0.25">
      <c r="D39" t="e">
        <f t="shared" si="0"/>
        <v>#DIV/0!</v>
      </c>
      <c r="H39" s="100">
        <v>1</v>
      </c>
      <c r="I39" s="82" t="e">
        <f>$I$19+($H39*$I$23)</f>
        <v>#DIV/0!</v>
      </c>
      <c r="J39" s="82" t="e">
        <f>$I$19-($H39*$I$23)</f>
        <v>#DIV/0!</v>
      </c>
      <c r="K39" s="80">
        <f>COUNTIFS(D:D,"&lt;"&amp;I39,D:D,"&gt;"&amp;J39)</f>
        <v>67</v>
      </c>
      <c r="L39" s="82" t="e">
        <f>K39/$I$31</f>
        <v>#DIV/0!</v>
      </c>
      <c r="M39" s="83">
        <v>0.68269999999999997</v>
      </c>
    </row>
    <row r="40" spans="4:13" x14ac:dyDescent="0.25">
      <c r="D40" t="e">
        <f t="shared" si="0"/>
        <v>#DIV/0!</v>
      </c>
      <c r="H40" s="100">
        <v>2</v>
      </c>
      <c r="I40" s="82" t="e">
        <f>$I$19+($H40*$I$23)</f>
        <v>#DIV/0!</v>
      </c>
      <c r="J40" s="82" t="e">
        <f>$I$19-($H40*$I$23)</f>
        <v>#DIV/0!</v>
      </c>
      <c r="K40" s="80">
        <f>COUNTIFS(D:D,"&lt;"&amp;I40,D:D,"&gt;"&amp;J40)</f>
        <v>67</v>
      </c>
      <c r="L40" s="82" t="e">
        <f>K40/$I$31</f>
        <v>#DIV/0!</v>
      </c>
      <c r="M40" s="83">
        <v>0.95450000000000002</v>
      </c>
    </row>
    <row r="41" spans="4:13" x14ac:dyDescent="0.25">
      <c r="D41" t="e">
        <f t="shared" si="0"/>
        <v>#DIV/0!</v>
      </c>
      <c r="H41" s="100">
        <v>3</v>
      </c>
      <c r="I41" s="82" t="e">
        <f>$I$19+($H41*$I$23)</f>
        <v>#DIV/0!</v>
      </c>
      <c r="J41" s="82" t="e">
        <f>$I$19-($H41*$I$23)</f>
        <v>#DIV/0!</v>
      </c>
      <c r="K41" s="80">
        <f>COUNTIFS(D:D,"&lt;"&amp;I41,D:D,"&gt;"&amp;J41)</f>
        <v>67</v>
      </c>
      <c r="L41" s="82" t="e">
        <f>K41/$I$31</f>
        <v>#DIV/0!</v>
      </c>
      <c r="M41" s="101">
        <v>0.99729999999999996</v>
      </c>
    </row>
    <row r="42" spans="4:13" ht="15.75" thickBot="1" x14ac:dyDescent="0.3">
      <c r="D42" t="e">
        <f t="shared" si="0"/>
        <v>#DIV/0!</v>
      </c>
      <c r="H42" s="78"/>
      <c r="M42" s="101"/>
    </row>
    <row r="43" spans="4:13" ht="15.75" thickBot="1" x14ac:dyDescent="0.3">
      <c r="D43" t="e">
        <f t="shared" si="0"/>
        <v>#DIV/0!</v>
      </c>
      <c r="H43" s="161" t="s">
        <v>116</v>
      </c>
      <c r="I43" s="162"/>
      <c r="J43" s="162"/>
      <c r="K43" s="162"/>
      <c r="L43" s="162"/>
      <c r="M43" s="163"/>
    </row>
    <row r="44" spans="4:13" x14ac:dyDescent="0.25">
      <c r="D44" t="e">
        <f t="shared" si="0"/>
        <v>#DIV/0!</v>
      </c>
      <c r="H44" s="102">
        <v>0.01</v>
      </c>
      <c r="I44" s="103" t="e">
        <f t="shared" ref="I44:I58" si="7">_xlfn.PERCENTILE.INC(D:D,H44)</f>
        <v>#DIV/0!</v>
      </c>
      <c r="J44" s="104">
        <v>0.2</v>
      </c>
      <c r="K44" s="103" t="e">
        <f t="shared" ref="K44:K56" si="8">_xlfn.PERCENTILE.INC(D:D,J44)</f>
        <v>#DIV/0!</v>
      </c>
      <c r="L44" s="104">
        <v>0.85</v>
      </c>
      <c r="M44" s="105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6">
        <v>0.02</v>
      </c>
      <c r="I45" s="107" t="e">
        <f t="shared" si="7"/>
        <v>#DIV/0!</v>
      </c>
      <c r="J45" s="108">
        <v>0.25</v>
      </c>
      <c r="K45" s="107" t="e">
        <f t="shared" si="8"/>
        <v>#DIV/0!</v>
      </c>
      <c r="L45" s="108">
        <v>0.86</v>
      </c>
      <c r="M45" s="109" t="e">
        <f t="shared" si="9"/>
        <v>#DIV/0!</v>
      </c>
    </row>
    <row r="46" spans="4:13" x14ac:dyDescent="0.25">
      <c r="D46" t="e">
        <f t="shared" si="0"/>
        <v>#DIV/0!</v>
      </c>
      <c r="H46" s="106">
        <v>0.03</v>
      </c>
      <c r="I46" s="107" t="e">
        <f t="shared" si="7"/>
        <v>#DIV/0!</v>
      </c>
      <c r="J46" s="108">
        <v>0.3</v>
      </c>
      <c r="K46" s="107" t="e">
        <f t="shared" si="8"/>
        <v>#DIV/0!</v>
      </c>
      <c r="L46" s="108">
        <v>0.87</v>
      </c>
      <c r="M46" s="109" t="e">
        <f t="shared" si="9"/>
        <v>#DIV/0!</v>
      </c>
    </row>
    <row r="47" spans="4:13" x14ac:dyDescent="0.25">
      <c r="D47" t="e">
        <f t="shared" si="0"/>
        <v>#DIV/0!</v>
      </c>
      <c r="H47" s="106">
        <v>0.04</v>
      </c>
      <c r="I47" s="107" t="e">
        <f t="shared" si="7"/>
        <v>#DIV/0!</v>
      </c>
      <c r="J47" s="108">
        <v>0.35</v>
      </c>
      <c r="K47" s="107" t="e">
        <f t="shared" si="8"/>
        <v>#DIV/0!</v>
      </c>
      <c r="L47" s="108">
        <v>0.88</v>
      </c>
      <c r="M47" s="109" t="e">
        <f t="shared" si="9"/>
        <v>#DIV/0!</v>
      </c>
    </row>
    <row r="48" spans="4:13" x14ac:dyDescent="0.25">
      <c r="D48" t="e">
        <f t="shared" si="0"/>
        <v>#DIV/0!</v>
      </c>
      <c r="H48" s="106">
        <v>0.05</v>
      </c>
      <c r="I48" s="107" t="e">
        <f t="shared" si="7"/>
        <v>#DIV/0!</v>
      </c>
      <c r="J48" s="108">
        <v>0.4</v>
      </c>
      <c r="K48" s="107" t="e">
        <f t="shared" si="8"/>
        <v>#DIV/0!</v>
      </c>
      <c r="L48" s="108">
        <v>0.89</v>
      </c>
      <c r="M48" s="109" t="e">
        <f t="shared" si="9"/>
        <v>#DIV/0!</v>
      </c>
    </row>
    <row r="49" spans="4:13" x14ac:dyDescent="0.25">
      <c r="D49" t="e">
        <f t="shared" si="0"/>
        <v>#DIV/0!</v>
      </c>
      <c r="H49" s="106">
        <v>0.06</v>
      </c>
      <c r="I49" s="107" t="e">
        <f t="shared" si="7"/>
        <v>#DIV/0!</v>
      </c>
      <c r="J49" s="108">
        <v>0.45</v>
      </c>
      <c r="K49" s="107" t="e">
        <f t="shared" si="8"/>
        <v>#DIV/0!</v>
      </c>
      <c r="L49" s="108">
        <v>0.9</v>
      </c>
      <c r="M49" s="109" t="e">
        <f t="shared" si="9"/>
        <v>#DIV/0!</v>
      </c>
    </row>
    <row r="50" spans="4:13" x14ac:dyDescent="0.25">
      <c r="D50" t="e">
        <f t="shared" si="0"/>
        <v>#DIV/0!</v>
      </c>
      <c r="H50" s="106">
        <v>7.0000000000000007E-2</v>
      </c>
      <c r="I50" s="107" t="e">
        <f t="shared" si="7"/>
        <v>#DIV/0!</v>
      </c>
      <c r="J50" s="108">
        <v>0.5</v>
      </c>
      <c r="K50" s="107" t="e">
        <f t="shared" si="8"/>
        <v>#DIV/0!</v>
      </c>
      <c r="L50" s="108">
        <v>0.91</v>
      </c>
      <c r="M50" s="109" t="e">
        <f t="shared" si="9"/>
        <v>#DIV/0!</v>
      </c>
    </row>
    <row r="51" spans="4:13" x14ac:dyDescent="0.25">
      <c r="D51" t="e">
        <f t="shared" si="0"/>
        <v>#DIV/0!</v>
      </c>
      <c r="H51" s="106">
        <v>0.08</v>
      </c>
      <c r="I51" s="107" t="e">
        <f t="shared" si="7"/>
        <v>#DIV/0!</v>
      </c>
      <c r="J51" s="108">
        <v>0.55000000000000004</v>
      </c>
      <c r="K51" s="107" t="e">
        <f t="shared" si="8"/>
        <v>#DIV/0!</v>
      </c>
      <c r="L51" s="108">
        <v>0.92</v>
      </c>
      <c r="M51" s="109" t="e">
        <f t="shared" si="9"/>
        <v>#DIV/0!</v>
      </c>
    </row>
    <row r="52" spans="4:13" x14ac:dyDescent="0.25">
      <c r="D52" t="e">
        <f t="shared" si="0"/>
        <v>#DIV/0!</v>
      </c>
      <c r="H52" s="106">
        <v>0.09</v>
      </c>
      <c r="I52" s="107" t="e">
        <f t="shared" si="7"/>
        <v>#DIV/0!</v>
      </c>
      <c r="J52" s="108">
        <v>0.6</v>
      </c>
      <c r="K52" s="107" t="e">
        <f t="shared" si="8"/>
        <v>#DIV/0!</v>
      </c>
      <c r="L52" s="108">
        <v>0.93</v>
      </c>
      <c r="M52" s="109" t="e">
        <f t="shared" si="9"/>
        <v>#DIV/0!</v>
      </c>
    </row>
    <row r="53" spans="4:13" x14ac:dyDescent="0.25">
      <c r="D53" t="e">
        <f t="shared" si="0"/>
        <v>#DIV/0!</v>
      </c>
      <c r="H53" s="106">
        <v>0.1</v>
      </c>
      <c r="I53" s="107" t="e">
        <f t="shared" si="7"/>
        <v>#DIV/0!</v>
      </c>
      <c r="J53" s="108">
        <v>0.65</v>
      </c>
      <c r="K53" s="107" t="e">
        <f t="shared" si="8"/>
        <v>#DIV/0!</v>
      </c>
      <c r="L53" s="108">
        <v>0.94</v>
      </c>
      <c r="M53" s="109" t="e">
        <f t="shared" si="9"/>
        <v>#DIV/0!</v>
      </c>
    </row>
    <row r="54" spans="4:13" x14ac:dyDescent="0.25">
      <c r="D54" t="e">
        <f t="shared" si="0"/>
        <v>#DIV/0!</v>
      </c>
      <c r="H54" s="106">
        <v>0.11</v>
      </c>
      <c r="I54" s="107" t="e">
        <f t="shared" si="7"/>
        <v>#DIV/0!</v>
      </c>
      <c r="J54" s="108">
        <v>0.7</v>
      </c>
      <c r="K54" s="107" t="e">
        <f t="shared" si="8"/>
        <v>#DIV/0!</v>
      </c>
      <c r="L54" s="108">
        <v>0.95</v>
      </c>
      <c r="M54" s="109" t="e">
        <f t="shared" si="9"/>
        <v>#DIV/0!</v>
      </c>
    </row>
    <row r="55" spans="4:13" x14ac:dyDescent="0.25">
      <c r="D55" t="e">
        <f t="shared" si="0"/>
        <v>#DIV/0!</v>
      </c>
      <c r="H55" s="106">
        <v>0.12</v>
      </c>
      <c r="I55" s="107" t="e">
        <f t="shared" si="7"/>
        <v>#DIV/0!</v>
      </c>
      <c r="J55" s="108">
        <v>0.75</v>
      </c>
      <c r="K55" s="107" t="e">
        <f t="shared" si="8"/>
        <v>#DIV/0!</v>
      </c>
      <c r="L55" s="108">
        <v>0.96</v>
      </c>
      <c r="M55" s="109" t="e">
        <f t="shared" si="9"/>
        <v>#DIV/0!</v>
      </c>
    </row>
    <row r="56" spans="4:13" x14ac:dyDescent="0.25">
      <c r="D56" t="e">
        <f t="shared" si="0"/>
        <v>#DIV/0!</v>
      </c>
      <c r="H56" s="106">
        <v>0.13</v>
      </c>
      <c r="I56" s="107" t="e">
        <f t="shared" si="7"/>
        <v>#DIV/0!</v>
      </c>
      <c r="J56" s="108">
        <v>0.8</v>
      </c>
      <c r="K56" s="107" t="e">
        <f t="shared" si="8"/>
        <v>#DIV/0!</v>
      </c>
      <c r="L56" s="108">
        <v>0.97</v>
      </c>
      <c r="M56" s="109" t="e">
        <f t="shared" si="9"/>
        <v>#DIV/0!</v>
      </c>
    </row>
    <row r="57" spans="4:13" x14ac:dyDescent="0.25">
      <c r="D57" t="e">
        <f t="shared" si="0"/>
        <v>#DIV/0!</v>
      </c>
      <c r="H57" s="106">
        <v>0.14000000000000001</v>
      </c>
      <c r="I57" s="107" t="e">
        <f t="shared" si="7"/>
        <v>#DIV/0!</v>
      </c>
      <c r="J57" s="108"/>
      <c r="K57" s="107"/>
      <c r="L57" s="108">
        <v>0.98</v>
      </c>
      <c r="M57" s="109" t="e">
        <f t="shared" si="9"/>
        <v>#DIV/0!</v>
      </c>
    </row>
    <row r="58" spans="4:13" ht="15.75" thickBot="1" x14ac:dyDescent="0.3">
      <c r="D58" t="e">
        <f t="shared" si="0"/>
        <v>#DIV/0!</v>
      </c>
      <c r="H58" s="110">
        <v>0.15</v>
      </c>
      <c r="I58" s="111" t="e">
        <f t="shared" si="7"/>
        <v>#DIV/0!</v>
      </c>
      <c r="J58" s="112"/>
      <c r="K58" s="91"/>
      <c r="L58" s="113">
        <v>0.99</v>
      </c>
      <c r="M58" s="114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5" t="s">
        <v>117</v>
      </c>
      <c r="I60" s="116"/>
    </row>
    <row r="61" spans="4:13" ht="15.75" thickBot="1" x14ac:dyDescent="0.3">
      <c r="D61" t="e">
        <f t="shared" si="0"/>
        <v>#DIV/0!</v>
      </c>
      <c r="H61" s="117" t="s">
        <v>118</v>
      </c>
      <c r="I61" s="118"/>
    </row>
    <row r="62" spans="4:13" ht="15.75" thickBot="1" x14ac:dyDescent="0.3">
      <c r="D62" t="e">
        <f t="shared" si="0"/>
        <v>#DIV/0!</v>
      </c>
      <c r="H62" s="119"/>
    </row>
    <row r="63" spans="4:13" x14ac:dyDescent="0.25">
      <c r="D63" t="e">
        <f t="shared" si="0"/>
        <v>#DIV/0!</v>
      </c>
      <c r="H63" s="115" t="s">
        <v>119</v>
      </c>
      <c r="I63" s="120"/>
    </row>
    <row r="64" spans="4:13" x14ac:dyDescent="0.25">
      <c r="D64" t="e">
        <f t="shared" si="0"/>
        <v>#DIV/0!</v>
      </c>
      <c r="H64" s="121" t="s">
        <v>120</v>
      </c>
      <c r="I64" s="122">
        <f>I63*(1-I60)</f>
        <v>0</v>
      </c>
    </row>
    <row r="65" spans="4:9" ht="15.75" thickBot="1" x14ac:dyDescent="0.3">
      <c r="D65" t="e">
        <f t="shared" si="0"/>
        <v>#DIV/0!</v>
      </c>
      <c r="H65" s="117" t="s">
        <v>121</v>
      </c>
      <c r="I65" s="123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2024-11-07T23:01:12Z</dcterms:modified>
</cp:coreProperties>
</file>