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5778DBC7-E543-4B00-961E-4896D65D1B44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Model!$B$3</definedName>
    <definedName name="_xlchart.v1.1" hidden="1">Model!$B$4</definedName>
    <definedName name="_xlchart.v1.2" hidden="1">Model!$L$2:$AA$2</definedName>
    <definedName name="_xlchart.v1.3" hidden="1">Model!$L$3:$AA$3</definedName>
    <definedName name="_xlchart.v1.4" hidden="1">Model!$L$4:$AA$4</definedName>
    <definedName name="_xlchart.v1.5" hidden="1">Model!$B$19</definedName>
    <definedName name="_xlchart.v1.6" hidden="1">Model!$B$20</definedName>
    <definedName name="_xlchart.v1.7" hidden="1">Model!$L$19:$AA$19</definedName>
    <definedName name="_xlchart.v1.8" hidden="1">Model!$L$20:$AA$20</definedName>
    <definedName name="_xlchart.v1.9" hidden="1">Model!$L$2:$AA$2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3" i="1"/>
  <c r="C9" i="1"/>
  <c r="C7" i="1"/>
  <c r="Z32" i="2"/>
  <c r="AA23" i="2"/>
  <c r="AB23" i="2"/>
  <c r="Z23" i="2"/>
  <c r="F12" i="2"/>
  <c r="G40" i="2"/>
  <c r="F51" i="2"/>
  <c r="F49" i="2"/>
  <c r="F48" i="2"/>
  <c r="F47" i="2"/>
  <c r="F46" i="2"/>
  <c r="F45" i="2"/>
  <c r="F43" i="2"/>
  <c r="F42" i="2"/>
  <c r="F41" i="2"/>
  <c r="F39" i="2"/>
  <c r="F38" i="2"/>
  <c r="F37" i="2"/>
  <c r="F36" i="2"/>
  <c r="F35" i="2"/>
  <c r="F34" i="2"/>
  <c r="F32" i="2" s="1"/>
  <c r="F33" i="2"/>
  <c r="S43" i="2"/>
  <c r="G51" i="2"/>
  <c r="G49" i="2"/>
  <c r="G48" i="2"/>
  <c r="G47" i="2"/>
  <c r="G46" i="2"/>
  <c r="G45" i="2"/>
  <c r="G43" i="2"/>
  <c r="G42" i="2"/>
  <c r="G41" i="2"/>
  <c r="G39" i="2"/>
  <c r="G38" i="2"/>
  <c r="G37" i="2"/>
  <c r="G36" i="2"/>
  <c r="G35" i="2"/>
  <c r="G34" i="2"/>
  <c r="G33" i="2"/>
  <c r="I17" i="2"/>
  <c r="H17" i="2"/>
  <c r="E17" i="2"/>
  <c r="D17" i="2"/>
  <c r="C17" i="2"/>
  <c r="S17" i="2"/>
  <c r="R17" i="2"/>
  <c r="Q17" i="2"/>
  <c r="P17" i="2"/>
  <c r="O17" i="2"/>
  <c r="N17" i="2"/>
  <c r="M17" i="2"/>
  <c r="L17" i="2"/>
  <c r="AA17" i="2"/>
  <c r="Y17" i="2"/>
  <c r="W17" i="2"/>
  <c r="U17" i="2"/>
  <c r="G26" i="2"/>
  <c r="F26" i="2"/>
  <c r="E26" i="2"/>
  <c r="D26" i="2"/>
  <c r="C26" i="2"/>
  <c r="G25" i="2"/>
  <c r="F25" i="2"/>
  <c r="E25" i="2"/>
  <c r="D25" i="2"/>
  <c r="C25" i="2"/>
  <c r="G24" i="2"/>
  <c r="F24" i="2"/>
  <c r="E24" i="2"/>
  <c r="D24" i="2"/>
  <c r="C24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Y25" i="2"/>
  <c r="Y26" i="2"/>
  <c r="Y24" i="2"/>
  <c r="AA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I32" i="2"/>
  <c r="H32" i="2"/>
  <c r="E32" i="2"/>
  <c r="D32" i="2"/>
  <c r="C32" i="2"/>
  <c r="AA50" i="2"/>
  <c r="AA52" i="2" s="1"/>
  <c r="Z50" i="2"/>
  <c r="Z52" i="2" s="1"/>
  <c r="Y50" i="2"/>
  <c r="Y52" i="2" s="1"/>
  <c r="X50" i="2"/>
  <c r="X52" i="2" s="1"/>
  <c r="W50" i="2"/>
  <c r="W52" i="2" s="1"/>
  <c r="AA40" i="2"/>
  <c r="AA44" i="2" s="1"/>
  <c r="Z40" i="2"/>
  <c r="Z44" i="2" s="1"/>
  <c r="Y40" i="2"/>
  <c r="Y44" i="2" s="1"/>
  <c r="X40" i="2"/>
  <c r="X44" i="2" s="1"/>
  <c r="W40" i="2"/>
  <c r="W44" i="2" s="1"/>
  <c r="AA25" i="2"/>
  <c r="Z25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27" i="2"/>
  <c r="L10" i="2"/>
  <c r="L13" i="2" s="1"/>
  <c r="H10" i="2"/>
  <c r="H13" i="2" s="1"/>
  <c r="I10" i="2"/>
  <c r="I13" i="2" s="1"/>
  <c r="G32" i="2" l="1"/>
  <c r="L19" i="2"/>
  <c r="W53" i="2"/>
  <c r="P10" i="2"/>
  <c r="P13" i="2" s="1"/>
  <c r="P19" i="2" s="1"/>
  <c r="Q10" i="2"/>
  <c r="Q13" i="2" s="1"/>
  <c r="Q19" i="2" s="1"/>
  <c r="AA53" i="2"/>
  <c r="T10" i="2"/>
  <c r="T13" i="2" s="1"/>
  <c r="Z21" i="2"/>
  <c r="R10" i="2"/>
  <c r="R13" i="2" s="1"/>
  <c r="R19" i="2" s="1"/>
  <c r="AA21" i="2"/>
  <c r="AA24" i="2"/>
  <c r="S10" i="2"/>
  <c r="S13" i="2" s="1"/>
  <c r="S19" i="2" s="1"/>
  <c r="O10" i="2"/>
  <c r="O13" i="2" s="1"/>
  <c r="O19" i="2" s="1"/>
  <c r="W21" i="2"/>
  <c r="U10" i="2"/>
  <c r="U13" i="2" s="1"/>
  <c r="U19" i="2" s="1"/>
  <c r="M10" i="2"/>
  <c r="M13" i="2" s="1"/>
  <c r="M19" i="2" s="1"/>
  <c r="Y21" i="2"/>
  <c r="Y53" i="2"/>
  <c r="Z53" i="2"/>
  <c r="X53" i="2"/>
  <c r="W23" i="2"/>
  <c r="Z24" i="2"/>
  <c r="W10" i="2"/>
  <c r="W13" i="2" s="1"/>
  <c r="Y23" i="2"/>
  <c r="Z26" i="2"/>
  <c r="X10" i="2"/>
  <c r="X13" i="2" s="1"/>
  <c r="X17" i="2" s="1"/>
  <c r="AA26" i="2"/>
  <c r="X23" i="2"/>
  <c r="Y10" i="2"/>
  <c r="Y13" i="2" s="1"/>
  <c r="Z10" i="2"/>
  <c r="Z13" i="2" s="1"/>
  <c r="Z17" i="2" s="1"/>
  <c r="X21" i="2"/>
  <c r="AA10" i="2"/>
  <c r="AA13" i="2" s="1"/>
  <c r="V10" i="2"/>
  <c r="V13" i="2" s="1"/>
  <c r="N10" i="2"/>
  <c r="N13" i="2" s="1"/>
  <c r="N19" i="2" s="1"/>
  <c r="C31" i="1"/>
  <c r="C28" i="1"/>
  <c r="C35" i="1"/>
  <c r="C29" i="1"/>
  <c r="C27" i="1"/>
  <c r="C25" i="1"/>
  <c r="C24" i="1"/>
  <c r="C23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V17" i="2" l="1"/>
  <c r="V19" i="2" s="1"/>
  <c r="T17" i="2"/>
  <c r="T19" i="2" s="1"/>
  <c r="Y27" i="2"/>
  <c r="Y22" i="2"/>
  <c r="Y19" i="2"/>
  <c r="W27" i="2"/>
  <c r="W19" i="2"/>
  <c r="W22" i="2"/>
  <c r="Z22" i="2"/>
  <c r="Z19" i="2"/>
  <c r="AA19" i="2"/>
  <c r="AA22" i="2"/>
  <c r="AA27" i="2"/>
  <c r="X22" i="2"/>
  <c r="X19" i="2"/>
  <c r="I27" i="5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0" i="2"/>
  <c r="C13" i="2" s="1"/>
  <c r="D10" i="2"/>
  <c r="D13" i="2" s="1"/>
  <c r="E10" i="2"/>
  <c r="E13" i="2" s="1"/>
  <c r="F10" i="2"/>
  <c r="F13" i="2" s="1"/>
  <c r="F17" i="2" s="1"/>
  <c r="G10" i="2"/>
  <c r="G13" i="2" s="1"/>
  <c r="G17" i="2" s="1"/>
  <c r="M22" i="2"/>
  <c r="N22" i="2"/>
  <c r="O22" i="2"/>
  <c r="L21" i="2"/>
  <c r="M21" i="2"/>
  <c r="N21" i="2"/>
  <c r="O21" i="2"/>
  <c r="P21" i="2"/>
  <c r="Q21" i="2"/>
  <c r="R21" i="2"/>
  <c r="S21" i="2"/>
  <c r="T21" i="2"/>
  <c r="U21" i="2"/>
  <c r="V21" i="2"/>
  <c r="P23" i="2"/>
  <c r="Q23" i="2"/>
  <c r="R23" i="2"/>
  <c r="S23" i="2"/>
  <c r="T23" i="2"/>
  <c r="U23" i="2"/>
  <c r="V23" i="2"/>
  <c r="L40" i="2"/>
  <c r="L44" i="2" s="1"/>
  <c r="M40" i="2"/>
  <c r="M44" i="2" s="1"/>
  <c r="N40" i="2"/>
  <c r="N44" i="2" s="1"/>
  <c r="O40" i="2"/>
  <c r="O44" i="2" s="1"/>
  <c r="P40" i="2"/>
  <c r="P44" i="2" s="1"/>
  <c r="Q40" i="2"/>
  <c r="Q44" i="2" s="1"/>
  <c r="R40" i="2"/>
  <c r="R44" i="2" s="1"/>
  <c r="S40" i="2"/>
  <c r="S44" i="2" s="1"/>
  <c r="T40" i="2"/>
  <c r="T44" i="2" s="1"/>
  <c r="U40" i="2"/>
  <c r="U44" i="2" s="1"/>
  <c r="V40" i="2"/>
  <c r="V44" i="2" s="1"/>
  <c r="L50" i="2"/>
  <c r="L52" i="2" s="1"/>
  <c r="M50" i="2"/>
  <c r="M52" i="2" s="1"/>
  <c r="N50" i="2"/>
  <c r="N52" i="2" s="1"/>
  <c r="O50" i="2"/>
  <c r="O52" i="2" s="1"/>
  <c r="P50" i="2"/>
  <c r="P52" i="2" s="1"/>
  <c r="Q50" i="2"/>
  <c r="Q52" i="2" s="1"/>
  <c r="R50" i="2"/>
  <c r="R52" i="2" s="1"/>
  <c r="S50" i="2"/>
  <c r="S52" i="2" s="1"/>
  <c r="T50" i="2"/>
  <c r="T52" i="2" s="1"/>
  <c r="U50" i="2"/>
  <c r="U52" i="2" s="1"/>
  <c r="V50" i="2"/>
  <c r="V52" i="2" s="1"/>
  <c r="I28" i="2"/>
  <c r="H28" i="2"/>
  <c r="C40" i="2"/>
  <c r="C44" i="2" s="1"/>
  <c r="D40" i="2"/>
  <c r="D44" i="2" s="1"/>
  <c r="E40" i="2"/>
  <c r="E44" i="2" s="1"/>
  <c r="I22" i="2"/>
  <c r="H22" i="2"/>
  <c r="I23" i="2"/>
  <c r="Z27" i="2" l="1"/>
  <c r="X27" i="2"/>
  <c r="R53" i="2"/>
  <c r="P53" i="2"/>
  <c r="O53" i="2"/>
  <c r="U53" i="2"/>
  <c r="T53" i="2"/>
  <c r="L53" i="2"/>
  <c r="S53" i="2"/>
  <c r="M53" i="2"/>
  <c r="Q53" i="2"/>
  <c r="V53" i="2"/>
  <c r="N53" i="2"/>
  <c r="K11" i="5"/>
  <c r="L22" i="2"/>
  <c r="F28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2" i="2"/>
  <c r="T27" i="2"/>
  <c r="P22" i="2"/>
  <c r="S22" i="2"/>
  <c r="S27" i="2"/>
  <c r="V27" i="2"/>
  <c r="V22" i="2"/>
  <c r="U22" i="2"/>
  <c r="U27" i="2"/>
  <c r="R27" i="2"/>
  <c r="R22" i="2"/>
  <c r="Q27" i="2"/>
  <c r="Q22" i="2"/>
  <c r="C30" i="1" s="1"/>
  <c r="C21" i="2"/>
  <c r="H29" i="2"/>
  <c r="I29" i="2"/>
  <c r="G28" i="2"/>
  <c r="D28" i="2"/>
  <c r="E28" i="2"/>
  <c r="C28" i="2"/>
  <c r="H23" i="2"/>
  <c r="F21" i="2"/>
  <c r="E21" i="2"/>
  <c r="D21" i="2"/>
  <c r="G21" i="2"/>
  <c r="G23" i="2"/>
  <c r="G50" i="2"/>
  <c r="G52" i="2" s="1"/>
  <c r="G44" i="2"/>
  <c r="E23" i="2"/>
  <c r="F23" i="2"/>
  <c r="D23" i="2"/>
  <c r="D50" i="2"/>
  <c r="D52" i="2" s="1"/>
  <c r="D53" i="2" s="1"/>
  <c r="E50" i="2"/>
  <c r="F40" i="2"/>
  <c r="F44" i="2" s="1"/>
  <c r="G53" i="2" l="1"/>
  <c r="P27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29" i="2"/>
  <c r="F29" i="2"/>
  <c r="G29" i="2"/>
  <c r="E29" i="2"/>
  <c r="C29" i="2"/>
  <c r="F50" i="2"/>
  <c r="F52" i="2" s="1"/>
  <c r="F53" i="2" s="1"/>
  <c r="E52" i="2"/>
  <c r="E53" i="2" s="1"/>
  <c r="C50" i="2"/>
  <c r="C52" i="2" s="1"/>
  <c r="C53" i="2" s="1"/>
  <c r="C18" i="1" l="1"/>
  <c r="C19" i="2"/>
  <c r="E19" i="2"/>
  <c r="D22" i="2"/>
  <c r="G27" i="2"/>
  <c r="G19" i="2"/>
  <c r="H27" i="2" s="1"/>
  <c r="G22" i="2"/>
  <c r="C22" i="2" l="1"/>
  <c r="D27" i="2"/>
  <c r="E22" i="2"/>
  <c r="F27" i="2"/>
  <c r="F19" i="2"/>
  <c r="E27" i="2"/>
  <c r="D19" i="2"/>
  <c r="F22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<sst xmlns="http://schemas.openxmlformats.org/spreadsheetml/2006/main" count="171" uniqueCount="156">
  <si>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</si>
  <si>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</si>
  <si>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</si>
  <si>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</si>
  <si>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</si>
  <si>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</si>
  <si>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</si>
  <si>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</si>
  <si>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</si>
  <si>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</si>
  <si>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</si>
  <si>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</si>
  <si>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</si>
  <si>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</si>
  <si>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</si>
  <si>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</si>
  <si>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</si>
  <si>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</si>
  <si>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</si>
  <si>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</si>
  <si>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Net Income</t>
  </si>
  <si>
    <t>EPS</t>
  </si>
  <si>
    <t>Operational Income</t>
  </si>
  <si>
    <t>Cash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</si>
  <si>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</si>
  <si>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</si>
  <si>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</si>
  <si>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</si>
  <si>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</si>
  <si>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</si>
  <si>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</si>
  <si>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</si>
  <si>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</si>
  <si>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</si>
  <si>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</si>
  <si>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</si>
  <si>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</si>
  <si>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</si>
  <si>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</si>
  <si>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</si>
  <si>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</si>
  <si>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</si>
  <si>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</si>
  <si>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</si>
  <si>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</si>
  <si>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</si>
  <si>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</si>
  <si>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</si>
  <si>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</si>
  <si>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</si>
  <si>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</si>
  <si>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</si>
  <si>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</si>
  <si>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</si>
  <si>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</si>
  <si>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</si>
  <si>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</si>
  <si>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</si>
  <si>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</si>
  <si>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</si>
  <si>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</si>
  <si>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</si>
  <si>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</si>
  <si>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</si>
  <si>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</si>
  <si>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</si>
  <si>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</si>
  <si>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</si>
  <si>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</si>
  <si>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</si>
  <si>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</si>
  <si>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</si>
  <si>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</si>
  <si>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Restricted Cash</t>
  </si>
  <si>
    <t>Prepaid Expense</t>
  </si>
  <si>
    <t>PP&amp;E</t>
  </si>
  <si>
    <t>Intangible Asset</t>
  </si>
  <si>
    <t>Equity</t>
  </si>
  <si>
    <t>Interest exp / REV</t>
  </si>
  <si>
    <t>Interest exp / op Inc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</si>
  <si>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</si>
  <si>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</si>
  <si>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</si>
  <si>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</si>
  <si>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</si>
  <si>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</si>
  <si>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</si>
  <si>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</si>
  <si>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</si>
  <si>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</si>
  <si>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</si>
  <si>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</si>
  <si>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</si>
  <si>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</si>
  <si>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</si>
  <si>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</si>
  <si>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</si>
  <si>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</si>
  <si>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</si>
  <si>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</si>
  <si>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</si>
  <si>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</si>
  <si>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</si>
  <si>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</si>
  <si>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</si>
  <si>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</si>
  <si>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</si>
  <si>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</si>
  <si>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</si>
  <si>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</si>
  <si>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</si>
  <si>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</si>
  <si>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</si>
  <si>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</si>
  <si>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</si>
  <si>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</si>
  <si>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</si>
  <si>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</si>
  <si>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</si>
  <si>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</si>
  <si>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</si>
  <si>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</si>
  <si>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</si>
  <si>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</si>
  <si>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</si>
  <si>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</si>
  <si>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</si>
  <si>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</si>
  <si>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</si>
  <si>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</si>
  <si>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</si>
  <si>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</si>
  <si>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</si>
  <si>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R&amp;D / REV</t>
  </si>
  <si>
    <t>G&amp;A / REV</t>
  </si>
  <si>
    <t>G&amp;A</t>
  </si>
  <si>
    <t>Net Income before Tax</t>
  </si>
  <si>
    <t>Q324</t>
  </si>
  <si>
    <t>Q424</t>
  </si>
  <si>
    <t>EPS Growth</t>
  </si>
  <si>
    <t>Fund held in escrow</t>
  </si>
  <si>
    <t>Investments</t>
  </si>
  <si>
    <t>Trade receivables</t>
  </si>
  <si>
    <t>Other receivables</t>
  </si>
  <si>
    <t>Accrued Liab</t>
  </si>
  <si>
    <t>Customer deposits</t>
  </si>
  <si>
    <t>Other payables</t>
  </si>
  <si>
    <t>Warrants outstanding</t>
  </si>
  <si>
    <t>Commission / COGS</t>
  </si>
  <si>
    <t>Marketing</t>
  </si>
  <si>
    <t>Settlement of Litigation</t>
  </si>
  <si>
    <t>Other income</t>
  </si>
  <si>
    <t>Finance Expense</t>
  </si>
  <si>
    <t>Gain on Investment</t>
  </si>
  <si>
    <t>Foreign currency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</si>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</sst>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62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3" fontId="5" fillId="0" borderId="2" xfId="0" applyNumberFormat="1" applyFont="1" applyBorder="1"/>
    <xf numFmtId="2" fontId="5" fillId="0" borderId="2" xfId="0" applyNumberFormat="1" applyFont="1" applyBorder="1"/>
    <xf numFmtId="9" fontId="0" fillId="6" borderId="0" xfId="0" applyNumberFormat="1" applyFill="1"/>
    <xf numFmtId="9" fontId="0" fillId="6" borderId="2" xfId="0" applyNumberFormat="1" applyFill="1" applyBorder="1"/>
    <xf numFmtId="9" fontId="0" fillId="3" borderId="2" xfId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0" xfId="0" applyBorder="1"/>
    <xf numFmtId="3" fontId="2" fillId="0" borderId="0" xfId="0" applyNumberFormat="1" applyFont="1" applyBorder="1"/>
    <xf numFmtId="3" fontId="5" fillId="0" borderId="0" xfId="0" applyNumberFormat="1" applyFont="1" applyBorder="1"/>
    <xf numFmtId="3" fontId="0" fillId="0" borderId="0" xfId="0" applyNumberFormat="1" applyBorder="1"/>
    <xf numFmtId="2" fontId="2" fillId="0" borderId="0" xfId="0" applyNumberFormat="1" applyFont="1" applyBorder="1"/>
    <xf numFmtId="2" fontId="5" fillId="0" borderId="0" xfId="0" applyNumberFormat="1" applyFont="1" applyBorder="1"/>
    <xf numFmtId="9" fontId="0" fillId="0" borderId="0" xfId="0" applyNumberFormat="1" applyBorder="1"/>
    <xf numFmtId="9" fontId="0" fillId="6" borderId="0" xfId="0" applyNumberFormat="1" applyFill="1" applyBorder="1"/>
    <xf numFmtId="0" fontId="2" fillId="0" borderId="0" xfId="0" applyFont="1" applyBorder="1"/>
    <xf numFmtId="0" fontId="5" fillId="0" borderId="0" xfId="0" applyFont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Model!$L$3:$X$3</c:f>
              <c:numCache>
                <c:formatCode>#,##0</c:formatCode>
                <c:ptCount val="13"/>
                <c:pt idx="8">
                  <c:v>107.845</c:v>
                </c:pt>
                <c:pt idx="9">
                  <c:v>185.33199999999999</c:v>
                </c:pt>
                <c:pt idx="10">
                  <c:v>214.64</c:v>
                </c:pt>
                <c:pt idx="12">
                  <c:v>200.74299999999999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Model!$L$23:$AA$23</c:f>
              <c:numCache>
                <c:formatCode>0%</c:formatCode>
                <c:ptCount val="1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0.86140293940377388</c:v>
                </c:pt>
                <c:pt idx="13">
                  <c:v>0.8387434441974404</c:v>
                </c:pt>
                <c:pt idx="14">
                  <c:v>0.7354081252329483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Model!$C$3:$I$3</c:f>
              <c:numCache>
                <c:formatCode>#,##0</c:formatCode>
                <c:ptCount val="7"/>
                <c:pt idx="3">
                  <c:v>381.75599999999997</c:v>
                </c:pt>
                <c:pt idx="4">
                  <c:v>689.15800000000002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Model!$C$23:$I$23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0.80523161391045606</c:v>
                </c:pt>
                <c:pt idx="5">
                  <c:v>0.75576573151584969</c:v>
                </c:pt>
                <c:pt idx="6">
                  <c:v>0.30578512396694224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Model!$L$19:$AA$19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-4.0055086240196221E-2</c:v>
                </c:pt>
                <c:pt idx="9">
                  <c:v>-2.3147014975189745E-2</c:v>
                </c:pt>
                <c:pt idx="10">
                  <c:v>-2.2423212536186787E-2</c:v>
                </c:pt>
                <c:pt idx="11">
                  <c:v>0</c:v>
                </c:pt>
                <c:pt idx="12">
                  <c:v>-8.6278777640612425E-2</c:v>
                </c:pt>
                <c:pt idx="13">
                  <c:v>-4.1682976630026836E-3</c:v>
                </c:pt>
                <c:pt idx="14">
                  <c:v>-1.3164317530050689E-2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Model!$L$27:$AA$27</c:f>
              <c:numCache>
                <c:formatCode>0%</c:formatCode>
                <c:ptCount val="1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1.2271139063591847</c:v>
                </c:pt>
                <c:pt idx="13">
                  <c:v>-0.81062244652727622</c:v>
                </c:pt>
                <c:pt idx="14">
                  <c:v>-0.36089854356949325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Model!$C$19:$I$19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-0.11615535266356551</c:v>
                </c:pt>
                <c:pt idx="4">
                  <c:v>-0.15269442588714788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Model!$C$27:$I$27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0.31402483211749077</c:v>
                </c:pt>
                <c:pt idx="5">
                  <c:v>-1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Model!$B$24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Model!$L$24:$AA$24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7.1250405674811071E-2</c:v>
                </c:pt>
                <c:pt idx="9">
                  <c:v>5.5392484838020423E-2</c:v>
                </c:pt>
                <c:pt idx="10">
                  <c:v>5.3936824450242268E-2</c:v>
                </c:pt>
                <c:pt idx="11">
                  <c:v>0</c:v>
                </c:pt>
                <c:pt idx="12">
                  <c:v>6.2911284577793491E-2</c:v>
                </c:pt>
                <c:pt idx="13">
                  <c:v>4.6625662454735921E-2</c:v>
                </c:pt>
                <c:pt idx="14">
                  <c:v>4.3762483623633511E-2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Model!$B$25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Model!$L$25:$AA$25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1.4131392275951598E-2</c:v>
                </c:pt>
                <c:pt idx="9">
                  <c:v>8.5198454665141483E-3</c:v>
                </c:pt>
                <c:pt idx="10">
                  <c:v>8.9964591874767061E-3</c:v>
                </c:pt>
                <c:pt idx="11">
                  <c:v>0</c:v>
                </c:pt>
                <c:pt idx="12">
                  <c:v>1.2264437614263015E-2</c:v>
                </c:pt>
                <c:pt idx="13">
                  <c:v>7.6530761962333247E-3</c:v>
                </c:pt>
                <c:pt idx="14">
                  <c:v>4.0970447370116618E-2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Model!$B$26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Model!$L$26:$AA$26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8.0096434697946126E-2</c:v>
                </c:pt>
                <c:pt idx="9">
                  <c:v>5.2090302807933871E-2</c:v>
                </c:pt>
                <c:pt idx="10">
                  <c:v>4.3020872158032054E-2</c:v>
                </c:pt>
                <c:pt idx="11">
                  <c:v>0</c:v>
                </c:pt>
                <c:pt idx="12">
                  <c:v>6.0455408158690466E-2</c:v>
                </c:pt>
                <c:pt idx="13">
                  <c:v>4.1126481169559068E-2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Model!$B$24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Model!$C$24:$I$24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5.9393958444660992E-2</c:v>
                </c:pt>
                <c:pt idx="4">
                  <c:v>5.6026339388064852E-2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Model!$B$25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Model!$C$25:$I$25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1.2748981024528757E-2</c:v>
                </c:pt>
                <c:pt idx="4">
                  <c:v>1.0678247948946396E-2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Model!$B$26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Model!$C$26:$I$26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6.3273399763199539E-2</c:v>
                </c:pt>
                <c:pt idx="4">
                  <c:v>6.2268739534330292E-2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tabSelected="1" workbookViewId="0">
      <selection activeCell="C22" sqref="C22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47</v>
      </c>
      <c r="F2" s="64" t="s">
        <v>48</v>
      </c>
      <c r="G2" s="25"/>
      <c r="H2" s="26" t="s">
        <v>55</v>
      </c>
      <c r="I2" s="26" t="s">
        <v>1</v>
      </c>
      <c r="J2" s="27" t="s">
        <v>48</v>
      </c>
      <c r="L2" s="30" t="s">
        <v>41</v>
      </c>
      <c r="M2" s="31" t="s">
        <v>57</v>
      </c>
      <c r="N2" s="32" t="s">
        <v>56</v>
      </c>
    </row>
    <row r="3" spans="2:14" x14ac:dyDescent="0.25">
      <c r="B3" s="5" t="s">
        <v>40</v>
      </c>
      <c r="C3" s="20">
        <v>45664</v>
      </c>
      <c r="E3" s="5"/>
      <c r="F3" s="28"/>
      <c r="I3" s="10"/>
      <c r="J3" s="38"/>
      <c r="L3" s="5"/>
      <c r="N3" s="37"/>
    </row>
    <row r="4" spans="2:14" x14ac:dyDescent="0.25">
      <c r="B4" s="5"/>
      <c r="C4" s="21">
        <v>0.18333333333333332</v>
      </c>
      <c r="E4" s="5"/>
      <c r="F4" s="28"/>
      <c r="I4" s="10"/>
      <c r="J4" s="38"/>
      <c r="L4" s="5"/>
      <c r="N4" s="13"/>
    </row>
    <row r="5" spans="2:14" x14ac:dyDescent="0.25">
      <c r="B5" s="5"/>
      <c r="C5" s="13"/>
      <c r="E5" s="5"/>
      <c r="F5" s="28"/>
      <c r="I5" s="10"/>
      <c r="J5" s="38"/>
      <c r="L5" s="5"/>
      <c r="N5" s="13"/>
    </row>
    <row r="6" spans="2:14" x14ac:dyDescent="0.25">
      <c r="B6" s="5" t="s">
        <v>0</v>
      </c>
      <c r="C6" s="13">
        <v>4.5</v>
      </c>
      <c r="E6" s="5"/>
      <c r="F6" s="28"/>
      <c r="I6" s="10"/>
      <c r="J6" s="38"/>
      <c r="L6" s="5"/>
      <c r="N6" s="13"/>
    </row>
    <row r="7" spans="2:14" x14ac:dyDescent="0.25">
      <c r="B7" s="5" t="s">
        <v>1</v>
      </c>
      <c r="C7" s="15">
        <f>Model!Z18</f>
        <v>196.66800000000001</v>
      </c>
      <c r="E7" s="5"/>
      <c r="F7" s="28"/>
      <c r="I7" s="10"/>
      <c r="J7" s="38"/>
      <c r="L7" s="5"/>
      <c r="N7" s="13"/>
    </row>
    <row r="8" spans="2:14" x14ac:dyDescent="0.25">
      <c r="B8" s="5" t="s">
        <v>2</v>
      </c>
      <c r="C8" s="15">
        <f>C6*C7</f>
        <v>885.00600000000009</v>
      </c>
      <c r="E8" s="5"/>
      <c r="F8" s="28"/>
      <c r="I8" s="10"/>
      <c r="J8" s="38"/>
      <c r="L8" s="5"/>
      <c r="N8" s="13"/>
    </row>
    <row r="9" spans="2:14" x14ac:dyDescent="0.25">
      <c r="B9" s="5" t="s">
        <v>3</v>
      </c>
      <c r="C9" s="15">
        <f>Model!Z33+Model!Z36</f>
        <v>31.977999999999998</v>
      </c>
      <c r="E9" s="5"/>
      <c r="F9" s="28"/>
      <c r="I9" s="10"/>
      <c r="J9" s="38"/>
      <c r="L9" s="5"/>
      <c r="N9" s="13"/>
    </row>
    <row r="10" spans="2:14" x14ac:dyDescent="0.25">
      <c r="B10" s="5" t="s">
        <v>4</v>
      </c>
      <c r="C10" s="15">
        <v>0</v>
      </c>
      <c r="E10" s="5"/>
      <c r="F10" s="28"/>
      <c r="I10" s="10"/>
      <c r="J10" s="38"/>
      <c r="L10" s="5"/>
      <c r="N10" s="13"/>
    </row>
    <row r="11" spans="2:14" x14ac:dyDescent="0.25">
      <c r="B11" s="5" t="s">
        <v>35</v>
      </c>
      <c r="C11" s="15">
        <f>C9-C10</f>
        <v>31.977999999999998</v>
      </c>
      <c r="E11" s="5"/>
      <c r="F11" s="28"/>
      <c r="I11" s="10"/>
      <c r="J11" s="38"/>
      <c r="L11" s="5"/>
      <c r="N11" s="13"/>
    </row>
    <row r="12" spans="2:14" x14ac:dyDescent="0.25">
      <c r="B12" s="5" t="s">
        <v>5</v>
      </c>
      <c r="C12" s="15">
        <f>C8-C9+C10</f>
        <v>853.02800000000013</v>
      </c>
      <c r="E12" s="5"/>
      <c r="F12" s="28"/>
      <c r="J12" s="13"/>
      <c r="L12" s="5"/>
      <c r="N12" s="13"/>
    </row>
    <row r="13" spans="2:14" x14ac:dyDescent="0.25">
      <c r="B13" s="5" t="s">
        <v>46</v>
      </c>
      <c r="C13" s="36">
        <f>C6/Model!G19</f>
        <v>-29.47062391999707</v>
      </c>
      <c r="E13" s="5"/>
      <c r="J13" s="13"/>
      <c r="L13" s="5"/>
      <c r="N13" s="13"/>
    </row>
    <row r="14" spans="2:14" x14ac:dyDescent="0.25">
      <c r="B14" s="5" t="s">
        <v>44</v>
      </c>
      <c r="C14" s="36"/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45</v>
      </c>
      <c r="C15" s="36"/>
    </row>
    <row r="16" spans="2:14" x14ac:dyDescent="0.25">
      <c r="B16" s="5" t="s">
        <v>42</v>
      </c>
      <c r="C16" s="6"/>
    </row>
    <row r="17" spans="2:14" x14ac:dyDescent="0.25">
      <c r="B17" s="5" t="s">
        <v>43</v>
      </c>
      <c r="C17" s="6"/>
      <c r="E17" s="33" t="s">
        <v>53</v>
      </c>
      <c r="L17" s="133"/>
      <c r="M17" s="134"/>
      <c r="N17" s="135"/>
    </row>
    <row r="18" spans="2:14" x14ac:dyDescent="0.25">
      <c r="B18" s="5" t="s">
        <v>66</v>
      </c>
      <c r="C18" s="50" t="e">
        <f>C14/(C16*100)</f>
        <v>#DIV/0!</v>
      </c>
      <c r="L18" s="136"/>
      <c r="M18" s="137"/>
      <c r="N18" s="138"/>
    </row>
    <row r="19" spans="2:14" x14ac:dyDescent="0.25">
      <c r="B19" s="5" t="s">
        <v>67</v>
      </c>
      <c r="C19" s="50" t="e">
        <f>C15/(C17*100)</f>
        <v>#DIV/0!</v>
      </c>
      <c r="L19" s="136"/>
      <c r="M19" s="137"/>
      <c r="N19" s="138"/>
    </row>
    <row r="20" spans="2:14" x14ac:dyDescent="0.25">
      <c r="B20" s="5" t="s">
        <v>81</v>
      </c>
      <c r="C20" s="6">
        <f>Model!H23</f>
        <v>0.75576573151584969</v>
      </c>
      <c r="L20" s="136"/>
      <c r="M20" s="137"/>
      <c r="N20" s="138"/>
    </row>
    <row r="21" spans="2:14" x14ac:dyDescent="0.25">
      <c r="B21" s="5" t="s">
        <v>82</v>
      </c>
      <c r="C21" s="6">
        <f>Model!I23</f>
        <v>0.30578512396694224</v>
      </c>
      <c r="L21" s="136"/>
      <c r="M21" s="137"/>
      <c r="N21" s="138"/>
    </row>
    <row r="22" spans="2:14" x14ac:dyDescent="0.25">
      <c r="B22" s="5" t="s">
        <v>68</v>
      </c>
      <c r="C22" s="15"/>
      <c r="L22" s="136"/>
      <c r="M22" s="137"/>
      <c r="N22" s="138"/>
    </row>
    <row r="23" spans="2:14" x14ac:dyDescent="0.25">
      <c r="B23" s="5" t="s">
        <v>19</v>
      </c>
      <c r="C23" s="15">
        <f>Model!F6</f>
        <v>24.155000000000001</v>
      </c>
      <c r="L23" s="136"/>
      <c r="M23" s="137"/>
      <c r="N23" s="138"/>
    </row>
    <row r="24" spans="2:14" x14ac:dyDescent="0.25">
      <c r="B24" s="5" t="s">
        <v>28</v>
      </c>
      <c r="C24" s="7">
        <f>Model!F11</f>
        <v>0.72899999999999998</v>
      </c>
      <c r="L24" s="136"/>
      <c r="M24" s="137"/>
      <c r="N24" s="138"/>
    </row>
    <row r="25" spans="2:14" x14ac:dyDescent="0.25">
      <c r="B25" s="5" t="s">
        <v>29</v>
      </c>
      <c r="C25" s="7">
        <f>Model!F12</f>
        <v>-1.3180000000000001</v>
      </c>
      <c r="L25" s="136"/>
      <c r="M25" s="137"/>
      <c r="N25" s="138"/>
    </row>
    <row r="26" spans="2:14" x14ac:dyDescent="0.25">
      <c r="B26" s="5" t="s">
        <v>69</v>
      </c>
      <c r="C26" s="36">
        <f>C12/C23</f>
        <v>35.314758849099569</v>
      </c>
      <c r="L26" s="136"/>
      <c r="M26" s="137"/>
      <c r="N26" s="138"/>
    </row>
    <row r="27" spans="2:14" x14ac:dyDescent="0.25">
      <c r="B27" s="5" t="s">
        <v>83</v>
      </c>
      <c r="C27" s="124" t="e">
        <f>Model!Q37/Model!Q43</f>
        <v>#DIV/0!</v>
      </c>
      <c r="E27" t="s">
        <v>72</v>
      </c>
      <c r="L27" s="136"/>
      <c r="M27" s="137"/>
      <c r="N27" s="138"/>
    </row>
    <row r="28" spans="2:14" x14ac:dyDescent="0.25">
      <c r="B28" s="5" t="s">
        <v>84</v>
      </c>
      <c r="C28" s="36" t="e">
        <f>C22/-Model!#REF!</f>
        <v>#REF!</v>
      </c>
      <c r="L28" s="139"/>
      <c r="M28" s="140"/>
      <c r="N28" s="141"/>
    </row>
    <row r="29" spans="2:14" x14ac:dyDescent="0.25">
      <c r="B29" s="5" t="s">
        <v>85</v>
      </c>
      <c r="C29" s="36" t="e">
        <f>Model!#REF!/Model!Q36</f>
        <v>#REF!</v>
      </c>
    </row>
    <row r="30" spans="2:14" x14ac:dyDescent="0.25">
      <c r="B30" s="5" t="s">
        <v>86</v>
      </c>
      <c r="C30" s="36" t="e">
        <f>(Model!Q22+Model!Q23)/Model!Q36</f>
        <v>#DIV/0!</v>
      </c>
    </row>
    <row r="31" spans="2:14" x14ac:dyDescent="0.25">
      <c r="B31" s="5" t="s">
        <v>87</v>
      </c>
      <c r="C31" s="6" t="e">
        <f>(Model!#REF!-Model!Q36)/Model!Q32</f>
        <v>#REF!</v>
      </c>
    </row>
    <row r="32" spans="2:14" x14ac:dyDescent="0.25">
      <c r="B32" s="5" t="s">
        <v>88</v>
      </c>
      <c r="C32" s="36">
        <f>(Model!Q32-Model!Q42)/Main!C7</f>
        <v>0</v>
      </c>
    </row>
    <row r="33" spans="2:9" x14ac:dyDescent="0.25">
      <c r="B33" s="5" t="s">
        <v>89</v>
      </c>
      <c r="C33" s="36" t="e">
        <f>Model!#REF!/Model!Q32</f>
        <v>#REF!</v>
      </c>
    </row>
    <row r="34" spans="2:9" x14ac:dyDescent="0.25">
      <c r="B34" s="5" t="s">
        <v>90</v>
      </c>
      <c r="C34" s="38" t="e">
        <f>Model!Q8/Model!Q32</f>
        <v>#DIV/0!</v>
      </c>
    </row>
    <row r="35" spans="2:9" x14ac:dyDescent="0.25">
      <c r="B35" s="5" t="s">
        <v>91</v>
      </c>
      <c r="C35" s="38" t="e">
        <f>Model!Q8/Model!Q43</f>
        <v>#DIV/0!</v>
      </c>
    </row>
    <row r="36" spans="2:9" x14ac:dyDescent="0.25">
      <c r="B36" s="22" t="s">
        <v>92</v>
      </c>
      <c r="C36" s="23"/>
    </row>
    <row r="41" spans="2:9" x14ac:dyDescent="0.25">
      <c r="E41" s="60"/>
      <c r="F41" s="60"/>
      <c r="G41" s="63"/>
      <c r="H41" s="63"/>
      <c r="I41" s="63"/>
    </row>
    <row r="42" spans="2:9" x14ac:dyDescent="0.25">
      <c r="E42" s="60"/>
      <c r="F42" s="60"/>
      <c r="G42" s="63"/>
      <c r="H42" s="63"/>
      <c r="I42" s="63"/>
    </row>
    <row r="43" spans="2:9" x14ac:dyDescent="0.25">
      <c r="E43" s="60"/>
      <c r="F43" s="60"/>
      <c r="G43" s="63"/>
      <c r="H43" s="63"/>
      <c r="I43" s="63"/>
    </row>
    <row r="44" spans="2:9" x14ac:dyDescent="0.25">
      <c r="E44" s="60"/>
      <c r="F44" s="60"/>
      <c r="G44" s="63"/>
      <c r="H44" s="63"/>
      <c r="I44" s="63"/>
    </row>
    <row r="45" spans="2:9" x14ac:dyDescent="0.25">
      <c r="E45" s="60"/>
      <c r="F45" s="60"/>
      <c r="G45" s="63"/>
      <c r="H45" s="63"/>
      <c r="I45" s="63"/>
    </row>
    <row r="46" spans="2:9" x14ac:dyDescent="0.25">
      <c r="E46" s="60"/>
      <c r="F46" s="60"/>
      <c r="G46" s="63"/>
      <c r="H46" s="63"/>
      <c r="I46" s="63"/>
    </row>
    <row r="47" spans="2:9" x14ac:dyDescent="0.25">
      <c r="E47" s="60"/>
      <c r="F47" s="60"/>
      <c r="G47" s="63"/>
      <c r="H47" s="63"/>
      <c r="I47" s="63"/>
    </row>
    <row r="48" spans="2:9" x14ac:dyDescent="0.25">
      <c r="E48" s="60"/>
      <c r="F48" s="60"/>
      <c r="G48" s="63"/>
      <c r="H48" s="63"/>
      <c r="I48" s="63"/>
    </row>
    <row r="49" spans="5:9" x14ac:dyDescent="0.25">
      <c r="E49" s="60"/>
      <c r="F49" s="60"/>
      <c r="G49" s="63"/>
      <c r="H49" s="63"/>
      <c r="I49" s="63"/>
    </row>
    <row r="50" spans="5:9" x14ac:dyDescent="0.25">
      <c r="E50" s="60"/>
      <c r="F50" s="60"/>
      <c r="G50" s="63"/>
      <c r="H50" s="63"/>
      <c r="I50" s="63"/>
    </row>
    <row r="51" spans="5:9" x14ac:dyDescent="0.25">
      <c r="E51" s="60"/>
      <c r="F51" s="60"/>
      <c r="G51" s="63"/>
      <c r="H51" s="63"/>
      <c r="I51" s="63"/>
    </row>
    <row r="52" spans="5:9" x14ac:dyDescent="0.25">
      <c r="E52" s="61"/>
      <c r="F52" s="62"/>
      <c r="G52" s="62"/>
    </row>
    <row r="53" spans="5:9" x14ac:dyDescent="0.25">
      <c r="E53" s="61"/>
      <c r="F53" s="62"/>
      <c r="G53" s="62"/>
    </row>
    <row r="54" spans="5:9" x14ac:dyDescent="0.25">
      <c r="E54" s="61"/>
      <c r="F54" s="62"/>
      <c r="G54" s="62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B74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Z33" sqref="Z33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5" max="25" width="11.42578125" style="152"/>
    <col min="26" max="26" width="11.42578125" style="13"/>
  </cols>
  <sheetData>
    <row r="1" spans="1:28" x14ac:dyDescent="0.25">
      <c r="A1" s="8" t="s">
        <v>36</v>
      </c>
    </row>
    <row r="2" spans="1:28" x14ac:dyDescent="0.25">
      <c r="C2" t="s">
        <v>33</v>
      </c>
      <c r="D2" t="s">
        <v>18</v>
      </c>
      <c r="E2" t="s">
        <v>14</v>
      </c>
      <c r="F2" t="s">
        <v>15</v>
      </c>
      <c r="G2" s="13" t="s">
        <v>16</v>
      </c>
      <c r="H2" t="s">
        <v>31</v>
      </c>
      <c r="I2" t="s">
        <v>65</v>
      </c>
      <c r="L2" t="s">
        <v>32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34</v>
      </c>
      <c r="V2" t="s">
        <v>38</v>
      </c>
      <c r="W2" t="s">
        <v>39</v>
      </c>
      <c r="X2" t="s">
        <v>60</v>
      </c>
      <c r="Y2" s="152" t="s">
        <v>64</v>
      </c>
      <c r="Z2" s="13" t="s">
        <v>137</v>
      </c>
      <c r="AA2" t="s">
        <v>138</v>
      </c>
      <c r="AB2" t="s">
        <v>155</v>
      </c>
    </row>
    <row r="3" spans="1:28" s="1" customFormat="1" x14ac:dyDescent="0.25">
      <c r="B3" s="1" t="s">
        <v>17</v>
      </c>
      <c r="C3" s="11"/>
      <c r="D3" s="11"/>
      <c r="E3" s="11"/>
      <c r="F3" s="11">
        <v>381.75599999999997</v>
      </c>
      <c r="G3" s="14">
        <v>689.15800000000002</v>
      </c>
      <c r="H3" s="43"/>
      <c r="I3" s="43"/>
      <c r="L3" s="11"/>
      <c r="M3" s="11"/>
      <c r="N3" s="11"/>
      <c r="O3" s="11"/>
      <c r="P3" s="11"/>
      <c r="Q3" s="11"/>
      <c r="R3" s="11"/>
      <c r="S3" s="11"/>
      <c r="T3" s="11">
        <v>107.845</v>
      </c>
      <c r="U3" s="11">
        <v>185.33199999999999</v>
      </c>
      <c r="V3" s="11">
        <v>214.64</v>
      </c>
      <c r="W3" s="11"/>
      <c r="X3" s="11">
        <v>200.74299999999999</v>
      </c>
      <c r="Y3" s="153">
        <v>340.77800000000002</v>
      </c>
      <c r="Z3" s="14">
        <v>372.488</v>
      </c>
      <c r="AA3" s="11"/>
    </row>
    <row r="4" spans="1:28" x14ac:dyDescent="0.25">
      <c r="B4" s="9" t="s">
        <v>62</v>
      </c>
      <c r="C4" s="10"/>
      <c r="D4" s="10"/>
      <c r="E4" s="10"/>
      <c r="F4" s="10"/>
      <c r="G4" s="15"/>
      <c r="H4" s="42">
        <v>1210</v>
      </c>
      <c r="I4" s="42">
        <v>1580</v>
      </c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154"/>
      <c r="Z4" s="128"/>
      <c r="AA4" s="40">
        <v>299.38</v>
      </c>
      <c r="AB4">
        <v>300.81</v>
      </c>
    </row>
    <row r="5" spans="1:28" s="1" customFormat="1" x14ac:dyDescent="0.25">
      <c r="B5" s="1" t="s">
        <v>148</v>
      </c>
      <c r="C5" s="11"/>
      <c r="D5" s="11"/>
      <c r="E5" s="11"/>
      <c r="F5" s="11">
        <v>349.80599999999998</v>
      </c>
      <c r="G5" s="14">
        <v>626.28499999999997</v>
      </c>
      <c r="H5" s="11"/>
      <c r="I5" s="11"/>
      <c r="L5" s="11"/>
      <c r="M5" s="11"/>
      <c r="N5" s="11"/>
      <c r="O5" s="11"/>
      <c r="P5" s="11"/>
      <c r="Q5" s="11"/>
      <c r="R5" s="11"/>
      <c r="S5" s="11"/>
      <c r="T5" s="11">
        <v>97.037000000000006</v>
      </c>
      <c r="U5" s="11">
        <v>167.57300000000001</v>
      </c>
      <c r="V5" s="11">
        <v>195.86500000000001</v>
      </c>
      <c r="W5" s="11"/>
      <c r="X5" s="11">
        <v>179.98400000000001</v>
      </c>
      <c r="Y5" s="153">
        <v>308.91000000000003</v>
      </c>
      <c r="Z5" s="14">
        <v>340.35899999999998</v>
      </c>
      <c r="AA5" s="11"/>
    </row>
    <row r="6" spans="1:28" x14ac:dyDescent="0.25">
      <c r="B6" t="s">
        <v>135</v>
      </c>
      <c r="C6" s="10"/>
      <c r="D6" s="10"/>
      <c r="E6" s="10"/>
      <c r="F6" s="10">
        <v>24.155000000000001</v>
      </c>
      <c r="G6" s="15">
        <v>42.912999999999997</v>
      </c>
      <c r="H6" s="40"/>
      <c r="I6" s="40"/>
      <c r="L6" s="10"/>
      <c r="M6" s="10"/>
      <c r="N6" s="10"/>
      <c r="O6" s="10"/>
      <c r="P6" s="10"/>
      <c r="Q6" s="10"/>
      <c r="R6" s="10"/>
      <c r="S6" s="10"/>
      <c r="T6" s="10">
        <v>8.6379999999999999</v>
      </c>
      <c r="U6" s="10">
        <v>9.6539999999999999</v>
      </c>
      <c r="V6" s="10">
        <v>9.234</v>
      </c>
      <c r="W6" s="10"/>
      <c r="X6" s="10">
        <v>12.135999999999999</v>
      </c>
      <c r="Y6" s="155">
        <v>14.015000000000001</v>
      </c>
      <c r="Z6" s="15">
        <v>16.300999999999998</v>
      </c>
      <c r="AA6" s="10"/>
    </row>
    <row r="7" spans="1:28" x14ac:dyDescent="0.25">
      <c r="B7" t="s">
        <v>149</v>
      </c>
      <c r="C7" s="10"/>
      <c r="D7" s="10"/>
      <c r="E7" s="10"/>
      <c r="F7" s="10">
        <v>22.673999999999999</v>
      </c>
      <c r="G7" s="15">
        <v>38.610999999999997</v>
      </c>
      <c r="H7" s="40"/>
      <c r="I7" s="40"/>
      <c r="L7" s="10"/>
      <c r="M7" s="10"/>
      <c r="N7" s="10"/>
      <c r="O7" s="10"/>
      <c r="P7" s="10"/>
      <c r="Q7" s="10"/>
      <c r="R7" s="10"/>
      <c r="S7" s="10"/>
      <c r="T7" s="10">
        <v>7.6840000000000002</v>
      </c>
      <c r="U7" s="10">
        <v>10.266</v>
      </c>
      <c r="V7" s="10">
        <v>11.577</v>
      </c>
      <c r="W7" s="10"/>
      <c r="X7" s="10">
        <v>12.629</v>
      </c>
      <c r="Y7" s="155">
        <v>15.888999999999999</v>
      </c>
      <c r="Z7" s="15">
        <v>15.260999999999999</v>
      </c>
      <c r="AA7" s="10"/>
    </row>
    <row r="8" spans="1:28" x14ac:dyDescent="0.25">
      <c r="B8" t="s">
        <v>70</v>
      </c>
      <c r="C8" s="10"/>
      <c r="D8" s="10"/>
      <c r="E8" s="10"/>
      <c r="F8" s="10">
        <v>4.867</v>
      </c>
      <c r="G8" s="15">
        <v>7.359</v>
      </c>
      <c r="H8" s="10"/>
      <c r="I8" s="10"/>
      <c r="L8" s="10"/>
      <c r="M8" s="10"/>
      <c r="N8" s="10"/>
      <c r="O8" s="10"/>
      <c r="P8" s="10"/>
      <c r="Q8" s="10"/>
      <c r="R8" s="10"/>
      <c r="S8" s="10"/>
      <c r="T8" s="10">
        <v>1.524</v>
      </c>
      <c r="U8" s="10">
        <v>1.579</v>
      </c>
      <c r="V8" s="10">
        <v>1.931</v>
      </c>
      <c r="W8" s="10"/>
      <c r="X8" s="10">
        <v>2.4620000000000002</v>
      </c>
      <c r="Y8" s="155">
        <v>2.6080000000000001</v>
      </c>
      <c r="Z8" s="15">
        <v>3.0449999999999999</v>
      </c>
      <c r="AA8" s="10"/>
    </row>
    <row r="9" spans="1:28" x14ac:dyDescent="0.25">
      <c r="B9" t="s">
        <v>150</v>
      </c>
      <c r="C9" s="10"/>
      <c r="D9" s="10"/>
      <c r="E9" s="10"/>
      <c r="F9" s="10"/>
      <c r="G9" s="15"/>
      <c r="H9" s="40"/>
      <c r="I9" s="4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>
        <v>9.25</v>
      </c>
      <c r="Y9" s="155"/>
      <c r="Z9" s="15"/>
      <c r="AA9" s="10"/>
    </row>
    <row r="10" spans="1:28" s="1" customFormat="1" x14ac:dyDescent="0.25">
      <c r="B10" s="1" t="s">
        <v>22</v>
      </c>
      <c r="C10" s="11">
        <f t="shared" ref="C10:I10" si="0">C3-SUM(C5:C9)</f>
        <v>0</v>
      </c>
      <c r="D10" s="11">
        <f t="shared" si="0"/>
        <v>0</v>
      </c>
      <c r="E10" s="11">
        <f t="shared" si="0"/>
        <v>0</v>
      </c>
      <c r="F10" s="11">
        <f t="shared" si="0"/>
        <v>-19.746000000000038</v>
      </c>
      <c r="G10" s="14">
        <f t="shared" si="0"/>
        <v>-26.009999999999991</v>
      </c>
      <c r="H10" s="11">
        <f t="shared" si="0"/>
        <v>0</v>
      </c>
      <c r="I10" s="11">
        <f t="shared" si="0"/>
        <v>0</v>
      </c>
      <c r="J10" s="11"/>
      <c r="K10" s="11"/>
      <c r="L10" s="11">
        <f t="shared" ref="L10:AA10" si="1">L3-SUM(L5:L9)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-7.0380000000000109</v>
      </c>
      <c r="U10" s="11">
        <f t="shared" si="1"/>
        <v>-3.7400000000000091</v>
      </c>
      <c r="V10" s="11">
        <f t="shared" si="1"/>
        <v>-3.9670000000000414</v>
      </c>
      <c r="W10" s="11">
        <f t="shared" si="1"/>
        <v>0</v>
      </c>
      <c r="X10" s="11">
        <f t="shared" si="1"/>
        <v>-15.717999999999989</v>
      </c>
      <c r="Y10" s="153">
        <f t="shared" si="1"/>
        <v>-0.64400000000000546</v>
      </c>
      <c r="Z10" s="14">
        <f t="shared" si="1"/>
        <v>-2.4780000000000086</v>
      </c>
      <c r="AA10" s="11">
        <f t="shared" si="1"/>
        <v>0</v>
      </c>
    </row>
    <row r="11" spans="1:28" x14ac:dyDescent="0.25">
      <c r="B11" t="s">
        <v>151</v>
      </c>
      <c r="C11" s="10"/>
      <c r="D11" s="10"/>
      <c r="E11" s="10"/>
      <c r="F11" s="10">
        <v>0.72899999999999998</v>
      </c>
      <c r="G11" s="15">
        <v>-0.58699999999999997</v>
      </c>
      <c r="H11" s="40"/>
      <c r="I11" s="40"/>
      <c r="L11" s="10"/>
      <c r="M11" s="10"/>
      <c r="N11" s="10"/>
      <c r="O11" s="10"/>
      <c r="P11" s="10"/>
      <c r="Q11" s="10"/>
      <c r="R11" s="10"/>
      <c r="S11" s="10"/>
      <c r="T11" s="10">
        <v>2.8000000000000001E-2</v>
      </c>
      <c r="U11" s="10">
        <v>0.04</v>
      </c>
      <c r="V11" s="10">
        <v>3.7999999999999999E-2</v>
      </c>
      <c r="W11" s="10"/>
      <c r="X11" s="10">
        <v>0.17299999999999999</v>
      </c>
      <c r="Y11" s="155">
        <v>5.7000000000000002E-2</v>
      </c>
      <c r="Z11" s="15">
        <v>0.151</v>
      </c>
      <c r="AA11" s="10"/>
    </row>
    <row r="12" spans="1:28" x14ac:dyDescent="0.25">
      <c r="B12" t="s">
        <v>152</v>
      </c>
      <c r="C12" s="10"/>
      <c r="D12" s="10"/>
      <c r="E12" s="10"/>
      <c r="F12" s="10">
        <f>-0.151-1.167</f>
        <v>-1.3180000000000001</v>
      </c>
      <c r="G12" s="15">
        <v>-0.61899999999999999</v>
      </c>
      <c r="H12" s="40"/>
      <c r="I12" s="40"/>
      <c r="L12" s="10"/>
      <c r="M12" s="10"/>
      <c r="N12" s="10"/>
      <c r="O12" s="10"/>
      <c r="P12" s="10"/>
      <c r="Q12" s="10"/>
      <c r="R12" s="10"/>
      <c r="S12" s="10"/>
      <c r="T12" s="10">
        <v>-0.30499999999999999</v>
      </c>
      <c r="U12" s="10">
        <v>-0.27200000000000002</v>
      </c>
      <c r="V12" s="10">
        <v>-0.01</v>
      </c>
      <c r="W12" s="10"/>
      <c r="X12" s="10">
        <v>-0.55200000000000005</v>
      </c>
      <c r="Y12" s="155">
        <v>-0.52300000000000002</v>
      </c>
      <c r="Z12" s="15">
        <v>-0.214</v>
      </c>
      <c r="AA12" s="10"/>
    </row>
    <row r="13" spans="1:28" s="1" customFormat="1" x14ac:dyDescent="0.25">
      <c r="B13" s="1" t="s">
        <v>136</v>
      </c>
      <c r="C13" s="11">
        <f t="shared" ref="C13:I13" si="2">C10+SUM(C11:C12)</f>
        <v>0</v>
      </c>
      <c r="D13" s="11">
        <f t="shared" si="2"/>
        <v>0</v>
      </c>
      <c r="E13" s="11">
        <f t="shared" si="2"/>
        <v>0</v>
      </c>
      <c r="F13" s="11">
        <f t="shared" si="2"/>
        <v>-20.335000000000036</v>
      </c>
      <c r="G13" s="14">
        <f t="shared" si="2"/>
        <v>-27.21599999999999</v>
      </c>
      <c r="H13" s="11">
        <f t="shared" si="2"/>
        <v>0</v>
      </c>
      <c r="I13" s="11">
        <f t="shared" si="2"/>
        <v>0</v>
      </c>
      <c r="L13" s="11">
        <f t="shared" ref="L13:AA13" si="3">L10+SUM(L11:L12)</f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1">
        <f t="shared" si="3"/>
        <v>0</v>
      </c>
      <c r="Q13" s="11">
        <f t="shared" si="3"/>
        <v>0</v>
      </c>
      <c r="R13" s="11">
        <f t="shared" si="3"/>
        <v>0</v>
      </c>
      <c r="S13" s="11">
        <f t="shared" si="3"/>
        <v>0</v>
      </c>
      <c r="T13" s="11">
        <f t="shared" si="3"/>
        <v>-7.315000000000011</v>
      </c>
      <c r="U13" s="11">
        <f t="shared" si="3"/>
        <v>-3.9720000000000093</v>
      </c>
      <c r="V13" s="11">
        <f t="shared" si="3"/>
        <v>-3.9390000000000414</v>
      </c>
      <c r="W13" s="11">
        <f t="shared" si="3"/>
        <v>0</v>
      </c>
      <c r="X13" s="11">
        <f t="shared" si="3"/>
        <v>-16.096999999999991</v>
      </c>
      <c r="Y13" s="153">
        <f t="shared" si="3"/>
        <v>-1.1100000000000054</v>
      </c>
      <c r="Z13" s="14">
        <f t="shared" si="3"/>
        <v>-2.5410000000000088</v>
      </c>
      <c r="AA13" s="11">
        <f t="shared" si="3"/>
        <v>0</v>
      </c>
    </row>
    <row r="14" spans="1:28" x14ac:dyDescent="0.25">
      <c r="B14" t="s">
        <v>71</v>
      </c>
      <c r="C14" s="10"/>
      <c r="D14" s="10"/>
      <c r="E14" s="10"/>
      <c r="F14" s="10">
        <v>0.24199999999999999</v>
      </c>
      <c r="G14" s="15">
        <v>0.28499999999999998</v>
      </c>
      <c r="H14" s="40"/>
      <c r="I14" s="40"/>
      <c r="L14" s="10"/>
      <c r="M14" s="10"/>
      <c r="N14" s="10"/>
      <c r="O14" s="10"/>
      <c r="P14" s="10"/>
      <c r="Q14" s="10"/>
      <c r="R14" s="10"/>
      <c r="S14" s="10"/>
      <c r="T14" s="10">
        <v>0.08</v>
      </c>
      <c r="U14" s="10">
        <v>0.14599999999999999</v>
      </c>
      <c r="V14" s="10">
        <v>8.5000000000000006E-2</v>
      </c>
      <c r="W14" s="10"/>
      <c r="X14" s="10"/>
      <c r="Y14" s="155">
        <v>0.105</v>
      </c>
      <c r="Z14" s="15">
        <v>4.4999999999999998E-2</v>
      </c>
      <c r="AA14" s="10"/>
    </row>
    <row r="15" spans="1:28" x14ac:dyDescent="0.25">
      <c r="B15" t="s">
        <v>153</v>
      </c>
      <c r="C15" s="10"/>
      <c r="D15" s="10"/>
      <c r="E15" s="10"/>
      <c r="F15" s="10">
        <v>0.40699999999999997</v>
      </c>
      <c r="G15" s="15">
        <v>-0.33</v>
      </c>
      <c r="H15" s="40"/>
      <c r="I15" s="40"/>
      <c r="L15" s="10"/>
      <c r="M15" s="10"/>
      <c r="N15" s="10"/>
      <c r="O15" s="10"/>
      <c r="P15" s="10"/>
      <c r="Q15" s="10"/>
      <c r="R15" s="10"/>
      <c r="S15" s="10"/>
      <c r="T15" s="10">
        <v>-9.2999999999999999E-2</v>
      </c>
      <c r="U15" s="10">
        <v>-4.2000000000000003E-2</v>
      </c>
      <c r="V15" s="10">
        <v>7.9000000000000001E-2</v>
      </c>
      <c r="W15" s="10"/>
      <c r="X15" s="10">
        <v>-4.2999999999999997E-2</v>
      </c>
      <c r="Y15" s="155">
        <v>-5.0999999999999997E-2</v>
      </c>
      <c r="Z15" s="15">
        <v>3.0000000000000001E-3</v>
      </c>
      <c r="AA15" s="10"/>
    </row>
    <row r="16" spans="1:28" x14ac:dyDescent="0.25">
      <c r="B16" t="s">
        <v>154</v>
      </c>
      <c r="C16" s="10"/>
      <c r="D16" s="10"/>
      <c r="E16" s="10"/>
      <c r="F16" s="10">
        <v>-0.28499999999999998</v>
      </c>
      <c r="G16" s="15">
        <v>2.8000000000000001E-2</v>
      </c>
      <c r="H16" s="40"/>
      <c r="I16" s="40"/>
      <c r="L16" s="10"/>
      <c r="M16" s="10"/>
      <c r="N16" s="10"/>
      <c r="O16" s="10"/>
      <c r="P16" s="10"/>
      <c r="Q16" s="10"/>
      <c r="R16" s="10"/>
      <c r="S16" s="10"/>
      <c r="T16" s="10">
        <v>-0.14699999999999999</v>
      </c>
      <c r="U16" s="10">
        <v>8.5000000000000006E-2</v>
      </c>
      <c r="V16" s="10">
        <v>-5.1999999999999998E-2</v>
      </c>
      <c r="W16" s="10"/>
      <c r="X16" s="10">
        <v>-0.11899999999999999</v>
      </c>
      <c r="Y16" s="155">
        <v>-0.376</v>
      </c>
      <c r="Z16" s="15"/>
      <c r="AA16" s="10"/>
    </row>
    <row r="17" spans="2:28" s="1" customFormat="1" x14ac:dyDescent="0.25">
      <c r="B17" s="1" t="s">
        <v>20</v>
      </c>
      <c r="C17" s="11">
        <f t="shared" ref="C17:I17" si="4">C13-SUM(C14:C16)</f>
        <v>0</v>
      </c>
      <c r="D17" s="11">
        <f t="shared" si="4"/>
        <v>0</v>
      </c>
      <c r="E17" s="11">
        <f t="shared" si="4"/>
        <v>0</v>
      </c>
      <c r="F17" s="11">
        <f t="shared" si="4"/>
        <v>-20.699000000000037</v>
      </c>
      <c r="G17" s="14">
        <f t="shared" si="4"/>
        <v>-27.198999999999991</v>
      </c>
      <c r="H17" s="11">
        <f t="shared" si="4"/>
        <v>0</v>
      </c>
      <c r="I17" s="11">
        <f t="shared" si="4"/>
        <v>0</v>
      </c>
      <c r="L17" s="11">
        <f t="shared" ref="L17:T17" si="5">L13-SUM(L14:L16)</f>
        <v>0</v>
      </c>
      <c r="M17" s="11">
        <f t="shared" si="5"/>
        <v>0</v>
      </c>
      <c r="N17" s="11">
        <f t="shared" si="5"/>
        <v>0</v>
      </c>
      <c r="O17" s="11">
        <f t="shared" si="5"/>
        <v>0</v>
      </c>
      <c r="P17" s="11">
        <f t="shared" si="5"/>
        <v>0</v>
      </c>
      <c r="Q17" s="11">
        <f t="shared" si="5"/>
        <v>0</v>
      </c>
      <c r="R17" s="11">
        <f t="shared" si="5"/>
        <v>0</v>
      </c>
      <c r="S17" s="11">
        <f t="shared" si="5"/>
        <v>0</v>
      </c>
      <c r="T17" s="11">
        <f t="shared" si="5"/>
        <v>-7.1550000000000109</v>
      </c>
      <c r="U17" s="11">
        <f>U13-SUM(U14:U16)</f>
        <v>-4.1610000000000094</v>
      </c>
      <c r="V17" s="11">
        <f t="shared" ref="V17:AA17" si="6">V13-SUM(V14:V16)</f>
        <v>-4.051000000000041</v>
      </c>
      <c r="W17" s="11">
        <f t="shared" si="6"/>
        <v>0</v>
      </c>
      <c r="X17" s="11">
        <f t="shared" si="6"/>
        <v>-15.93499999999999</v>
      </c>
      <c r="Y17" s="153">
        <f t="shared" si="6"/>
        <v>-0.78800000000000536</v>
      </c>
      <c r="Z17" s="14">
        <f t="shared" si="6"/>
        <v>-2.5890000000000088</v>
      </c>
      <c r="AA17" s="11">
        <f t="shared" si="6"/>
        <v>0</v>
      </c>
    </row>
    <row r="18" spans="2:28" x14ac:dyDescent="0.25">
      <c r="B18" t="s">
        <v>1</v>
      </c>
      <c r="C18" s="10"/>
      <c r="D18" s="10"/>
      <c r="E18" s="10"/>
      <c r="F18" s="10">
        <v>178.20099999999999</v>
      </c>
      <c r="G18" s="15">
        <v>178.12700000000001</v>
      </c>
      <c r="H18" s="40"/>
      <c r="I18" s="40"/>
      <c r="L18" s="10"/>
      <c r="M18" s="10"/>
      <c r="N18" s="10"/>
      <c r="O18" s="10"/>
      <c r="P18" s="10"/>
      <c r="Q18" s="10"/>
      <c r="R18" s="10"/>
      <c r="S18" s="10"/>
      <c r="T18" s="10">
        <v>178.62899999999999</v>
      </c>
      <c r="U18" s="10">
        <v>179.76400000000001</v>
      </c>
      <c r="V18" s="10">
        <v>180.661</v>
      </c>
      <c r="W18" s="10"/>
      <c r="X18" s="10">
        <v>184.69200000000001</v>
      </c>
      <c r="Y18" s="155">
        <v>189.04599999999999</v>
      </c>
      <c r="Z18" s="15">
        <v>196.66800000000001</v>
      </c>
      <c r="AA18" s="10"/>
    </row>
    <row r="19" spans="2:28" s="1" customFormat="1" x14ac:dyDescent="0.25">
      <c r="B19" s="1" t="s">
        <v>21</v>
      </c>
      <c r="C19" s="2" t="e">
        <f>C17/C18</f>
        <v>#DIV/0!</v>
      </c>
      <c r="D19" s="2" t="e">
        <f>D17/D18</f>
        <v>#DIV/0!</v>
      </c>
      <c r="E19" s="2" t="e">
        <f>E17/E18</f>
        <v>#DIV/0!</v>
      </c>
      <c r="F19" s="2">
        <f>F17/F18</f>
        <v>-0.11615535266356551</v>
      </c>
      <c r="G19" s="56">
        <f>G17/G18</f>
        <v>-0.15269442588714788</v>
      </c>
      <c r="H19" s="57"/>
      <c r="I19" s="58"/>
      <c r="L19" s="2" t="e">
        <f>L17/L18</f>
        <v>#DIV/0!</v>
      </c>
      <c r="M19" s="2" t="e">
        <f t="shared" ref="M19:V19" si="7">M17/M18</f>
        <v>#DIV/0!</v>
      </c>
      <c r="N19" s="2" t="e">
        <f t="shared" si="7"/>
        <v>#DIV/0!</v>
      </c>
      <c r="O19" s="2" t="e">
        <f t="shared" si="7"/>
        <v>#DIV/0!</v>
      </c>
      <c r="P19" s="2" t="e">
        <f t="shared" si="7"/>
        <v>#DIV/0!</v>
      </c>
      <c r="Q19" s="2" t="e">
        <f t="shared" si="7"/>
        <v>#DIV/0!</v>
      </c>
      <c r="R19" s="2" t="e">
        <f t="shared" si="7"/>
        <v>#DIV/0!</v>
      </c>
      <c r="S19" s="2" t="e">
        <f t="shared" si="7"/>
        <v>#DIV/0!</v>
      </c>
      <c r="T19" s="11">
        <f t="shared" si="7"/>
        <v>-4.0055086240196221E-2</v>
      </c>
      <c r="U19" s="2">
        <f t="shared" si="7"/>
        <v>-2.3147014975189745E-2</v>
      </c>
      <c r="V19" s="2">
        <f t="shared" si="7"/>
        <v>-2.2423212536186787E-2</v>
      </c>
      <c r="W19" s="2" t="e">
        <f t="shared" ref="W19:AA19" si="8">W17/W18</f>
        <v>#DIV/0!</v>
      </c>
      <c r="X19" s="2">
        <f t="shared" si="8"/>
        <v>-8.6278777640612425E-2</v>
      </c>
      <c r="Y19" s="156">
        <f t="shared" si="8"/>
        <v>-4.1682976630026836E-3</v>
      </c>
      <c r="Z19" s="35">
        <f t="shared" si="8"/>
        <v>-1.3164317530050689E-2</v>
      </c>
      <c r="AA19" s="2" t="e">
        <f t="shared" si="8"/>
        <v>#DIV/0!</v>
      </c>
    </row>
    <row r="20" spans="2:28" s="1" customFormat="1" x14ac:dyDescent="0.25">
      <c r="B20" s="9" t="s">
        <v>61</v>
      </c>
      <c r="C20" s="2"/>
      <c r="D20" s="2"/>
      <c r="E20" s="2"/>
      <c r="F20" s="2"/>
      <c r="G20" s="35"/>
      <c r="H20" s="44"/>
      <c r="I20" s="45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157"/>
      <c r="Z20" s="129"/>
      <c r="AA20" s="49"/>
    </row>
    <row r="21" spans="2:28" s="1" customFormat="1" x14ac:dyDescent="0.25">
      <c r="B21" t="s">
        <v>28</v>
      </c>
      <c r="C21" s="3" t="e">
        <f>1-C5/C3</f>
        <v>#DIV/0!</v>
      </c>
      <c r="D21" s="3" t="e">
        <f>1-D5/D3</f>
        <v>#DIV/0!</v>
      </c>
      <c r="E21" s="3" t="e">
        <f>1-E5/E3</f>
        <v>#DIV/0!</v>
      </c>
      <c r="F21" s="3">
        <f>1-F5/F3</f>
        <v>8.3692201301354796E-2</v>
      </c>
      <c r="G21" s="6">
        <f>1-G5/G3</f>
        <v>9.1231618874046405E-2</v>
      </c>
      <c r="H21" s="46"/>
      <c r="I21" s="46"/>
      <c r="L21" s="3" t="e">
        <f t="shared" ref="L21:AA21" si="9">1-L5/L3</f>
        <v>#DIV/0!</v>
      </c>
      <c r="M21" s="3" t="e">
        <f t="shared" si="9"/>
        <v>#DIV/0!</v>
      </c>
      <c r="N21" s="3" t="e">
        <f t="shared" si="9"/>
        <v>#DIV/0!</v>
      </c>
      <c r="O21" s="3" t="e">
        <f t="shared" si="9"/>
        <v>#DIV/0!</v>
      </c>
      <c r="P21" s="3" t="e">
        <f t="shared" si="9"/>
        <v>#DIV/0!</v>
      </c>
      <c r="Q21" s="3" t="e">
        <f t="shared" si="9"/>
        <v>#DIV/0!</v>
      </c>
      <c r="R21" s="3" t="e">
        <f t="shared" si="9"/>
        <v>#DIV/0!</v>
      </c>
      <c r="S21" s="3" t="e">
        <f t="shared" si="9"/>
        <v>#DIV/0!</v>
      </c>
      <c r="T21" s="3">
        <f t="shared" si="9"/>
        <v>0.10021790532708974</v>
      </c>
      <c r="U21" s="3">
        <f t="shared" si="9"/>
        <v>9.5822631817495063E-2</v>
      </c>
      <c r="V21" s="3">
        <f t="shared" si="9"/>
        <v>8.7472046216921284E-2</v>
      </c>
      <c r="W21" s="3" t="e">
        <f t="shared" si="9"/>
        <v>#DIV/0!</v>
      </c>
      <c r="X21" s="3">
        <f t="shared" si="9"/>
        <v>0.10341082877111529</v>
      </c>
      <c r="Y21" s="39">
        <f t="shared" si="9"/>
        <v>9.3515426465323404E-2</v>
      </c>
      <c r="Z21" s="6">
        <f t="shared" si="9"/>
        <v>8.6255127681965638E-2</v>
      </c>
      <c r="AA21" s="3" t="e">
        <f t="shared" si="9"/>
        <v>#DIV/0!</v>
      </c>
    </row>
    <row r="22" spans="2:28" x14ac:dyDescent="0.25">
      <c r="B22" t="s">
        <v>29</v>
      </c>
      <c r="C22" s="4" t="e">
        <f>C17/C3</f>
        <v>#DIV/0!</v>
      </c>
      <c r="D22" s="4" t="e">
        <f>D17/D3</f>
        <v>#DIV/0!</v>
      </c>
      <c r="E22" s="4" t="e">
        <f>E17/E3</f>
        <v>#DIV/0!</v>
      </c>
      <c r="F22" s="4">
        <f>F17/F3</f>
        <v>-5.4220496861869985E-2</v>
      </c>
      <c r="G22" s="7">
        <f>G17/G3</f>
        <v>-3.9467001761569899E-2</v>
      </c>
      <c r="H22" s="47">
        <f>H17/H4</f>
        <v>0</v>
      </c>
      <c r="I22" s="47">
        <f>I17/I4</f>
        <v>0</v>
      </c>
      <c r="L22" s="4" t="e">
        <f t="shared" ref="L22:AA22" si="10">L17/L3</f>
        <v>#DIV/0!</v>
      </c>
      <c r="M22" s="4" t="e">
        <f t="shared" si="10"/>
        <v>#DIV/0!</v>
      </c>
      <c r="N22" s="4" t="e">
        <f t="shared" si="10"/>
        <v>#DIV/0!</v>
      </c>
      <c r="O22" s="4" t="e">
        <f t="shared" si="10"/>
        <v>#DIV/0!</v>
      </c>
      <c r="P22" s="4" t="e">
        <f t="shared" si="10"/>
        <v>#DIV/0!</v>
      </c>
      <c r="Q22" s="4" t="e">
        <f t="shared" si="10"/>
        <v>#DIV/0!</v>
      </c>
      <c r="R22" s="4" t="e">
        <f t="shared" si="10"/>
        <v>#DIV/0!</v>
      </c>
      <c r="S22" s="4" t="e">
        <f t="shared" si="10"/>
        <v>#DIV/0!</v>
      </c>
      <c r="T22" s="4">
        <f t="shared" si="10"/>
        <v>-6.6345217673513007E-2</v>
      </c>
      <c r="U22" s="4">
        <f t="shared" si="10"/>
        <v>-2.2451600371225743E-2</v>
      </c>
      <c r="V22" s="4">
        <f t="shared" si="10"/>
        <v>-1.8873462541930865E-2</v>
      </c>
      <c r="W22" s="4" t="e">
        <f t="shared" si="10"/>
        <v>#DIV/0!</v>
      </c>
      <c r="X22" s="4">
        <f t="shared" si="10"/>
        <v>-7.9380102917660844E-2</v>
      </c>
      <c r="Y22" s="158">
        <f t="shared" si="10"/>
        <v>-2.3123558445674467E-3</v>
      </c>
      <c r="Z22" s="7">
        <f t="shared" si="10"/>
        <v>-6.950559481110825E-3</v>
      </c>
      <c r="AA22" s="4" t="e">
        <f t="shared" si="10"/>
        <v>#DIV/0!</v>
      </c>
    </row>
    <row r="23" spans="2:28" x14ac:dyDescent="0.25">
      <c r="B23" t="s">
        <v>30</v>
      </c>
      <c r="C23" s="3"/>
      <c r="D23" s="3" t="e">
        <f>D3/C3-1</f>
        <v>#DIV/0!</v>
      </c>
      <c r="E23" s="3" t="e">
        <f>E3/D3-1</f>
        <v>#DIV/0!</v>
      </c>
      <c r="F23" s="39" t="e">
        <f>F3/E3-1</f>
        <v>#DIV/0!</v>
      </c>
      <c r="G23" s="132">
        <f>G3/F3-1</f>
        <v>0.80523161391045606</v>
      </c>
      <c r="H23" s="48">
        <f>H4/G3-1</f>
        <v>0.75576573151584969</v>
      </c>
      <c r="I23" s="48">
        <f>I4/H4-1</f>
        <v>0.30578512396694224</v>
      </c>
      <c r="L23" s="4"/>
      <c r="M23" s="4"/>
      <c r="N23" s="4"/>
      <c r="O23" s="4"/>
      <c r="P23" s="4" t="e">
        <f t="shared" ref="P23:AB23" si="11">P3/L3-1</f>
        <v>#DIV/0!</v>
      </c>
      <c r="Q23" s="4" t="e">
        <f t="shared" si="11"/>
        <v>#DIV/0!</v>
      </c>
      <c r="R23" s="4" t="e">
        <f t="shared" si="11"/>
        <v>#DIV/0!</v>
      </c>
      <c r="S23" s="4" t="e">
        <f t="shared" si="11"/>
        <v>#DIV/0!</v>
      </c>
      <c r="T23" s="4" t="e">
        <f t="shared" si="11"/>
        <v>#DIV/0!</v>
      </c>
      <c r="U23" s="4" t="e">
        <f t="shared" si="11"/>
        <v>#DIV/0!</v>
      </c>
      <c r="V23" s="4" t="e">
        <f t="shared" si="11"/>
        <v>#DIV/0!</v>
      </c>
      <c r="W23" s="4" t="e">
        <f t="shared" si="11"/>
        <v>#DIV/0!</v>
      </c>
      <c r="X23" s="130">
        <f t="shared" si="11"/>
        <v>0.86140293940377388</v>
      </c>
      <c r="Y23" s="159">
        <f t="shared" si="11"/>
        <v>0.8387434441974404</v>
      </c>
      <c r="Z23" s="131">
        <f>Z3/V3-1</f>
        <v>0.7354081252329483</v>
      </c>
      <c r="AA23" s="4" t="e">
        <f>AA3/W3-1</f>
        <v>#DIV/0!</v>
      </c>
      <c r="AB23" s="4">
        <f t="shared" si="11"/>
        <v>-1</v>
      </c>
    </row>
    <row r="24" spans="2:28" x14ac:dyDescent="0.25">
      <c r="B24" t="s">
        <v>63</v>
      </c>
      <c r="C24" s="4" t="e">
        <f t="shared" ref="C24:G24" si="12">C7/C3</f>
        <v>#DIV/0!</v>
      </c>
      <c r="D24" s="4" t="e">
        <f t="shared" si="12"/>
        <v>#DIV/0!</v>
      </c>
      <c r="E24" s="4" t="e">
        <f t="shared" si="12"/>
        <v>#DIV/0!</v>
      </c>
      <c r="F24" s="4">
        <f t="shared" si="12"/>
        <v>5.9393958444660992E-2</v>
      </c>
      <c r="G24" s="7">
        <f t="shared" si="12"/>
        <v>5.6026339388064852E-2</v>
      </c>
      <c r="H24" s="125"/>
      <c r="I24" s="125"/>
      <c r="L24" s="4" t="e">
        <f t="shared" ref="L24:X24" si="13">L7/L3</f>
        <v>#DIV/0!</v>
      </c>
      <c r="M24" s="4" t="e">
        <f t="shared" si="13"/>
        <v>#DIV/0!</v>
      </c>
      <c r="N24" s="4" t="e">
        <f t="shared" si="13"/>
        <v>#DIV/0!</v>
      </c>
      <c r="O24" s="4" t="e">
        <f t="shared" si="13"/>
        <v>#DIV/0!</v>
      </c>
      <c r="P24" s="4" t="e">
        <f t="shared" si="13"/>
        <v>#DIV/0!</v>
      </c>
      <c r="Q24" s="4" t="e">
        <f t="shared" si="13"/>
        <v>#DIV/0!</v>
      </c>
      <c r="R24" s="4" t="e">
        <f t="shared" si="13"/>
        <v>#DIV/0!</v>
      </c>
      <c r="S24" s="4" t="e">
        <f t="shared" si="13"/>
        <v>#DIV/0!</v>
      </c>
      <c r="T24" s="4">
        <f t="shared" si="13"/>
        <v>7.1250405674811071E-2</v>
      </c>
      <c r="U24" s="4">
        <f t="shared" si="13"/>
        <v>5.5392484838020423E-2</v>
      </c>
      <c r="V24" s="4">
        <f t="shared" si="13"/>
        <v>5.3936824450242268E-2</v>
      </c>
      <c r="W24" s="4" t="e">
        <f t="shared" si="13"/>
        <v>#DIV/0!</v>
      </c>
      <c r="X24" s="4">
        <f t="shared" si="13"/>
        <v>6.2911284577793491E-2</v>
      </c>
      <c r="Y24" s="158">
        <f>Y7/Y3</f>
        <v>4.6625662454735921E-2</v>
      </c>
      <c r="Z24" s="7">
        <f>Z6/Z3</f>
        <v>4.3762483623633511E-2</v>
      </c>
      <c r="AA24" s="4" t="e">
        <f>AA6/AA3</f>
        <v>#DIV/0!</v>
      </c>
    </row>
    <row r="25" spans="2:28" x14ac:dyDescent="0.25">
      <c r="B25" t="s">
        <v>133</v>
      </c>
      <c r="C25" s="4" t="e">
        <f t="shared" ref="C25:G25" si="14">C8/C3</f>
        <v>#DIV/0!</v>
      </c>
      <c r="D25" s="4" t="e">
        <f t="shared" si="14"/>
        <v>#DIV/0!</v>
      </c>
      <c r="E25" s="4" t="e">
        <f t="shared" si="14"/>
        <v>#DIV/0!</v>
      </c>
      <c r="F25" s="4">
        <f t="shared" si="14"/>
        <v>1.2748981024528757E-2</v>
      </c>
      <c r="G25" s="7">
        <f t="shared" si="14"/>
        <v>1.0678247948946396E-2</v>
      </c>
      <c r="H25" s="125"/>
      <c r="I25" s="125"/>
      <c r="L25" s="4" t="e">
        <f t="shared" ref="L25:X25" si="15">L8/L3</f>
        <v>#DIV/0!</v>
      </c>
      <c r="M25" s="4" t="e">
        <f t="shared" si="15"/>
        <v>#DIV/0!</v>
      </c>
      <c r="N25" s="4" t="e">
        <f t="shared" si="15"/>
        <v>#DIV/0!</v>
      </c>
      <c r="O25" s="4" t="e">
        <f t="shared" si="15"/>
        <v>#DIV/0!</v>
      </c>
      <c r="P25" s="4" t="e">
        <f t="shared" si="15"/>
        <v>#DIV/0!</v>
      </c>
      <c r="Q25" s="4" t="e">
        <f t="shared" si="15"/>
        <v>#DIV/0!</v>
      </c>
      <c r="R25" s="4" t="e">
        <f t="shared" si="15"/>
        <v>#DIV/0!</v>
      </c>
      <c r="S25" s="4" t="e">
        <f t="shared" si="15"/>
        <v>#DIV/0!</v>
      </c>
      <c r="T25" s="4">
        <f t="shared" si="15"/>
        <v>1.4131392275951598E-2</v>
      </c>
      <c r="U25" s="4">
        <f t="shared" si="15"/>
        <v>8.5198454665141483E-3</v>
      </c>
      <c r="V25" s="4">
        <f t="shared" si="15"/>
        <v>8.9964591874767061E-3</v>
      </c>
      <c r="W25" s="4" t="e">
        <f t="shared" si="15"/>
        <v>#DIV/0!</v>
      </c>
      <c r="X25" s="4">
        <f t="shared" si="15"/>
        <v>1.2264437614263015E-2</v>
      </c>
      <c r="Y25" s="158">
        <f>Y8/Y3</f>
        <v>7.6530761962333247E-3</v>
      </c>
      <c r="Z25" s="7">
        <f>Z7/Z3</f>
        <v>4.0970447370116618E-2</v>
      </c>
      <c r="AA25" s="4" t="e">
        <f>AA7/AA3</f>
        <v>#DIV/0!</v>
      </c>
    </row>
    <row r="26" spans="2:28" x14ac:dyDescent="0.25">
      <c r="B26" t="s">
        <v>134</v>
      </c>
      <c r="C26" s="4" t="e">
        <f t="shared" ref="C26:G26" si="16">C6/C3</f>
        <v>#DIV/0!</v>
      </c>
      <c r="D26" s="4" t="e">
        <f t="shared" si="16"/>
        <v>#DIV/0!</v>
      </c>
      <c r="E26" s="4" t="e">
        <f t="shared" si="16"/>
        <v>#DIV/0!</v>
      </c>
      <c r="F26" s="4">
        <f t="shared" si="16"/>
        <v>6.3273399763199539E-2</v>
      </c>
      <c r="G26" s="7">
        <f t="shared" si="16"/>
        <v>6.2268739534330292E-2</v>
      </c>
      <c r="H26" s="125"/>
      <c r="I26" s="125"/>
      <c r="L26" s="4" t="e">
        <f t="shared" ref="L26:X26" si="17">L6/L3</f>
        <v>#DIV/0!</v>
      </c>
      <c r="M26" s="4" t="e">
        <f t="shared" si="17"/>
        <v>#DIV/0!</v>
      </c>
      <c r="N26" s="4" t="e">
        <f t="shared" si="17"/>
        <v>#DIV/0!</v>
      </c>
      <c r="O26" s="4" t="e">
        <f t="shared" si="17"/>
        <v>#DIV/0!</v>
      </c>
      <c r="P26" s="4" t="e">
        <f t="shared" si="17"/>
        <v>#DIV/0!</v>
      </c>
      <c r="Q26" s="4" t="e">
        <f t="shared" si="17"/>
        <v>#DIV/0!</v>
      </c>
      <c r="R26" s="4" t="e">
        <f t="shared" si="17"/>
        <v>#DIV/0!</v>
      </c>
      <c r="S26" s="4" t="e">
        <f t="shared" si="17"/>
        <v>#DIV/0!</v>
      </c>
      <c r="T26" s="4">
        <f t="shared" si="17"/>
        <v>8.0096434697946126E-2</v>
      </c>
      <c r="U26" s="4">
        <f t="shared" si="17"/>
        <v>5.2090302807933871E-2</v>
      </c>
      <c r="V26" s="4">
        <f t="shared" si="17"/>
        <v>4.3020872158032054E-2</v>
      </c>
      <c r="W26" s="4" t="e">
        <f t="shared" si="17"/>
        <v>#DIV/0!</v>
      </c>
      <c r="X26" s="4">
        <f t="shared" si="17"/>
        <v>6.0455408158690466E-2</v>
      </c>
      <c r="Y26" s="158">
        <f>Y6/Y3</f>
        <v>4.1126481169559068E-2</v>
      </c>
      <c r="Z26" s="7">
        <f>Z9/Z3</f>
        <v>0</v>
      </c>
      <c r="AA26" s="4" t="e">
        <f>AA9/AA3</f>
        <v>#DIV/0!</v>
      </c>
    </row>
    <row r="27" spans="2:28" x14ac:dyDescent="0.25">
      <c r="B27" t="s">
        <v>139</v>
      </c>
      <c r="C27" s="3"/>
      <c r="D27" s="3" t="e">
        <f>-(D17/C17-1)</f>
        <v>#DIV/0!</v>
      </c>
      <c r="E27" s="3" t="e">
        <f>-(E17/D17-1)</f>
        <v>#DIV/0!</v>
      </c>
      <c r="F27" s="39" t="e">
        <f>F17/E17-1</f>
        <v>#DIV/0!</v>
      </c>
      <c r="G27" s="6">
        <f>G17/F17-1</f>
        <v>0.31402483211749077</v>
      </c>
      <c r="H27" s="59">
        <f>H19/G19-1</f>
        <v>-1</v>
      </c>
      <c r="I27" s="59" t="e">
        <f>I19/H19-1</f>
        <v>#DIV/0!</v>
      </c>
      <c r="L27" s="4"/>
      <c r="M27" s="4"/>
      <c r="N27" s="4"/>
      <c r="O27" s="4"/>
      <c r="P27" s="4" t="e">
        <f t="shared" ref="P27:AA27" si="18">P17/L17-1</f>
        <v>#DIV/0!</v>
      </c>
      <c r="Q27" s="4" t="e">
        <f t="shared" si="18"/>
        <v>#DIV/0!</v>
      </c>
      <c r="R27" s="4" t="e">
        <f t="shared" si="18"/>
        <v>#DIV/0!</v>
      </c>
      <c r="S27" s="4" t="e">
        <f t="shared" si="18"/>
        <v>#DIV/0!</v>
      </c>
      <c r="T27" s="4" t="e">
        <f t="shared" si="18"/>
        <v>#DIV/0!</v>
      </c>
      <c r="U27" s="4" t="e">
        <f t="shared" si="18"/>
        <v>#DIV/0!</v>
      </c>
      <c r="V27" s="4" t="e">
        <f t="shared" si="18"/>
        <v>#DIV/0!</v>
      </c>
      <c r="W27" s="4" t="e">
        <f t="shared" si="18"/>
        <v>#DIV/0!</v>
      </c>
      <c r="X27" s="4">
        <f t="shared" si="18"/>
        <v>1.2271139063591847</v>
      </c>
      <c r="Y27" s="158">
        <f t="shared" si="18"/>
        <v>-0.81062244652727622</v>
      </c>
      <c r="Z27" s="7">
        <f t="shared" si="18"/>
        <v>-0.36089854356949325</v>
      </c>
      <c r="AA27" s="4" t="e">
        <f t="shared" si="18"/>
        <v>#DIV/0!</v>
      </c>
    </row>
    <row r="28" spans="2:28" x14ac:dyDescent="0.25">
      <c r="B28" t="s">
        <v>78</v>
      </c>
      <c r="C28" s="51" t="e">
        <f>C11/C3</f>
        <v>#DIV/0!</v>
      </c>
      <c r="D28" s="51" t="e">
        <f>D11/D3</f>
        <v>#DIV/0!</v>
      </c>
      <c r="E28" s="51" t="e">
        <f>E11/E3</f>
        <v>#DIV/0!</v>
      </c>
      <c r="F28" s="51">
        <f>F11/F3</f>
        <v>1.909596705749222E-3</v>
      </c>
      <c r="G28" s="52">
        <f>G11/G3</f>
        <v>-8.5176403669405272E-4</v>
      </c>
      <c r="H28" s="51">
        <f>H11/H4</f>
        <v>0</v>
      </c>
      <c r="I28" s="51">
        <f>I11/I4</f>
        <v>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58"/>
      <c r="Z28" s="7"/>
      <c r="AA28" s="4"/>
    </row>
    <row r="29" spans="2:28" x14ac:dyDescent="0.25">
      <c r="B29" t="s">
        <v>79</v>
      </c>
      <c r="C29" s="53" t="e">
        <f t="shared" ref="C29:I29" si="19">-C11/C10</f>
        <v>#DIV/0!</v>
      </c>
      <c r="D29" s="53" t="e">
        <f t="shared" si="19"/>
        <v>#DIV/0!</v>
      </c>
      <c r="E29" s="53" t="e">
        <f t="shared" si="19"/>
        <v>#DIV/0!</v>
      </c>
      <c r="F29" s="53">
        <f t="shared" si="19"/>
        <v>3.6918869644484889E-2</v>
      </c>
      <c r="G29" s="52">
        <f t="shared" si="19"/>
        <v>-2.2568242983467903E-2</v>
      </c>
      <c r="H29" s="51" t="e">
        <f t="shared" si="19"/>
        <v>#DIV/0!</v>
      </c>
      <c r="I29" s="51" t="e">
        <f t="shared" si="19"/>
        <v>#DIV/0!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158"/>
      <c r="Z29" s="7"/>
      <c r="AA29" s="4"/>
    </row>
    <row r="32" spans="2:28" s="1" customFormat="1" x14ac:dyDescent="0.25">
      <c r="B32" s="1" t="s">
        <v>37</v>
      </c>
      <c r="C32" s="11">
        <f>C33+C34+C36</f>
        <v>0</v>
      </c>
      <c r="D32" s="11">
        <f t="shared" ref="D32:I32" si="20">D33+D34+D36</f>
        <v>0</v>
      </c>
      <c r="E32" s="11">
        <f t="shared" si="20"/>
        <v>0</v>
      </c>
      <c r="F32" s="11">
        <f t="shared" si="20"/>
        <v>18.326999999999998</v>
      </c>
      <c r="G32" s="11">
        <f t="shared" si="20"/>
        <v>41.877000000000002</v>
      </c>
      <c r="H32" s="11">
        <f t="shared" si="20"/>
        <v>0</v>
      </c>
      <c r="I32" s="11">
        <f t="shared" si="20"/>
        <v>0</v>
      </c>
      <c r="L32" s="11">
        <f t="shared" ref="L32:AA32" si="21">L33+L34+L36</f>
        <v>0</v>
      </c>
      <c r="M32" s="11">
        <f t="shared" si="21"/>
        <v>0</v>
      </c>
      <c r="N32" s="11">
        <f t="shared" si="21"/>
        <v>0</v>
      </c>
      <c r="O32" s="11">
        <f t="shared" si="21"/>
        <v>0</v>
      </c>
      <c r="P32" s="11">
        <f t="shared" si="21"/>
        <v>0</v>
      </c>
      <c r="Q32" s="11">
        <f t="shared" si="21"/>
        <v>0</v>
      </c>
      <c r="R32" s="11">
        <f t="shared" si="21"/>
        <v>0</v>
      </c>
      <c r="S32" s="11">
        <f t="shared" si="21"/>
        <v>18.326999999999998</v>
      </c>
      <c r="T32" s="11">
        <f t="shared" si="21"/>
        <v>0</v>
      </c>
      <c r="U32" s="11">
        <f t="shared" si="21"/>
        <v>0</v>
      </c>
      <c r="V32" s="11">
        <f t="shared" si="21"/>
        <v>0</v>
      </c>
      <c r="W32" s="11">
        <f t="shared" si="21"/>
        <v>41.877000000000002</v>
      </c>
      <c r="X32" s="11">
        <f t="shared" si="21"/>
        <v>58.924999999999997</v>
      </c>
      <c r="Y32" s="153">
        <f t="shared" si="21"/>
        <v>66.715999999999994</v>
      </c>
      <c r="Z32" s="14">
        <f>Z33+Z34+Z36</f>
        <v>59.494</v>
      </c>
      <c r="AA32" s="11">
        <f t="shared" si="21"/>
        <v>0</v>
      </c>
    </row>
    <row r="33" spans="2:27" x14ac:dyDescent="0.25">
      <c r="B33" t="s">
        <v>23</v>
      </c>
      <c r="C33" s="10"/>
      <c r="D33" s="10"/>
      <c r="E33" s="10"/>
      <c r="F33" s="10">
        <f>S33</f>
        <v>10.846</v>
      </c>
      <c r="G33" s="15">
        <f>W33</f>
        <v>14.707000000000001</v>
      </c>
      <c r="L33" s="10"/>
      <c r="M33" s="10"/>
      <c r="N33" s="10"/>
      <c r="O33" s="10"/>
      <c r="P33" s="10"/>
      <c r="Q33" s="10"/>
      <c r="R33" s="10"/>
      <c r="S33" s="10">
        <v>10.846</v>
      </c>
      <c r="T33" s="10"/>
      <c r="U33" s="10"/>
      <c r="V33" s="10"/>
      <c r="W33" s="10">
        <v>14.707000000000001</v>
      </c>
      <c r="X33" s="10">
        <v>20.071999999999999</v>
      </c>
      <c r="Y33" s="155">
        <v>23.315999999999999</v>
      </c>
      <c r="Z33" s="15">
        <v>21.58</v>
      </c>
      <c r="AA33" s="10"/>
    </row>
    <row r="34" spans="2:27" x14ac:dyDescent="0.25">
      <c r="B34" t="s">
        <v>73</v>
      </c>
      <c r="C34" s="10"/>
      <c r="D34" s="10"/>
      <c r="E34" s="10"/>
      <c r="F34" s="10">
        <f t="shared" ref="F34:F39" si="22">S34</f>
        <v>7.4809999999999999</v>
      </c>
      <c r="G34" s="15">
        <f t="shared" ref="G34:G39" si="23">W34</f>
        <v>12.948</v>
      </c>
      <c r="L34" s="10"/>
      <c r="M34" s="10"/>
      <c r="N34" s="10"/>
      <c r="O34" s="10"/>
      <c r="P34" s="10"/>
      <c r="Q34" s="10"/>
      <c r="R34" s="10"/>
      <c r="S34" s="10">
        <v>7.4809999999999999</v>
      </c>
      <c r="T34" s="10"/>
      <c r="U34" s="10"/>
      <c r="V34" s="10"/>
      <c r="W34" s="10">
        <v>12.948</v>
      </c>
      <c r="X34" s="10">
        <v>24.44</v>
      </c>
      <c r="Y34" s="155">
        <v>33.124000000000002</v>
      </c>
      <c r="Z34" s="15">
        <v>27.515999999999998</v>
      </c>
      <c r="AA34" s="10"/>
    </row>
    <row r="35" spans="2:27" x14ac:dyDescent="0.25">
      <c r="B35" t="s">
        <v>140</v>
      </c>
      <c r="C35" s="10"/>
      <c r="D35" s="10"/>
      <c r="E35" s="10"/>
      <c r="F35" s="10">
        <f t="shared" si="22"/>
        <v>7.8920000000000003</v>
      </c>
      <c r="G35" s="15">
        <f t="shared" si="23"/>
        <v>0</v>
      </c>
      <c r="L35" s="10"/>
      <c r="M35" s="10"/>
      <c r="N35" s="10"/>
      <c r="O35" s="10"/>
      <c r="P35" s="10"/>
      <c r="Q35" s="10"/>
      <c r="R35" s="10"/>
      <c r="S35" s="10">
        <v>7.8920000000000003</v>
      </c>
      <c r="T35" s="10"/>
      <c r="U35" s="10"/>
      <c r="V35" s="10"/>
      <c r="W35" s="10"/>
      <c r="X35" s="10"/>
      <c r="Y35" s="155">
        <v>9.25</v>
      </c>
      <c r="Z35" s="15">
        <v>9.25</v>
      </c>
      <c r="AA35" s="10"/>
    </row>
    <row r="36" spans="2:27" x14ac:dyDescent="0.25">
      <c r="B36" t="s">
        <v>141</v>
      </c>
      <c r="C36" s="10"/>
      <c r="D36" s="10"/>
      <c r="E36" s="10"/>
      <c r="F36" s="10">
        <f t="shared" si="22"/>
        <v>0</v>
      </c>
      <c r="G36" s="15">
        <f t="shared" si="23"/>
        <v>14.222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>
        <v>14.222</v>
      </c>
      <c r="X36" s="10">
        <v>14.413</v>
      </c>
      <c r="Y36" s="155">
        <v>10.276</v>
      </c>
      <c r="Z36" s="15">
        <v>10.398</v>
      </c>
      <c r="AA36" s="10"/>
    </row>
    <row r="37" spans="2:27" x14ac:dyDescent="0.25">
      <c r="B37" t="s">
        <v>142</v>
      </c>
      <c r="C37" s="10"/>
      <c r="D37" s="10"/>
      <c r="E37" s="10"/>
      <c r="F37" s="10">
        <f t="shared" si="22"/>
        <v>1.5469999999999999</v>
      </c>
      <c r="G37" s="15">
        <f t="shared" si="23"/>
        <v>6.4409999999999998</v>
      </c>
      <c r="L37" s="10"/>
      <c r="M37" s="10"/>
      <c r="N37" s="10"/>
      <c r="O37" s="10"/>
      <c r="P37" s="10"/>
      <c r="Q37" s="10"/>
      <c r="R37" s="10"/>
      <c r="S37" s="10">
        <v>1.5469999999999999</v>
      </c>
      <c r="T37" s="10"/>
      <c r="U37" s="10"/>
      <c r="V37" s="10"/>
      <c r="W37" s="10">
        <v>6.4409999999999998</v>
      </c>
      <c r="X37" s="10">
        <v>9.5350000000000001</v>
      </c>
      <c r="Y37" s="155">
        <v>18.631</v>
      </c>
      <c r="Z37" s="15">
        <v>17.305</v>
      </c>
      <c r="AA37" s="10"/>
    </row>
    <row r="38" spans="2:27" x14ac:dyDescent="0.25">
      <c r="B38" t="s">
        <v>143</v>
      </c>
      <c r="C38" s="10"/>
      <c r="D38" s="10"/>
      <c r="E38" s="10"/>
      <c r="F38" s="10">
        <f t="shared" si="22"/>
        <v>7.3999999999999996E-2</v>
      </c>
      <c r="G38" s="15">
        <f t="shared" si="23"/>
        <v>6.3E-2</v>
      </c>
      <c r="L38" s="10"/>
      <c r="M38" s="10"/>
      <c r="N38" s="10"/>
      <c r="O38" s="10"/>
      <c r="P38" s="10"/>
      <c r="Q38" s="10"/>
      <c r="R38" s="10"/>
      <c r="S38" s="10">
        <v>7.3999999999999996E-2</v>
      </c>
      <c r="T38" s="10"/>
      <c r="U38" s="10"/>
      <c r="V38" s="10"/>
      <c r="W38" s="10">
        <v>6.3E-2</v>
      </c>
      <c r="X38" s="10">
        <v>0.09</v>
      </c>
      <c r="Y38" s="155">
        <v>5.6000000000000001E-2</v>
      </c>
      <c r="Z38" s="15">
        <v>0.43</v>
      </c>
      <c r="AA38" s="10"/>
    </row>
    <row r="39" spans="2:27" x14ac:dyDescent="0.25">
      <c r="B39" t="s">
        <v>74</v>
      </c>
      <c r="C39" s="10"/>
      <c r="D39" s="10"/>
      <c r="E39" s="10"/>
      <c r="F39" s="10">
        <f t="shared" si="22"/>
        <v>0.52900000000000003</v>
      </c>
      <c r="G39" s="15">
        <f t="shared" si="23"/>
        <v>2.1320000000000001</v>
      </c>
      <c r="L39" s="10"/>
      <c r="M39" s="10"/>
      <c r="N39" s="10"/>
      <c r="O39" s="10"/>
      <c r="P39" s="10"/>
      <c r="Q39" s="10"/>
      <c r="R39" s="10"/>
      <c r="S39" s="10">
        <v>0.52900000000000003</v>
      </c>
      <c r="T39" s="10"/>
      <c r="U39" s="10"/>
      <c r="V39" s="10"/>
      <c r="W39" s="10">
        <v>2.1320000000000001</v>
      </c>
      <c r="X39" s="10">
        <v>1.222</v>
      </c>
      <c r="Y39" s="155">
        <v>1.5409999999999999</v>
      </c>
      <c r="Z39" s="15">
        <v>2.391</v>
      </c>
      <c r="AA39" s="10"/>
    </row>
    <row r="40" spans="2:27" s="1" customFormat="1" x14ac:dyDescent="0.25">
      <c r="B40" s="1" t="s">
        <v>58</v>
      </c>
      <c r="C40" s="11">
        <f t="shared" ref="C40:D40" si="24">SUM(C33:C39)</f>
        <v>0</v>
      </c>
      <c r="D40" s="11">
        <f t="shared" si="24"/>
        <v>0</v>
      </c>
      <c r="E40" s="11">
        <f>SUM(E33:E39)</f>
        <v>0</v>
      </c>
      <c r="F40" s="11">
        <f t="shared" ref="F40" si="25">SUM(F33:F39)</f>
        <v>28.369</v>
      </c>
      <c r="G40" s="14">
        <f>SUM(G33:G39)</f>
        <v>50.513000000000005</v>
      </c>
      <c r="L40" s="11">
        <f t="shared" ref="L40:V40" si="26">SUM(L33:L39)</f>
        <v>0</v>
      </c>
      <c r="M40" s="11">
        <f t="shared" si="26"/>
        <v>0</v>
      </c>
      <c r="N40" s="11">
        <f t="shared" si="26"/>
        <v>0</v>
      </c>
      <c r="O40" s="11">
        <f t="shared" si="26"/>
        <v>0</v>
      </c>
      <c r="P40" s="11">
        <f t="shared" si="26"/>
        <v>0</v>
      </c>
      <c r="Q40" s="11">
        <f t="shared" si="26"/>
        <v>0</v>
      </c>
      <c r="R40" s="11">
        <f t="shared" si="26"/>
        <v>0</v>
      </c>
      <c r="S40" s="11">
        <f t="shared" si="26"/>
        <v>28.369</v>
      </c>
      <c r="T40" s="11">
        <f t="shared" si="26"/>
        <v>0</v>
      </c>
      <c r="U40" s="11">
        <f t="shared" si="26"/>
        <v>0</v>
      </c>
      <c r="V40" s="11">
        <f t="shared" si="26"/>
        <v>0</v>
      </c>
      <c r="W40" s="11">
        <f t="shared" ref="W40:AA40" si="27">SUM(W33:W39)</f>
        <v>50.513000000000005</v>
      </c>
      <c r="X40" s="11">
        <f t="shared" si="27"/>
        <v>69.771999999999991</v>
      </c>
      <c r="Y40" s="153">
        <f t="shared" si="27"/>
        <v>96.193999999999988</v>
      </c>
      <c r="Z40" s="14">
        <f t="shared" si="27"/>
        <v>88.870000000000019</v>
      </c>
      <c r="AA40" s="11">
        <f t="shared" si="27"/>
        <v>0</v>
      </c>
    </row>
    <row r="41" spans="2:27" x14ac:dyDescent="0.25">
      <c r="B41" t="s">
        <v>76</v>
      </c>
      <c r="C41" s="10"/>
      <c r="D41" s="10"/>
      <c r="E41" s="10"/>
      <c r="F41" s="10">
        <f t="shared" ref="F41:F43" si="28">S41</f>
        <v>3.7080000000000002</v>
      </c>
      <c r="G41" s="15">
        <f t="shared" ref="G41:G43" si="29">W41</f>
        <v>3.4420000000000002</v>
      </c>
      <c r="L41" s="10"/>
      <c r="M41" s="10"/>
      <c r="N41" s="10"/>
      <c r="O41" s="10"/>
      <c r="P41" s="10"/>
      <c r="Q41" s="10"/>
      <c r="R41" s="10"/>
      <c r="S41" s="10">
        <v>3.7080000000000002</v>
      </c>
      <c r="T41" s="10"/>
      <c r="U41" s="10"/>
      <c r="V41" s="10"/>
      <c r="W41" s="10">
        <v>3.4420000000000002</v>
      </c>
      <c r="X41" s="10">
        <v>3.2189999999999999</v>
      </c>
      <c r="Y41" s="155">
        <v>2.996</v>
      </c>
      <c r="Z41" s="15">
        <v>2.7879999999999998</v>
      </c>
      <c r="AA41" s="10"/>
    </row>
    <row r="42" spans="2:27" x14ac:dyDescent="0.25">
      <c r="B42" t="s">
        <v>24</v>
      </c>
      <c r="C42" s="10"/>
      <c r="D42" s="10"/>
      <c r="E42" s="10"/>
      <c r="F42" s="10">
        <f t="shared" si="28"/>
        <v>10.262</v>
      </c>
      <c r="G42" s="15">
        <f t="shared" si="29"/>
        <v>8.9930000000000003</v>
      </c>
      <c r="L42" s="10"/>
      <c r="M42" s="10"/>
      <c r="N42" s="10"/>
      <c r="O42" s="10"/>
      <c r="P42" s="10"/>
      <c r="Q42" s="10"/>
      <c r="R42" s="10"/>
      <c r="S42" s="10">
        <v>10.262</v>
      </c>
      <c r="T42" s="10"/>
      <c r="U42" s="10"/>
      <c r="V42" s="10"/>
      <c r="W42" s="10">
        <v>8.9930000000000003</v>
      </c>
      <c r="X42" s="10">
        <v>8.9930000000000003</v>
      </c>
      <c r="Y42" s="155">
        <v>8.9930000000000003</v>
      </c>
      <c r="Z42" s="15">
        <v>8.9930000000000003</v>
      </c>
      <c r="AA42" s="10"/>
    </row>
    <row r="43" spans="2:27" x14ac:dyDescent="0.25">
      <c r="B43" t="s">
        <v>75</v>
      </c>
      <c r="C43" s="10"/>
      <c r="D43" s="10"/>
      <c r="E43" s="10"/>
      <c r="F43" s="10">
        <f t="shared" si="28"/>
        <v>1.423</v>
      </c>
      <c r="G43" s="15">
        <f t="shared" si="29"/>
        <v>1.6</v>
      </c>
      <c r="L43" s="10"/>
      <c r="M43" s="10"/>
      <c r="N43" s="10"/>
      <c r="O43" s="10"/>
      <c r="P43" s="10"/>
      <c r="Q43" s="10"/>
      <c r="R43" s="10"/>
      <c r="S43" s="10">
        <f>1.35+0.073</f>
        <v>1.423</v>
      </c>
      <c r="T43" s="10"/>
      <c r="U43" s="10"/>
      <c r="V43" s="10"/>
      <c r="W43" s="10">
        <v>1.6</v>
      </c>
      <c r="X43" s="10">
        <v>1.593</v>
      </c>
      <c r="Y43" s="155">
        <v>1.9770000000000001</v>
      </c>
      <c r="Z43" s="15">
        <v>2.2090000000000001</v>
      </c>
      <c r="AA43" s="10"/>
    </row>
    <row r="44" spans="2:27" x14ac:dyDescent="0.25">
      <c r="B44" s="1" t="s">
        <v>25</v>
      </c>
      <c r="C44" s="11">
        <f>SUM(C40:C43)</f>
        <v>0</v>
      </c>
      <c r="D44" s="11">
        <f>SUM(D40:D43)</f>
        <v>0</v>
      </c>
      <c r="E44" s="11">
        <f>SUM(E40:E43)</f>
        <v>0</v>
      </c>
      <c r="F44" s="11">
        <f>SUM(F40:F43)</f>
        <v>43.762</v>
      </c>
      <c r="G44" s="14">
        <f>SUM(G40:G43)</f>
        <v>64.548000000000002</v>
      </c>
      <c r="L44" s="11">
        <f t="shared" ref="L44:AA44" si="30">SUM(L40:L43)</f>
        <v>0</v>
      </c>
      <c r="M44" s="11">
        <f t="shared" si="30"/>
        <v>0</v>
      </c>
      <c r="N44" s="11">
        <f t="shared" si="30"/>
        <v>0</v>
      </c>
      <c r="O44" s="11">
        <f t="shared" si="30"/>
        <v>0</v>
      </c>
      <c r="P44" s="11">
        <f t="shared" si="30"/>
        <v>0</v>
      </c>
      <c r="Q44" s="11">
        <f t="shared" si="30"/>
        <v>0</v>
      </c>
      <c r="R44" s="11">
        <f t="shared" si="30"/>
        <v>0</v>
      </c>
      <c r="S44" s="11">
        <f t="shared" si="30"/>
        <v>43.762</v>
      </c>
      <c r="T44" s="11">
        <f t="shared" si="30"/>
        <v>0</v>
      </c>
      <c r="U44" s="11">
        <f t="shared" si="30"/>
        <v>0</v>
      </c>
      <c r="V44" s="11">
        <f t="shared" si="30"/>
        <v>0</v>
      </c>
      <c r="W44" s="11">
        <f t="shared" si="30"/>
        <v>64.548000000000002</v>
      </c>
      <c r="X44" s="11">
        <f t="shared" si="30"/>
        <v>83.576999999999984</v>
      </c>
      <c r="Y44" s="153">
        <f t="shared" si="30"/>
        <v>110.15999999999998</v>
      </c>
      <c r="Z44" s="14">
        <f t="shared" si="30"/>
        <v>102.86000000000001</v>
      </c>
      <c r="AA44" s="11">
        <f t="shared" si="30"/>
        <v>0</v>
      </c>
    </row>
    <row r="45" spans="2:27" x14ac:dyDescent="0.25">
      <c r="B45" t="s">
        <v>27</v>
      </c>
      <c r="C45" s="10"/>
      <c r="D45" s="10"/>
      <c r="E45" s="10"/>
      <c r="F45" s="10">
        <f t="shared" ref="F45:F49" si="31">S45</f>
        <v>0.47399999999999998</v>
      </c>
      <c r="G45" s="15">
        <f t="shared" ref="G45:G49" si="32">W45</f>
        <v>0.57099999999999995</v>
      </c>
      <c r="L45" s="10"/>
      <c r="M45" s="10"/>
      <c r="N45" s="10"/>
      <c r="O45" s="10"/>
      <c r="P45" s="10"/>
      <c r="Q45" s="10"/>
      <c r="R45" s="10"/>
      <c r="S45" s="10">
        <v>0.47399999999999998</v>
      </c>
      <c r="T45" s="10"/>
      <c r="U45" s="10"/>
      <c r="V45" s="10"/>
      <c r="W45" s="10">
        <v>0.57099999999999995</v>
      </c>
      <c r="X45" s="10">
        <v>1.093</v>
      </c>
      <c r="Y45" s="155">
        <v>1.196</v>
      </c>
      <c r="Z45" s="15">
        <v>1.133</v>
      </c>
      <c r="AA45" s="10"/>
    </row>
    <row r="46" spans="2:27" x14ac:dyDescent="0.25">
      <c r="B46" t="s">
        <v>144</v>
      </c>
      <c r="C46" s="10"/>
      <c r="D46" s="10"/>
      <c r="E46" s="10"/>
      <c r="F46" s="10">
        <f t="shared" si="31"/>
        <v>11.866</v>
      </c>
      <c r="G46" s="15">
        <f t="shared" si="32"/>
        <v>13.374000000000001</v>
      </c>
      <c r="L46" s="10"/>
      <c r="M46" s="10"/>
      <c r="N46" s="10"/>
      <c r="O46" s="10"/>
      <c r="P46" s="10"/>
      <c r="Q46" s="10"/>
      <c r="R46" s="10"/>
      <c r="S46" s="10">
        <v>11.866</v>
      </c>
      <c r="T46" s="10"/>
      <c r="U46" s="10"/>
      <c r="V46" s="10"/>
      <c r="W46" s="10">
        <v>13.374000000000001</v>
      </c>
      <c r="X46" s="10">
        <v>21.213999999999999</v>
      </c>
      <c r="Y46" s="155">
        <v>33.628999999999998</v>
      </c>
      <c r="Z46" s="15">
        <v>30.991</v>
      </c>
      <c r="AA46" s="10"/>
    </row>
    <row r="47" spans="2:27" x14ac:dyDescent="0.25">
      <c r="B47" t="s">
        <v>145</v>
      </c>
      <c r="C47" s="10"/>
      <c r="D47" s="10"/>
      <c r="E47" s="10"/>
      <c r="F47" s="10">
        <f t="shared" si="31"/>
        <v>7.4809999999999999</v>
      </c>
      <c r="G47" s="15">
        <f t="shared" si="32"/>
        <v>12.948</v>
      </c>
      <c r="L47" s="10"/>
      <c r="M47" s="10"/>
      <c r="N47" s="10"/>
      <c r="O47" s="10"/>
      <c r="P47" s="10"/>
      <c r="Q47" s="10"/>
      <c r="R47" s="10"/>
      <c r="S47" s="10">
        <v>7.4809999999999999</v>
      </c>
      <c r="T47" s="10"/>
      <c r="U47" s="10"/>
      <c r="V47" s="10"/>
      <c r="W47" s="10">
        <v>12.948</v>
      </c>
      <c r="X47" s="10">
        <v>24.44</v>
      </c>
      <c r="Y47" s="155">
        <v>33.124000000000002</v>
      </c>
      <c r="Z47" s="15">
        <v>27.515999999999998</v>
      </c>
      <c r="AA47" s="10"/>
    </row>
    <row r="48" spans="2:27" x14ac:dyDescent="0.25">
      <c r="B48" t="s">
        <v>146</v>
      </c>
      <c r="C48" s="10"/>
      <c r="D48" s="10"/>
      <c r="E48" s="10"/>
      <c r="F48" s="10">
        <f t="shared" si="31"/>
        <v>1.1879999999999999</v>
      </c>
      <c r="G48" s="15">
        <f t="shared" si="32"/>
        <v>0.30199999999999999</v>
      </c>
      <c r="L48" s="10"/>
      <c r="M48" s="10"/>
      <c r="N48" s="10"/>
      <c r="O48" s="10"/>
      <c r="P48" s="10"/>
      <c r="Q48" s="10"/>
      <c r="R48" s="10"/>
      <c r="S48" s="10">
        <v>1.1879999999999999</v>
      </c>
      <c r="T48" s="10"/>
      <c r="U48" s="10"/>
      <c r="V48" s="10"/>
      <c r="W48" s="10">
        <v>0.30199999999999999</v>
      </c>
      <c r="X48" s="10">
        <v>10.666</v>
      </c>
      <c r="Y48" s="155">
        <v>11.028</v>
      </c>
      <c r="Z48" s="15">
        <v>12.843</v>
      </c>
      <c r="AA48" s="10"/>
    </row>
    <row r="49" spans="2:27" x14ac:dyDescent="0.25">
      <c r="B49" t="s">
        <v>147</v>
      </c>
      <c r="C49" s="10"/>
      <c r="D49" s="10"/>
      <c r="E49" s="10"/>
      <c r="F49" s="10">
        <f t="shared" si="31"/>
        <v>9.6000000000000002E-2</v>
      </c>
      <c r="G49" s="15">
        <f t="shared" si="32"/>
        <v>0</v>
      </c>
      <c r="L49" s="10"/>
      <c r="M49" s="10"/>
      <c r="N49" s="10"/>
      <c r="O49" s="10"/>
      <c r="P49" s="10"/>
      <c r="Q49" s="10"/>
      <c r="R49" s="10"/>
      <c r="S49" s="10">
        <v>9.6000000000000002E-2</v>
      </c>
      <c r="T49" s="10"/>
      <c r="U49" s="10"/>
      <c r="V49" s="10"/>
      <c r="W49" s="10"/>
      <c r="X49" s="10">
        <v>0.54</v>
      </c>
      <c r="Y49" s="155">
        <v>0.35599999999999998</v>
      </c>
      <c r="Z49" s="15"/>
      <c r="AA49" s="10"/>
    </row>
    <row r="50" spans="2:27" s="1" customFormat="1" x14ac:dyDescent="0.25">
      <c r="B50" s="1" t="s">
        <v>59</v>
      </c>
      <c r="C50" s="11">
        <f>SUM(C45:C49)</f>
        <v>0</v>
      </c>
      <c r="D50" s="11">
        <f>SUM(D45:D49)</f>
        <v>0</v>
      </c>
      <c r="E50" s="11">
        <f>SUM(E45:E49)</f>
        <v>0</v>
      </c>
      <c r="F50" s="11">
        <f>SUM(F45:F49)</f>
        <v>21.104999999999997</v>
      </c>
      <c r="G50" s="14">
        <f>SUM(G45:G49)</f>
        <v>27.195</v>
      </c>
      <c r="L50" s="11">
        <f t="shared" ref="L50:V50" si="33">SUM(L45:L49)</f>
        <v>0</v>
      </c>
      <c r="M50" s="11">
        <f t="shared" si="33"/>
        <v>0</v>
      </c>
      <c r="N50" s="11">
        <f t="shared" si="33"/>
        <v>0</v>
      </c>
      <c r="O50" s="11">
        <f t="shared" si="33"/>
        <v>0</v>
      </c>
      <c r="P50" s="11">
        <f t="shared" si="33"/>
        <v>0</v>
      </c>
      <c r="Q50" s="11">
        <f t="shared" si="33"/>
        <v>0</v>
      </c>
      <c r="R50" s="11">
        <f t="shared" si="33"/>
        <v>0</v>
      </c>
      <c r="S50" s="11">
        <f t="shared" si="33"/>
        <v>21.104999999999997</v>
      </c>
      <c r="T50" s="11">
        <f t="shared" si="33"/>
        <v>0</v>
      </c>
      <c r="U50" s="11">
        <f t="shared" si="33"/>
        <v>0</v>
      </c>
      <c r="V50" s="11">
        <f t="shared" si="33"/>
        <v>0</v>
      </c>
      <c r="W50" s="11">
        <f t="shared" ref="W50:AA50" si="34">SUM(W45:W49)</f>
        <v>27.195</v>
      </c>
      <c r="X50" s="11">
        <f t="shared" si="34"/>
        <v>57.952999999999996</v>
      </c>
      <c r="Y50" s="153">
        <f t="shared" si="34"/>
        <v>79.332999999999998</v>
      </c>
      <c r="Z50" s="14">
        <f t="shared" si="34"/>
        <v>72.483000000000004</v>
      </c>
      <c r="AA50" s="11">
        <f t="shared" si="34"/>
        <v>0</v>
      </c>
    </row>
    <row r="51" spans="2:27" x14ac:dyDescent="0.25">
      <c r="B51" t="s">
        <v>147</v>
      </c>
      <c r="C51" s="10"/>
      <c r="D51" s="10"/>
      <c r="E51" s="10"/>
      <c r="F51" s="10">
        <f>S51</f>
        <v>0.24199999999999999</v>
      </c>
      <c r="G51" s="15">
        <f>W51</f>
        <v>0.26900000000000002</v>
      </c>
      <c r="L51" s="10"/>
      <c r="M51" s="10"/>
      <c r="N51" s="10"/>
      <c r="O51" s="10"/>
      <c r="P51" s="10"/>
      <c r="Q51" s="10"/>
      <c r="R51" s="10"/>
      <c r="S51" s="10">
        <v>0.24199999999999999</v>
      </c>
      <c r="T51" s="10"/>
      <c r="U51" s="10"/>
      <c r="V51" s="10"/>
      <c r="W51" s="10">
        <v>0.26900000000000002</v>
      </c>
      <c r="X51" s="10">
        <v>0</v>
      </c>
      <c r="Y51" s="155">
        <v>0</v>
      </c>
      <c r="Z51" s="15"/>
      <c r="AA51" s="10"/>
    </row>
    <row r="52" spans="2:27" x14ac:dyDescent="0.25">
      <c r="B52" s="1" t="s">
        <v>26</v>
      </c>
      <c r="C52" s="11">
        <f>SUM(C50:C51)</f>
        <v>0</v>
      </c>
      <c r="D52" s="11">
        <f>SUM(D50:D51)</f>
        <v>0</v>
      </c>
      <c r="E52" s="11">
        <f>SUM(E50:E51)</f>
        <v>0</v>
      </c>
      <c r="F52" s="11">
        <f>SUM(F50:F51)</f>
        <v>21.346999999999998</v>
      </c>
      <c r="G52" s="14">
        <f>SUM(G50:G51)</f>
        <v>27.463999999999999</v>
      </c>
      <c r="L52" s="11">
        <f t="shared" ref="L52:AA52" si="35">SUM(L50:L51)</f>
        <v>0</v>
      </c>
      <c r="M52" s="11">
        <f t="shared" si="35"/>
        <v>0</v>
      </c>
      <c r="N52" s="11">
        <f t="shared" si="35"/>
        <v>0</v>
      </c>
      <c r="O52" s="11">
        <f t="shared" si="35"/>
        <v>0</v>
      </c>
      <c r="P52" s="11">
        <f t="shared" si="35"/>
        <v>0</v>
      </c>
      <c r="Q52" s="11">
        <f t="shared" si="35"/>
        <v>0</v>
      </c>
      <c r="R52" s="11">
        <f t="shared" si="35"/>
        <v>0</v>
      </c>
      <c r="S52" s="11">
        <f t="shared" si="35"/>
        <v>21.346999999999998</v>
      </c>
      <c r="T52" s="11">
        <f t="shared" si="35"/>
        <v>0</v>
      </c>
      <c r="U52" s="11">
        <f t="shared" si="35"/>
        <v>0</v>
      </c>
      <c r="V52" s="11">
        <f t="shared" si="35"/>
        <v>0</v>
      </c>
      <c r="W52" s="11">
        <f t="shared" si="35"/>
        <v>27.463999999999999</v>
      </c>
      <c r="X52" s="11">
        <f t="shared" si="35"/>
        <v>57.952999999999996</v>
      </c>
      <c r="Y52" s="153">
        <f t="shared" si="35"/>
        <v>79.332999999999998</v>
      </c>
      <c r="Z52" s="14">
        <f t="shared" si="35"/>
        <v>72.483000000000004</v>
      </c>
      <c r="AA52" s="11">
        <f t="shared" si="35"/>
        <v>0</v>
      </c>
    </row>
    <row r="53" spans="2:27" x14ac:dyDescent="0.25">
      <c r="B53" t="s">
        <v>77</v>
      </c>
      <c r="C53" s="10">
        <f>C44-C52</f>
        <v>0</v>
      </c>
      <c r="D53" s="10">
        <f>D44-D52</f>
        <v>0</v>
      </c>
      <c r="E53" s="10">
        <f>E44-E52</f>
        <v>0</v>
      </c>
      <c r="F53" s="10">
        <f>F44-F52</f>
        <v>22.415000000000003</v>
      </c>
      <c r="G53" s="15">
        <f>G44-G52</f>
        <v>37.084000000000003</v>
      </c>
      <c r="L53" s="10">
        <f t="shared" ref="L53:AA53" si="36">L44-L52</f>
        <v>0</v>
      </c>
      <c r="M53" s="10">
        <f t="shared" si="36"/>
        <v>0</v>
      </c>
      <c r="N53" s="10">
        <f t="shared" si="36"/>
        <v>0</v>
      </c>
      <c r="O53" s="10">
        <f t="shared" si="36"/>
        <v>0</v>
      </c>
      <c r="P53" s="10">
        <f t="shared" si="36"/>
        <v>0</v>
      </c>
      <c r="Q53" s="10">
        <f t="shared" si="36"/>
        <v>0</v>
      </c>
      <c r="R53" s="10">
        <f t="shared" si="36"/>
        <v>0</v>
      </c>
      <c r="S53" s="10">
        <f t="shared" si="36"/>
        <v>22.415000000000003</v>
      </c>
      <c r="T53" s="10">
        <f t="shared" si="36"/>
        <v>0</v>
      </c>
      <c r="U53" s="10">
        <f t="shared" si="36"/>
        <v>0</v>
      </c>
      <c r="V53" s="10">
        <f t="shared" si="36"/>
        <v>0</v>
      </c>
      <c r="W53" s="10">
        <f t="shared" si="36"/>
        <v>37.084000000000003</v>
      </c>
      <c r="X53" s="10">
        <f t="shared" si="36"/>
        <v>25.623999999999988</v>
      </c>
      <c r="Y53" s="155">
        <f t="shared" si="36"/>
        <v>30.826999999999984</v>
      </c>
      <c r="Z53" s="15">
        <f t="shared" si="36"/>
        <v>30.37700000000001</v>
      </c>
      <c r="AA53" s="10">
        <f t="shared" si="36"/>
        <v>0</v>
      </c>
    </row>
    <row r="55" spans="2:27" s="1" customFormat="1" x14ac:dyDescent="0.25">
      <c r="B55" s="1" t="s">
        <v>80</v>
      </c>
      <c r="C55" s="54"/>
      <c r="D55" s="54"/>
      <c r="E55" s="54"/>
      <c r="F55" s="54"/>
      <c r="G55" s="55"/>
      <c r="Y55" s="160"/>
      <c r="Z55" s="16"/>
    </row>
    <row r="73" spans="7:26" s="9" customFormat="1" x14ac:dyDescent="0.25">
      <c r="G73" s="41"/>
      <c r="Y73" s="161"/>
      <c r="Z73" s="41"/>
    </row>
    <row r="74" spans="7:26" s="1" customFormat="1" x14ac:dyDescent="0.25">
      <c r="G74" s="16"/>
      <c r="Y74" s="160"/>
      <c r="Z74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5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W49" sqref="W49"/>
    </sheetView>
  </sheetViews>
  <sheetFormatPr defaultRowHeight="15" x14ac:dyDescent="0.25"/>
  <sheetData>
    <row r="1" spans="1:1" x14ac:dyDescent="0.25">
      <c r="A1" s="8" t="s">
        <v>36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36</v>
      </c>
      <c r="B1" t="s">
        <v>49</v>
      </c>
      <c r="C1" s="17" t="s">
        <v>50</v>
      </c>
    </row>
    <row r="2" spans="1:13" x14ac:dyDescent="0.25">
      <c r="B2" s="12"/>
      <c r="C2" s="18"/>
      <c r="E2" t="s">
        <v>49</v>
      </c>
      <c r="F2" t="s">
        <v>51</v>
      </c>
      <c r="M2" t="s">
        <v>52</v>
      </c>
    </row>
    <row r="3" spans="1:13" x14ac:dyDescent="0.25">
      <c r="B3" s="12"/>
      <c r="C3" s="18"/>
      <c r="E3" s="12">
        <v>45328</v>
      </c>
      <c r="F3" t="s">
        <v>54</v>
      </c>
      <c r="M3" s="12"/>
    </row>
    <row r="4" spans="1:13" x14ac:dyDescent="0.25">
      <c r="B4" s="12"/>
      <c r="C4" s="18"/>
      <c r="E4" s="12">
        <v>45302</v>
      </c>
      <c r="F4" t="s">
        <v>54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36</v>
      </c>
      <c r="B1" s="1" t="s">
        <v>49</v>
      </c>
      <c r="C1" s="1" t="s">
        <v>0</v>
      </c>
      <c r="D1" s="1" t="s">
        <v>93</v>
      </c>
      <c r="H1" s="142" t="s">
        <v>94</v>
      </c>
      <c r="I1" s="143"/>
      <c r="J1" s="143"/>
      <c r="K1" s="143"/>
      <c r="L1" s="143"/>
      <c r="M1" s="144"/>
    </row>
    <row r="2" spans="1:13" ht="15.75" thickBot="1" x14ac:dyDescent="0.3">
      <c r="D2" t="e">
        <f>C2/C3-1</f>
        <v>#DIV/0!</v>
      </c>
      <c r="H2" s="65"/>
      <c r="I2" s="66"/>
      <c r="J2" s="66"/>
      <c r="K2" s="66"/>
      <c r="L2" s="66"/>
      <c r="M2" s="67"/>
    </row>
    <row r="3" spans="1:13" ht="15.75" thickBot="1" x14ac:dyDescent="0.3">
      <c r="D3" t="e">
        <f t="shared" ref="D3:D66" si="0">C3/C4-1</f>
        <v>#DIV/0!</v>
      </c>
      <c r="H3" s="68" t="s">
        <v>95</v>
      </c>
      <c r="I3" s="69" t="s">
        <v>96</v>
      </c>
      <c r="J3" s="70" t="s">
        <v>97</v>
      </c>
      <c r="K3" s="71" t="s">
        <v>98</v>
      </c>
      <c r="L3" s="71" t="s">
        <v>99</v>
      </c>
      <c r="M3" s="72" t="s">
        <v>100</v>
      </c>
    </row>
    <row r="4" spans="1:13" x14ac:dyDescent="0.25">
      <c r="D4" t="e">
        <f t="shared" si="0"/>
        <v>#DIV/0!</v>
      </c>
      <c r="H4" s="73" t="e">
        <f>$I$19-3*$I$23</f>
        <v>#DIV/0!</v>
      </c>
      <c r="I4" s="74" t="e">
        <f>H4</f>
        <v>#DIV/0!</v>
      </c>
      <c r="J4" s="75">
        <f>COUNTIF(D:D,"&lt;="&amp;H4)</f>
        <v>67</v>
      </c>
      <c r="K4" s="75" t="e">
        <f>"Less than "&amp;TEXT(H4,"0,00%")</f>
        <v>#DIV/0!</v>
      </c>
      <c r="L4" s="76" t="e">
        <f>J4/$I$31</f>
        <v>#DIV/0!</v>
      </c>
      <c r="M4" s="77" t="e">
        <f>L4</f>
        <v>#DIV/0!</v>
      </c>
    </row>
    <row r="5" spans="1:13" x14ac:dyDescent="0.25">
      <c r="D5" t="e">
        <f t="shared" si="0"/>
        <v>#DIV/0!</v>
      </c>
      <c r="H5" s="78" t="e">
        <f>$I$19-2.4*$I$23</f>
        <v>#DIV/0!</v>
      </c>
      <c r="I5" s="79" t="e">
        <f>H5</f>
        <v>#DIV/0!</v>
      </c>
      <c r="J5" s="80">
        <f>COUNTIFS(D:D,"&lt;="&amp;H5,D:D,"&gt;"&amp;H4)</f>
        <v>67</v>
      </c>
      <c r="K5" s="81" t="e">
        <f t="shared" ref="K5:K14" si="1">TEXT(H4,"0,00%")&amp;" to "&amp;TEXT(H5,"0,00%")</f>
        <v>#DIV/0!</v>
      </c>
      <c r="L5" s="82" t="e">
        <f>J5/$I$31</f>
        <v>#DIV/0!</v>
      </c>
      <c r="M5" s="83" t="e">
        <f>M4+L5</f>
        <v>#DIV/0!</v>
      </c>
    </row>
    <row r="6" spans="1:13" x14ac:dyDescent="0.25">
      <c r="D6" t="e">
        <f t="shared" si="0"/>
        <v>#DIV/0!</v>
      </c>
      <c r="H6" s="78" t="e">
        <f>$I$19-1.8*$I$23</f>
        <v>#DIV/0!</v>
      </c>
      <c r="I6" s="79" t="e">
        <f t="shared" ref="I6:I14" si="2">H6</f>
        <v>#DIV/0!</v>
      </c>
      <c r="J6" s="80">
        <f t="shared" ref="J6:J14" si="3">COUNTIFS(D:D,"&lt;="&amp;H6,D:D,"&gt;"&amp;H5)</f>
        <v>67</v>
      </c>
      <c r="K6" s="81" t="e">
        <f t="shared" si="1"/>
        <v>#DIV/0!</v>
      </c>
      <c r="L6" s="82" t="e">
        <f t="shared" ref="L6:L15" si="4">J6/$I$31</f>
        <v>#DIV/0!</v>
      </c>
      <c r="M6" s="83" t="e">
        <f t="shared" ref="M6:M15" si="5">M5+L6</f>
        <v>#DIV/0!</v>
      </c>
    </row>
    <row r="7" spans="1:13" x14ac:dyDescent="0.25">
      <c r="D7" t="e">
        <f t="shared" si="0"/>
        <v>#DIV/0!</v>
      </c>
      <c r="H7" s="78" t="e">
        <f>$I$19-1.2*$I$23</f>
        <v>#DIV/0!</v>
      </c>
      <c r="I7" s="79" t="e">
        <f t="shared" si="2"/>
        <v>#DIV/0!</v>
      </c>
      <c r="J7" s="80">
        <f t="shared" si="3"/>
        <v>67</v>
      </c>
      <c r="K7" s="81" t="e">
        <f t="shared" si="1"/>
        <v>#DIV/0!</v>
      </c>
      <c r="L7" s="82" t="e">
        <f t="shared" si="4"/>
        <v>#DIV/0!</v>
      </c>
      <c r="M7" s="83" t="e">
        <f t="shared" si="5"/>
        <v>#DIV/0!</v>
      </c>
    </row>
    <row r="8" spans="1:13" x14ac:dyDescent="0.25">
      <c r="D8" t="e">
        <f t="shared" si="0"/>
        <v>#DIV/0!</v>
      </c>
      <c r="H8" s="78" t="e">
        <f>$I$19-0.6*$I$23</f>
        <v>#DIV/0!</v>
      </c>
      <c r="I8" s="79" t="e">
        <f t="shared" si="2"/>
        <v>#DIV/0!</v>
      </c>
      <c r="J8" s="80">
        <f t="shared" si="3"/>
        <v>67</v>
      </c>
      <c r="K8" s="81" t="e">
        <f t="shared" si="1"/>
        <v>#DIV/0!</v>
      </c>
      <c r="L8" s="82" t="e">
        <f t="shared" si="4"/>
        <v>#DIV/0!</v>
      </c>
      <c r="M8" s="83" t="e">
        <f t="shared" si="5"/>
        <v>#DIV/0!</v>
      </c>
    </row>
    <row r="9" spans="1:13" x14ac:dyDescent="0.25">
      <c r="D9" t="e">
        <f t="shared" si="0"/>
        <v>#DIV/0!</v>
      </c>
      <c r="H9" s="78" t="e">
        <f>$I$19</f>
        <v>#DIV/0!</v>
      </c>
      <c r="I9" s="79" t="e">
        <f t="shared" si="2"/>
        <v>#DIV/0!</v>
      </c>
      <c r="J9" s="80">
        <f t="shared" si="3"/>
        <v>67</v>
      </c>
      <c r="K9" s="81" t="e">
        <f t="shared" si="1"/>
        <v>#DIV/0!</v>
      </c>
      <c r="L9" s="82" t="e">
        <f t="shared" si="4"/>
        <v>#DIV/0!</v>
      </c>
      <c r="M9" s="83" t="e">
        <f t="shared" si="5"/>
        <v>#DIV/0!</v>
      </c>
    </row>
    <row r="10" spans="1:13" x14ac:dyDescent="0.25">
      <c r="D10" t="e">
        <f t="shared" si="0"/>
        <v>#DIV/0!</v>
      </c>
      <c r="H10" s="78" t="e">
        <f>$I$19+0.6*$I$23</f>
        <v>#DIV/0!</v>
      </c>
      <c r="I10" s="79" t="e">
        <f t="shared" si="2"/>
        <v>#DIV/0!</v>
      </c>
      <c r="J10" s="80">
        <f t="shared" si="3"/>
        <v>67</v>
      </c>
      <c r="K10" s="81" t="e">
        <f t="shared" si="1"/>
        <v>#DIV/0!</v>
      </c>
      <c r="L10" s="82" t="e">
        <f t="shared" si="4"/>
        <v>#DIV/0!</v>
      </c>
      <c r="M10" s="83" t="e">
        <f t="shared" si="5"/>
        <v>#DIV/0!</v>
      </c>
    </row>
    <row r="11" spans="1:13" x14ac:dyDescent="0.25">
      <c r="D11" t="e">
        <f t="shared" si="0"/>
        <v>#DIV/0!</v>
      </c>
      <c r="H11" s="78" t="e">
        <f>$I$19+1.2*$I$23</f>
        <v>#DIV/0!</v>
      </c>
      <c r="I11" s="79" t="e">
        <f t="shared" si="2"/>
        <v>#DIV/0!</v>
      </c>
      <c r="J11" s="80">
        <f t="shared" si="3"/>
        <v>67</v>
      </c>
      <c r="K11" s="81" t="e">
        <f t="shared" si="1"/>
        <v>#DIV/0!</v>
      </c>
      <c r="L11" s="82" t="e">
        <f t="shared" si="4"/>
        <v>#DIV/0!</v>
      </c>
      <c r="M11" s="83" t="e">
        <f t="shared" si="5"/>
        <v>#DIV/0!</v>
      </c>
    </row>
    <row r="12" spans="1:13" x14ac:dyDescent="0.25">
      <c r="D12" t="e">
        <f t="shared" si="0"/>
        <v>#DIV/0!</v>
      </c>
      <c r="H12" s="78" t="e">
        <f>$I$19+1.8*$I$23</f>
        <v>#DIV/0!</v>
      </c>
      <c r="I12" s="79" t="e">
        <f t="shared" si="2"/>
        <v>#DIV/0!</v>
      </c>
      <c r="J12" s="80">
        <f t="shared" si="3"/>
        <v>67</v>
      </c>
      <c r="K12" s="81" t="e">
        <f t="shared" si="1"/>
        <v>#DIV/0!</v>
      </c>
      <c r="L12" s="82" t="e">
        <f t="shared" si="4"/>
        <v>#DIV/0!</v>
      </c>
      <c r="M12" s="83" t="e">
        <f t="shared" si="5"/>
        <v>#DIV/0!</v>
      </c>
    </row>
    <row r="13" spans="1:13" x14ac:dyDescent="0.25">
      <c r="D13" t="e">
        <f t="shared" si="0"/>
        <v>#DIV/0!</v>
      </c>
      <c r="H13" s="78" t="e">
        <f>$I$19+2.4*$I$23</f>
        <v>#DIV/0!</v>
      </c>
      <c r="I13" s="79" t="e">
        <f t="shared" si="2"/>
        <v>#DIV/0!</v>
      </c>
      <c r="J13" s="80">
        <f t="shared" si="3"/>
        <v>67</v>
      </c>
      <c r="K13" s="81" t="e">
        <f t="shared" si="1"/>
        <v>#DIV/0!</v>
      </c>
      <c r="L13" s="82" t="e">
        <f t="shared" si="4"/>
        <v>#DIV/0!</v>
      </c>
      <c r="M13" s="83" t="e">
        <f t="shared" si="5"/>
        <v>#DIV/0!</v>
      </c>
    </row>
    <row r="14" spans="1:13" x14ac:dyDescent="0.25">
      <c r="D14" t="e">
        <f t="shared" si="0"/>
        <v>#DIV/0!</v>
      </c>
      <c r="H14" s="78" t="e">
        <f>$I$19+3*$I$23</f>
        <v>#DIV/0!</v>
      </c>
      <c r="I14" s="79" t="e">
        <f t="shared" si="2"/>
        <v>#DIV/0!</v>
      </c>
      <c r="J14" s="80">
        <f t="shared" si="3"/>
        <v>67</v>
      </c>
      <c r="K14" s="81" t="e">
        <f t="shared" si="1"/>
        <v>#DIV/0!</v>
      </c>
      <c r="L14" s="82" t="e">
        <f t="shared" si="4"/>
        <v>#DIV/0!</v>
      </c>
      <c r="M14" s="83" t="e">
        <f t="shared" si="5"/>
        <v>#DIV/0!</v>
      </c>
    </row>
    <row r="15" spans="1:13" ht="15.75" thickBot="1" x14ac:dyDescent="0.3">
      <c r="D15" t="e">
        <f t="shared" si="0"/>
        <v>#DIV/0!</v>
      </c>
      <c r="H15" s="84"/>
      <c r="I15" s="85" t="s">
        <v>101</v>
      </c>
      <c r="J15" s="85">
        <f>COUNTIF(D:D,"&gt;"&amp;H14)</f>
        <v>67</v>
      </c>
      <c r="K15" s="85" t="e">
        <f>"Greater than "&amp;TEXT(H14,"0,00%")</f>
        <v>#DIV/0!</v>
      </c>
      <c r="L15" s="86" t="e">
        <f t="shared" si="4"/>
        <v>#DIV/0!</v>
      </c>
      <c r="M15" s="86" t="e">
        <f t="shared" si="5"/>
        <v>#DIV/0!</v>
      </c>
    </row>
    <row r="16" spans="1:13" ht="15.75" thickBot="1" x14ac:dyDescent="0.3">
      <c r="D16" t="e">
        <f t="shared" si="0"/>
        <v>#DIV/0!</v>
      </c>
      <c r="H16" s="87"/>
      <c r="M16" s="88"/>
    </row>
    <row r="17" spans="4:13" x14ac:dyDescent="0.25">
      <c r="D17" t="e">
        <f t="shared" si="0"/>
        <v>#DIV/0!</v>
      </c>
      <c r="H17" s="145" t="s">
        <v>132</v>
      </c>
      <c r="I17" s="146"/>
      <c r="M17" s="88"/>
    </row>
    <row r="18" spans="4:13" x14ac:dyDescent="0.25">
      <c r="D18" t="e">
        <f t="shared" si="0"/>
        <v>#DIV/0!</v>
      </c>
      <c r="H18" s="147"/>
      <c r="I18" s="148"/>
      <c r="M18" s="88"/>
    </row>
    <row r="19" spans="4:13" x14ac:dyDescent="0.25">
      <c r="D19" t="e">
        <f t="shared" si="0"/>
        <v>#DIV/0!</v>
      </c>
      <c r="H19" s="89" t="s">
        <v>102</v>
      </c>
      <c r="I19" s="126" t="e">
        <f>AVERAGE(D:D)</f>
        <v>#DIV/0!</v>
      </c>
      <c r="M19" s="88"/>
    </row>
    <row r="20" spans="4:13" x14ac:dyDescent="0.25">
      <c r="D20" t="e">
        <f t="shared" si="0"/>
        <v>#DIV/0!</v>
      </c>
      <c r="H20" s="89" t="s">
        <v>103</v>
      </c>
      <c r="I20" s="126" t="e">
        <f>_xlfn.STDEV.S(D:D)/SQRT(COUNT(D:D))</f>
        <v>#DIV/0!</v>
      </c>
      <c r="M20" s="88"/>
    </row>
    <row r="21" spans="4:13" x14ac:dyDescent="0.25">
      <c r="D21" t="e">
        <f t="shared" si="0"/>
        <v>#DIV/0!</v>
      </c>
      <c r="H21" s="89" t="s">
        <v>104</v>
      </c>
      <c r="I21" s="126" t="e">
        <f>MEDIAN(D:D)</f>
        <v>#DIV/0!</v>
      </c>
      <c r="M21" s="88"/>
    </row>
    <row r="22" spans="4:13" x14ac:dyDescent="0.25">
      <c r="D22" t="e">
        <f t="shared" si="0"/>
        <v>#DIV/0!</v>
      </c>
      <c r="H22" s="89" t="s">
        <v>105</v>
      </c>
      <c r="I22" s="126" t="e">
        <f>MODE(D:D)</f>
        <v>#DIV/0!</v>
      </c>
      <c r="M22" s="88"/>
    </row>
    <row r="23" spans="4:13" x14ac:dyDescent="0.25">
      <c r="D23" t="e">
        <f t="shared" si="0"/>
        <v>#DIV/0!</v>
      </c>
      <c r="H23" s="89" t="s">
        <v>106</v>
      </c>
      <c r="I23" s="126" t="e">
        <f>_xlfn.STDEV.S(D:D)</f>
        <v>#DIV/0!</v>
      </c>
      <c r="M23" s="88"/>
    </row>
    <row r="24" spans="4:13" x14ac:dyDescent="0.25">
      <c r="D24" t="e">
        <f t="shared" si="0"/>
        <v>#DIV/0!</v>
      </c>
      <c r="H24" s="89" t="s">
        <v>107</v>
      </c>
      <c r="I24" s="126" t="e">
        <f>_xlfn.VAR.S(D:D)</f>
        <v>#DIV/0!</v>
      </c>
      <c r="M24" s="88"/>
    </row>
    <row r="25" spans="4:13" x14ac:dyDescent="0.25">
      <c r="D25" t="e">
        <f t="shared" si="0"/>
        <v>#DIV/0!</v>
      </c>
      <c r="H25" s="89" t="s">
        <v>108</v>
      </c>
      <c r="I25" s="127" t="e">
        <f>KURT(D:D)</f>
        <v>#DIV/0!</v>
      </c>
      <c r="M25" s="88"/>
    </row>
    <row r="26" spans="4:13" x14ac:dyDescent="0.25">
      <c r="D26" t="e">
        <f t="shared" si="0"/>
        <v>#DIV/0!</v>
      </c>
      <c r="H26" s="89" t="s">
        <v>109</v>
      </c>
      <c r="I26" s="127" t="e">
        <f>SKEW(D:D)</f>
        <v>#DIV/0!</v>
      </c>
      <c r="M26" s="88"/>
    </row>
    <row r="27" spans="4:13" x14ac:dyDescent="0.25">
      <c r="D27" t="e">
        <f t="shared" si="0"/>
        <v>#DIV/0!</v>
      </c>
      <c r="H27" s="89" t="s">
        <v>98</v>
      </c>
      <c r="I27" s="126" t="e">
        <f>I29-I28</f>
        <v>#DIV/0!</v>
      </c>
      <c r="M27" s="88"/>
    </row>
    <row r="28" spans="4:13" x14ac:dyDescent="0.25">
      <c r="D28" t="e">
        <f t="shared" si="0"/>
        <v>#DIV/0!</v>
      </c>
      <c r="H28" s="89" t="s">
        <v>110</v>
      </c>
      <c r="I28" s="126" t="e">
        <f>MIN(D:D)</f>
        <v>#DIV/0!</v>
      </c>
      <c r="M28" s="88"/>
    </row>
    <row r="29" spans="4:13" x14ac:dyDescent="0.25">
      <c r="D29" t="e">
        <f t="shared" si="0"/>
        <v>#DIV/0!</v>
      </c>
      <c r="H29" s="89" t="s">
        <v>111</v>
      </c>
      <c r="I29" s="126" t="e">
        <f>MAX(D:D)</f>
        <v>#DIV/0!</v>
      </c>
      <c r="M29" s="88"/>
    </row>
    <row r="30" spans="4:13" x14ac:dyDescent="0.25">
      <c r="D30" t="e">
        <f t="shared" si="0"/>
        <v>#DIV/0!</v>
      </c>
      <c r="H30" s="89" t="s">
        <v>112</v>
      </c>
      <c r="I30" s="127" t="e">
        <f>SUM(D:D)</f>
        <v>#DIV/0!</v>
      </c>
      <c r="M30" s="88"/>
    </row>
    <row r="31" spans="4:13" ht="15.75" thickBot="1" x14ac:dyDescent="0.3">
      <c r="D31" t="e">
        <f t="shared" si="0"/>
        <v>#DIV/0!</v>
      </c>
      <c r="H31" s="90" t="s">
        <v>113</v>
      </c>
      <c r="I31" s="67">
        <f>COUNT(D:D)</f>
        <v>0</v>
      </c>
      <c r="M31" s="88"/>
    </row>
    <row r="32" spans="4:13" ht="15.75" thickBot="1" x14ac:dyDescent="0.3">
      <c r="D32" t="e">
        <f t="shared" si="0"/>
        <v>#DIV/0!</v>
      </c>
      <c r="H32" s="92"/>
      <c r="M32" s="88"/>
    </row>
    <row r="33" spans="4:13" x14ac:dyDescent="0.25">
      <c r="D33" t="e">
        <f t="shared" si="0"/>
        <v>#DIV/0!</v>
      </c>
      <c r="H33" s="93"/>
      <c r="I33" s="94" t="s">
        <v>114</v>
      </c>
      <c r="J33" s="94" t="s">
        <v>113</v>
      </c>
      <c r="K33" s="94" t="s">
        <v>115</v>
      </c>
      <c r="L33" s="95" t="s">
        <v>116</v>
      </c>
      <c r="M33" s="88"/>
    </row>
    <row r="34" spans="4:13" x14ac:dyDescent="0.25">
      <c r="D34" t="e">
        <f t="shared" si="0"/>
        <v>#DIV/0!</v>
      </c>
      <c r="H34" s="96" t="s">
        <v>117</v>
      </c>
      <c r="I34" s="82" t="e">
        <f>AVERAGEIF(D:D,"&gt;0")</f>
        <v>#DIV/0!</v>
      </c>
      <c r="J34" s="80">
        <f>COUNTIF(D:D,"&gt;0")</f>
        <v>0</v>
      </c>
      <c r="K34" s="82" t="e">
        <f>J34/$I$31</f>
        <v>#DIV/0!</v>
      </c>
      <c r="L34" s="83" t="e">
        <f>K34*I34</f>
        <v>#DIV/0!</v>
      </c>
      <c r="M34" s="88"/>
    </row>
    <row r="35" spans="4:13" x14ac:dyDescent="0.25">
      <c r="D35" t="e">
        <f t="shared" si="0"/>
        <v>#DIV/0!</v>
      </c>
      <c r="H35" s="96" t="s">
        <v>118</v>
      </c>
      <c r="I35" s="82" t="e">
        <f>AVERAGEIF(D:D,"&lt;0")</f>
        <v>#DIV/0!</v>
      </c>
      <c r="J35" s="80">
        <f>COUNTIF(D:D,"&lt;0")</f>
        <v>0</v>
      </c>
      <c r="K35" s="82" t="e">
        <f>J35/$I$31</f>
        <v>#DIV/0!</v>
      </c>
      <c r="L35" s="83" t="e">
        <f t="shared" ref="L35:L36" si="6">K35*I35</f>
        <v>#DIV/0!</v>
      </c>
      <c r="M35" s="88"/>
    </row>
    <row r="36" spans="4:13" ht="15.75" thickBot="1" x14ac:dyDescent="0.3">
      <c r="D36" t="e">
        <f t="shared" si="0"/>
        <v>#DIV/0!</v>
      </c>
      <c r="H36" s="97" t="s">
        <v>119</v>
      </c>
      <c r="I36" s="85">
        <v>0</v>
      </c>
      <c r="J36" s="85">
        <f>COUNTIF(D:D,"0")</f>
        <v>0</v>
      </c>
      <c r="K36" s="98" t="e">
        <f>J36/$I$31</f>
        <v>#DIV/0!</v>
      </c>
      <c r="L36" s="86" t="e">
        <f t="shared" si="6"/>
        <v>#DIV/0!</v>
      </c>
      <c r="M36" s="88"/>
    </row>
    <row r="37" spans="4:13" ht="15.75" thickBot="1" x14ac:dyDescent="0.3">
      <c r="D37" t="e">
        <f t="shared" si="0"/>
        <v>#DIV/0!</v>
      </c>
      <c r="H37" s="92"/>
      <c r="I37" s="99"/>
      <c r="J37" s="99"/>
      <c r="K37" s="99"/>
      <c r="L37" s="99"/>
      <c r="M37" s="88"/>
    </row>
    <row r="38" spans="4:13" x14ac:dyDescent="0.25">
      <c r="D38" t="e">
        <f t="shared" si="0"/>
        <v>#DIV/0!</v>
      </c>
      <c r="H38" s="73" t="s">
        <v>120</v>
      </c>
      <c r="I38" s="94" t="s">
        <v>121</v>
      </c>
      <c r="J38" s="94" t="s">
        <v>122</v>
      </c>
      <c r="K38" s="94" t="s">
        <v>123</v>
      </c>
      <c r="L38" s="94" t="s">
        <v>124</v>
      </c>
      <c r="M38" s="95" t="s">
        <v>125</v>
      </c>
    </row>
    <row r="39" spans="4:13" x14ac:dyDescent="0.25">
      <c r="D39" t="e">
        <f t="shared" si="0"/>
        <v>#DIV/0!</v>
      </c>
      <c r="H39" s="100">
        <v>1</v>
      </c>
      <c r="I39" s="82" t="e">
        <f>$I$19+($H39*$I$23)</f>
        <v>#DIV/0!</v>
      </c>
      <c r="J39" s="82" t="e">
        <f>$I$19-($H39*$I$23)</f>
        <v>#DIV/0!</v>
      </c>
      <c r="K39" s="80">
        <f>COUNTIFS(D:D,"&lt;"&amp;I39,D:D,"&gt;"&amp;J39)</f>
        <v>67</v>
      </c>
      <c r="L39" s="82" t="e">
        <f>K39/$I$31</f>
        <v>#DIV/0!</v>
      </c>
      <c r="M39" s="83">
        <v>0.68269999999999997</v>
      </c>
    </row>
    <row r="40" spans="4:13" x14ac:dyDescent="0.25">
      <c r="D40" t="e">
        <f t="shared" si="0"/>
        <v>#DIV/0!</v>
      </c>
      <c r="H40" s="100">
        <v>2</v>
      </c>
      <c r="I40" s="82" t="e">
        <f>$I$19+($H40*$I$23)</f>
        <v>#DIV/0!</v>
      </c>
      <c r="J40" s="82" t="e">
        <f>$I$19-($H40*$I$23)</f>
        <v>#DIV/0!</v>
      </c>
      <c r="K40" s="80">
        <f>COUNTIFS(D:D,"&lt;"&amp;I40,D:D,"&gt;"&amp;J40)</f>
        <v>67</v>
      </c>
      <c r="L40" s="82" t="e">
        <f>K40/$I$31</f>
        <v>#DIV/0!</v>
      </c>
      <c r="M40" s="83">
        <v>0.95450000000000002</v>
      </c>
    </row>
    <row r="41" spans="4:13" x14ac:dyDescent="0.25">
      <c r="D41" t="e">
        <f t="shared" si="0"/>
        <v>#DIV/0!</v>
      </c>
      <c r="H41" s="100">
        <v>3</v>
      </c>
      <c r="I41" s="82" t="e">
        <f>$I$19+($H41*$I$23)</f>
        <v>#DIV/0!</v>
      </c>
      <c r="J41" s="82" t="e">
        <f>$I$19-($H41*$I$23)</f>
        <v>#DIV/0!</v>
      </c>
      <c r="K41" s="80">
        <f>COUNTIFS(D:D,"&lt;"&amp;I41,D:D,"&gt;"&amp;J41)</f>
        <v>67</v>
      </c>
      <c r="L41" s="82" t="e">
        <f>K41/$I$31</f>
        <v>#DIV/0!</v>
      </c>
      <c r="M41" s="101">
        <v>0.99729999999999996</v>
      </c>
    </row>
    <row r="42" spans="4:13" ht="15.75" thickBot="1" x14ac:dyDescent="0.3">
      <c r="D42" t="e">
        <f t="shared" si="0"/>
        <v>#DIV/0!</v>
      </c>
      <c r="H42" s="78"/>
      <c r="M42" s="101"/>
    </row>
    <row r="43" spans="4:13" ht="15.75" thickBot="1" x14ac:dyDescent="0.3">
      <c r="D43" t="e">
        <f t="shared" si="0"/>
        <v>#DIV/0!</v>
      </c>
      <c r="H43" s="149" t="s">
        <v>126</v>
      </c>
      <c r="I43" s="150"/>
      <c r="J43" s="150"/>
      <c r="K43" s="150"/>
      <c r="L43" s="150"/>
      <c r="M43" s="151"/>
    </row>
    <row r="44" spans="4:13" x14ac:dyDescent="0.25">
      <c r="D44" t="e">
        <f t="shared" si="0"/>
        <v>#DIV/0!</v>
      </c>
      <c r="H44" s="102">
        <v>0.01</v>
      </c>
      <c r="I44" s="103" t="e">
        <f t="shared" ref="I44:I58" si="7">_xlfn.PERCENTILE.INC(D:D,H44)</f>
        <v>#DIV/0!</v>
      </c>
      <c r="J44" s="104">
        <v>0.2</v>
      </c>
      <c r="K44" s="103" t="e">
        <f t="shared" ref="K44:K56" si="8">_xlfn.PERCENTILE.INC(D:D,J44)</f>
        <v>#DIV/0!</v>
      </c>
      <c r="L44" s="104">
        <v>0.85</v>
      </c>
      <c r="M44" s="105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06">
        <v>0.02</v>
      </c>
      <c r="I45" s="107" t="e">
        <f t="shared" si="7"/>
        <v>#DIV/0!</v>
      </c>
      <c r="J45" s="108">
        <v>0.25</v>
      </c>
      <c r="K45" s="107" t="e">
        <f t="shared" si="8"/>
        <v>#DIV/0!</v>
      </c>
      <c r="L45" s="108">
        <v>0.86</v>
      </c>
      <c r="M45" s="109" t="e">
        <f t="shared" si="9"/>
        <v>#DIV/0!</v>
      </c>
    </row>
    <row r="46" spans="4:13" x14ac:dyDescent="0.25">
      <c r="D46" t="e">
        <f t="shared" si="0"/>
        <v>#DIV/0!</v>
      </c>
      <c r="H46" s="106">
        <v>0.03</v>
      </c>
      <c r="I46" s="107" t="e">
        <f t="shared" si="7"/>
        <v>#DIV/0!</v>
      </c>
      <c r="J46" s="108">
        <v>0.3</v>
      </c>
      <c r="K46" s="107" t="e">
        <f t="shared" si="8"/>
        <v>#DIV/0!</v>
      </c>
      <c r="L46" s="108">
        <v>0.87</v>
      </c>
      <c r="M46" s="109" t="e">
        <f t="shared" si="9"/>
        <v>#DIV/0!</v>
      </c>
    </row>
    <row r="47" spans="4:13" x14ac:dyDescent="0.25">
      <c r="D47" t="e">
        <f t="shared" si="0"/>
        <v>#DIV/0!</v>
      </c>
      <c r="H47" s="106">
        <v>0.04</v>
      </c>
      <c r="I47" s="107" t="e">
        <f t="shared" si="7"/>
        <v>#DIV/0!</v>
      </c>
      <c r="J47" s="108">
        <v>0.35</v>
      </c>
      <c r="K47" s="107" t="e">
        <f t="shared" si="8"/>
        <v>#DIV/0!</v>
      </c>
      <c r="L47" s="108">
        <v>0.88</v>
      </c>
      <c r="M47" s="109" t="e">
        <f t="shared" si="9"/>
        <v>#DIV/0!</v>
      </c>
    </row>
    <row r="48" spans="4:13" x14ac:dyDescent="0.25">
      <c r="D48" t="e">
        <f t="shared" si="0"/>
        <v>#DIV/0!</v>
      </c>
      <c r="H48" s="106">
        <v>0.05</v>
      </c>
      <c r="I48" s="107" t="e">
        <f t="shared" si="7"/>
        <v>#DIV/0!</v>
      </c>
      <c r="J48" s="108">
        <v>0.4</v>
      </c>
      <c r="K48" s="107" t="e">
        <f t="shared" si="8"/>
        <v>#DIV/0!</v>
      </c>
      <c r="L48" s="108">
        <v>0.89</v>
      </c>
      <c r="M48" s="109" t="e">
        <f t="shared" si="9"/>
        <v>#DIV/0!</v>
      </c>
    </row>
    <row r="49" spans="4:13" x14ac:dyDescent="0.25">
      <c r="D49" t="e">
        <f t="shared" si="0"/>
        <v>#DIV/0!</v>
      </c>
      <c r="H49" s="106">
        <v>0.06</v>
      </c>
      <c r="I49" s="107" t="e">
        <f t="shared" si="7"/>
        <v>#DIV/0!</v>
      </c>
      <c r="J49" s="108">
        <v>0.45</v>
      </c>
      <c r="K49" s="107" t="e">
        <f t="shared" si="8"/>
        <v>#DIV/0!</v>
      </c>
      <c r="L49" s="108">
        <v>0.9</v>
      </c>
      <c r="M49" s="109" t="e">
        <f t="shared" si="9"/>
        <v>#DIV/0!</v>
      </c>
    </row>
    <row r="50" spans="4:13" x14ac:dyDescent="0.25">
      <c r="D50" t="e">
        <f t="shared" si="0"/>
        <v>#DIV/0!</v>
      </c>
      <c r="H50" s="106">
        <v>7.0000000000000007E-2</v>
      </c>
      <c r="I50" s="107" t="e">
        <f t="shared" si="7"/>
        <v>#DIV/0!</v>
      </c>
      <c r="J50" s="108">
        <v>0.5</v>
      </c>
      <c r="K50" s="107" t="e">
        <f t="shared" si="8"/>
        <v>#DIV/0!</v>
      </c>
      <c r="L50" s="108">
        <v>0.91</v>
      </c>
      <c r="M50" s="109" t="e">
        <f t="shared" si="9"/>
        <v>#DIV/0!</v>
      </c>
    </row>
    <row r="51" spans="4:13" x14ac:dyDescent="0.25">
      <c r="D51" t="e">
        <f t="shared" si="0"/>
        <v>#DIV/0!</v>
      </c>
      <c r="H51" s="106">
        <v>0.08</v>
      </c>
      <c r="I51" s="107" t="e">
        <f t="shared" si="7"/>
        <v>#DIV/0!</v>
      </c>
      <c r="J51" s="108">
        <v>0.55000000000000004</v>
      </c>
      <c r="K51" s="107" t="e">
        <f t="shared" si="8"/>
        <v>#DIV/0!</v>
      </c>
      <c r="L51" s="108">
        <v>0.92</v>
      </c>
      <c r="M51" s="109" t="e">
        <f t="shared" si="9"/>
        <v>#DIV/0!</v>
      </c>
    </row>
    <row r="52" spans="4:13" x14ac:dyDescent="0.25">
      <c r="D52" t="e">
        <f t="shared" si="0"/>
        <v>#DIV/0!</v>
      </c>
      <c r="H52" s="106">
        <v>0.09</v>
      </c>
      <c r="I52" s="107" t="e">
        <f t="shared" si="7"/>
        <v>#DIV/0!</v>
      </c>
      <c r="J52" s="108">
        <v>0.6</v>
      </c>
      <c r="K52" s="107" t="e">
        <f t="shared" si="8"/>
        <v>#DIV/0!</v>
      </c>
      <c r="L52" s="108">
        <v>0.93</v>
      </c>
      <c r="M52" s="109" t="e">
        <f t="shared" si="9"/>
        <v>#DIV/0!</v>
      </c>
    </row>
    <row r="53" spans="4:13" x14ac:dyDescent="0.25">
      <c r="D53" t="e">
        <f t="shared" si="0"/>
        <v>#DIV/0!</v>
      </c>
      <c r="H53" s="106">
        <v>0.1</v>
      </c>
      <c r="I53" s="107" t="e">
        <f t="shared" si="7"/>
        <v>#DIV/0!</v>
      </c>
      <c r="J53" s="108">
        <v>0.65</v>
      </c>
      <c r="K53" s="107" t="e">
        <f t="shared" si="8"/>
        <v>#DIV/0!</v>
      </c>
      <c r="L53" s="108">
        <v>0.94</v>
      </c>
      <c r="M53" s="109" t="e">
        <f t="shared" si="9"/>
        <v>#DIV/0!</v>
      </c>
    </row>
    <row r="54" spans="4:13" x14ac:dyDescent="0.25">
      <c r="D54" t="e">
        <f t="shared" si="0"/>
        <v>#DIV/0!</v>
      </c>
      <c r="H54" s="106">
        <v>0.11</v>
      </c>
      <c r="I54" s="107" t="e">
        <f t="shared" si="7"/>
        <v>#DIV/0!</v>
      </c>
      <c r="J54" s="108">
        <v>0.7</v>
      </c>
      <c r="K54" s="107" t="e">
        <f t="shared" si="8"/>
        <v>#DIV/0!</v>
      </c>
      <c r="L54" s="108">
        <v>0.95</v>
      </c>
      <c r="M54" s="109" t="e">
        <f t="shared" si="9"/>
        <v>#DIV/0!</v>
      </c>
    </row>
    <row r="55" spans="4:13" x14ac:dyDescent="0.25">
      <c r="D55" t="e">
        <f t="shared" si="0"/>
        <v>#DIV/0!</v>
      </c>
      <c r="H55" s="106">
        <v>0.12</v>
      </c>
      <c r="I55" s="107" t="e">
        <f t="shared" si="7"/>
        <v>#DIV/0!</v>
      </c>
      <c r="J55" s="108">
        <v>0.75</v>
      </c>
      <c r="K55" s="107" t="e">
        <f t="shared" si="8"/>
        <v>#DIV/0!</v>
      </c>
      <c r="L55" s="108">
        <v>0.96</v>
      </c>
      <c r="M55" s="109" t="e">
        <f t="shared" si="9"/>
        <v>#DIV/0!</v>
      </c>
    </row>
    <row r="56" spans="4:13" x14ac:dyDescent="0.25">
      <c r="D56" t="e">
        <f t="shared" si="0"/>
        <v>#DIV/0!</v>
      </c>
      <c r="H56" s="106">
        <v>0.13</v>
      </c>
      <c r="I56" s="107" t="e">
        <f t="shared" si="7"/>
        <v>#DIV/0!</v>
      </c>
      <c r="J56" s="108">
        <v>0.8</v>
      </c>
      <c r="K56" s="107" t="e">
        <f t="shared" si="8"/>
        <v>#DIV/0!</v>
      </c>
      <c r="L56" s="108">
        <v>0.97</v>
      </c>
      <c r="M56" s="109" t="e">
        <f t="shared" si="9"/>
        <v>#DIV/0!</v>
      </c>
    </row>
    <row r="57" spans="4:13" x14ac:dyDescent="0.25">
      <c r="D57" t="e">
        <f t="shared" si="0"/>
        <v>#DIV/0!</v>
      </c>
      <c r="H57" s="106">
        <v>0.14000000000000001</v>
      </c>
      <c r="I57" s="107" t="e">
        <f t="shared" si="7"/>
        <v>#DIV/0!</v>
      </c>
      <c r="J57" s="108"/>
      <c r="K57" s="107"/>
      <c r="L57" s="108">
        <v>0.98</v>
      </c>
      <c r="M57" s="109" t="e">
        <f t="shared" si="9"/>
        <v>#DIV/0!</v>
      </c>
    </row>
    <row r="58" spans="4:13" ht="15.75" thickBot="1" x14ac:dyDescent="0.3">
      <c r="D58" t="e">
        <f t="shared" si="0"/>
        <v>#DIV/0!</v>
      </c>
      <c r="H58" s="110">
        <v>0.15</v>
      </c>
      <c r="I58" s="111" t="e">
        <f t="shared" si="7"/>
        <v>#DIV/0!</v>
      </c>
      <c r="J58" s="112"/>
      <c r="K58" s="91"/>
      <c r="L58" s="113">
        <v>0.99</v>
      </c>
      <c r="M58" s="114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15" t="s">
        <v>127</v>
      </c>
      <c r="I60" s="116"/>
    </row>
    <row r="61" spans="4:13" ht="15.75" thickBot="1" x14ac:dyDescent="0.3">
      <c r="D61" t="e">
        <f t="shared" si="0"/>
        <v>#DIV/0!</v>
      </c>
      <c r="H61" s="117" t="s">
        <v>128</v>
      </c>
      <c r="I61" s="118"/>
    </row>
    <row r="62" spans="4:13" ht="15.75" thickBot="1" x14ac:dyDescent="0.3">
      <c r="D62" t="e">
        <f t="shared" si="0"/>
        <v>#DIV/0!</v>
      </c>
      <c r="H62" s="119"/>
    </row>
    <row r="63" spans="4:13" x14ac:dyDescent="0.25">
      <c r="D63" t="e">
        <f t="shared" si="0"/>
        <v>#DIV/0!</v>
      </c>
      <c r="H63" s="115" t="s">
        <v>129</v>
      </c>
      <c r="I63" s="120"/>
    </row>
    <row r="64" spans="4:13" x14ac:dyDescent="0.25">
      <c r="D64" t="e">
        <f t="shared" si="0"/>
        <v>#DIV/0!</v>
      </c>
      <c r="H64" s="121" t="s">
        <v>130</v>
      </c>
      <c r="I64" s="122">
        <f>I63*(1-I60)</f>
        <v>0</v>
      </c>
    </row>
    <row r="65" spans="4:9" ht="15.75" thickBot="1" x14ac:dyDescent="0.3">
      <c r="D65" t="e">
        <f t="shared" si="0"/>
        <v>#DIV/0!</v>
      </c>
      <c r="H65" s="117" t="s">
        <v>131</v>
      </c>
      <c r="I65" s="123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2025-01-07T03:25:19Z</dcterms:modified>
</cp:coreProperties>
</file>