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simon\Documents\models\E-Com\"/>
    </mc:Choice>
  </mc:AlternateContent>
  <xr:revisionPtr revIDLastSave="0" documentId="13_ncr:1_{495A3D8F-E13B-4327-9478-3ECEE10D055D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Main" sheetId="1" r:id="rId1"/>
    <sheet name="Model" sheetId="2" r:id="rId2"/>
    <sheet name="KPI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3" l="1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B8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F25" i="2" l="1"/>
  <c r="F41" i="2" s="1"/>
  <c r="F24" i="2"/>
  <c r="F23" i="2"/>
  <c r="J25" i="2"/>
  <c r="J24" i="2"/>
  <c r="J23" i="2"/>
  <c r="J5" i="2"/>
  <c r="J30" i="2" s="1"/>
  <c r="J4" i="2"/>
  <c r="J3" i="2"/>
  <c r="F4" i="2"/>
  <c r="F40" i="2" s="1"/>
  <c r="F5" i="2"/>
  <c r="F3" i="2"/>
  <c r="G30" i="2"/>
  <c r="K30" i="2"/>
  <c r="H30" i="2"/>
  <c r="I30" i="2"/>
  <c r="O30" i="2"/>
  <c r="P30" i="2"/>
  <c r="P61" i="2"/>
  <c r="P53" i="2"/>
  <c r="O61" i="2"/>
  <c r="O53" i="2"/>
  <c r="N61" i="2"/>
  <c r="N53" i="2"/>
  <c r="P44" i="2"/>
  <c r="O44" i="2"/>
  <c r="N44" i="2"/>
  <c r="C36" i="2"/>
  <c r="D36" i="2"/>
  <c r="E36" i="2"/>
  <c r="G36" i="2"/>
  <c r="H36" i="2"/>
  <c r="I36" i="2"/>
  <c r="K36" i="2"/>
  <c r="C37" i="2"/>
  <c r="D37" i="2"/>
  <c r="E37" i="2"/>
  <c r="G37" i="2"/>
  <c r="H37" i="2"/>
  <c r="I37" i="2"/>
  <c r="K37" i="2"/>
  <c r="C38" i="2"/>
  <c r="D38" i="2"/>
  <c r="E38" i="2"/>
  <c r="G38" i="2"/>
  <c r="H38" i="2"/>
  <c r="I38" i="2"/>
  <c r="K38" i="2"/>
  <c r="C39" i="2"/>
  <c r="D39" i="2"/>
  <c r="E39" i="2"/>
  <c r="G39" i="2"/>
  <c r="H39" i="2"/>
  <c r="I39" i="2"/>
  <c r="K39" i="2"/>
  <c r="C40" i="2"/>
  <c r="D40" i="2"/>
  <c r="E40" i="2"/>
  <c r="G40" i="2"/>
  <c r="H40" i="2"/>
  <c r="I40" i="2"/>
  <c r="K40" i="2"/>
  <c r="C41" i="2"/>
  <c r="D41" i="2"/>
  <c r="E41" i="2"/>
  <c r="G41" i="2"/>
  <c r="H41" i="2"/>
  <c r="I41" i="2"/>
  <c r="K41" i="2"/>
  <c r="O39" i="2"/>
  <c r="P39" i="2"/>
  <c r="O40" i="2"/>
  <c r="P40" i="2"/>
  <c r="N39" i="2"/>
  <c r="N40" i="2"/>
  <c r="P41" i="2"/>
  <c r="O41" i="2"/>
  <c r="N41" i="2"/>
  <c r="P36" i="2"/>
  <c r="P37" i="2"/>
  <c r="P38" i="2"/>
  <c r="O36" i="2"/>
  <c r="O37" i="2"/>
  <c r="O38" i="2"/>
  <c r="N36" i="2"/>
  <c r="N37" i="2"/>
  <c r="N38" i="2"/>
  <c r="F27" i="2"/>
  <c r="F19" i="2"/>
  <c r="F18" i="2"/>
  <c r="F17" i="2"/>
  <c r="F15" i="2"/>
  <c r="F14" i="2"/>
  <c r="F13" i="2"/>
  <c r="F12" i="2"/>
  <c r="F11" i="2"/>
  <c r="F10" i="2"/>
  <c r="F8" i="2"/>
  <c r="F7" i="2"/>
  <c r="C21" i="2"/>
  <c r="C9" i="2"/>
  <c r="C16" i="2" s="1"/>
  <c r="C20" i="2" s="1"/>
  <c r="J19" i="2"/>
  <c r="J17" i="2"/>
  <c r="J11" i="2"/>
  <c r="J12" i="2"/>
  <c r="J13" i="2"/>
  <c r="J14" i="2"/>
  <c r="J15" i="2"/>
  <c r="J10" i="2"/>
  <c r="J8" i="2"/>
  <c r="J7" i="2"/>
  <c r="D9" i="2"/>
  <c r="D16" i="2" s="1"/>
  <c r="D20" i="2" s="1"/>
  <c r="D22" i="2" s="1"/>
  <c r="D26" i="2" s="1"/>
  <c r="H21" i="2"/>
  <c r="H9" i="2"/>
  <c r="H16" i="2" s="1"/>
  <c r="H20" i="2" s="1"/>
  <c r="O21" i="2"/>
  <c r="N9" i="2"/>
  <c r="N16" i="2" s="1"/>
  <c r="N20" i="2" s="1"/>
  <c r="N22" i="2" s="1"/>
  <c r="N31" i="2" s="1"/>
  <c r="O9" i="2"/>
  <c r="O16" i="2" s="1"/>
  <c r="O20" i="2" s="1"/>
  <c r="P21" i="2"/>
  <c r="P18" i="2"/>
  <c r="J18" i="2" s="1"/>
  <c r="P9" i="2"/>
  <c r="P16" i="2" s="1"/>
  <c r="E9" i="2"/>
  <c r="E16" i="2" s="1"/>
  <c r="E20" i="2" s="1"/>
  <c r="I21" i="2"/>
  <c r="I9" i="2"/>
  <c r="G9" i="2"/>
  <c r="G16" i="2" s="1"/>
  <c r="G20" i="2" s="1"/>
  <c r="G22" i="2" s="1"/>
  <c r="G26" i="2" s="1"/>
  <c r="K21" i="2"/>
  <c r="K9" i="2"/>
  <c r="K16" i="2" s="1"/>
  <c r="K20" i="2" s="1"/>
  <c r="L4" i="1"/>
  <c r="J41" i="2" l="1"/>
  <c r="J40" i="2"/>
  <c r="J36" i="2"/>
  <c r="J38" i="2"/>
  <c r="J37" i="2"/>
  <c r="J39" i="2"/>
  <c r="F36" i="2"/>
  <c r="F37" i="2"/>
  <c r="F38" i="2"/>
  <c r="F39" i="2"/>
  <c r="D31" i="2"/>
  <c r="G31" i="2"/>
  <c r="P20" i="2"/>
  <c r="P33" i="2" s="1"/>
  <c r="H22" i="2"/>
  <c r="N26" i="2"/>
  <c r="D33" i="2"/>
  <c r="J21" i="2"/>
  <c r="H33" i="2"/>
  <c r="K22" i="2"/>
  <c r="J9" i="2"/>
  <c r="J16" i="2" s="1"/>
  <c r="C33" i="2"/>
  <c r="K33" i="2"/>
  <c r="F9" i="2"/>
  <c r="F21" i="2"/>
  <c r="E22" i="2"/>
  <c r="E31" i="2" s="1"/>
  <c r="E33" i="2"/>
  <c r="K29" i="2"/>
  <c r="I29" i="2"/>
  <c r="O33" i="2"/>
  <c r="O29" i="2"/>
  <c r="P29" i="2"/>
  <c r="H29" i="2"/>
  <c r="G33" i="2"/>
  <c r="C22" i="2"/>
  <c r="C31" i="2" s="1"/>
  <c r="G29" i="2"/>
  <c r="N33" i="2"/>
  <c r="O22" i="2"/>
  <c r="O31" i="2" s="1"/>
  <c r="I16" i="2"/>
  <c r="I20" i="2" s="1"/>
  <c r="I22" i="2" s="1"/>
  <c r="I31" i="2" s="1"/>
  <c r="H26" i="2" l="1"/>
  <c r="H31" i="2"/>
  <c r="K26" i="2"/>
  <c r="K31" i="2"/>
  <c r="P22" i="2"/>
  <c r="P32" i="2" s="1"/>
  <c r="H32" i="2"/>
  <c r="I32" i="2"/>
  <c r="J29" i="2"/>
  <c r="K32" i="2"/>
  <c r="F16" i="2"/>
  <c r="F20" i="2" s="1"/>
  <c r="F33" i="2" s="1"/>
  <c r="O26" i="2"/>
  <c r="O32" i="2"/>
  <c r="E26" i="2"/>
  <c r="G32" i="2"/>
  <c r="J20" i="2"/>
  <c r="J33" i="2" s="1"/>
  <c r="C26" i="2"/>
  <c r="I33" i="2"/>
  <c r="I26" i="2"/>
  <c r="P26" i="2" l="1"/>
  <c r="J26" i="2" s="1"/>
  <c r="P31" i="2"/>
  <c r="J22" i="2"/>
  <c r="J31" i="2" s="1"/>
  <c r="F22" i="2"/>
  <c r="F31" i="2" s="1"/>
  <c r="J32" i="2" l="1"/>
  <c r="F26" i="2"/>
</calcChain>
</file>

<file path=xl/sharedStrings.xml><?xml version="1.0" encoding="utf-8"?>
<sst xmlns="http://schemas.openxmlformats.org/spreadsheetml/2006/main" count="106" uniqueCount="91">
  <si>
    <t>Price</t>
  </si>
  <si>
    <t>Shares</t>
  </si>
  <si>
    <t>MC</t>
  </si>
  <si>
    <t>Cash</t>
  </si>
  <si>
    <t>Debt</t>
  </si>
  <si>
    <t>Net Cash</t>
  </si>
  <si>
    <t>EV</t>
  </si>
  <si>
    <t>Main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</si>
  <si>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</si>
  <si>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</si>
  <si>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</si>
  <si>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</si>
  <si>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</si>
  <si>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</si>
  <si>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</si>
  <si>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</si>
  <si>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</si>
  <si>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</si>
  <si>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FY21</t>
  </si>
  <si>
    <t>FY22</t>
  </si>
  <si>
    <t>FY23</t>
  </si>
  <si>
    <t>FY24</t>
  </si>
  <si>
    <t>FY20</t>
  </si>
  <si>
    <t>Q319</t>
  </si>
  <si>
    <t>Q419</t>
  </si>
  <si>
    <t>Q120</t>
  </si>
  <si>
    <t>Q220</t>
  </si>
  <si>
    <t>Q320</t>
  </si>
  <si>
    <t>Q420</t>
  </si>
  <si>
    <t>Q119</t>
  </si>
  <si>
    <t>Q219</t>
  </si>
  <si>
    <t>Net Product Sales</t>
  </si>
  <si>
    <t>Net Service Sales</t>
  </si>
  <si>
    <t>Total Net Sales</t>
  </si>
  <si>
    <t>COS</t>
  </si>
  <si>
    <t>Fulfillment</t>
  </si>
  <si>
    <t>Tech</t>
  </si>
  <si>
    <t>S&amp;M</t>
  </si>
  <si>
    <t>G&amp;A</t>
  </si>
  <si>
    <t>Other</t>
  </si>
  <si>
    <t>Opinc</t>
  </si>
  <si>
    <t>Interest Inc</t>
  </si>
  <si>
    <t>Interest Exp</t>
  </si>
  <si>
    <t>Other inc</t>
  </si>
  <si>
    <t>Income Tax</t>
  </si>
  <si>
    <t>EBITDA</t>
  </si>
  <si>
    <t>Net Income</t>
  </si>
  <si>
    <t>EPS</t>
  </si>
  <si>
    <t>Revenue y/y</t>
  </si>
  <si>
    <t>Net Income y/y</t>
  </si>
  <si>
    <t>Tax Rate</t>
  </si>
  <si>
    <t>Management</t>
  </si>
  <si>
    <t>Employees</t>
  </si>
  <si>
    <t>International</t>
  </si>
  <si>
    <t>AWS</t>
  </si>
  <si>
    <t>US %</t>
  </si>
  <si>
    <t>International %</t>
  </si>
  <si>
    <t>AWS %</t>
  </si>
  <si>
    <t>US</t>
  </si>
  <si>
    <t>NI US</t>
  </si>
  <si>
    <t>NI Int.</t>
  </si>
  <si>
    <t>NI AWS</t>
  </si>
  <si>
    <t>Net Margin</t>
  </si>
  <si>
    <t>US Margin</t>
  </si>
  <si>
    <t>Internation Margin</t>
  </si>
  <si>
    <t>AWS Margin</t>
  </si>
  <si>
    <t>MS</t>
  </si>
  <si>
    <t>Inventories</t>
  </si>
  <si>
    <t>AR</t>
  </si>
  <si>
    <t>PP&amp;E</t>
  </si>
  <si>
    <t>Operating Leases</t>
  </si>
  <si>
    <t>Goodwill</t>
  </si>
  <si>
    <t>Assets</t>
  </si>
  <si>
    <t>AP</t>
  </si>
  <si>
    <t>Accrued Exp.</t>
  </si>
  <si>
    <t>Unearned Rev</t>
  </si>
  <si>
    <t>Long-term Lease</t>
  </si>
  <si>
    <t>Long-Term Debt</t>
  </si>
  <si>
    <t>Other ltl</t>
  </si>
  <si>
    <t>S/E</t>
  </si>
  <si>
    <t>Liabilities</t>
  </si>
  <si>
    <t>AWS Growth y/y</t>
  </si>
  <si>
    <t>User Sessions per Month</t>
  </si>
  <si>
    <t>% Mobile Sessions</t>
  </si>
  <si>
    <t>Active Users</t>
  </si>
  <si>
    <t>Orders</t>
  </si>
  <si>
    <t>average Order per Customer</t>
  </si>
  <si>
    <t>average GMV per Customer</t>
  </si>
  <si>
    <t>active users y/y</t>
  </si>
  <si>
    <t>orders y/y</t>
  </si>
  <si>
    <t>average Order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</si>
</sst>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3" fontId="0" fillId="0" borderId="0" xfId="0" applyNumberFormat="1"/>
    <xf numFmtId="0" fontId="2" fillId="0" borderId="0" xfId="1"/>
    <xf numFmtId="2" fontId="0" fillId="0" borderId="0" xfId="0" applyNumberFormat="1"/>
    <xf numFmtId="0" fontId="1" fillId="0" borderId="0" xfId="0" applyFont="1"/>
    <xf numFmtId="3" fontId="1" fillId="0" borderId="0" xfId="0" applyNumberFormat="1" applyFont="1"/>
    <xf numFmtId="10" fontId="0" fillId="0" borderId="0" xfId="0" applyNumberFormat="1"/>
    <xf numFmtId="9" fontId="0" fillId="0" borderId="0" xfId="0" applyNumberFormat="1"/>
    <xf numFmtId="3" fontId="0" fillId="2" borderId="0" xfId="0" applyNumberFormat="1" applyFill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14"/>
  <sheetViews>
    <sheetView workbookViewId="0">
      <selection activeCell="D6" sqref="D6"/>
    </sheetView>
  </sheetViews>
  <sheetFormatPr defaultColWidth="8.85546875" defaultRowHeight="15" x14ac:dyDescent="0.25"/>
  <cols>
    <col min="12" max="12" width="11.140625" bestFit="1" customWidth="1"/>
    <col min="13" max="13" width="10.140625" bestFit="1" customWidth="1"/>
  </cols>
  <sheetData>
    <row r="2" spans="2:13" x14ac:dyDescent="0.25">
      <c r="K2" t="s">
        <v>0</v>
      </c>
      <c r="M2" s="9">
        <v>45119</v>
      </c>
    </row>
    <row r="3" spans="2:13" x14ac:dyDescent="0.25">
      <c r="K3" t="s">
        <v>1</v>
      </c>
      <c r="L3" s="1"/>
    </row>
    <row r="4" spans="2:13" x14ac:dyDescent="0.25">
      <c r="B4" s="4"/>
      <c r="K4" t="s">
        <v>2</v>
      </c>
      <c r="L4" s="1">
        <f>L2*L3</f>
        <v>0</v>
      </c>
    </row>
    <row r="5" spans="2:13" x14ac:dyDescent="0.25">
      <c r="K5" t="s">
        <v>3</v>
      </c>
    </row>
    <row r="6" spans="2:13" x14ac:dyDescent="0.25">
      <c r="K6" t="s">
        <v>4</v>
      </c>
    </row>
    <row r="7" spans="2:13" x14ac:dyDescent="0.25">
      <c r="K7" t="s">
        <v>5</v>
      </c>
    </row>
    <row r="8" spans="2:13" x14ac:dyDescent="0.25">
      <c r="K8" t="s">
        <v>6</v>
      </c>
    </row>
    <row r="14" spans="2:13" x14ac:dyDescent="0.25">
      <c r="K14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FE1B-0872-4079-929A-2D64CB797B54}">
  <dimension ref="A1:R6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30" sqref="M30"/>
    </sheetView>
  </sheetViews>
  <sheetFormatPr defaultColWidth="11.42578125" defaultRowHeight="15" x14ac:dyDescent="0.25"/>
  <cols>
    <col min="1" max="1" width="17" customWidth="1"/>
  </cols>
  <sheetData>
    <row r="1" spans="1:18" x14ac:dyDescent="0.25">
      <c r="A1" s="2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13</v>
      </c>
      <c r="I1" s="4" t="s">
        <v>14</v>
      </c>
      <c r="J1" s="4" t="s">
        <v>15</v>
      </c>
      <c r="K1" s="4" t="s">
        <v>16</v>
      </c>
      <c r="L1" s="4" t="s">
        <v>17</v>
      </c>
      <c r="N1" s="4" t="s">
        <v>22</v>
      </c>
      <c r="O1" s="4" t="s">
        <v>18</v>
      </c>
      <c r="P1" s="4" t="s">
        <v>19</v>
      </c>
      <c r="Q1" s="4" t="s">
        <v>20</v>
      </c>
      <c r="R1" s="4" t="s">
        <v>21</v>
      </c>
    </row>
    <row r="2" spans="1:18" x14ac:dyDescent="0.25">
      <c r="A2" s="2"/>
    </row>
    <row r="3" spans="1:18" x14ac:dyDescent="0.25">
      <c r="A3" t="s">
        <v>58</v>
      </c>
      <c r="C3" s="1">
        <v>64336</v>
      </c>
      <c r="D3" s="1">
        <v>67550</v>
      </c>
      <c r="E3" s="1">
        <v>65557</v>
      </c>
      <c r="F3" s="1">
        <f>O3-E3-D3-C3</f>
        <v>82390</v>
      </c>
      <c r="G3" s="1">
        <v>69244</v>
      </c>
      <c r="H3" s="1">
        <v>74430</v>
      </c>
      <c r="I3" s="1">
        <v>78843</v>
      </c>
      <c r="J3" s="1">
        <f>P3-SUM(G3:I3)</f>
        <v>93363</v>
      </c>
      <c r="K3" s="1">
        <v>76881</v>
      </c>
      <c r="N3" s="1">
        <v>236282</v>
      </c>
      <c r="O3" s="1">
        <v>279833</v>
      </c>
      <c r="P3" s="1">
        <v>315880</v>
      </c>
    </row>
    <row r="4" spans="1:18" x14ac:dyDescent="0.25">
      <c r="A4" t="s">
        <v>53</v>
      </c>
      <c r="C4" s="1">
        <v>30649</v>
      </c>
      <c r="D4" s="1">
        <v>30721</v>
      </c>
      <c r="E4" s="1">
        <v>29145</v>
      </c>
      <c r="F4" s="1">
        <f>O4-E4-D4-C4</f>
        <v>37272</v>
      </c>
      <c r="G4" s="1">
        <v>28759</v>
      </c>
      <c r="H4" s="1">
        <v>27065</v>
      </c>
      <c r="I4" s="1">
        <v>27720</v>
      </c>
      <c r="J4" s="1">
        <f>P4-SUM(G4:I4)</f>
        <v>34463</v>
      </c>
      <c r="K4" s="1">
        <v>29123</v>
      </c>
      <c r="N4" s="1">
        <v>104412</v>
      </c>
      <c r="O4" s="1">
        <v>127787</v>
      </c>
      <c r="P4" s="1">
        <v>118007</v>
      </c>
    </row>
    <row r="5" spans="1:18" x14ac:dyDescent="0.25">
      <c r="A5" t="s">
        <v>54</v>
      </c>
      <c r="C5" s="1">
        <v>13503</v>
      </c>
      <c r="D5" s="1">
        <v>14809</v>
      </c>
      <c r="E5" s="1">
        <v>16110</v>
      </c>
      <c r="F5" s="1">
        <f>O5-E5-D5-C5</f>
        <v>17780</v>
      </c>
      <c r="G5" s="1">
        <v>18441</v>
      </c>
      <c r="H5" s="1">
        <v>19739</v>
      </c>
      <c r="I5" s="1">
        <v>20538</v>
      </c>
      <c r="J5" s="1">
        <f>P5-SUM(G5:I5)</f>
        <v>21378</v>
      </c>
      <c r="K5" s="1">
        <v>21354</v>
      </c>
      <c r="N5" s="1">
        <v>45370</v>
      </c>
      <c r="O5" s="1">
        <v>62202</v>
      </c>
      <c r="P5" s="1">
        <v>80096</v>
      </c>
    </row>
    <row r="6" spans="1:18" x14ac:dyDescent="0.25">
      <c r="A6" s="2"/>
    </row>
    <row r="7" spans="1:18" x14ac:dyDescent="0.25">
      <c r="A7" t="s">
        <v>31</v>
      </c>
      <c r="C7" s="1">
        <v>57491</v>
      </c>
      <c r="D7" s="1">
        <v>58004</v>
      </c>
      <c r="E7" s="1">
        <v>54876</v>
      </c>
      <c r="F7" s="1">
        <f>O7-E7-D7-C7</f>
        <v>71416</v>
      </c>
      <c r="G7" s="1">
        <v>56455</v>
      </c>
      <c r="H7" s="1">
        <v>56575</v>
      </c>
      <c r="I7" s="1">
        <v>59340</v>
      </c>
      <c r="J7" s="1">
        <f>P7-I7-H7-G7</f>
        <v>70531</v>
      </c>
      <c r="K7" s="1">
        <v>56981</v>
      </c>
      <c r="N7" s="1">
        <v>215915</v>
      </c>
      <c r="O7" s="1">
        <v>241787</v>
      </c>
      <c r="P7" s="1">
        <v>242901</v>
      </c>
    </row>
    <row r="8" spans="1:18" x14ac:dyDescent="0.25">
      <c r="A8" t="s">
        <v>32</v>
      </c>
      <c r="C8" s="1">
        <v>51027</v>
      </c>
      <c r="D8" s="1">
        <v>55076</v>
      </c>
      <c r="E8" s="1">
        <v>55936</v>
      </c>
      <c r="F8" s="1">
        <f>O8-E8-D8-C8</f>
        <v>65996</v>
      </c>
      <c r="G8" s="1">
        <v>59989</v>
      </c>
      <c r="H8" s="1">
        <v>64659</v>
      </c>
      <c r="I8" s="1">
        <v>67761</v>
      </c>
      <c r="J8" s="1">
        <f>P8-I8-H8-G8</f>
        <v>78673</v>
      </c>
      <c r="K8" s="1">
        <v>70377</v>
      </c>
      <c r="N8" s="1">
        <v>170149</v>
      </c>
      <c r="O8" s="1">
        <v>228035</v>
      </c>
      <c r="P8" s="1">
        <v>271082</v>
      </c>
    </row>
    <row r="9" spans="1:18" x14ac:dyDescent="0.25">
      <c r="A9" s="4" t="s">
        <v>33</v>
      </c>
      <c r="B9" s="4"/>
      <c r="C9" s="5">
        <f t="shared" ref="C9:K9" si="0">C7+C8</f>
        <v>108518</v>
      </c>
      <c r="D9" s="5">
        <f t="shared" si="0"/>
        <v>113080</v>
      </c>
      <c r="E9" s="5">
        <f t="shared" si="0"/>
        <v>110812</v>
      </c>
      <c r="F9" s="5">
        <f t="shared" si="0"/>
        <v>137412</v>
      </c>
      <c r="G9" s="5">
        <f t="shared" si="0"/>
        <v>116444</v>
      </c>
      <c r="H9" s="5">
        <f t="shared" si="0"/>
        <v>121234</v>
      </c>
      <c r="I9" s="5">
        <f t="shared" si="0"/>
        <v>127101</v>
      </c>
      <c r="J9" s="5">
        <f t="shared" si="0"/>
        <v>149204</v>
      </c>
      <c r="K9" s="5">
        <f t="shared" si="0"/>
        <v>127358</v>
      </c>
      <c r="N9" s="5">
        <f t="shared" ref="N9:P9" si="1">N7+N8</f>
        <v>386064</v>
      </c>
      <c r="O9" s="5">
        <f t="shared" si="1"/>
        <v>469822</v>
      </c>
      <c r="P9" s="5">
        <f t="shared" si="1"/>
        <v>513983</v>
      </c>
    </row>
    <row r="10" spans="1:18" x14ac:dyDescent="0.25">
      <c r="A10" t="s">
        <v>34</v>
      </c>
      <c r="C10" s="1">
        <v>62403</v>
      </c>
      <c r="D10" s="1">
        <v>64176</v>
      </c>
      <c r="E10" s="1">
        <v>62930</v>
      </c>
      <c r="F10" s="1">
        <f>O10-E10-D10-C10</f>
        <v>82835</v>
      </c>
      <c r="G10" s="1">
        <v>66499</v>
      </c>
      <c r="H10" s="1">
        <v>66424</v>
      </c>
      <c r="I10" s="1">
        <v>70268</v>
      </c>
      <c r="J10" s="1">
        <f>P10-SUM(G10:I10)</f>
        <v>85640</v>
      </c>
      <c r="K10" s="1">
        <v>67791</v>
      </c>
      <c r="N10" s="1">
        <v>233307</v>
      </c>
      <c r="O10" s="1">
        <v>272344</v>
      </c>
      <c r="P10" s="1">
        <v>288831</v>
      </c>
    </row>
    <row r="11" spans="1:18" x14ac:dyDescent="0.25">
      <c r="A11" t="s">
        <v>35</v>
      </c>
      <c r="C11" s="1">
        <v>16530</v>
      </c>
      <c r="D11" s="1">
        <v>17638</v>
      </c>
      <c r="E11" s="1">
        <v>18498</v>
      </c>
      <c r="F11" s="1">
        <f>O11-E11-D11-C11</f>
        <v>22445</v>
      </c>
      <c r="G11" s="1">
        <v>20271</v>
      </c>
      <c r="H11" s="1">
        <v>20342</v>
      </c>
      <c r="I11" s="1">
        <v>20583</v>
      </c>
      <c r="J11" s="1">
        <f>P11-SUM(G11:I11)</f>
        <v>23103</v>
      </c>
      <c r="K11" s="1">
        <v>20905</v>
      </c>
      <c r="N11" s="1">
        <v>58517</v>
      </c>
      <c r="O11" s="1">
        <v>75111</v>
      </c>
      <c r="P11" s="1">
        <v>84299</v>
      </c>
    </row>
    <row r="12" spans="1:18" x14ac:dyDescent="0.25">
      <c r="A12" t="s">
        <v>36</v>
      </c>
      <c r="C12" s="1">
        <v>12488</v>
      </c>
      <c r="D12" s="1">
        <v>13871</v>
      </c>
      <c r="E12" s="1">
        <v>14380</v>
      </c>
      <c r="F12" s="1">
        <f>O12-E12-D12-C12</f>
        <v>15313</v>
      </c>
      <c r="G12" s="1">
        <v>14842</v>
      </c>
      <c r="H12" s="1">
        <v>18072</v>
      </c>
      <c r="I12" s="1">
        <v>19485</v>
      </c>
      <c r="J12" s="1">
        <f>P12-SUM(G12:I12)</f>
        <v>20814</v>
      </c>
      <c r="K12" s="1">
        <v>20450</v>
      </c>
      <c r="N12" s="1">
        <v>42740</v>
      </c>
      <c r="O12" s="1">
        <v>56052</v>
      </c>
      <c r="P12" s="1">
        <v>73213</v>
      </c>
    </row>
    <row r="13" spans="1:18" x14ac:dyDescent="0.25">
      <c r="A13" t="s">
        <v>37</v>
      </c>
      <c r="C13" s="1">
        <v>6207</v>
      </c>
      <c r="D13" s="1">
        <v>7524</v>
      </c>
      <c r="E13" s="1">
        <v>8010</v>
      </c>
      <c r="F13" s="1">
        <f>O13-E13-D13-C13</f>
        <v>10810</v>
      </c>
      <c r="G13" s="1">
        <v>8320</v>
      </c>
      <c r="H13" s="1">
        <v>10086</v>
      </c>
      <c r="I13" s="1">
        <v>11014</v>
      </c>
      <c r="J13" s="1">
        <f>P13-SUM(G13:I13)</f>
        <v>12818</v>
      </c>
      <c r="K13" s="1">
        <v>10172</v>
      </c>
      <c r="N13" s="1">
        <v>22008</v>
      </c>
      <c r="O13" s="1">
        <v>32551</v>
      </c>
      <c r="P13" s="1">
        <v>42238</v>
      </c>
    </row>
    <row r="14" spans="1:18" x14ac:dyDescent="0.25">
      <c r="A14" t="s">
        <v>38</v>
      </c>
      <c r="C14" s="1">
        <v>1987</v>
      </c>
      <c r="D14" s="1">
        <v>2158</v>
      </c>
      <c r="E14" s="1">
        <v>2153</v>
      </c>
      <c r="F14" s="1">
        <f>O14-E14-D14-C14</f>
        <v>2525</v>
      </c>
      <c r="G14" s="1">
        <v>2594</v>
      </c>
      <c r="H14" s="1">
        <v>2903</v>
      </c>
      <c r="I14" s="1">
        <v>3061</v>
      </c>
      <c r="J14" s="1">
        <f>P14-SUM(G14:I14)</f>
        <v>3333</v>
      </c>
      <c r="K14" s="1">
        <v>3043</v>
      </c>
      <c r="N14" s="1">
        <v>6668</v>
      </c>
      <c r="O14" s="1">
        <v>8823</v>
      </c>
      <c r="P14" s="1">
        <v>11891</v>
      </c>
    </row>
    <row r="15" spans="1:18" x14ac:dyDescent="0.25">
      <c r="A15" t="s">
        <v>39</v>
      </c>
      <c r="C15" s="1">
        <v>38</v>
      </c>
      <c r="D15" s="1">
        <v>11</v>
      </c>
      <c r="E15" s="1">
        <v>-11</v>
      </c>
      <c r="F15" s="1">
        <f>O15-E15-D15-C15</f>
        <v>24</v>
      </c>
      <c r="G15" s="1">
        <v>249</v>
      </c>
      <c r="H15" s="1">
        <v>90</v>
      </c>
      <c r="I15" s="1">
        <v>165</v>
      </c>
      <c r="J15" s="1">
        <f>P15-SUM(G15:I15)</f>
        <v>759</v>
      </c>
      <c r="K15" s="1">
        <v>223</v>
      </c>
      <c r="N15" s="1">
        <v>-75</v>
      </c>
      <c r="O15" s="1">
        <v>62</v>
      </c>
      <c r="P15" s="1">
        <v>1263</v>
      </c>
    </row>
    <row r="16" spans="1:18" x14ac:dyDescent="0.25">
      <c r="A16" t="s">
        <v>40</v>
      </c>
      <c r="C16" s="5">
        <f t="shared" ref="C16:K16" si="2">C9-SUM(C10:C15)</f>
        <v>8865</v>
      </c>
      <c r="D16" s="5">
        <f t="shared" si="2"/>
        <v>7702</v>
      </c>
      <c r="E16" s="5">
        <f t="shared" si="2"/>
        <v>4852</v>
      </c>
      <c r="F16" s="5">
        <f t="shared" si="2"/>
        <v>3460</v>
      </c>
      <c r="G16" s="5">
        <f t="shared" si="2"/>
        <v>3669</v>
      </c>
      <c r="H16" s="5">
        <f t="shared" si="2"/>
        <v>3317</v>
      </c>
      <c r="I16" s="5">
        <f t="shared" si="2"/>
        <v>2525</v>
      </c>
      <c r="J16" s="5">
        <f t="shared" si="2"/>
        <v>2737</v>
      </c>
      <c r="K16" s="5">
        <f t="shared" si="2"/>
        <v>4774</v>
      </c>
      <c r="N16" s="5">
        <f t="shared" ref="N16:P16" si="3">N9-SUM(N10:N15)</f>
        <v>22899</v>
      </c>
      <c r="O16" s="5">
        <f t="shared" si="3"/>
        <v>24879</v>
      </c>
      <c r="P16" s="5">
        <f t="shared" si="3"/>
        <v>12248</v>
      </c>
    </row>
    <row r="17" spans="1:16" x14ac:dyDescent="0.25">
      <c r="A17" t="s">
        <v>41</v>
      </c>
      <c r="C17" s="1">
        <v>105</v>
      </c>
      <c r="D17" s="1">
        <v>106</v>
      </c>
      <c r="E17" s="1">
        <v>119</v>
      </c>
      <c r="F17" s="1">
        <f>O17-E17-D17-C17</f>
        <v>118</v>
      </c>
      <c r="G17" s="1">
        <v>108</v>
      </c>
      <c r="H17" s="1">
        <v>159</v>
      </c>
      <c r="I17" s="1">
        <v>277</v>
      </c>
      <c r="J17" s="1">
        <f>P17-SUM(G17:I17)</f>
        <v>445</v>
      </c>
      <c r="K17" s="1">
        <v>611</v>
      </c>
      <c r="N17" s="1">
        <v>555</v>
      </c>
      <c r="O17" s="1">
        <v>448</v>
      </c>
      <c r="P17" s="1">
        <v>989</v>
      </c>
    </row>
    <row r="18" spans="1:16" x14ac:dyDescent="0.25">
      <c r="A18" t="s">
        <v>42</v>
      </c>
      <c r="C18" s="1">
        <v>-399</v>
      </c>
      <c r="D18" s="1">
        <v>-435</v>
      </c>
      <c r="E18" s="1">
        <v>-493</v>
      </c>
      <c r="F18" s="1">
        <f>O18-E18-D18-C18</f>
        <v>-482</v>
      </c>
      <c r="G18" s="1">
        <v>-472</v>
      </c>
      <c r="H18" s="1">
        <v>-584</v>
      </c>
      <c r="I18" s="1">
        <v>-617</v>
      </c>
      <c r="J18" s="1">
        <f>P18-SUM(G18:I18)</f>
        <v>-694</v>
      </c>
      <c r="K18" s="1">
        <v>-823</v>
      </c>
      <c r="N18" s="1">
        <v>-1647</v>
      </c>
      <c r="O18" s="1">
        <v>-1809</v>
      </c>
      <c r="P18" s="1">
        <f>-2367</f>
        <v>-2367</v>
      </c>
    </row>
    <row r="19" spans="1:16" x14ac:dyDescent="0.25">
      <c r="A19" t="s">
        <v>43</v>
      </c>
      <c r="C19" s="1">
        <v>1697</v>
      </c>
      <c r="D19" s="1">
        <v>1261</v>
      </c>
      <c r="E19" s="1">
        <v>-163</v>
      </c>
      <c r="F19" s="1">
        <f>O19-E19-D19-C19</f>
        <v>11838</v>
      </c>
      <c r="G19" s="1">
        <v>-8570</v>
      </c>
      <c r="H19" s="1">
        <v>-5545</v>
      </c>
      <c r="I19" s="1">
        <v>759</v>
      </c>
      <c r="J19" s="1">
        <f>P19-SUM(G19:I19)</f>
        <v>-3450</v>
      </c>
      <c r="K19" s="1">
        <v>-443</v>
      </c>
      <c r="N19" s="1">
        <v>2371</v>
      </c>
      <c r="O19" s="1">
        <v>14633</v>
      </c>
      <c r="P19" s="8">
        <v>-16806</v>
      </c>
    </row>
    <row r="20" spans="1:16" x14ac:dyDescent="0.25">
      <c r="A20" t="s">
        <v>45</v>
      </c>
      <c r="C20" s="5">
        <f t="shared" ref="C20:K20" si="4">C16+C17+C18+C19</f>
        <v>10268</v>
      </c>
      <c r="D20" s="5">
        <f t="shared" si="4"/>
        <v>8634</v>
      </c>
      <c r="E20" s="5">
        <f t="shared" si="4"/>
        <v>4315</v>
      </c>
      <c r="F20" s="5">
        <f t="shared" si="4"/>
        <v>14934</v>
      </c>
      <c r="G20" s="5">
        <f t="shared" si="4"/>
        <v>-5265</v>
      </c>
      <c r="H20" s="5">
        <f t="shared" si="4"/>
        <v>-2653</v>
      </c>
      <c r="I20" s="5">
        <f t="shared" si="4"/>
        <v>2944</v>
      </c>
      <c r="J20" s="5">
        <f t="shared" si="4"/>
        <v>-962</v>
      </c>
      <c r="K20" s="5">
        <f t="shared" si="4"/>
        <v>4119</v>
      </c>
      <c r="N20" s="5">
        <f t="shared" ref="N20:P20" si="5">N16+N17+N18+N19</f>
        <v>24178</v>
      </c>
      <c r="O20" s="5">
        <f t="shared" si="5"/>
        <v>38151</v>
      </c>
      <c r="P20" s="5">
        <f t="shared" si="5"/>
        <v>-5936</v>
      </c>
    </row>
    <row r="21" spans="1:16" x14ac:dyDescent="0.25">
      <c r="A21" t="s">
        <v>44</v>
      </c>
      <c r="C21" s="1">
        <f>-2156-5</f>
        <v>-2161</v>
      </c>
      <c r="D21" s="1">
        <v>-868</v>
      </c>
      <c r="E21" s="1">
        <v>-1155</v>
      </c>
      <c r="F21" s="1">
        <f>O21-E21-D21-C21</f>
        <v>-603</v>
      </c>
      <c r="G21" s="1">
        <v>1422</v>
      </c>
      <c r="H21" s="1">
        <f>637-12</f>
        <v>625</v>
      </c>
      <c r="I21" s="1">
        <f>-69-3</f>
        <v>-72</v>
      </c>
      <c r="J21" s="1">
        <f>P21-SUM(G21:I21)</f>
        <v>1239</v>
      </c>
      <c r="K21" s="1">
        <f>-948+1</f>
        <v>-947</v>
      </c>
      <c r="N21" s="1">
        <v>-2863</v>
      </c>
      <c r="O21" s="1">
        <f>-4791+4</f>
        <v>-4787</v>
      </c>
      <c r="P21" s="1">
        <f>3217-3</f>
        <v>3214</v>
      </c>
    </row>
    <row r="22" spans="1:16" x14ac:dyDescent="0.25">
      <c r="A22" s="4" t="s">
        <v>46</v>
      </c>
      <c r="C22" s="5">
        <f t="shared" ref="C22:K22" si="6">C20+C21</f>
        <v>8107</v>
      </c>
      <c r="D22" s="5">
        <f t="shared" si="6"/>
        <v>7766</v>
      </c>
      <c r="E22" s="5">
        <f t="shared" si="6"/>
        <v>3160</v>
      </c>
      <c r="F22" s="5">
        <f t="shared" si="6"/>
        <v>14331</v>
      </c>
      <c r="G22" s="5">
        <f t="shared" si="6"/>
        <v>-3843</v>
      </c>
      <c r="H22" s="5">
        <f t="shared" si="6"/>
        <v>-2028</v>
      </c>
      <c r="I22" s="5">
        <f t="shared" si="6"/>
        <v>2872</v>
      </c>
      <c r="J22" s="5">
        <f t="shared" si="6"/>
        <v>277</v>
      </c>
      <c r="K22" s="5">
        <f t="shared" si="6"/>
        <v>3172</v>
      </c>
      <c r="N22" s="5">
        <f t="shared" ref="N22:P22" si="7">N20+N21</f>
        <v>21315</v>
      </c>
      <c r="O22" s="5">
        <f t="shared" si="7"/>
        <v>33364</v>
      </c>
      <c r="P22" s="5">
        <f t="shared" si="7"/>
        <v>-2722</v>
      </c>
    </row>
    <row r="23" spans="1:16" x14ac:dyDescent="0.25">
      <c r="A23" t="s">
        <v>59</v>
      </c>
      <c r="C23" s="1">
        <v>3450</v>
      </c>
      <c r="D23" s="1">
        <v>3147</v>
      </c>
      <c r="E23" s="1">
        <v>880</v>
      </c>
      <c r="F23" s="1">
        <f>O23-E23-D23-C23</f>
        <v>-206</v>
      </c>
      <c r="G23" s="1">
        <v>-1568</v>
      </c>
      <c r="H23" s="1">
        <v>-627</v>
      </c>
      <c r="I23" s="1">
        <v>-412</v>
      </c>
      <c r="J23" s="1">
        <f>P23-SUM(G23:I23)</f>
        <v>-240</v>
      </c>
      <c r="K23" s="1">
        <v>898</v>
      </c>
      <c r="N23" s="1">
        <v>8651</v>
      </c>
      <c r="O23" s="1">
        <v>7271</v>
      </c>
      <c r="P23" s="1">
        <v>-2847</v>
      </c>
    </row>
    <row r="24" spans="1:16" x14ac:dyDescent="0.25">
      <c r="A24" t="s">
        <v>60</v>
      </c>
      <c r="C24" s="1">
        <v>1252</v>
      </c>
      <c r="D24" s="1">
        <v>362</v>
      </c>
      <c r="E24" s="1">
        <v>-911</v>
      </c>
      <c r="F24" s="1">
        <f>O24-E24-D24-C24</f>
        <v>-1627</v>
      </c>
      <c r="G24" s="1">
        <v>-1281</v>
      </c>
      <c r="H24" s="1">
        <v>-1771</v>
      </c>
      <c r="I24" s="1">
        <v>-2466</v>
      </c>
      <c r="J24" s="1">
        <f>P24-SUM(G24:I24)</f>
        <v>-2228</v>
      </c>
      <c r="K24" s="1">
        <v>-1247</v>
      </c>
      <c r="N24" s="1">
        <v>717</v>
      </c>
      <c r="O24" s="1">
        <v>-924</v>
      </c>
      <c r="P24" s="1">
        <v>-7746</v>
      </c>
    </row>
    <row r="25" spans="1:16" x14ac:dyDescent="0.25">
      <c r="A25" t="s">
        <v>61</v>
      </c>
      <c r="C25" s="1">
        <v>4163</v>
      </c>
      <c r="D25" s="1">
        <v>4193</v>
      </c>
      <c r="E25" s="1">
        <v>4883</v>
      </c>
      <c r="F25" s="1">
        <f>O25-E25-D25-C25</f>
        <v>5293</v>
      </c>
      <c r="G25" s="1">
        <v>6518</v>
      </c>
      <c r="H25" s="1">
        <v>5715</v>
      </c>
      <c r="I25" s="1">
        <v>5403</v>
      </c>
      <c r="J25" s="1">
        <f>P25-SUM(G25:I25)</f>
        <v>5205</v>
      </c>
      <c r="K25" s="1">
        <v>5123</v>
      </c>
      <c r="N25" s="1">
        <v>13531</v>
      </c>
      <c r="O25" s="1">
        <v>18532</v>
      </c>
      <c r="P25" s="1">
        <v>22841</v>
      </c>
    </row>
    <row r="26" spans="1:16" x14ac:dyDescent="0.25">
      <c r="A26" t="s">
        <v>47</v>
      </c>
      <c r="C26" s="3">
        <f t="shared" ref="C26:I26" si="8">C22/C27</f>
        <v>16.085317460317459</v>
      </c>
      <c r="D26" s="3">
        <f t="shared" si="8"/>
        <v>0.76868256953380187</v>
      </c>
      <c r="E26" s="3">
        <f t="shared" si="8"/>
        <v>0.31188314251875249</v>
      </c>
      <c r="F26" s="3">
        <f t="shared" si="8"/>
        <v>1.4144295302013423</v>
      </c>
      <c r="G26" s="3">
        <f t="shared" si="8"/>
        <v>-0.37783895388850652</v>
      </c>
      <c r="H26" s="3">
        <f t="shared" si="8"/>
        <v>-0.19931203931203931</v>
      </c>
      <c r="I26" s="3">
        <f t="shared" si="8"/>
        <v>0.28181728976547932</v>
      </c>
      <c r="J26" s="3">
        <f>P26-SUM(G26:I26)</f>
        <v>2.8182854480311437E-2</v>
      </c>
      <c r="K26" s="3">
        <f>K22/K27</f>
        <v>0.30946341463414634</v>
      </c>
      <c r="N26" s="3">
        <f t="shared" ref="N26:P26" si="9">N22/N27</f>
        <v>42.544910179640716</v>
      </c>
      <c r="O26" s="3">
        <f t="shared" si="9"/>
        <v>3.2978155579717305</v>
      </c>
      <c r="P26" s="3">
        <f t="shared" si="9"/>
        <v>-0.2671508489547551</v>
      </c>
    </row>
    <row r="27" spans="1:16" x14ac:dyDescent="0.25">
      <c r="A27" t="s">
        <v>1</v>
      </c>
      <c r="C27" s="1">
        <v>504</v>
      </c>
      <c r="D27" s="1">
        <v>10103</v>
      </c>
      <c r="E27" s="1">
        <v>10132</v>
      </c>
      <c r="F27" s="1">
        <f>E27</f>
        <v>10132</v>
      </c>
      <c r="G27" s="1">
        <v>10171</v>
      </c>
      <c r="H27" s="1">
        <v>10175</v>
      </c>
      <c r="I27" s="1">
        <v>10191</v>
      </c>
      <c r="J27" s="1">
        <v>10189</v>
      </c>
      <c r="K27" s="1">
        <v>10250</v>
      </c>
      <c r="N27" s="1">
        <v>501</v>
      </c>
      <c r="O27" s="1">
        <v>10117</v>
      </c>
      <c r="P27" s="1">
        <v>10189</v>
      </c>
    </row>
    <row r="29" spans="1:16" x14ac:dyDescent="0.25">
      <c r="A29" t="s">
        <v>48</v>
      </c>
      <c r="C29" s="6"/>
      <c r="D29" s="6"/>
      <c r="E29" s="6"/>
      <c r="F29" s="6"/>
      <c r="G29" s="6">
        <f t="shared" ref="G29:K29" si="10">G9/C9-1</f>
        <v>7.3038574245747334E-2</v>
      </c>
      <c r="H29" s="6">
        <f t="shared" si="10"/>
        <v>7.2108241952600016E-2</v>
      </c>
      <c r="I29" s="6">
        <f t="shared" si="10"/>
        <v>0.14699671515720314</v>
      </c>
      <c r="J29" s="6">
        <f t="shared" si="10"/>
        <v>8.5814921549791867E-2</v>
      </c>
      <c r="K29" s="6">
        <f t="shared" si="10"/>
        <v>9.3727456975026602E-2</v>
      </c>
      <c r="N29" s="7"/>
      <c r="O29" s="7">
        <f>O9/N9-1</f>
        <v>0.21695366571345676</v>
      </c>
      <c r="P29" s="7">
        <f>P9/O9-1</f>
        <v>9.399517263985091E-2</v>
      </c>
    </row>
    <row r="30" spans="1:16" x14ac:dyDescent="0.25">
      <c r="A30" t="s">
        <v>81</v>
      </c>
      <c r="C30" s="6"/>
      <c r="D30" s="6"/>
      <c r="E30" s="6"/>
      <c r="F30" s="6"/>
      <c r="G30" s="6">
        <f>G5/C5-1</f>
        <v>0.36569651188624741</v>
      </c>
      <c r="H30" s="6">
        <f t="shared" ref="H30:J30" si="11">H5/D5-1</f>
        <v>0.33290566547369838</v>
      </c>
      <c r="I30" s="6">
        <f t="shared" si="11"/>
        <v>0.27486033519553077</v>
      </c>
      <c r="J30" s="6">
        <f t="shared" si="11"/>
        <v>0.20236220472440936</v>
      </c>
      <c r="K30" s="6">
        <f>K5/G5-1</f>
        <v>0.157963234097934</v>
      </c>
      <c r="N30" s="7"/>
      <c r="O30" s="7">
        <f t="shared" ref="O30:P30" si="12">O5/N5-1</f>
        <v>0.37099404893101173</v>
      </c>
      <c r="P30" s="7">
        <f t="shared" si="12"/>
        <v>0.28767563743931057</v>
      </c>
    </row>
    <row r="31" spans="1:16" x14ac:dyDescent="0.25">
      <c r="A31" t="s">
        <v>62</v>
      </c>
      <c r="C31" s="7">
        <f t="shared" ref="C31:K31" si="13">C22/C9</f>
        <v>7.470650030409702E-2</v>
      </c>
      <c r="D31" s="7">
        <f t="shared" si="13"/>
        <v>6.8677042801556426E-2</v>
      </c>
      <c r="E31" s="7">
        <f t="shared" si="13"/>
        <v>2.8516767137133161E-2</v>
      </c>
      <c r="F31" s="7">
        <f t="shared" si="13"/>
        <v>0.10429220155444939</v>
      </c>
      <c r="G31" s="7">
        <f t="shared" si="13"/>
        <v>-3.3002988561025043E-2</v>
      </c>
      <c r="H31" s="7">
        <f t="shared" si="13"/>
        <v>-1.6727980599501788E-2</v>
      </c>
      <c r="I31" s="7">
        <f t="shared" si="13"/>
        <v>2.2596203019645794E-2</v>
      </c>
      <c r="J31" s="7">
        <f t="shared" si="13"/>
        <v>1.8565185919948526E-3</v>
      </c>
      <c r="K31" s="7">
        <f t="shared" si="13"/>
        <v>2.4906170008951147E-2</v>
      </c>
      <c r="L31" s="7"/>
      <c r="M31" s="7"/>
      <c r="N31" s="7">
        <f t="shared" ref="N31:P31" si="14">N22/N9</f>
        <v>5.5211053089643171E-2</v>
      </c>
      <c r="O31" s="7">
        <f t="shared" si="14"/>
        <v>7.1014128755145567E-2</v>
      </c>
      <c r="P31" s="7">
        <f t="shared" si="14"/>
        <v>-5.2958950004183018E-3</v>
      </c>
    </row>
    <row r="32" spans="1:16" x14ac:dyDescent="0.25">
      <c r="A32" t="s">
        <v>49</v>
      </c>
      <c r="C32" s="6"/>
      <c r="D32" s="6"/>
      <c r="E32" s="6"/>
      <c r="F32" s="6"/>
      <c r="G32" s="6">
        <f t="shared" ref="G32:H32" si="15">-(G22/C22-1)</f>
        <v>1.4740347847539164</v>
      </c>
      <c r="H32" s="6">
        <f t="shared" si="15"/>
        <v>1.2611382951326293</v>
      </c>
      <c r="I32" s="6">
        <f>-(I22/E22-1)</f>
        <v>9.1139240506329156E-2</v>
      </c>
      <c r="J32" s="6">
        <f>-(J22/F22-1)</f>
        <v>0.9806712720675459</v>
      </c>
      <c r="K32" s="6">
        <f>-(K22/G22-1)</f>
        <v>1.8253968253968254</v>
      </c>
      <c r="N32" s="7"/>
      <c r="O32" s="7">
        <f>O22/N22-1</f>
        <v>0.56528266479005396</v>
      </c>
      <c r="P32" s="7">
        <f>P22/O22-1</f>
        <v>-1.0815849418534949</v>
      </c>
    </row>
    <row r="33" spans="1:17" x14ac:dyDescent="0.25">
      <c r="A33" t="s">
        <v>50</v>
      </c>
      <c r="C33" s="6">
        <f t="shared" ref="C33" si="16">-C21/C20</f>
        <v>0.21045968056096612</v>
      </c>
      <c r="D33" s="6">
        <f>-D21/D20</f>
        <v>0.1005327773917072</v>
      </c>
      <c r="E33" s="6">
        <f>-E21/E20</f>
        <v>0.26767091541135574</v>
      </c>
      <c r="F33" s="6">
        <f>-F21/F20</f>
        <v>4.0377661711530732E-2</v>
      </c>
      <c r="G33" s="6">
        <f>-G21/G20</f>
        <v>0.27008547008547007</v>
      </c>
      <c r="H33" s="6">
        <f t="shared" ref="H33" si="17">-H21/H20</f>
        <v>0.23558235959291368</v>
      </c>
      <c r="I33" s="6">
        <f>-I21/I20</f>
        <v>2.4456521739130436E-2</v>
      </c>
      <c r="J33" s="6">
        <f>-J21/J20</f>
        <v>1.287941787941788</v>
      </c>
      <c r="K33" s="6">
        <f>-K21/K20</f>
        <v>0.22991017237193492</v>
      </c>
      <c r="N33" s="6">
        <f>-N21/N20</f>
        <v>0.1184134337000579</v>
      </c>
      <c r="O33" s="6">
        <f>-O21/O20</f>
        <v>0.12547508584309716</v>
      </c>
      <c r="P33" s="6">
        <f>-P21/P20</f>
        <v>0.5414420485175202</v>
      </c>
    </row>
    <row r="34" spans="1:17" s="4" customFormat="1" x14ac:dyDescent="0.25">
      <c r="A34" s="4" t="s">
        <v>52</v>
      </c>
    </row>
    <row r="36" spans="1:17" x14ac:dyDescent="0.25">
      <c r="A36" t="s">
        <v>55</v>
      </c>
      <c r="C36" s="7">
        <f t="shared" ref="C36:K36" si="18">C3/SUM(C$3:C$5)</f>
        <v>0.59302411326598337</v>
      </c>
      <c r="D36" s="7">
        <f t="shared" si="18"/>
        <v>0.59736469755925004</v>
      </c>
      <c r="E36" s="7">
        <f t="shared" si="18"/>
        <v>0.5916056022813414</v>
      </c>
      <c r="F36" s="7">
        <f t="shared" si="18"/>
        <v>0.59945286011553967</v>
      </c>
      <c r="G36" s="7">
        <f t="shared" si="18"/>
        <v>0.59465494143107411</v>
      </c>
      <c r="H36" s="7">
        <f t="shared" si="18"/>
        <v>0.61393668442846061</v>
      </c>
      <c r="I36" s="7">
        <f t="shared" si="18"/>
        <v>0.62031770009677345</v>
      </c>
      <c r="J36" s="7">
        <f t="shared" si="18"/>
        <v>0.62574059676684268</v>
      </c>
      <c r="K36" s="7">
        <f t="shared" si="18"/>
        <v>0.60366054743321973</v>
      </c>
      <c r="L36" s="7"/>
      <c r="M36" s="7"/>
      <c r="N36" s="7">
        <f t="shared" ref="N36:P38" si="19">N3/SUM(N$3:N$5)</f>
        <v>0.61202805752414102</v>
      </c>
      <c r="O36" s="7">
        <f t="shared" si="19"/>
        <v>0.59561493501794294</v>
      </c>
      <c r="P36" s="7">
        <f t="shared" si="19"/>
        <v>0.61457285552245888</v>
      </c>
    </row>
    <row r="37" spans="1:17" x14ac:dyDescent="0.25">
      <c r="A37" t="s">
        <v>56</v>
      </c>
      <c r="C37" s="7">
        <f t="shared" ref="C37:K37" si="20">C4/SUM(C$3:C$5)</f>
        <v>0.28251050807462574</v>
      </c>
      <c r="D37" s="7">
        <f t="shared" si="20"/>
        <v>0.27167492041032898</v>
      </c>
      <c r="E37" s="7">
        <f t="shared" si="20"/>
        <v>0.26301303107966645</v>
      </c>
      <c r="F37" s="7">
        <f t="shared" si="20"/>
        <v>0.27118348103199896</v>
      </c>
      <c r="G37" s="7">
        <f t="shared" si="20"/>
        <v>0.24697708769880802</v>
      </c>
      <c r="H37" s="7">
        <f t="shared" si="20"/>
        <v>0.223245954105284</v>
      </c>
      <c r="I37" s="7">
        <f t="shared" si="20"/>
        <v>0.21809427148488211</v>
      </c>
      <c r="J37" s="7">
        <f t="shared" si="20"/>
        <v>0.23097906222353287</v>
      </c>
      <c r="K37" s="7">
        <f t="shared" si="20"/>
        <v>0.22867036228583992</v>
      </c>
      <c r="L37" s="7"/>
      <c r="M37" s="7"/>
      <c r="N37" s="7">
        <f t="shared" si="19"/>
        <v>0.27045256744995649</v>
      </c>
      <c r="O37" s="7">
        <f t="shared" si="19"/>
        <v>0.27199024311334929</v>
      </c>
      <c r="P37" s="7">
        <f t="shared" si="19"/>
        <v>0.22959319666214642</v>
      </c>
    </row>
    <row r="38" spans="1:17" x14ac:dyDescent="0.25">
      <c r="A38" t="s">
        <v>57</v>
      </c>
      <c r="C38" s="7">
        <f t="shared" ref="C38:K38" si="21">C5/SUM(C$3:C$5)</f>
        <v>0.1244653786593909</v>
      </c>
      <c r="D38" s="7">
        <f t="shared" si="21"/>
        <v>0.13096038203042093</v>
      </c>
      <c r="E38" s="7">
        <f t="shared" si="21"/>
        <v>0.14538136663899218</v>
      </c>
      <c r="F38" s="7">
        <f t="shared" si="21"/>
        <v>0.1293636588524614</v>
      </c>
      <c r="G38" s="7">
        <f t="shared" si="21"/>
        <v>0.15836797087011784</v>
      </c>
      <c r="H38" s="7">
        <f t="shared" si="21"/>
        <v>0.16281736146625533</v>
      </c>
      <c r="I38" s="7">
        <f t="shared" si="21"/>
        <v>0.16158802841834446</v>
      </c>
      <c r="J38" s="7">
        <f t="shared" si="21"/>
        <v>0.14328034100962442</v>
      </c>
      <c r="K38" s="7">
        <f t="shared" si="21"/>
        <v>0.16766909028094035</v>
      </c>
      <c r="L38" s="7"/>
      <c r="M38" s="7"/>
      <c r="N38" s="7">
        <f t="shared" si="19"/>
        <v>0.11751937502590244</v>
      </c>
      <c r="O38" s="7">
        <f t="shared" si="19"/>
        <v>0.13239482186870771</v>
      </c>
      <c r="P38" s="7">
        <f t="shared" si="19"/>
        <v>0.15583394781539467</v>
      </c>
    </row>
    <row r="39" spans="1:17" x14ac:dyDescent="0.25">
      <c r="A39" t="s">
        <v>63</v>
      </c>
      <c r="C39" s="7">
        <f t="shared" ref="C39:K39" si="22">C23/C3</f>
        <v>5.3624720218851035E-2</v>
      </c>
      <c r="D39" s="7">
        <f t="shared" si="22"/>
        <v>4.6587712805329383E-2</v>
      </c>
      <c r="E39" s="7">
        <f t="shared" si="22"/>
        <v>1.3423433043000747E-2</v>
      </c>
      <c r="F39" s="7">
        <f t="shared" si="22"/>
        <v>-2.5003034348828742E-3</v>
      </c>
      <c r="G39" s="7">
        <f t="shared" si="22"/>
        <v>-2.2644561261625555E-2</v>
      </c>
      <c r="H39" s="7">
        <f t="shared" si="22"/>
        <v>-8.4240225715437322E-3</v>
      </c>
      <c r="I39" s="7">
        <f t="shared" si="22"/>
        <v>-5.2255748766536023E-3</v>
      </c>
      <c r="J39" s="7">
        <f t="shared" si="22"/>
        <v>-2.5706114842068057E-3</v>
      </c>
      <c r="K39" s="7">
        <f t="shared" si="22"/>
        <v>1.1680389172877564E-2</v>
      </c>
      <c r="L39" s="7"/>
      <c r="M39" s="7"/>
      <c r="N39" s="7">
        <f t="shared" ref="N39:N41" si="23">N23/N3</f>
        <v>3.6613030192735797E-2</v>
      </c>
      <c r="O39" s="7">
        <f t="shared" ref="O39:P39" si="24">O23/O3</f>
        <v>2.5983354357777676E-2</v>
      </c>
      <c r="P39" s="7">
        <f t="shared" si="24"/>
        <v>-9.0129162973280989E-3</v>
      </c>
    </row>
    <row r="40" spans="1:17" x14ac:dyDescent="0.25">
      <c r="A40" t="s">
        <v>64</v>
      </c>
      <c r="C40" s="7">
        <f t="shared" ref="C40:K40" si="25">C24/C4</f>
        <v>4.084961988971908E-2</v>
      </c>
      <c r="D40" s="7">
        <f t="shared" si="25"/>
        <v>1.178347059015006E-2</v>
      </c>
      <c r="E40" s="7">
        <f t="shared" si="25"/>
        <v>-3.1257505575570423E-2</v>
      </c>
      <c r="F40" s="7">
        <f t="shared" si="25"/>
        <v>-4.3652071259927025E-2</v>
      </c>
      <c r="G40" s="7">
        <f t="shared" si="25"/>
        <v>-4.4542577975590247E-2</v>
      </c>
      <c r="H40" s="7">
        <f t="shared" si="25"/>
        <v>-6.5435063735451687E-2</v>
      </c>
      <c r="I40" s="7">
        <f t="shared" si="25"/>
        <v>-8.8961038961038963E-2</v>
      </c>
      <c r="J40" s="7">
        <f t="shared" si="25"/>
        <v>-6.4649043902155937E-2</v>
      </c>
      <c r="K40" s="7">
        <f t="shared" si="25"/>
        <v>-4.2818390962469526E-2</v>
      </c>
      <c r="L40" s="7"/>
      <c r="M40" s="7"/>
      <c r="N40" s="7">
        <f t="shared" si="23"/>
        <v>6.8670267785312031E-3</v>
      </c>
      <c r="O40" s="7">
        <f t="shared" ref="O40:P40" si="26">O24/O4</f>
        <v>-7.2307824739605746E-3</v>
      </c>
      <c r="P40" s="7">
        <f t="shared" si="26"/>
        <v>-6.5640173887989692E-2</v>
      </c>
    </row>
    <row r="41" spans="1:17" x14ac:dyDescent="0.25">
      <c r="A41" t="s">
        <v>65</v>
      </c>
      <c r="C41" s="7">
        <f t="shared" ref="C41:K41" si="27">C25/C5</f>
        <v>0.30830185884618233</v>
      </c>
      <c r="D41" s="7">
        <f t="shared" si="27"/>
        <v>0.28313863191302585</v>
      </c>
      <c r="E41" s="7">
        <f t="shared" si="27"/>
        <v>0.3031036623215394</v>
      </c>
      <c r="F41" s="7">
        <f t="shared" si="27"/>
        <v>0.29769403824521934</v>
      </c>
      <c r="G41" s="7">
        <f t="shared" si="27"/>
        <v>0.35345154818068436</v>
      </c>
      <c r="H41" s="7">
        <f t="shared" si="27"/>
        <v>0.28952834490095747</v>
      </c>
      <c r="I41" s="7">
        <f t="shared" si="27"/>
        <v>0.26307332749050538</v>
      </c>
      <c r="J41" s="7">
        <f t="shared" si="27"/>
        <v>0.24347460005613247</v>
      </c>
      <c r="K41" s="7">
        <f t="shared" si="27"/>
        <v>0.23990821391776718</v>
      </c>
      <c r="L41" s="7"/>
      <c r="M41" s="7"/>
      <c r="N41" s="7">
        <f t="shared" si="23"/>
        <v>0.29823672029975756</v>
      </c>
      <c r="O41" s="7">
        <f>O25/O5</f>
        <v>0.29793254236198191</v>
      </c>
      <c r="P41" s="7">
        <f>P25/P5</f>
        <v>0.28517029564522572</v>
      </c>
    </row>
    <row r="44" spans="1:17" x14ac:dyDescent="0.25">
      <c r="A44" t="s">
        <v>5</v>
      </c>
      <c r="N44" s="1">
        <f>N45+N46-N54-N58-N59</f>
        <v>-36976</v>
      </c>
      <c r="O44" s="1">
        <f>O45+O46-O54-O58-O59</f>
        <v>-55002</v>
      </c>
      <c r="P44" s="1">
        <f>P45+P46-P54-P58-P59</f>
        <v>-97845</v>
      </c>
    </row>
    <row r="45" spans="1:17" x14ac:dyDescent="0.25">
      <c r="A45" t="s">
        <v>3</v>
      </c>
      <c r="N45" s="1">
        <v>42122</v>
      </c>
      <c r="O45" s="1">
        <v>36220</v>
      </c>
      <c r="P45" s="1">
        <v>53888</v>
      </c>
      <c r="Q45" s="1"/>
    </row>
    <row r="46" spans="1:17" x14ac:dyDescent="0.25">
      <c r="A46" t="s">
        <v>66</v>
      </c>
      <c r="N46" s="1">
        <v>42274</v>
      </c>
      <c r="O46" s="1">
        <v>59829</v>
      </c>
      <c r="P46" s="1">
        <v>16138</v>
      </c>
      <c r="Q46" s="1"/>
    </row>
    <row r="47" spans="1:17" x14ac:dyDescent="0.25">
      <c r="A47" t="s">
        <v>67</v>
      </c>
      <c r="N47" s="1">
        <v>23795</v>
      </c>
      <c r="O47" s="1">
        <v>32640</v>
      </c>
      <c r="P47" s="1">
        <v>34405</v>
      </c>
      <c r="Q47" s="1"/>
    </row>
    <row r="48" spans="1:17" x14ac:dyDescent="0.25">
      <c r="A48" t="s">
        <v>68</v>
      </c>
      <c r="N48" s="1">
        <v>24542</v>
      </c>
      <c r="O48" s="1">
        <v>32891</v>
      </c>
      <c r="P48" s="1">
        <v>42360</v>
      </c>
      <c r="Q48" s="1"/>
    </row>
    <row r="49" spans="1:17" x14ac:dyDescent="0.25">
      <c r="A49" t="s">
        <v>69</v>
      </c>
      <c r="N49" s="1">
        <v>113114</v>
      </c>
      <c r="O49" s="1">
        <v>160281</v>
      </c>
      <c r="P49" s="1">
        <v>186715</v>
      </c>
      <c r="Q49" s="1"/>
    </row>
    <row r="50" spans="1:17" x14ac:dyDescent="0.25">
      <c r="A50" t="s">
        <v>70</v>
      </c>
      <c r="N50" s="1">
        <v>37553</v>
      </c>
      <c r="O50" s="1">
        <v>56082</v>
      </c>
      <c r="P50" s="1">
        <v>66123</v>
      </c>
      <c r="Q50" s="1"/>
    </row>
    <row r="51" spans="1:17" x14ac:dyDescent="0.25">
      <c r="A51" t="s">
        <v>71</v>
      </c>
      <c r="N51" s="1">
        <v>15017</v>
      </c>
      <c r="O51" s="1">
        <v>15371</v>
      </c>
      <c r="P51" s="1">
        <v>20288</v>
      </c>
      <c r="Q51" s="1"/>
    </row>
    <row r="52" spans="1:17" x14ac:dyDescent="0.25">
      <c r="A52" t="s">
        <v>39</v>
      </c>
      <c r="N52" s="1">
        <v>22778</v>
      </c>
      <c r="O52" s="1">
        <v>27235</v>
      </c>
      <c r="P52" s="1">
        <v>42758</v>
      </c>
      <c r="Q52" s="1"/>
    </row>
    <row r="53" spans="1:17" s="4" customFormat="1" x14ac:dyDescent="0.25">
      <c r="A53" s="4" t="s">
        <v>72</v>
      </c>
      <c r="N53" s="5">
        <f>SUM(N45:N52)</f>
        <v>321195</v>
      </c>
      <c r="O53" s="5">
        <f>SUM(O45:O52)</f>
        <v>420549</v>
      </c>
      <c r="P53" s="5">
        <f>SUM(P45:P52)</f>
        <v>462675</v>
      </c>
      <c r="Q53" s="5"/>
    </row>
    <row r="54" spans="1:17" x14ac:dyDescent="0.25">
      <c r="A54" t="s">
        <v>73</v>
      </c>
      <c r="N54" s="1">
        <v>72539</v>
      </c>
      <c r="O54" s="1">
        <v>78664</v>
      </c>
      <c r="P54" s="1">
        <v>79600</v>
      </c>
      <c r="Q54" s="1"/>
    </row>
    <row r="55" spans="1:17" x14ac:dyDescent="0.25">
      <c r="A55" t="s">
        <v>74</v>
      </c>
      <c r="N55" s="1">
        <v>44138</v>
      </c>
      <c r="O55" s="1">
        <v>51775</v>
      </c>
      <c r="P55" s="1">
        <v>62566</v>
      </c>
      <c r="Q55" s="1"/>
    </row>
    <row r="56" spans="1:17" x14ac:dyDescent="0.25">
      <c r="A56" t="s">
        <v>75</v>
      </c>
      <c r="N56" s="1">
        <v>9708</v>
      </c>
      <c r="O56" s="1">
        <v>11827</v>
      </c>
      <c r="P56" s="1">
        <v>13227</v>
      </c>
      <c r="Q56" s="1"/>
    </row>
    <row r="57" spans="1:17" x14ac:dyDescent="0.25">
      <c r="A57" t="s">
        <v>76</v>
      </c>
      <c r="N57" s="1">
        <v>52573</v>
      </c>
      <c r="O57" s="1">
        <v>67651</v>
      </c>
      <c r="P57" s="1">
        <v>72968</v>
      </c>
      <c r="Q57" s="1"/>
    </row>
    <row r="58" spans="1:17" x14ac:dyDescent="0.25">
      <c r="A58" t="s">
        <v>77</v>
      </c>
      <c r="N58" s="1">
        <v>31816</v>
      </c>
      <c r="O58" s="1">
        <v>48744</v>
      </c>
      <c r="P58" s="1">
        <v>67150</v>
      </c>
      <c r="Q58" s="1"/>
    </row>
    <row r="59" spans="1:17" x14ac:dyDescent="0.25">
      <c r="A59" t="s">
        <v>78</v>
      </c>
      <c r="N59" s="1">
        <v>17017</v>
      </c>
      <c r="O59" s="1">
        <v>23643</v>
      </c>
      <c r="P59" s="1">
        <v>21121</v>
      </c>
      <c r="Q59" s="1"/>
    </row>
    <row r="60" spans="1:17" x14ac:dyDescent="0.25">
      <c r="A60" t="s">
        <v>79</v>
      </c>
      <c r="N60" s="1">
        <v>93404</v>
      </c>
      <c r="O60" s="1">
        <v>138245</v>
      </c>
      <c r="P60" s="1">
        <v>146043</v>
      </c>
      <c r="Q60" s="1"/>
    </row>
    <row r="61" spans="1:17" s="4" customFormat="1" x14ac:dyDescent="0.25">
      <c r="A61" s="4" t="s">
        <v>80</v>
      </c>
      <c r="N61" s="5">
        <f>SUM(N54:N59)</f>
        <v>227791</v>
      </c>
      <c r="O61" s="5">
        <f>SUM(O54:O59)</f>
        <v>282304</v>
      </c>
      <c r="P61" s="5">
        <f>SUM(P54:P59)</f>
        <v>316632</v>
      </c>
      <c r="Q61" s="1"/>
    </row>
    <row r="62" spans="1:17" x14ac:dyDescent="0.25">
      <c r="N62" s="1"/>
    </row>
  </sheetData>
  <phoneticPr fontId="3" type="noConversion"/>
  <hyperlinks>
    <hyperlink ref="A1" location="Main!A1" display="Main" xr:uid="{91B03804-6AC4-4060-8306-A64176EF9A30}"/>
  </hyperlink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5FBC5-94D3-4631-B6C6-3844514F6EB8}">
  <dimension ref="A1:S1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6" sqref="F16"/>
    </sheetView>
  </sheetViews>
  <sheetFormatPr defaultRowHeight="15" x14ac:dyDescent="0.25"/>
  <cols>
    <col min="1" max="1" width="27.5703125" customWidth="1"/>
  </cols>
  <sheetData>
    <row r="1" spans="1:19" x14ac:dyDescent="0.25">
      <c r="A1" s="2" t="s">
        <v>7</v>
      </c>
      <c r="B1" s="4" t="s">
        <v>29</v>
      </c>
      <c r="C1" s="4" t="s">
        <v>30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4" t="s">
        <v>28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</row>
    <row r="2" spans="1:19" x14ac:dyDescent="0.25">
      <c r="A2" t="s">
        <v>82</v>
      </c>
      <c r="B2" s="10">
        <v>34.299999999999997</v>
      </c>
      <c r="C2" s="10">
        <v>38.4</v>
      </c>
      <c r="D2" s="10">
        <v>46.2</v>
      </c>
      <c r="E2" s="10">
        <v>54.6</v>
      </c>
      <c r="F2" s="10">
        <v>64</v>
      </c>
      <c r="G2" s="10">
        <v>72.400000000000006</v>
      </c>
      <c r="H2" s="10">
        <v>81.400000000000006</v>
      </c>
      <c r="I2" s="10">
        <v>89.5</v>
      </c>
      <c r="J2" s="10">
        <v>102.1</v>
      </c>
      <c r="K2" s="10">
        <v>111.1</v>
      </c>
      <c r="L2" s="10">
        <v>124</v>
      </c>
      <c r="M2" s="10">
        <v>135.69999999999999</v>
      </c>
      <c r="N2" s="10">
        <v>143.30000000000001</v>
      </c>
      <c r="O2" s="10">
        <v>139.80000000000001</v>
      </c>
      <c r="P2" s="10">
        <v>138.6</v>
      </c>
      <c r="Q2" s="10">
        <v>133.1</v>
      </c>
      <c r="R2" s="10">
        <v>138.6</v>
      </c>
      <c r="S2" s="1"/>
    </row>
    <row r="3" spans="1:19" x14ac:dyDescent="0.25">
      <c r="A3" t="s">
        <v>83</v>
      </c>
      <c r="B3" s="11">
        <v>0.753</v>
      </c>
      <c r="C3" s="11">
        <v>0.77500000000000002</v>
      </c>
      <c r="D3" s="11">
        <v>0.80200000000000005</v>
      </c>
      <c r="E3" s="11">
        <v>0.81899999999999995</v>
      </c>
      <c r="F3" s="11">
        <v>0.82899999999999996</v>
      </c>
      <c r="G3" s="11">
        <v>0.83499999999999996</v>
      </c>
      <c r="H3" s="11">
        <v>0.83399999999999996</v>
      </c>
      <c r="I3" s="11">
        <v>0.83399999999999996</v>
      </c>
      <c r="J3" s="11">
        <v>0.83599999999999997</v>
      </c>
      <c r="K3" s="11">
        <v>0.83499999999999996</v>
      </c>
      <c r="L3" s="11">
        <v>0.84599999999999997</v>
      </c>
      <c r="M3" s="11">
        <v>0.85399999999999998</v>
      </c>
      <c r="N3" s="11">
        <v>0.86099999999999999</v>
      </c>
      <c r="O3" s="11">
        <v>0.86199999999999999</v>
      </c>
      <c r="P3" s="11">
        <v>0.86699999999999999</v>
      </c>
      <c r="Q3" s="11">
        <v>0.871</v>
      </c>
      <c r="R3" s="11">
        <v>0.88</v>
      </c>
      <c r="S3" s="1"/>
    </row>
    <row r="4" spans="1:19" x14ac:dyDescent="0.25">
      <c r="A4" t="s">
        <v>84</v>
      </c>
      <c r="B4" s="10">
        <v>4.4000000000000004</v>
      </c>
      <c r="C4" s="10">
        <v>4.8</v>
      </c>
      <c r="D4" s="10">
        <v>5.3</v>
      </c>
      <c r="E4" s="10">
        <v>5.8</v>
      </c>
      <c r="F4" s="10">
        <v>6.5</v>
      </c>
      <c r="G4" s="10">
        <v>7.2</v>
      </c>
      <c r="H4" s="10">
        <v>8</v>
      </c>
      <c r="I4" s="10">
        <v>8.4</v>
      </c>
      <c r="J4" s="10">
        <v>9.1999999999999993</v>
      </c>
      <c r="K4" s="10">
        <v>9.6999999999999993</v>
      </c>
      <c r="L4" s="10">
        <v>10.7</v>
      </c>
      <c r="M4" s="10">
        <v>11.4</v>
      </c>
      <c r="N4" s="10">
        <v>11.8</v>
      </c>
      <c r="O4" s="10">
        <v>12.3</v>
      </c>
      <c r="P4" s="10">
        <v>12.5</v>
      </c>
      <c r="Q4" s="10">
        <v>12.7</v>
      </c>
      <c r="R4" s="10">
        <v>12.8</v>
      </c>
      <c r="S4" s="1"/>
    </row>
    <row r="5" spans="1:19" x14ac:dyDescent="0.25">
      <c r="A5" t="s">
        <v>85</v>
      </c>
      <c r="B5" s="10">
        <v>9.5</v>
      </c>
      <c r="C5" s="10">
        <v>10.7</v>
      </c>
      <c r="D5" s="10">
        <v>11.8</v>
      </c>
      <c r="E5" s="10">
        <v>13.3</v>
      </c>
      <c r="F5" s="10">
        <v>14.9</v>
      </c>
      <c r="G5" s="10">
        <v>17.2</v>
      </c>
      <c r="H5" s="10">
        <v>19.399999999999999</v>
      </c>
      <c r="I5" s="10">
        <v>21.7</v>
      </c>
      <c r="J5" s="10">
        <v>23.2</v>
      </c>
      <c r="K5" s="10">
        <v>25.9</v>
      </c>
      <c r="L5" s="10">
        <v>28</v>
      </c>
      <c r="M5" s="10">
        <v>30.8</v>
      </c>
      <c r="N5" s="10">
        <v>32.9</v>
      </c>
      <c r="O5" s="10">
        <v>34.9</v>
      </c>
      <c r="P5" s="10">
        <v>36.9</v>
      </c>
      <c r="Q5" s="10">
        <v>38.200000000000003</v>
      </c>
      <c r="R5" s="10">
        <v>39.6</v>
      </c>
      <c r="S5" s="1"/>
    </row>
    <row r="6" spans="1:19" x14ac:dyDescent="0.25">
      <c r="A6" t="s">
        <v>86</v>
      </c>
      <c r="B6" s="10">
        <v>2.4</v>
      </c>
      <c r="C6" s="10">
        <v>2.5</v>
      </c>
      <c r="D6" s="10">
        <v>2.5</v>
      </c>
      <c r="E6" s="10">
        <v>2.6</v>
      </c>
      <c r="F6" s="10">
        <v>2.6</v>
      </c>
      <c r="G6" s="10">
        <v>2.7</v>
      </c>
      <c r="H6" s="10">
        <v>2.7</v>
      </c>
      <c r="I6" s="10">
        <v>2.7</v>
      </c>
      <c r="J6" s="10">
        <v>2.8</v>
      </c>
      <c r="K6" s="10">
        <v>2.9</v>
      </c>
      <c r="L6" s="10">
        <v>2.9</v>
      </c>
      <c r="M6" s="10">
        <v>2.9</v>
      </c>
      <c r="N6" s="10">
        <v>3</v>
      </c>
      <c r="O6" s="10">
        <v>3</v>
      </c>
      <c r="P6" s="10">
        <v>3</v>
      </c>
      <c r="Q6" s="10">
        <v>3.1</v>
      </c>
      <c r="R6" s="10">
        <v>3.1</v>
      </c>
      <c r="S6" s="1"/>
    </row>
    <row r="7" spans="1:19" x14ac:dyDescent="0.25">
      <c r="A7" t="s">
        <v>90</v>
      </c>
      <c r="B7" s="10">
        <v>54.7</v>
      </c>
      <c r="C7" s="10">
        <v>55.1</v>
      </c>
      <c r="D7" s="10">
        <v>55.8</v>
      </c>
      <c r="E7" s="10">
        <v>55.3</v>
      </c>
      <c r="F7" s="10">
        <v>55.8</v>
      </c>
      <c r="G7" s="10">
        <v>55.6</v>
      </c>
      <c r="H7" s="10">
        <v>56.1</v>
      </c>
      <c r="I7" s="10">
        <v>57.1</v>
      </c>
      <c r="J7" s="10">
        <v>58.1</v>
      </c>
      <c r="K7" s="10">
        <v>58.5</v>
      </c>
      <c r="L7" s="10">
        <v>58.8</v>
      </c>
      <c r="M7" s="10">
        <v>57.8</v>
      </c>
      <c r="N7" s="10">
        <v>56.8</v>
      </c>
      <c r="O7" s="10">
        <v>55.5</v>
      </c>
      <c r="P7" s="10">
        <v>55.3</v>
      </c>
      <c r="Q7" s="10">
        <v>54.8</v>
      </c>
      <c r="R7" s="10">
        <v>54.8</v>
      </c>
      <c r="S7" s="1"/>
    </row>
    <row r="8" spans="1:19" x14ac:dyDescent="0.25">
      <c r="A8" t="s">
        <v>87</v>
      </c>
      <c r="B8" s="10">
        <f>B6*B7</f>
        <v>131.28</v>
      </c>
      <c r="C8" s="10">
        <f t="shared" ref="C8:R8" si="0">C6*C7</f>
        <v>137.75</v>
      </c>
      <c r="D8" s="10">
        <f t="shared" si="0"/>
        <v>139.5</v>
      </c>
      <c r="E8" s="10">
        <f t="shared" si="0"/>
        <v>143.78</v>
      </c>
      <c r="F8" s="10">
        <f t="shared" si="0"/>
        <v>145.07999999999998</v>
      </c>
      <c r="G8" s="10">
        <f t="shared" si="0"/>
        <v>150.12</v>
      </c>
      <c r="H8" s="10">
        <f t="shared" si="0"/>
        <v>151.47000000000003</v>
      </c>
      <c r="I8" s="10">
        <f t="shared" si="0"/>
        <v>154.17000000000002</v>
      </c>
      <c r="J8" s="10">
        <f t="shared" si="0"/>
        <v>162.68</v>
      </c>
      <c r="K8" s="10">
        <f t="shared" si="0"/>
        <v>169.65</v>
      </c>
      <c r="L8" s="10">
        <f t="shared" si="0"/>
        <v>170.51999999999998</v>
      </c>
      <c r="M8" s="10">
        <f t="shared" si="0"/>
        <v>167.61999999999998</v>
      </c>
      <c r="N8" s="10">
        <f t="shared" si="0"/>
        <v>170.39999999999998</v>
      </c>
      <c r="O8" s="10">
        <f t="shared" si="0"/>
        <v>166.5</v>
      </c>
      <c r="P8" s="10">
        <f t="shared" si="0"/>
        <v>165.89999999999998</v>
      </c>
      <c r="Q8" s="10">
        <f t="shared" si="0"/>
        <v>169.88</v>
      </c>
      <c r="R8" s="10">
        <f t="shared" si="0"/>
        <v>169.88</v>
      </c>
      <c r="S8" s="1"/>
    </row>
    <row r="9" spans="1:19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x14ac:dyDescent="0.25">
      <c r="A10" t="s">
        <v>88</v>
      </c>
      <c r="F10" s="7">
        <f>F4/B4-1</f>
        <v>0.47727272727272707</v>
      </c>
      <c r="G10" s="7">
        <f t="shared" ref="G10:R10" si="1">G4/C4-1</f>
        <v>0.5</v>
      </c>
      <c r="H10" s="7">
        <f t="shared" si="1"/>
        <v>0.50943396226415105</v>
      </c>
      <c r="I10" s="7">
        <f t="shared" si="1"/>
        <v>0.44827586206896552</v>
      </c>
      <c r="J10" s="7">
        <f t="shared" si="1"/>
        <v>0.41538461538461524</v>
      </c>
      <c r="K10" s="7">
        <f t="shared" si="1"/>
        <v>0.3472222222222221</v>
      </c>
      <c r="L10" s="7">
        <f t="shared" si="1"/>
        <v>0.33749999999999991</v>
      </c>
      <c r="M10" s="7">
        <f t="shared" si="1"/>
        <v>0.35714285714285721</v>
      </c>
      <c r="N10" s="7">
        <f t="shared" si="1"/>
        <v>0.28260869565217406</v>
      </c>
      <c r="O10" s="7">
        <f t="shared" si="1"/>
        <v>0.26804123711340222</v>
      </c>
      <c r="P10" s="7">
        <f t="shared" si="1"/>
        <v>0.16822429906542058</v>
      </c>
      <c r="Q10" s="7">
        <f t="shared" si="1"/>
        <v>0.11403508771929816</v>
      </c>
      <c r="R10" s="7">
        <f t="shared" si="1"/>
        <v>8.4745762711864403E-2</v>
      </c>
    </row>
    <row r="11" spans="1:19" x14ac:dyDescent="0.25">
      <c r="A11" t="s">
        <v>89</v>
      </c>
      <c r="F11" s="7">
        <f>F5/B5-1</f>
        <v>0.56842105263157894</v>
      </c>
      <c r="G11" s="7">
        <f t="shared" ref="G11:R11" si="2">G5/C5-1</f>
        <v>0.60747663551401865</v>
      </c>
      <c r="H11" s="7">
        <f t="shared" si="2"/>
        <v>0.64406779661016933</v>
      </c>
      <c r="I11" s="7">
        <f t="shared" si="2"/>
        <v>0.63157894736842102</v>
      </c>
      <c r="J11" s="7">
        <f t="shared" si="2"/>
        <v>0.55704697986577179</v>
      </c>
      <c r="K11" s="7">
        <f t="shared" si="2"/>
        <v>0.5058139534883721</v>
      </c>
      <c r="L11" s="7">
        <f t="shared" si="2"/>
        <v>0.44329896907216515</v>
      </c>
      <c r="M11" s="7">
        <f t="shared" si="2"/>
        <v>0.41935483870967749</v>
      </c>
      <c r="N11" s="7">
        <f t="shared" si="2"/>
        <v>0.4181034482758621</v>
      </c>
      <c r="O11" s="7">
        <f t="shared" si="2"/>
        <v>0.34749034749034746</v>
      </c>
      <c r="P11" s="7">
        <f t="shared" si="2"/>
        <v>0.31785714285714284</v>
      </c>
      <c r="Q11" s="7">
        <f t="shared" si="2"/>
        <v>0.2402597402597404</v>
      </c>
      <c r="R11" s="7">
        <f t="shared" si="2"/>
        <v>0.20364741641337392</v>
      </c>
    </row>
    <row r="12" spans="1:19" x14ac:dyDescent="0.25">
      <c r="N12" s="7"/>
      <c r="O12" s="7"/>
      <c r="P12" s="7"/>
      <c r="Q12" s="7"/>
      <c r="R12" s="7"/>
    </row>
    <row r="13" spans="1:19" x14ac:dyDescent="0.25">
      <c r="N13" s="7"/>
      <c r="O13" s="7"/>
      <c r="P13" s="7"/>
      <c r="Q13" s="7"/>
      <c r="R13" s="7"/>
    </row>
    <row r="14" spans="1:19" x14ac:dyDescent="0.25">
      <c r="N14" s="7"/>
      <c r="O14" s="7"/>
      <c r="P14" s="7"/>
      <c r="Q14" s="7"/>
      <c r="R14" s="7"/>
    </row>
    <row r="15" spans="1:19" x14ac:dyDescent="0.25">
      <c r="N15" s="7"/>
      <c r="O15" s="7"/>
      <c r="P15" s="7"/>
      <c r="Q15" s="7"/>
      <c r="R15" s="7"/>
    </row>
  </sheetData>
  <phoneticPr fontId="3" type="noConversion"/>
  <hyperlinks>
    <hyperlink ref="A1" location="Main!A1" display="Main" xr:uid="{0F37BD00-8BC5-4A2E-BAAF-684A290590F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KPIs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2023-07-12T23:07:50Z</dcterms:modified>
</cp:coreProperties>
</file>