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imon\Documents\models\Automotive\"/>
    </mc:Choice>
  </mc:AlternateContent>
  <xr:revisionPtr revIDLastSave="0" documentId="13_ncr:1_{DFAB3796-E421-444C-A9B8-E5DFE449C1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Model!$B$28</definedName>
    <definedName name="_xlchart.v1.1" hidden="1">Model!$B$29</definedName>
    <definedName name="_xlchart.v1.2" hidden="1">Model!$M$28:$Y$28</definedName>
    <definedName name="_xlchart.v1.3" hidden="1">Model!$M$29:$Y$29</definedName>
    <definedName name="_xlchart.v1.4" hidden="1">Model!$M$2:$Y$2</definedName>
    <definedName name="_xlchart.v1.5" hidden="1">Model!$B$10</definedName>
    <definedName name="_xlchart.v1.6" hidden="1">Model!$B$9</definedName>
    <definedName name="_xlchart.v1.7" hidden="1">Model!$M$10:$Y$10</definedName>
    <definedName name="_xlchart.v1.8" hidden="1">Model!$M$2:$Y$2</definedName>
    <definedName name="_xlchart.v1.9" hidden="1">Model!$M$9:$Y$9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3" i="1"/>
  <c r="C32" i="1"/>
  <c r="C31" i="1"/>
  <c r="C30" i="1"/>
  <c r="C29" i="1"/>
  <c r="C27" i="1"/>
  <c r="C25" i="1"/>
  <c r="C24" i="1"/>
  <c r="C23" i="1"/>
  <c r="C22" i="1"/>
  <c r="C21" i="1"/>
  <c r="C20" i="1"/>
  <c r="C17" i="1"/>
  <c r="C16" i="1"/>
  <c r="C15" i="1"/>
  <c r="C14" i="1"/>
  <c r="C13" i="1"/>
  <c r="C10" i="1"/>
  <c r="C9" i="1"/>
  <c r="C7" i="1"/>
  <c r="J12" i="1" s="1"/>
  <c r="S21" i="6"/>
  <c r="R21" i="6"/>
  <c r="R22" i="6"/>
  <c r="S22" i="6"/>
  <c r="R19" i="6"/>
  <c r="S19" i="6"/>
  <c r="S18" i="6"/>
  <c r="R18" i="6"/>
  <c r="R14" i="6"/>
  <c r="R13" i="6"/>
  <c r="R16" i="6"/>
  <c r="S16" i="6"/>
  <c r="S14" i="6"/>
  <c r="S13" i="6"/>
  <c r="R10" i="6"/>
  <c r="Q10" i="6"/>
  <c r="P10" i="6"/>
  <c r="Q8" i="6"/>
  <c r="P8" i="6"/>
  <c r="O8" i="6"/>
  <c r="H10" i="6"/>
  <c r="G10" i="6"/>
  <c r="F10" i="6"/>
  <c r="I10" i="6"/>
  <c r="R2" i="6"/>
  <c r="R4" i="6" s="1"/>
  <c r="R7" i="6"/>
  <c r="R6" i="6"/>
  <c r="S7" i="6"/>
  <c r="S6" i="6"/>
  <c r="S3" i="6"/>
  <c r="S2" i="6"/>
  <c r="H69" i="2"/>
  <c r="H68" i="2"/>
  <c r="H67" i="2"/>
  <c r="H65" i="2"/>
  <c r="H64" i="2"/>
  <c r="H63" i="2"/>
  <c r="H66" i="2" s="1"/>
  <c r="H70" i="2" s="1"/>
  <c r="H62" i="2"/>
  <c r="H61" i="2"/>
  <c r="H59" i="2"/>
  <c r="H58" i="2"/>
  <c r="H57" i="2"/>
  <c r="H56" i="2"/>
  <c r="H55" i="2"/>
  <c r="H54" i="2"/>
  <c r="H53" i="2"/>
  <c r="H52" i="2"/>
  <c r="H51" i="2"/>
  <c r="H49" i="2"/>
  <c r="H48" i="2"/>
  <c r="H47" i="2"/>
  <c r="H46" i="2"/>
  <c r="H45" i="2"/>
  <c r="H28" i="2"/>
  <c r="H27" i="2"/>
  <c r="H25" i="2"/>
  <c r="H24" i="2"/>
  <c r="H22" i="2"/>
  <c r="H21" i="2"/>
  <c r="H19" i="2"/>
  <c r="H18" i="2"/>
  <c r="H17" i="2"/>
  <c r="H15" i="2"/>
  <c r="H14" i="2"/>
  <c r="H12" i="2"/>
  <c r="H11" i="2"/>
  <c r="H8" i="2"/>
  <c r="H7" i="2"/>
  <c r="H5" i="2"/>
  <c r="H4" i="2"/>
  <c r="H36" i="2" s="1"/>
  <c r="E37" i="2"/>
  <c r="D37" i="2"/>
  <c r="F37" i="2"/>
  <c r="G37" i="2"/>
  <c r="J37" i="2"/>
  <c r="I37" i="2"/>
  <c r="I31" i="2"/>
  <c r="J32" i="2"/>
  <c r="J41" i="2"/>
  <c r="I41" i="2"/>
  <c r="J40" i="2"/>
  <c r="I40" i="2"/>
  <c r="J39" i="2"/>
  <c r="I39" i="2"/>
  <c r="J38" i="2"/>
  <c r="I38" i="2"/>
  <c r="H38" i="2"/>
  <c r="J36" i="2"/>
  <c r="J35" i="2"/>
  <c r="I35" i="2"/>
  <c r="H35" i="2"/>
  <c r="J34" i="2"/>
  <c r="I34" i="2"/>
  <c r="J33" i="2"/>
  <c r="I33" i="2"/>
  <c r="J31" i="2"/>
  <c r="J30" i="2"/>
  <c r="I30" i="2"/>
  <c r="I28" i="2"/>
  <c r="J28" i="2"/>
  <c r="I26" i="2"/>
  <c r="J26" i="2"/>
  <c r="I23" i="2"/>
  <c r="J23" i="2"/>
  <c r="I20" i="2"/>
  <c r="J20" i="2"/>
  <c r="I16" i="2"/>
  <c r="J16" i="2"/>
  <c r="I13" i="2"/>
  <c r="J13" i="2"/>
  <c r="I9" i="2"/>
  <c r="J9" i="2"/>
  <c r="I6" i="2"/>
  <c r="J6" i="2"/>
  <c r="H3" i="2"/>
  <c r="AB32" i="2"/>
  <c r="Y36" i="2"/>
  <c r="Y35" i="2"/>
  <c r="AB37" i="2"/>
  <c r="AB28" i="2"/>
  <c r="AB21" i="2"/>
  <c r="R37" i="2"/>
  <c r="S37" i="2"/>
  <c r="T37" i="2"/>
  <c r="U37" i="2"/>
  <c r="V37" i="2"/>
  <c r="W37" i="2"/>
  <c r="X37" i="2"/>
  <c r="Y37" i="2"/>
  <c r="Z37" i="2"/>
  <c r="AA37" i="2"/>
  <c r="Q37" i="2"/>
  <c r="AD37" i="2"/>
  <c r="AC37" i="2"/>
  <c r="AD44" i="2"/>
  <c r="AE44" i="2"/>
  <c r="AD50" i="2"/>
  <c r="AD60" i="2" s="1"/>
  <c r="AD71" i="2" s="1"/>
  <c r="AE50" i="2"/>
  <c r="AE60" i="2"/>
  <c r="AD66" i="2"/>
  <c r="AE66" i="2"/>
  <c r="AD70" i="2"/>
  <c r="AE70" i="2"/>
  <c r="AE71" i="2" s="1"/>
  <c r="AD30" i="2"/>
  <c r="AE30" i="2"/>
  <c r="AD31" i="2"/>
  <c r="AE31" i="2"/>
  <c r="AD32" i="2"/>
  <c r="AE32" i="2"/>
  <c r="AD33" i="2"/>
  <c r="AE33" i="2"/>
  <c r="AD34" i="2"/>
  <c r="AE34" i="2"/>
  <c r="AD35" i="2"/>
  <c r="AE35" i="2"/>
  <c r="AD36" i="2"/>
  <c r="AE36" i="2"/>
  <c r="AE37" i="2"/>
  <c r="AD38" i="2"/>
  <c r="AE38" i="2"/>
  <c r="AD39" i="2"/>
  <c r="AE39" i="2"/>
  <c r="AD40" i="2"/>
  <c r="AE40" i="2"/>
  <c r="AD41" i="2"/>
  <c r="AE41" i="2"/>
  <c r="AD13" i="2"/>
  <c r="AE13" i="2"/>
  <c r="AD16" i="2"/>
  <c r="AD20" i="2" s="1"/>
  <c r="AD23" i="2" s="1"/>
  <c r="AD26" i="2" s="1"/>
  <c r="AE16" i="2"/>
  <c r="AE20" i="2"/>
  <c r="AE23" i="2" s="1"/>
  <c r="AE26" i="2" s="1"/>
  <c r="AD9" i="2"/>
  <c r="AE9" i="2"/>
  <c r="AD6" i="2"/>
  <c r="AE6" i="2"/>
  <c r="I66" i="2"/>
  <c r="J66" i="2"/>
  <c r="I70" i="2"/>
  <c r="I71" i="2" s="1"/>
  <c r="J70" i="2"/>
  <c r="J71" i="2"/>
  <c r="I60" i="2"/>
  <c r="J60" i="2"/>
  <c r="I50" i="2"/>
  <c r="J50" i="2"/>
  <c r="I44" i="2"/>
  <c r="J44" i="2"/>
  <c r="AA21" i="2"/>
  <c r="I8" i="6"/>
  <c r="H8" i="6"/>
  <c r="I4" i="6"/>
  <c r="H4" i="6"/>
  <c r="AC66" i="2"/>
  <c r="AC70" i="2" s="1"/>
  <c r="AC50" i="2"/>
  <c r="AC60" i="2" s="1"/>
  <c r="AC71" i="2" s="1"/>
  <c r="AC44" i="2"/>
  <c r="AC41" i="2"/>
  <c r="AC40" i="2"/>
  <c r="AC39" i="2"/>
  <c r="AC38" i="2"/>
  <c r="AC36" i="2"/>
  <c r="AC35" i="2"/>
  <c r="AC13" i="2"/>
  <c r="AC16" i="2" s="1"/>
  <c r="AC6" i="2"/>
  <c r="AC9" i="2" s="1"/>
  <c r="AC33" i="2" s="1"/>
  <c r="G8" i="6"/>
  <c r="G4" i="6"/>
  <c r="Z21" i="2"/>
  <c r="AA13" i="2"/>
  <c r="AA16" i="2" s="1"/>
  <c r="AB13" i="2"/>
  <c r="AB16" i="2" s="1"/>
  <c r="AA6" i="2"/>
  <c r="AA9" i="2" s="1"/>
  <c r="AB6" i="2"/>
  <c r="AB9" i="2" s="1"/>
  <c r="Z66" i="2"/>
  <c r="Z70" i="2" s="1"/>
  <c r="AA66" i="2"/>
  <c r="AA70" i="2" s="1"/>
  <c r="AB66" i="2"/>
  <c r="AB70" i="2" s="1"/>
  <c r="Z50" i="2"/>
  <c r="Z60" i="2" s="1"/>
  <c r="AA50" i="2"/>
  <c r="AA60" i="2" s="1"/>
  <c r="AB50" i="2"/>
  <c r="AB60" i="2" s="1"/>
  <c r="Z44" i="2"/>
  <c r="AA44" i="2"/>
  <c r="AB44" i="2"/>
  <c r="Z35" i="2"/>
  <c r="AA35" i="2"/>
  <c r="Z36" i="2"/>
  <c r="AA36" i="2"/>
  <c r="Z38" i="2"/>
  <c r="AA38" i="2"/>
  <c r="AB38" i="2"/>
  <c r="Z39" i="2"/>
  <c r="AA39" i="2"/>
  <c r="AB39" i="2"/>
  <c r="Z40" i="2"/>
  <c r="AA40" i="2"/>
  <c r="AB40" i="2"/>
  <c r="Z41" i="2"/>
  <c r="AA41" i="2"/>
  <c r="AB41" i="2"/>
  <c r="Y66" i="2"/>
  <c r="Y70" i="2" s="1"/>
  <c r="Y50" i="2"/>
  <c r="Y60" i="2" s="1"/>
  <c r="Y44" i="2"/>
  <c r="Y41" i="2"/>
  <c r="Y40" i="2"/>
  <c r="Y39" i="2"/>
  <c r="Y38" i="2"/>
  <c r="Y21" i="2"/>
  <c r="B8" i="6"/>
  <c r="C8" i="6"/>
  <c r="D8" i="6"/>
  <c r="E8" i="6"/>
  <c r="F8" i="6"/>
  <c r="C4" i="6"/>
  <c r="D4" i="6"/>
  <c r="E4" i="6"/>
  <c r="F4" i="6"/>
  <c r="B4" i="6"/>
  <c r="C28" i="1"/>
  <c r="G44" i="2"/>
  <c r="F44" i="2"/>
  <c r="E44" i="2"/>
  <c r="D44" i="2"/>
  <c r="V44" i="2"/>
  <c r="U44" i="2"/>
  <c r="S44" i="2"/>
  <c r="R44" i="2"/>
  <c r="Q44" i="2"/>
  <c r="P44" i="2"/>
  <c r="O44" i="2"/>
  <c r="W44" i="2"/>
  <c r="S10" i="6" l="1"/>
  <c r="S4" i="6"/>
  <c r="S8" i="6"/>
  <c r="R8" i="6"/>
  <c r="H50" i="2"/>
  <c r="H60" i="2" s="1"/>
  <c r="H71" i="2" s="1"/>
  <c r="H44" i="2"/>
  <c r="H20" i="2"/>
  <c r="H41" i="2"/>
  <c r="H40" i="2"/>
  <c r="H13" i="2"/>
  <c r="H16" i="2" s="1"/>
  <c r="I36" i="2"/>
  <c r="H6" i="2"/>
  <c r="H9" i="2" s="1"/>
  <c r="H39" i="2"/>
  <c r="AB71" i="2"/>
  <c r="AC30" i="2"/>
  <c r="AA71" i="2"/>
  <c r="C19" i="1"/>
  <c r="AC34" i="2"/>
  <c r="AC20" i="2"/>
  <c r="AC23" i="2" s="1"/>
  <c r="AC26" i="2" s="1"/>
  <c r="Z71" i="2"/>
  <c r="AB34" i="2"/>
  <c r="AB20" i="2"/>
  <c r="AB23" i="2" s="1"/>
  <c r="AB26" i="2" s="1"/>
  <c r="AB33" i="2"/>
  <c r="AA20" i="2"/>
  <c r="AA23" i="2" s="1"/>
  <c r="AA26" i="2" s="1"/>
  <c r="AA33" i="2"/>
  <c r="AA30" i="2"/>
  <c r="AA34" i="2"/>
  <c r="AB30" i="2"/>
  <c r="Y71" i="2"/>
  <c r="J6" i="1"/>
  <c r="J8" i="1"/>
  <c r="J3" i="1"/>
  <c r="J4" i="1"/>
  <c r="J5" i="1"/>
  <c r="J7" i="1"/>
  <c r="J9" i="1"/>
  <c r="J10" i="1"/>
  <c r="J11" i="1"/>
  <c r="N38" i="2"/>
  <c r="O38" i="2"/>
  <c r="Q38" i="2"/>
  <c r="R38" i="2"/>
  <c r="S38" i="2"/>
  <c r="U38" i="2"/>
  <c r="V38" i="2"/>
  <c r="W38" i="2"/>
  <c r="N39" i="2"/>
  <c r="O39" i="2"/>
  <c r="P39" i="2"/>
  <c r="Q39" i="2"/>
  <c r="R39" i="2"/>
  <c r="S39" i="2"/>
  <c r="T39" i="2"/>
  <c r="U39" i="2"/>
  <c r="V39" i="2"/>
  <c r="W39" i="2"/>
  <c r="N40" i="2"/>
  <c r="O40" i="2"/>
  <c r="Q40" i="2"/>
  <c r="R40" i="2"/>
  <c r="S40" i="2"/>
  <c r="U40" i="2"/>
  <c r="V40" i="2"/>
  <c r="W40" i="2"/>
  <c r="N41" i="2"/>
  <c r="O41" i="2"/>
  <c r="P41" i="2"/>
  <c r="Q41" i="2"/>
  <c r="R41" i="2"/>
  <c r="S41" i="2"/>
  <c r="U41" i="2"/>
  <c r="V41" i="2"/>
  <c r="W41" i="2"/>
  <c r="X41" i="2"/>
  <c r="M41" i="2"/>
  <c r="M40" i="2"/>
  <c r="M39" i="2"/>
  <c r="M38" i="2"/>
  <c r="R35" i="2"/>
  <c r="S35" i="2"/>
  <c r="U35" i="2"/>
  <c r="V35" i="2"/>
  <c r="W35" i="2"/>
  <c r="R36" i="2"/>
  <c r="S36" i="2"/>
  <c r="T36" i="2"/>
  <c r="U36" i="2"/>
  <c r="V36" i="2"/>
  <c r="W36" i="2"/>
  <c r="Q36" i="2"/>
  <c r="Q35" i="2"/>
  <c r="P27" i="2"/>
  <c r="P25" i="2"/>
  <c r="P24" i="2"/>
  <c r="P22" i="2"/>
  <c r="P19" i="2"/>
  <c r="P18" i="2"/>
  <c r="P17" i="2"/>
  <c r="P15" i="2"/>
  <c r="P14" i="2"/>
  <c r="P40" i="2" s="1"/>
  <c r="P12" i="2"/>
  <c r="P11" i="2"/>
  <c r="P13" i="2" s="1"/>
  <c r="P8" i="2"/>
  <c r="P7" i="2"/>
  <c r="P5" i="2"/>
  <c r="P4" i="2"/>
  <c r="P3" i="2"/>
  <c r="M21" i="2"/>
  <c r="N21" i="2"/>
  <c r="O21" i="2"/>
  <c r="T27" i="2"/>
  <c r="T25" i="2"/>
  <c r="T24" i="2"/>
  <c r="T22" i="2"/>
  <c r="T19" i="2"/>
  <c r="T18" i="2"/>
  <c r="T17" i="2"/>
  <c r="T15" i="2"/>
  <c r="T41" i="2" s="1"/>
  <c r="T14" i="2"/>
  <c r="T40" i="2" s="1"/>
  <c r="T12" i="2"/>
  <c r="T11" i="2"/>
  <c r="T38" i="2" s="1"/>
  <c r="T8" i="2"/>
  <c r="T7" i="2"/>
  <c r="T5" i="2"/>
  <c r="T6" i="2" s="1"/>
  <c r="T4" i="2"/>
  <c r="T3" i="2"/>
  <c r="T35" i="2" s="1"/>
  <c r="X25" i="2"/>
  <c r="X24" i="2"/>
  <c r="X22" i="2"/>
  <c r="X19" i="2"/>
  <c r="X18" i="2"/>
  <c r="X17" i="2"/>
  <c r="X15" i="2"/>
  <c r="X14" i="2"/>
  <c r="X40" i="2" s="1"/>
  <c r="X12" i="2"/>
  <c r="X11" i="2"/>
  <c r="X38" i="2" s="1"/>
  <c r="X8" i="2"/>
  <c r="X7" i="2"/>
  <c r="X5" i="2"/>
  <c r="X4" i="2"/>
  <c r="AB36" i="2" s="1"/>
  <c r="X3" i="2"/>
  <c r="AB35" i="2" s="1"/>
  <c r="Q21" i="2"/>
  <c r="U21" i="2"/>
  <c r="R21" i="2"/>
  <c r="T21" i="2" s="1"/>
  <c r="V21" i="2"/>
  <c r="S21" i="2"/>
  <c r="W21" i="2"/>
  <c r="M6" i="2"/>
  <c r="M9" i="2" s="1"/>
  <c r="W9" i="2"/>
  <c r="AA32" i="2" s="1"/>
  <c r="N13" i="2"/>
  <c r="N16" i="2" s="1"/>
  <c r="O13" i="2"/>
  <c r="O16" i="2" s="1"/>
  <c r="Q13" i="2"/>
  <c r="Q16" i="2" s="1"/>
  <c r="R13" i="2"/>
  <c r="R16" i="2" s="1"/>
  <c r="S13" i="2"/>
  <c r="S16" i="2" s="1"/>
  <c r="T13" i="2"/>
  <c r="T16" i="2" s="1"/>
  <c r="U13" i="2"/>
  <c r="U16" i="2" s="1"/>
  <c r="V13" i="2"/>
  <c r="V16" i="2" s="1"/>
  <c r="W13" i="2"/>
  <c r="Y13" i="2"/>
  <c r="Y16" i="2" s="1"/>
  <c r="Y30" i="2" s="1"/>
  <c r="Z13" i="2"/>
  <c r="Z16" i="2" s="1"/>
  <c r="M13" i="2"/>
  <c r="M16" i="2" s="1"/>
  <c r="W16" i="2"/>
  <c r="T64" i="2"/>
  <c r="X64" i="2"/>
  <c r="E62" i="2"/>
  <c r="D62" i="2"/>
  <c r="N6" i="2"/>
  <c r="N9" i="2" s="1"/>
  <c r="O6" i="2"/>
  <c r="O9" i="2" s="1"/>
  <c r="O20" i="2" s="1"/>
  <c r="P6" i="2"/>
  <c r="P9" i="2" s="1"/>
  <c r="Q6" i="2"/>
  <c r="Q9" i="2" s="1"/>
  <c r="R6" i="2"/>
  <c r="R9" i="2" s="1"/>
  <c r="S6" i="2"/>
  <c r="S9" i="2" s="1"/>
  <c r="U6" i="2"/>
  <c r="U9" i="2" s="1"/>
  <c r="V6" i="2"/>
  <c r="V9" i="2" s="1"/>
  <c r="Z32" i="2" s="1"/>
  <c r="W6" i="2"/>
  <c r="Y6" i="2"/>
  <c r="Y9" i="2" s="1"/>
  <c r="Z6" i="2"/>
  <c r="Z9" i="2" s="1"/>
  <c r="X69" i="2"/>
  <c r="X68" i="2"/>
  <c r="X67" i="2"/>
  <c r="X65" i="2"/>
  <c r="X63" i="2"/>
  <c r="X62" i="2"/>
  <c r="X61" i="2"/>
  <c r="X59" i="2"/>
  <c r="X58" i="2"/>
  <c r="X57" i="2"/>
  <c r="X56" i="2"/>
  <c r="X55" i="2"/>
  <c r="X54" i="2"/>
  <c r="X53" i="2"/>
  <c r="X52" i="2"/>
  <c r="X51" i="2"/>
  <c r="X49" i="2"/>
  <c r="X48" i="2"/>
  <c r="X47" i="2"/>
  <c r="X46" i="2"/>
  <c r="N44" i="2"/>
  <c r="M44" i="2"/>
  <c r="T69" i="2"/>
  <c r="T68" i="2"/>
  <c r="T67" i="2"/>
  <c r="T65" i="2"/>
  <c r="T63" i="2"/>
  <c r="T62" i="2"/>
  <c r="T61" i="2"/>
  <c r="T59" i="2"/>
  <c r="T58" i="2"/>
  <c r="T57" i="2"/>
  <c r="T56" i="2"/>
  <c r="T55" i="2"/>
  <c r="T54" i="2"/>
  <c r="T53" i="2"/>
  <c r="T52" i="2"/>
  <c r="T51" i="2"/>
  <c r="T49" i="2"/>
  <c r="T48" i="2"/>
  <c r="T47" i="2"/>
  <c r="T46" i="2"/>
  <c r="T45" i="2"/>
  <c r="X45" i="2"/>
  <c r="X44" i="2" s="1"/>
  <c r="D35" i="2"/>
  <c r="D36" i="2"/>
  <c r="C38" i="2"/>
  <c r="D38" i="2"/>
  <c r="C39" i="2"/>
  <c r="D39" i="2"/>
  <c r="C40" i="2"/>
  <c r="D40" i="2"/>
  <c r="C41" i="2"/>
  <c r="D41" i="2"/>
  <c r="D21" i="2"/>
  <c r="C21" i="2"/>
  <c r="C44" i="2"/>
  <c r="G50" i="2"/>
  <c r="G38" i="2"/>
  <c r="F38" i="2"/>
  <c r="F39" i="2"/>
  <c r="G39" i="2"/>
  <c r="F40" i="2"/>
  <c r="G40" i="2"/>
  <c r="F41" i="2"/>
  <c r="G41" i="2"/>
  <c r="E41" i="2"/>
  <c r="E40" i="2"/>
  <c r="E39" i="2"/>
  <c r="E38" i="2"/>
  <c r="G36" i="2"/>
  <c r="G35" i="2"/>
  <c r="G21" i="2"/>
  <c r="X21" i="2" s="1"/>
  <c r="F21" i="2"/>
  <c r="E21" i="2"/>
  <c r="P21" i="2" s="1"/>
  <c r="D13" i="2"/>
  <c r="D16" i="2" s="1"/>
  <c r="E13" i="2"/>
  <c r="E16" i="2" s="1"/>
  <c r="F13" i="2"/>
  <c r="F16" i="2" s="1"/>
  <c r="G13" i="2"/>
  <c r="G16" i="2" s="1"/>
  <c r="C13" i="2"/>
  <c r="C16" i="2" s="1"/>
  <c r="D6" i="2"/>
  <c r="D9" i="2" s="1"/>
  <c r="E6" i="2"/>
  <c r="E9" i="2" s="1"/>
  <c r="F6" i="2"/>
  <c r="F9" i="2" s="1"/>
  <c r="F34" i="2" s="1"/>
  <c r="G6" i="2"/>
  <c r="G9" i="2" s="1"/>
  <c r="C6" i="2"/>
  <c r="C9" i="2" s="1"/>
  <c r="I32" i="2" l="1"/>
  <c r="H33" i="2"/>
  <c r="H23" i="2"/>
  <c r="H26" i="2" s="1"/>
  <c r="H32" i="2"/>
  <c r="H34" i="2"/>
  <c r="H30" i="2"/>
  <c r="X13" i="2"/>
  <c r="X16" i="2" s="1"/>
  <c r="P38" i="2"/>
  <c r="AA28" i="2"/>
  <c r="G33" i="2"/>
  <c r="Y34" i="2"/>
  <c r="AC32" i="2"/>
  <c r="Y33" i="2"/>
  <c r="X35" i="2"/>
  <c r="X36" i="2"/>
  <c r="X39" i="2"/>
  <c r="T44" i="2"/>
  <c r="AC31" i="2"/>
  <c r="AB31" i="2"/>
  <c r="AA31" i="2"/>
  <c r="Z33" i="2"/>
  <c r="Z34" i="2"/>
  <c r="Z30" i="2"/>
  <c r="P16" i="2"/>
  <c r="T9" i="2"/>
  <c r="X6" i="2"/>
  <c r="X9" i="2" s="1"/>
  <c r="G30" i="2"/>
  <c r="F33" i="2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H37" i="2" l="1"/>
  <c r="H31" i="2"/>
  <c r="X20" i="2"/>
  <c r="X23" i="2" s="1"/>
  <c r="X26" i="2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N20" i="2"/>
  <c r="N23" i="2" s="1"/>
  <c r="N26" i="2" s="1"/>
  <c r="N28" i="2" s="1"/>
  <c r="O23" i="2"/>
  <c r="O26" i="2" s="1"/>
  <c r="O28" i="2" s="1"/>
  <c r="P20" i="2"/>
  <c r="P23" i="2" s="1"/>
  <c r="P26" i="2" s="1"/>
  <c r="P28" i="2" s="1"/>
  <c r="Q20" i="2"/>
  <c r="Q23" i="2" s="1"/>
  <c r="Q26" i="2" s="1"/>
  <c r="Q28" i="2" s="1"/>
  <c r="R20" i="2"/>
  <c r="R23" i="2" s="1"/>
  <c r="R26" i="2" s="1"/>
  <c r="R28" i="2" s="1"/>
  <c r="S20" i="2"/>
  <c r="S23" i="2" s="1"/>
  <c r="S26" i="2" s="1"/>
  <c r="S28" i="2" s="1"/>
  <c r="T20" i="2"/>
  <c r="T23" i="2" s="1"/>
  <c r="T26" i="2" s="1"/>
  <c r="T28" i="2" s="1"/>
  <c r="U20" i="2"/>
  <c r="U23" i="2" s="1"/>
  <c r="U26" i="2" s="1"/>
  <c r="U28" i="2" s="1"/>
  <c r="V20" i="2"/>
  <c r="V23" i="2" s="1"/>
  <c r="V26" i="2" s="1"/>
  <c r="V28" i="2" s="1"/>
  <c r="W20" i="2"/>
  <c r="W23" i="2" s="1"/>
  <c r="W26" i="2" s="1"/>
  <c r="Y20" i="2"/>
  <c r="Y23" i="2" s="1"/>
  <c r="Y26" i="2" s="1"/>
  <c r="Z20" i="2"/>
  <c r="Z23" i="2" s="1"/>
  <c r="Z26" i="2" s="1"/>
  <c r="Z28" i="2" s="1"/>
  <c r="M20" i="2"/>
  <c r="M23" i="2" s="1"/>
  <c r="M26" i="2" s="1"/>
  <c r="M28" i="2" s="1"/>
  <c r="X34" i="2"/>
  <c r="W34" i="2"/>
  <c r="V34" i="2"/>
  <c r="U34" i="2"/>
  <c r="T34" i="2"/>
  <c r="S34" i="2"/>
  <c r="R34" i="2"/>
  <c r="Q34" i="2"/>
  <c r="P34" i="2"/>
  <c r="O34" i="2"/>
  <c r="N34" i="2"/>
  <c r="M34" i="2"/>
  <c r="W28" i="2" l="1"/>
  <c r="Y28" i="2"/>
  <c r="Y31" i="2"/>
  <c r="Z31" i="2"/>
  <c r="X28" i="2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20" i="2"/>
  <c r="C23" i="2" s="1"/>
  <c r="C26" i="2" s="1"/>
  <c r="D20" i="2"/>
  <c r="D23" i="2" s="1"/>
  <c r="D26" i="2" s="1"/>
  <c r="E20" i="2"/>
  <c r="F20" i="2"/>
  <c r="G20" i="2"/>
  <c r="N31" i="2"/>
  <c r="O31" i="2"/>
  <c r="P31" i="2"/>
  <c r="M30" i="2"/>
  <c r="N30" i="2"/>
  <c r="O30" i="2"/>
  <c r="P30" i="2"/>
  <c r="Q30" i="2"/>
  <c r="R30" i="2"/>
  <c r="S30" i="2"/>
  <c r="T30" i="2"/>
  <c r="U30" i="2"/>
  <c r="V30" i="2"/>
  <c r="W30" i="2"/>
  <c r="X30" i="2"/>
  <c r="Q32" i="2"/>
  <c r="R32" i="2"/>
  <c r="S32" i="2"/>
  <c r="T32" i="2"/>
  <c r="U32" i="2"/>
  <c r="V32" i="2"/>
  <c r="W32" i="2"/>
  <c r="X32" i="2"/>
  <c r="Y32" i="2"/>
  <c r="M33" i="2"/>
  <c r="N33" i="2"/>
  <c r="O33" i="2"/>
  <c r="P33" i="2"/>
  <c r="Q33" i="2"/>
  <c r="R33" i="2"/>
  <c r="S33" i="2"/>
  <c r="T33" i="2"/>
  <c r="U33" i="2"/>
  <c r="V33" i="2"/>
  <c r="W33" i="2"/>
  <c r="X33" i="2"/>
  <c r="M50" i="2"/>
  <c r="M60" i="2" s="1"/>
  <c r="N50" i="2"/>
  <c r="N60" i="2" s="1"/>
  <c r="O50" i="2"/>
  <c r="O60" i="2" s="1"/>
  <c r="P50" i="2"/>
  <c r="P60" i="2" s="1"/>
  <c r="Q50" i="2"/>
  <c r="Q60" i="2" s="1"/>
  <c r="R50" i="2"/>
  <c r="R60" i="2" s="1"/>
  <c r="S50" i="2"/>
  <c r="S60" i="2" s="1"/>
  <c r="T50" i="2"/>
  <c r="T60" i="2" s="1"/>
  <c r="U50" i="2"/>
  <c r="U60" i="2" s="1"/>
  <c r="V50" i="2"/>
  <c r="V60" i="2" s="1"/>
  <c r="W50" i="2"/>
  <c r="W60" i="2" s="1"/>
  <c r="X50" i="2"/>
  <c r="X60" i="2" s="1"/>
  <c r="M66" i="2"/>
  <c r="M70" i="2" s="1"/>
  <c r="N66" i="2"/>
  <c r="N70" i="2" s="1"/>
  <c r="O66" i="2"/>
  <c r="O70" i="2" s="1"/>
  <c r="P66" i="2"/>
  <c r="P70" i="2" s="1"/>
  <c r="Q66" i="2"/>
  <c r="Q70" i="2" s="1"/>
  <c r="R66" i="2"/>
  <c r="R70" i="2" s="1"/>
  <c r="S66" i="2"/>
  <c r="S70" i="2" s="1"/>
  <c r="T66" i="2"/>
  <c r="T70" i="2" s="1"/>
  <c r="U66" i="2"/>
  <c r="U70" i="2" s="1"/>
  <c r="V66" i="2"/>
  <c r="V70" i="2" s="1"/>
  <c r="W66" i="2"/>
  <c r="W70" i="2" s="1"/>
  <c r="X66" i="2"/>
  <c r="X70" i="2" s="1"/>
  <c r="C50" i="2"/>
  <c r="C60" i="2" s="1"/>
  <c r="D50" i="2"/>
  <c r="D60" i="2" s="1"/>
  <c r="E50" i="2"/>
  <c r="E60" i="2" s="1"/>
  <c r="E36" i="2"/>
  <c r="F36" i="2"/>
  <c r="E35" i="2"/>
  <c r="F35" i="2"/>
  <c r="U71" i="2" l="1"/>
  <c r="V71" i="2"/>
  <c r="X71" i="2"/>
  <c r="T71" i="2"/>
  <c r="R71" i="2"/>
  <c r="S71" i="2"/>
  <c r="Q71" i="2"/>
  <c r="W71" i="2"/>
  <c r="G23" i="2"/>
  <c r="F23" i="2"/>
  <c r="F26" i="2" s="1"/>
  <c r="E23" i="2"/>
  <c r="E26" i="2" s="1"/>
  <c r="K11" i="5"/>
  <c r="M31" i="2"/>
  <c r="G34" i="2"/>
  <c r="E33" i="2"/>
  <c r="E34" i="2"/>
  <c r="D33" i="2"/>
  <c r="D34" i="2"/>
  <c r="C33" i="2"/>
  <c r="C34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U31" i="2"/>
  <c r="Q31" i="2"/>
  <c r="T31" i="2"/>
  <c r="X31" i="2"/>
  <c r="W31" i="2"/>
  <c r="V31" i="2"/>
  <c r="S31" i="2"/>
  <c r="R31" i="2"/>
  <c r="C30" i="2"/>
  <c r="F30" i="2"/>
  <c r="E30" i="2"/>
  <c r="D30" i="2"/>
  <c r="G32" i="2"/>
  <c r="G66" i="2"/>
  <c r="G70" i="2" s="1"/>
  <c r="G60" i="2"/>
  <c r="G71" i="2" s="1"/>
  <c r="E32" i="2"/>
  <c r="F32" i="2"/>
  <c r="D32" i="2"/>
  <c r="D66" i="2"/>
  <c r="D70" i="2" s="1"/>
  <c r="D71" i="2" s="1"/>
  <c r="E66" i="2"/>
  <c r="F50" i="2"/>
  <c r="F60" i="2" s="1"/>
  <c r="G26" i="2" l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66" i="2"/>
  <c r="F70" i="2" s="1"/>
  <c r="F71" i="2" s="1"/>
  <c r="E70" i="2"/>
  <c r="E71" i="2" s="1"/>
  <c r="C66" i="2"/>
  <c r="C70" i="2" s="1"/>
  <c r="C34" i="1" l="1"/>
  <c r="C28" i="2"/>
  <c r="E28" i="2"/>
  <c r="D31" i="2"/>
  <c r="G28" i="2"/>
  <c r="G31" i="2"/>
  <c r="C18" i="1" l="1"/>
  <c r="C31" i="2"/>
  <c r="E31" i="2"/>
  <c r="F28" i="2"/>
  <c r="D28" i="2"/>
  <c r="F31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<sst xmlns="http://schemas.openxmlformats.org/spreadsheetml/2006/main" count="266" uniqueCount="240">
  <si>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</si>
  <si>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</si>
  <si>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</si>
  <si>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</si>
  <si>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</si>
  <si>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</si>
  <si>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</si>
  <si>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</si>
  <si>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</si>
  <si>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</si>
  <si>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</si>
  <si>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</si>
  <si>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</si>
  <si>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</si>
  <si>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</si>
  <si>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</si>
  <si>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</si>
  <si>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</si>
  <si>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</si>
  <si>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</si>
  <si>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</si>
  <si>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</si>
  <si>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Operational Income</t>
  </si>
  <si>
    <t>Cash</t>
  </si>
  <si>
    <t>AR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</si>
  <si>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</si>
  <si>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</si>
  <si>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</si>
  <si>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</si>
  <si>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</si>
  <si>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</si>
  <si>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</si>
  <si>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</si>
  <si>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</si>
  <si>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</si>
  <si>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</si>
  <si>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</si>
  <si>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</si>
  <si>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</si>
  <si>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</si>
  <si>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</si>
  <si>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</si>
  <si>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</si>
  <si>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</si>
  <si>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</si>
  <si>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</si>
  <si>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</si>
  <si>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</si>
  <si>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</si>
  <si>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</si>
  <si>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</si>
  <si>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</si>
  <si>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</si>
  <si>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</si>
  <si>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</si>
  <si>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</si>
  <si>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</si>
  <si>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</si>
  <si>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</si>
  <si>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</si>
  <si>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</si>
  <si>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</si>
  <si>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</si>
  <si>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</si>
  <si>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</si>
  <si>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</si>
  <si>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</si>
  <si>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</si>
  <si>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</si>
  <si>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</si>
  <si>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</si>
  <si>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</si>
  <si>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</si>
  <si>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</si>
  <si>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Prepaid Expense</t>
  </si>
  <si>
    <t>PP&amp;E</t>
  </si>
  <si>
    <t>Acctured Liab</t>
  </si>
  <si>
    <t>Equity</t>
  </si>
  <si>
    <t>Rights of use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</si>
  <si>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</si>
  <si>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</si>
  <si>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</si>
  <si>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</si>
  <si>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</si>
  <si>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</si>
  <si>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</si>
  <si>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</si>
  <si>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</si>
  <si>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</si>
  <si>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</si>
  <si>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</si>
  <si>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</si>
  <si>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</si>
  <si>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</si>
  <si>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</si>
  <si>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</si>
  <si>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</si>
  <si>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</si>
  <si>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</si>
  <si>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</si>
  <si>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</si>
  <si>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</si>
  <si>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</si>
  <si>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</si>
  <si>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</si>
  <si>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</si>
  <si>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</si>
  <si>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</si>
  <si>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</si>
  <si>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</si>
  <si>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</si>
  <si>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</si>
  <si>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</si>
  <si>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</si>
  <si>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</si>
  <si>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</si>
  <si>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</si>
  <si>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</si>
  <si>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</si>
  <si>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</si>
  <si>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</si>
  <si>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</si>
  <si>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</si>
  <si>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</si>
  <si>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</si>
  <si>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</si>
  <si>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</si>
  <si>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</si>
  <si>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</si>
  <si>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</si>
  <si>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</si>
  <si>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</si>
  <si>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</si>
  <si>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Short term investments</t>
  </si>
  <si>
    <t>Inventory</t>
  </si>
  <si>
    <t>Operating lease vehicles</t>
  </si>
  <si>
    <t>Solar energy Systems net</t>
  </si>
  <si>
    <t>Digital assets</t>
  </si>
  <si>
    <t>Deferred tax assets</t>
  </si>
  <si>
    <t>Other non-current assets</t>
  </si>
  <si>
    <t>Deferred revenue</t>
  </si>
  <si>
    <t>Current portion of debt</t>
  </si>
  <si>
    <t>Debt and finance leases</t>
  </si>
  <si>
    <t>Other long-term liab</t>
  </si>
  <si>
    <t>Automotive Sales</t>
  </si>
  <si>
    <t>Automotive regulatory Credits</t>
  </si>
  <si>
    <t>Automotive leasing</t>
  </si>
  <si>
    <t>Total Automotive</t>
  </si>
  <si>
    <t>Energy generation and storage</t>
  </si>
  <si>
    <t>Services and other</t>
  </si>
  <si>
    <t>Automotive Leasing</t>
  </si>
  <si>
    <t>Sum Automotive Cost</t>
  </si>
  <si>
    <t>SG&amp;A</t>
  </si>
  <si>
    <t>Restructuring</t>
  </si>
  <si>
    <t>Interest net</t>
  </si>
  <si>
    <t>Other income</t>
  </si>
  <si>
    <t>SG&amp;A / REV</t>
  </si>
  <si>
    <t>Automotive Sales y/y</t>
  </si>
  <si>
    <t>Automotive Leasing y/y</t>
  </si>
  <si>
    <t>Automotive Sales Margin</t>
  </si>
  <si>
    <t>Automotive Leasing Margin</t>
  </si>
  <si>
    <t>Energy generation and storage Margin</t>
  </si>
  <si>
    <t>Services and other Margin</t>
  </si>
  <si>
    <t>Intangible Assets</t>
  </si>
  <si>
    <t>Customer deposit</t>
  </si>
  <si>
    <t>TSLA</t>
  </si>
  <si>
    <t>Mr. Elon R. Musk</t>
  </si>
  <si>
    <t>Technoking of Tesla, CEO &amp; Director</t>
  </si>
  <si>
    <t>Mr. Vaibhav Taneja</t>
  </si>
  <si>
    <t>CFO, Corporate Controller &amp; Chief Accounting Officer</t>
  </si>
  <si>
    <t>Mr. Martin Viecha</t>
  </si>
  <si>
    <t>Senior Director for Investor Relations</t>
  </si>
  <si>
    <t>Brian Scelfo</t>
  </si>
  <si>
    <t>Senior Director of Corporate Development</t>
  </si>
  <si>
    <t>Mr. Jeffrey Brian Straubel</t>
  </si>
  <si>
    <t>Independent Director</t>
  </si>
  <si>
    <t>Chief Designer</t>
  </si>
  <si>
    <t>Senior Vice President of Automotive</t>
  </si>
  <si>
    <t>Mr. John Walker</t>
  </si>
  <si>
    <t>Vice President of Sales - North America</t>
  </si>
  <si>
    <t>Mr. Peter Bannon</t>
  </si>
  <si>
    <t>Chip Architect</t>
  </si>
  <si>
    <t>Mr. Turner Caldwell</t>
  </si>
  <si>
    <t>Engineering Manager</t>
  </si>
  <si>
    <t>Vanguard Group Inc</t>
  </si>
  <si>
    <t>7.22%</t>
  </si>
  <si>
    <t>Blackrock Inc.</t>
  </si>
  <si>
    <t>5.91%</t>
  </si>
  <si>
    <t>State Street Corporation</t>
  </si>
  <si>
    <t>3.42%</t>
  </si>
  <si>
    <t>Geode Capital Management, LLC</t>
  </si>
  <si>
    <t>1.74%</t>
  </si>
  <si>
    <t>Capital World Investors</t>
  </si>
  <si>
    <t>1.29%</t>
  </si>
  <si>
    <t>Morgan Stanley</t>
  </si>
  <si>
    <t>1.04%</t>
  </si>
  <si>
    <t>Norges Bank Investment Management</t>
  </si>
  <si>
    <t>0.99%</t>
  </si>
  <si>
    <t>FMR, LLC</t>
  </si>
  <si>
    <t>0.92%</t>
  </si>
  <si>
    <t>JP Morgan Chase &amp; Company</t>
  </si>
  <si>
    <t>0.87%</t>
  </si>
  <si>
    <t>Price (T.Rowe) Associates Inc</t>
  </si>
  <si>
    <t>0.82%</t>
  </si>
  <si>
    <t>MUSK ELON</t>
  </si>
  <si>
    <t>MUSK KIMBAL J</t>
  </si>
  <si>
    <t>TANEJA VAIBHAV</t>
  </si>
  <si>
    <t>WILSON - THOMPSON KATHLEEN</t>
  </si>
  <si>
    <t>BAGLINO ANDREW D</t>
  </si>
  <si>
    <t>DENHOLM ROBYN M</t>
  </si>
  <si>
    <t>EHRENPREIS IRA MATTHEW</t>
  </si>
  <si>
    <t>GUILLEN JEROME M</t>
  </si>
  <si>
    <t>Model 3/Y production</t>
  </si>
  <si>
    <t>Other models prod</t>
  </si>
  <si>
    <t>Total prod</t>
  </si>
  <si>
    <t>Model 3/y deliveries</t>
  </si>
  <si>
    <t>Other models deliveries</t>
  </si>
  <si>
    <t>Total deliveries</t>
  </si>
  <si>
    <t>EoQ Lease vehicle count</t>
  </si>
  <si>
    <t>Global vehicle inventory (days of supply)</t>
  </si>
  <si>
    <t>Storage deployed MWh</t>
  </si>
  <si>
    <t>Tesla locations</t>
  </si>
  <si>
    <t>Mobile service fleet</t>
  </si>
  <si>
    <t>Supercharger stations</t>
  </si>
  <si>
    <t>Supercharger connectors</t>
  </si>
  <si>
    <t>Q324</t>
  </si>
  <si>
    <t>Q424</t>
  </si>
  <si>
    <t>Q125</t>
  </si>
  <si>
    <t>Shares (diluted)</t>
  </si>
  <si>
    <t>EPS (diluted)</t>
  </si>
  <si>
    <t>Q225</t>
  </si>
  <si>
    <t>Q325</t>
  </si>
  <si>
    <t>FY26</t>
  </si>
  <si>
    <t>EPS y/y</t>
  </si>
  <si>
    <t>Average Cogs per Vehicle</t>
  </si>
  <si>
    <t>Model 3 y/y deliv</t>
  </si>
  <si>
    <t>KIRKHORN ABACHARY</t>
  </si>
  <si>
    <t>Mr. FranAB von HolABhausen</t>
  </si>
  <si>
    <t>Mr. Xiaotong ABhu</t>
  </si>
  <si>
    <t>ABHU XIAOTONG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</si>
</sst>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B9B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8" borderId="9" applyNumberFormat="0" applyAlignment="0" applyProtection="0"/>
  </cellStyleXfs>
  <cellXfs count="162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0" fontId="6" fillId="6" borderId="0" xfId="0" applyFont="1" applyFill="1"/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2" fontId="2" fillId="3" borderId="2" xfId="0" applyNumberFormat="1" applyFont="1" applyFill="1" applyBorder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0" borderId="13" xfId="0" applyFont="1" applyFill="1" applyBorder="1"/>
    <xf numFmtId="0" fontId="12" fillId="10" borderId="14" xfId="0" applyFont="1" applyFill="1" applyBorder="1"/>
    <xf numFmtId="0" fontId="12" fillId="10" borderId="15" xfId="0" applyFont="1" applyFill="1" applyBorder="1"/>
    <xf numFmtId="0" fontId="12" fillId="10" borderId="16" xfId="0" applyFont="1" applyFill="1" applyBorder="1"/>
    <xf numFmtId="0" fontId="13" fillId="10" borderId="17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2" fillId="10" borderId="19" xfId="0" applyFont="1" applyFill="1" applyBorder="1"/>
    <xf numFmtId="0" fontId="12" fillId="10" borderId="20" xfId="0" applyFont="1" applyFill="1" applyBorder="1"/>
    <xf numFmtId="166" fontId="12" fillId="10" borderId="21" xfId="0" applyNumberFormat="1" applyFont="1" applyFill="1" applyBorder="1"/>
    <xf numFmtId="166" fontId="12" fillId="10" borderId="22" xfId="0" applyNumberFormat="1" applyFont="1" applyFill="1" applyBorder="1"/>
    <xf numFmtId="0" fontId="12" fillId="10" borderId="22" xfId="0" applyFont="1" applyFill="1" applyBorder="1"/>
    <xf numFmtId="10" fontId="12" fillId="10" borderId="22" xfId="0" applyNumberFormat="1" applyFont="1" applyFill="1" applyBorder="1"/>
    <xf numFmtId="10" fontId="12" fillId="10" borderId="23" xfId="0" applyNumberFormat="1" applyFont="1" applyFill="1" applyBorder="1"/>
    <xf numFmtId="166" fontId="12" fillId="10" borderId="24" xfId="0" applyNumberFormat="1" applyFont="1" applyFill="1" applyBorder="1"/>
    <xf numFmtId="166" fontId="12" fillId="10" borderId="25" xfId="0" applyNumberFormat="1" applyFont="1" applyFill="1" applyBorder="1"/>
    <xf numFmtId="0" fontId="12" fillId="10" borderId="25" xfId="0" applyFont="1" applyFill="1" applyBorder="1"/>
    <xf numFmtId="0" fontId="12" fillId="10" borderId="25" xfId="0" quotePrefix="1" applyFont="1" applyFill="1" applyBorder="1"/>
    <xf numFmtId="10" fontId="12" fillId="10" borderId="25" xfId="0" applyNumberFormat="1" applyFont="1" applyFill="1" applyBorder="1"/>
    <xf numFmtId="10" fontId="12" fillId="10" borderId="26" xfId="0" applyNumberFormat="1" applyFont="1" applyFill="1" applyBorder="1"/>
    <xf numFmtId="0" fontId="12" fillId="10" borderId="27" xfId="0" applyFont="1" applyFill="1" applyBorder="1"/>
    <xf numFmtId="0" fontId="12" fillId="10" borderId="28" xfId="0" applyFont="1" applyFill="1" applyBorder="1"/>
    <xf numFmtId="10" fontId="12" fillId="10" borderId="29" xfId="0" applyNumberFormat="1" applyFont="1" applyFill="1" applyBorder="1"/>
    <xf numFmtId="166" fontId="12" fillId="10" borderId="30" xfId="0" applyNumberFormat="1" applyFont="1" applyFill="1" applyBorder="1"/>
    <xf numFmtId="0" fontId="12" fillId="10" borderId="31" xfId="0" applyFont="1" applyFill="1" applyBorder="1"/>
    <xf numFmtId="166" fontId="12" fillId="10" borderId="34" xfId="0" applyNumberFormat="1" applyFont="1" applyFill="1" applyBorder="1"/>
    <xf numFmtId="166" fontId="12" fillId="10" borderId="13" xfId="0" applyNumberFormat="1" applyFont="1" applyFill="1" applyBorder="1"/>
    <xf numFmtId="0" fontId="0" fillId="10" borderId="35" xfId="0" applyFill="1" applyBorder="1"/>
    <xf numFmtId="166" fontId="12" fillId="10" borderId="36" xfId="0" applyNumberFormat="1" applyFont="1" applyFill="1" applyBorder="1"/>
    <xf numFmtId="166" fontId="12" fillId="10" borderId="37" xfId="0" applyNumberFormat="1" applyFont="1" applyFill="1" applyBorder="1"/>
    <xf numFmtId="0" fontId="14" fillId="10" borderId="22" xfId="0" applyFont="1" applyFill="1" applyBorder="1"/>
    <xf numFmtId="0" fontId="14" fillId="10" borderId="23" xfId="0" applyFont="1" applyFill="1" applyBorder="1"/>
    <xf numFmtId="166" fontId="14" fillId="10" borderId="24" xfId="0" applyNumberFormat="1" applyFont="1" applyFill="1" applyBorder="1"/>
    <xf numFmtId="166" fontId="14" fillId="10" borderId="30" xfId="0" applyNumberFormat="1" applyFont="1" applyFill="1" applyBorder="1"/>
    <xf numFmtId="10" fontId="12" fillId="10" borderId="28" xfId="0" applyNumberFormat="1" applyFont="1" applyFill="1" applyBorder="1"/>
    <xf numFmtId="0" fontId="12" fillId="10" borderId="0" xfId="0" applyFont="1" applyFill="1"/>
    <xf numFmtId="1" fontId="12" fillId="10" borderId="24" xfId="0" applyNumberFormat="1" applyFont="1" applyFill="1" applyBorder="1"/>
    <xf numFmtId="10" fontId="12" fillId="10" borderId="38" xfId="0" applyNumberFormat="1" applyFont="1" applyFill="1" applyBorder="1"/>
    <xf numFmtId="9" fontId="14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4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4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4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4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2" fillId="10" borderId="43" xfId="0" applyFont="1" applyFill="1" applyBorder="1"/>
    <xf numFmtId="9" fontId="14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8" borderId="23" xfId="3" applyNumberFormat="1" applyBorder="1"/>
    <xf numFmtId="0" fontId="14" fillId="0" borderId="27" xfId="0" applyFont="1" applyBorder="1"/>
    <xf numFmtId="9" fontId="10" fillId="8" borderId="29" xfId="3" applyNumberFormat="1" applyBorder="1"/>
    <xf numFmtId="0" fontId="12" fillId="0" borderId="0" xfId="0" applyFont="1"/>
    <xf numFmtId="2" fontId="10" fillId="8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165" fontId="12" fillId="10" borderId="31" xfId="0" applyNumberFormat="1" applyFont="1" applyFill="1" applyBorder="1"/>
    <xf numFmtId="2" fontId="12" fillId="10" borderId="31" xfId="0" applyNumberFormat="1" applyFont="1" applyFill="1" applyBorder="1"/>
    <xf numFmtId="10" fontId="0" fillId="0" borderId="0" xfId="1" applyNumberFormat="1" applyFont="1"/>
    <xf numFmtId="0" fontId="6" fillId="0" borderId="0" xfId="0" applyFont="1"/>
    <xf numFmtId="9" fontId="0" fillId="0" borderId="0" xfId="1" applyFont="1" applyFill="1"/>
    <xf numFmtId="9" fontId="0" fillId="0" borderId="2" xfId="1" applyFont="1" applyFill="1" applyBorder="1"/>
    <xf numFmtId="9" fontId="0" fillId="0" borderId="0" xfId="1" applyFont="1" applyFill="1" applyBorder="1"/>
    <xf numFmtId="2" fontId="14" fillId="11" borderId="0" xfId="0" applyNumberFormat="1" applyFont="1" applyFill="1" applyAlignment="1">
      <alignment horizontal="right"/>
    </xf>
    <xf numFmtId="3" fontId="0" fillId="11" borderId="0" xfId="0" applyNumberFormat="1" applyFill="1"/>
    <xf numFmtId="3" fontId="0" fillId="3" borderId="0" xfId="0" applyNumberFormat="1" applyFill="1"/>
    <xf numFmtId="2" fontId="2" fillId="11" borderId="0" xfId="0" applyNumberFormat="1" applyFont="1" applyFill="1" applyAlignment="1">
      <alignment horizontal="right"/>
    </xf>
    <xf numFmtId="0" fontId="2" fillId="3" borderId="0" xfId="0" applyFont="1" applyFill="1"/>
    <xf numFmtId="2" fontId="2" fillId="3" borderId="0" xfId="0" applyNumberFormat="1" applyFont="1" applyFill="1"/>
    <xf numFmtId="10" fontId="2" fillId="0" borderId="0" xfId="1" applyNumberFormat="1" applyFont="1" applyBorder="1"/>
    <xf numFmtId="3" fontId="5" fillId="6" borderId="2" xfId="0" applyNumberFormat="1" applyFont="1" applyFill="1" applyBorder="1"/>
    <xf numFmtId="3" fontId="5" fillId="0" borderId="2" xfId="0" applyNumberFormat="1" applyFont="1" applyBorder="1"/>
    <xf numFmtId="2" fontId="6" fillId="6" borderId="2" xfId="0" applyNumberFormat="1" applyFont="1" applyFill="1" applyBorder="1"/>
    <xf numFmtId="3" fontId="0" fillId="11" borderId="2" xfId="0" applyNumberFormat="1" applyFill="1" applyBorder="1"/>
    <xf numFmtId="0" fontId="2" fillId="11" borderId="2" xfId="0" applyFont="1" applyFill="1" applyBorder="1"/>
    <xf numFmtId="9" fontId="0" fillId="11" borderId="0" xfId="0" applyNumberFormat="1" applyFill="1"/>
    <xf numFmtId="9" fontId="0" fillId="11" borderId="2" xfId="0" applyNumberFormat="1" applyFill="1" applyBorder="1"/>
    <xf numFmtId="9" fontId="0" fillId="2" borderId="0" xfId="0" applyNumberFormat="1" applyFill="1"/>
    <xf numFmtId="9" fontId="0" fillId="2" borderId="2" xfId="0" applyNumberFormat="1" applyFill="1" applyBorder="1"/>
    <xf numFmtId="9" fontId="0" fillId="11" borderId="0" xfId="1" applyFont="1" applyFill="1"/>
    <xf numFmtId="9" fontId="0" fillId="11" borderId="0" xfId="1" applyFont="1" applyFill="1" applyBorder="1"/>
    <xf numFmtId="9" fontId="0" fillId="11" borderId="2" xfId="1" applyFont="1" applyFill="1" applyBorder="1"/>
    <xf numFmtId="9" fontId="0" fillId="6" borderId="0" xfId="0" applyNumberFormat="1" applyFill="1"/>
    <xf numFmtId="9" fontId="0" fillId="6" borderId="0" xfId="1" applyFont="1" applyFill="1" applyBorder="1"/>
    <xf numFmtId="9" fontId="0" fillId="6" borderId="2" xfId="0" applyNumberFormat="1" applyFill="1" applyBorder="1"/>
    <xf numFmtId="9" fontId="0" fillId="6" borderId="2" xfId="1" applyFont="1" applyFill="1" applyBorder="1"/>
    <xf numFmtId="9" fontId="2" fillId="0" borderId="0" xfId="1" applyFont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166" fontId="12" fillId="10" borderId="32" xfId="0" applyNumberFormat="1" applyFont="1" applyFill="1" applyBorder="1" applyAlignment="1">
      <alignment horizontal="center"/>
    </xf>
    <xf numFmtId="166" fontId="12" fillId="10" borderId="44" xfId="0" applyNumberFormat="1" applyFont="1" applyFill="1" applyBorder="1" applyAlignment="1">
      <alignment horizontal="center"/>
    </xf>
    <xf numFmtId="166" fontId="12" fillId="10" borderId="33" xfId="0" applyNumberFormat="1" applyFont="1" applyFill="1" applyBorder="1" applyAlignment="1">
      <alignment horizontal="center"/>
    </xf>
    <xf numFmtId="166" fontId="12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Model!$M$2:$Y$2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Model!$M$9:$Y$9</c:f>
              <c:numCache>
                <c:formatCode>#,##0</c:formatCode>
                <c:ptCount val="13"/>
                <c:pt idx="0">
                  <c:v>10389</c:v>
                </c:pt>
                <c:pt idx="1">
                  <c:v>11958</c:v>
                </c:pt>
                <c:pt idx="2">
                  <c:v>13757</c:v>
                </c:pt>
                <c:pt idx="3">
                  <c:v>17719</c:v>
                </c:pt>
                <c:pt idx="4">
                  <c:v>18756</c:v>
                </c:pt>
                <c:pt idx="5">
                  <c:v>16934</c:v>
                </c:pt>
                <c:pt idx="6">
                  <c:v>21454</c:v>
                </c:pt>
                <c:pt idx="7">
                  <c:v>24318</c:v>
                </c:pt>
                <c:pt idx="8">
                  <c:v>23329</c:v>
                </c:pt>
                <c:pt idx="9">
                  <c:v>24927</c:v>
                </c:pt>
                <c:pt idx="10">
                  <c:v>23350</c:v>
                </c:pt>
                <c:pt idx="11">
                  <c:v>25167</c:v>
                </c:pt>
                <c:pt idx="12">
                  <c:v>21301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Model!$B$32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Model!$M$32:$Y$32</c:f>
              <c:numCache>
                <c:formatCode>0%</c:formatCode>
                <c:ptCount val="13"/>
                <c:pt idx="4">
                  <c:v>0.80537106555010096</c:v>
                </c:pt>
                <c:pt idx="5">
                  <c:v>0.41612309750794441</c:v>
                </c:pt>
                <c:pt idx="6">
                  <c:v>0.55949698335392894</c:v>
                </c:pt>
                <c:pt idx="7">
                  <c:v>0.37242508042214562</c:v>
                </c:pt>
                <c:pt idx="8">
                  <c:v>0.24381531243335464</c:v>
                </c:pt>
                <c:pt idx="9">
                  <c:v>0.47200897602456604</c:v>
                </c:pt>
                <c:pt idx="10">
                  <c:v>8.8375128181224838E-2</c:v>
                </c:pt>
                <c:pt idx="11">
                  <c:v>3.4912410560078877E-2</c:v>
                </c:pt>
                <c:pt idx="12">
                  <c:v>-4.2393587380513575E-2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Model!$C$9:$H$9</c:f>
              <c:numCache>
                <c:formatCode>#,##0</c:formatCode>
                <c:ptCount val="6"/>
                <c:pt idx="0">
                  <c:v>24578</c:v>
                </c:pt>
                <c:pt idx="1">
                  <c:v>31536</c:v>
                </c:pt>
                <c:pt idx="2">
                  <c:v>53823</c:v>
                </c:pt>
                <c:pt idx="3">
                  <c:v>81462</c:v>
                </c:pt>
                <c:pt idx="4">
                  <c:v>96773</c:v>
                </c:pt>
                <c:pt idx="5">
                  <c:v>97690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Model!$B$32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Model!$C$32:$H$32</c:f>
              <c:numCache>
                <c:formatCode>0%</c:formatCode>
                <c:ptCount val="6"/>
                <c:pt idx="1">
                  <c:v>0.28309870615998056</c:v>
                </c:pt>
                <c:pt idx="2">
                  <c:v>0.70671613394216126</c:v>
                </c:pt>
                <c:pt idx="3">
                  <c:v>0.51351652639206291</c:v>
                </c:pt>
                <c:pt idx="4">
                  <c:v>0.18795266504627928</c:v>
                </c:pt>
                <c:pt idx="5">
                  <c:v>9.4757835346634955E-3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Model!$B$26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Model!$M$2:$Y$2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Model!$M$26:$Y$26</c:f>
              <c:numCache>
                <c:formatCode>#,##0</c:formatCode>
                <c:ptCount val="13"/>
                <c:pt idx="0">
                  <c:v>438</c:v>
                </c:pt>
                <c:pt idx="1">
                  <c:v>1142</c:v>
                </c:pt>
                <c:pt idx="2">
                  <c:v>1618</c:v>
                </c:pt>
                <c:pt idx="3">
                  <c:v>2321</c:v>
                </c:pt>
                <c:pt idx="4">
                  <c:v>3318</c:v>
                </c:pt>
                <c:pt idx="5">
                  <c:v>2259</c:v>
                </c:pt>
                <c:pt idx="6">
                  <c:v>3282</c:v>
                </c:pt>
                <c:pt idx="7">
                  <c:v>3697</c:v>
                </c:pt>
                <c:pt idx="8">
                  <c:v>2513</c:v>
                </c:pt>
                <c:pt idx="9">
                  <c:v>2703</c:v>
                </c:pt>
                <c:pt idx="10">
                  <c:v>1843</c:v>
                </c:pt>
                <c:pt idx="11">
                  <c:v>7938</c:v>
                </c:pt>
                <c:pt idx="12">
                  <c:v>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Model!$B$30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Model!$M$30:$Y$30</c:f>
              <c:numCache>
                <c:formatCode>0%</c:formatCode>
                <c:ptCount val="13"/>
                <c:pt idx="0">
                  <c:v>0.21320627586870733</c:v>
                </c:pt>
                <c:pt idx="1">
                  <c:v>0.24117745442381666</c:v>
                </c:pt>
                <c:pt idx="2">
                  <c:v>0.26604637639020134</c:v>
                </c:pt>
                <c:pt idx="3">
                  <c:v>0.27354816863254139</c:v>
                </c:pt>
                <c:pt idx="4">
                  <c:v>0.29110684580934099</c:v>
                </c:pt>
                <c:pt idx="5">
                  <c:v>0.25002952639659859</c:v>
                </c:pt>
                <c:pt idx="6">
                  <c:v>0.25086231005873028</c:v>
                </c:pt>
                <c:pt idx="7">
                  <c:v>0.23756065465910026</c:v>
                </c:pt>
                <c:pt idx="8">
                  <c:v>0.19336448197522393</c:v>
                </c:pt>
                <c:pt idx="9">
                  <c:v>0.18185100493440842</c:v>
                </c:pt>
                <c:pt idx="10">
                  <c:v>0.17892933618843687</c:v>
                </c:pt>
                <c:pt idx="11">
                  <c:v>0.17634203520483172</c:v>
                </c:pt>
                <c:pt idx="12">
                  <c:v>0.17351298061123888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Model!$B$26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Model!$C$26:$H$26</c:f>
              <c:numCache>
                <c:formatCode>#,##0</c:formatCode>
                <c:ptCount val="6"/>
                <c:pt idx="0">
                  <c:v>-862</c:v>
                </c:pt>
                <c:pt idx="1">
                  <c:v>721</c:v>
                </c:pt>
                <c:pt idx="2">
                  <c:v>5519</c:v>
                </c:pt>
                <c:pt idx="3">
                  <c:v>12556</c:v>
                </c:pt>
                <c:pt idx="4">
                  <c:v>14997</c:v>
                </c:pt>
                <c:pt idx="5">
                  <c:v>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Model!$B$37</c:f>
              <c:strCache>
                <c:ptCount val="1"/>
                <c:pt idx="0">
                  <c:v>EPS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Model!$C$37:$H$37</c:f>
              <c:numCache>
                <c:formatCode>0%</c:formatCode>
                <c:ptCount val="6"/>
                <c:pt idx="1">
                  <c:v>-1.6850514061438857</c:v>
                </c:pt>
                <c:pt idx="2">
                  <c:v>1.4483112727368059</c:v>
                </c:pt>
                <c:pt idx="3">
                  <c:v>1.2167823646500446</c:v>
                </c:pt>
                <c:pt idx="4">
                  <c:v>0.19098176182181592</c:v>
                </c:pt>
                <c:pt idx="5">
                  <c:v>-0.53411713524583415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Model!$B$33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Model!$M$2:$W$2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Model!$M$33:$W$33</c:f>
              <c:numCache>
                <c:formatCode>0%</c:formatCode>
                <c:ptCount val="11"/>
                <c:pt idx="0">
                  <c:v>6.410626624314178E-2</c:v>
                </c:pt>
                <c:pt idx="1">
                  <c:v>4.8168590065228299E-2</c:v>
                </c:pt>
                <c:pt idx="2">
                  <c:v>4.4413752998473506E-2</c:v>
                </c:pt>
                <c:pt idx="3">
                  <c:v>4.176307918054066E-2</c:v>
                </c:pt>
                <c:pt idx="4">
                  <c:v>4.6118575389208785E-2</c:v>
                </c:pt>
                <c:pt idx="5">
                  <c:v>3.9388213062477855E-2</c:v>
                </c:pt>
                <c:pt idx="6">
                  <c:v>3.4166122867530534E-2</c:v>
                </c:pt>
                <c:pt idx="7">
                  <c:v>3.3308660251665435E-2</c:v>
                </c:pt>
                <c:pt idx="8">
                  <c:v>3.3048994813322477E-2</c:v>
                </c:pt>
                <c:pt idx="9">
                  <c:v>3.7830464957676418E-2</c:v>
                </c:pt>
                <c:pt idx="10">
                  <c:v>4.9721627408993579E-2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Model!$B$34</c:f>
              <c:strCache>
                <c:ptCount val="1"/>
                <c:pt idx="0">
                  <c:v>SG&amp;A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Model!$M$34:$X$34</c:f>
              <c:numCache>
                <c:formatCode>0%</c:formatCode>
                <c:ptCount val="12"/>
                <c:pt idx="0">
                  <c:v>0.10164597170083742</c:v>
                </c:pt>
                <c:pt idx="1">
                  <c:v>8.1368121759491555E-2</c:v>
                </c:pt>
                <c:pt idx="2">
                  <c:v>7.2254125172639377E-2</c:v>
                </c:pt>
                <c:pt idx="3">
                  <c:v>8.4316270669902368E-2</c:v>
                </c:pt>
                <c:pt idx="4">
                  <c:v>5.2889741949242911E-2</c:v>
                </c:pt>
                <c:pt idx="5">
                  <c:v>5.6749734262430615E-2</c:v>
                </c:pt>
                <c:pt idx="6">
                  <c:v>4.4793511699449985E-2</c:v>
                </c:pt>
                <c:pt idx="7">
                  <c:v>4.2437700468788551E-2</c:v>
                </c:pt>
                <c:pt idx="8">
                  <c:v>4.6122851386686099E-2</c:v>
                </c:pt>
                <c:pt idx="9">
                  <c:v>4.7779516187266821E-2</c:v>
                </c:pt>
                <c:pt idx="10">
                  <c:v>5.4089935760171307E-2</c:v>
                </c:pt>
                <c:pt idx="11">
                  <c:v>5.0462907776055943E-2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Model!$B$33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Model!$C$33:$G$33</c:f>
              <c:numCache>
                <c:formatCode>0%</c:formatCode>
                <c:ptCount val="5"/>
                <c:pt idx="0">
                  <c:v>5.4642363088941333E-2</c:v>
                </c:pt>
                <c:pt idx="1">
                  <c:v>4.7279299847792999E-2</c:v>
                </c:pt>
                <c:pt idx="2">
                  <c:v>4.817643015067908E-2</c:v>
                </c:pt>
                <c:pt idx="3">
                  <c:v>3.7747661486337188E-2</c:v>
                </c:pt>
                <c:pt idx="4">
                  <c:v>4.1013505833238609E-2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Model!$B$34</c:f>
              <c:strCache>
                <c:ptCount val="1"/>
                <c:pt idx="0">
                  <c:v>SG&amp;A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Model!$C$34:$G$34</c:f>
              <c:numCache>
                <c:formatCode>0%</c:formatCode>
                <c:ptCount val="5"/>
                <c:pt idx="0">
                  <c:v>0.10765725445520384</c:v>
                </c:pt>
                <c:pt idx="1">
                  <c:v>9.9727295788939629E-2</c:v>
                </c:pt>
                <c:pt idx="2">
                  <c:v>8.3923229845976624E-2</c:v>
                </c:pt>
                <c:pt idx="3">
                  <c:v>4.8439763325231394E-2</c:v>
                </c:pt>
                <c:pt idx="4">
                  <c:v>4.9600611740878139E-2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45397</c:v>
                </c:pt>
                <c:pt idx="1">
                  <c:v>45390</c:v>
                </c:pt>
                <c:pt idx="2">
                  <c:v>45383</c:v>
                </c:pt>
                <c:pt idx="3">
                  <c:v>45376</c:v>
                </c:pt>
                <c:pt idx="4">
                  <c:v>45369</c:v>
                </c:pt>
                <c:pt idx="5">
                  <c:v>45362</c:v>
                </c:pt>
                <c:pt idx="6">
                  <c:v>45355</c:v>
                </c:pt>
                <c:pt idx="7">
                  <c:v>45348</c:v>
                </c:pt>
                <c:pt idx="8">
                  <c:v>45341</c:v>
                </c:pt>
                <c:pt idx="9">
                  <c:v>45334</c:v>
                </c:pt>
                <c:pt idx="10">
                  <c:v>45327</c:v>
                </c:pt>
                <c:pt idx="11">
                  <c:v>45320</c:v>
                </c:pt>
                <c:pt idx="12">
                  <c:v>45313</c:v>
                </c:pt>
                <c:pt idx="13">
                  <c:v>45306</c:v>
                </c:pt>
                <c:pt idx="14">
                  <c:v>45299</c:v>
                </c:pt>
                <c:pt idx="15">
                  <c:v>45292</c:v>
                </c:pt>
                <c:pt idx="16">
                  <c:v>45285</c:v>
                </c:pt>
                <c:pt idx="17">
                  <c:v>45278</c:v>
                </c:pt>
                <c:pt idx="18">
                  <c:v>45271</c:v>
                </c:pt>
                <c:pt idx="19">
                  <c:v>45264</c:v>
                </c:pt>
                <c:pt idx="20">
                  <c:v>45257</c:v>
                </c:pt>
                <c:pt idx="21">
                  <c:v>45250</c:v>
                </c:pt>
                <c:pt idx="22">
                  <c:v>45243</c:v>
                </c:pt>
                <c:pt idx="23">
                  <c:v>45236</c:v>
                </c:pt>
                <c:pt idx="24">
                  <c:v>45229</c:v>
                </c:pt>
                <c:pt idx="25">
                  <c:v>45222</c:v>
                </c:pt>
                <c:pt idx="26">
                  <c:v>45215</c:v>
                </c:pt>
                <c:pt idx="27">
                  <c:v>45208</c:v>
                </c:pt>
                <c:pt idx="28">
                  <c:v>45201</c:v>
                </c:pt>
                <c:pt idx="29">
                  <c:v>45194</c:v>
                </c:pt>
                <c:pt idx="30">
                  <c:v>45187</c:v>
                </c:pt>
                <c:pt idx="31">
                  <c:v>45180</c:v>
                </c:pt>
                <c:pt idx="32">
                  <c:v>45173</c:v>
                </c:pt>
                <c:pt idx="33">
                  <c:v>45166</c:v>
                </c:pt>
                <c:pt idx="34">
                  <c:v>45159</c:v>
                </c:pt>
                <c:pt idx="35">
                  <c:v>45152</c:v>
                </c:pt>
                <c:pt idx="36">
                  <c:v>45145</c:v>
                </c:pt>
                <c:pt idx="37">
                  <c:v>45138</c:v>
                </c:pt>
                <c:pt idx="38">
                  <c:v>45131</c:v>
                </c:pt>
                <c:pt idx="39">
                  <c:v>45124</c:v>
                </c:pt>
                <c:pt idx="40">
                  <c:v>45117</c:v>
                </c:pt>
                <c:pt idx="41">
                  <c:v>45110</c:v>
                </c:pt>
                <c:pt idx="42">
                  <c:v>45103</c:v>
                </c:pt>
                <c:pt idx="43">
                  <c:v>45096</c:v>
                </c:pt>
                <c:pt idx="44">
                  <c:v>45089</c:v>
                </c:pt>
                <c:pt idx="45">
                  <c:v>45082</c:v>
                </c:pt>
                <c:pt idx="46">
                  <c:v>45075</c:v>
                </c:pt>
                <c:pt idx="47">
                  <c:v>45068</c:v>
                </c:pt>
                <c:pt idx="48">
                  <c:v>45061</c:v>
                </c:pt>
                <c:pt idx="49">
                  <c:v>45054</c:v>
                </c:pt>
                <c:pt idx="50">
                  <c:v>45047</c:v>
                </c:pt>
                <c:pt idx="51">
                  <c:v>45040</c:v>
                </c:pt>
                <c:pt idx="52">
                  <c:v>45033</c:v>
                </c:pt>
                <c:pt idx="53">
                  <c:v>45026</c:v>
                </c:pt>
                <c:pt idx="54">
                  <c:v>45019</c:v>
                </c:pt>
                <c:pt idx="55">
                  <c:v>45012</c:v>
                </c:pt>
                <c:pt idx="56">
                  <c:v>45005</c:v>
                </c:pt>
                <c:pt idx="57">
                  <c:v>44998</c:v>
                </c:pt>
                <c:pt idx="58">
                  <c:v>44991</c:v>
                </c:pt>
                <c:pt idx="59">
                  <c:v>44984</c:v>
                </c:pt>
                <c:pt idx="60">
                  <c:v>44977</c:v>
                </c:pt>
                <c:pt idx="61">
                  <c:v>44970</c:v>
                </c:pt>
                <c:pt idx="62">
                  <c:v>44963</c:v>
                </c:pt>
                <c:pt idx="63">
                  <c:v>44956</c:v>
                </c:pt>
                <c:pt idx="64">
                  <c:v>44949</c:v>
                </c:pt>
                <c:pt idx="65">
                  <c:v>44942</c:v>
                </c:pt>
                <c:pt idx="66">
                  <c:v>44935</c:v>
                </c:pt>
                <c:pt idx="67">
                  <c:v>44928</c:v>
                </c:pt>
                <c:pt idx="68">
                  <c:v>44921</c:v>
                </c:pt>
                <c:pt idx="69">
                  <c:v>44914</c:v>
                </c:pt>
                <c:pt idx="70">
                  <c:v>44907</c:v>
                </c:pt>
                <c:pt idx="71">
                  <c:v>44900</c:v>
                </c:pt>
                <c:pt idx="72">
                  <c:v>44893</c:v>
                </c:pt>
                <c:pt idx="73">
                  <c:v>44886</c:v>
                </c:pt>
                <c:pt idx="74">
                  <c:v>44879</c:v>
                </c:pt>
                <c:pt idx="75">
                  <c:v>44872</c:v>
                </c:pt>
                <c:pt idx="76">
                  <c:v>44865</c:v>
                </c:pt>
                <c:pt idx="77">
                  <c:v>44858</c:v>
                </c:pt>
                <c:pt idx="78">
                  <c:v>44851</c:v>
                </c:pt>
                <c:pt idx="79">
                  <c:v>44844</c:v>
                </c:pt>
                <c:pt idx="80">
                  <c:v>44837</c:v>
                </c:pt>
                <c:pt idx="81">
                  <c:v>44830</c:v>
                </c:pt>
                <c:pt idx="82">
                  <c:v>44823</c:v>
                </c:pt>
                <c:pt idx="83">
                  <c:v>44816</c:v>
                </c:pt>
                <c:pt idx="84">
                  <c:v>44809</c:v>
                </c:pt>
                <c:pt idx="85">
                  <c:v>44802</c:v>
                </c:pt>
                <c:pt idx="86">
                  <c:v>44795</c:v>
                </c:pt>
                <c:pt idx="87">
                  <c:v>44788</c:v>
                </c:pt>
                <c:pt idx="88">
                  <c:v>44781</c:v>
                </c:pt>
                <c:pt idx="89">
                  <c:v>44774</c:v>
                </c:pt>
                <c:pt idx="90">
                  <c:v>44767</c:v>
                </c:pt>
                <c:pt idx="91">
                  <c:v>44760</c:v>
                </c:pt>
                <c:pt idx="92">
                  <c:v>44753</c:v>
                </c:pt>
                <c:pt idx="93">
                  <c:v>44746</c:v>
                </c:pt>
                <c:pt idx="94">
                  <c:v>44739</c:v>
                </c:pt>
                <c:pt idx="95">
                  <c:v>44732</c:v>
                </c:pt>
                <c:pt idx="96">
                  <c:v>44725</c:v>
                </c:pt>
                <c:pt idx="97">
                  <c:v>44718</c:v>
                </c:pt>
                <c:pt idx="98">
                  <c:v>44711</c:v>
                </c:pt>
                <c:pt idx="99">
                  <c:v>44704</c:v>
                </c:pt>
                <c:pt idx="100">
                  <c:v>44697</c:v>
                </c:pt>
                <c:pt idx="101">
                  <c:v>44690</c:v>
                </c:pt>
                <c:pt idx="102">
                  <c:v>44683</c:v>
                </c:pt>
                <c:pt idx="103">
                  <c:v>44676</c:v>
                </c:pt>
                <c:pt idx="104">
                  <c:v>44669</c:v>
                </c:pt>
                <c:pt idx="105">
                  <c:v>44662</c:v>
                </c:pt>
                <c:pt idx="106">
                  <c:v>44655</c:v>
                </c:pt>
                <c:pt idx="107">
                  <c:v>44648</c:v>
                </c:pt>
                <c:pt idx="108">
                  <c:v>44641</c:v>
                </c:pt>
                <c:pt idx="109">
                  <c:v>44634</c:v>
                </c:pt>
                <c:pt idx="110">
                  <c:v>44627</c:v>
                </c:pt>
                <c:pt idx="111">
                  <c:v>44620</c:v>
                </c:pt>
                <c:pt idx="112">
                  <c:v>44613</c:v>
                </c:pt>
                <c:pt idx="113">
                  <c:v>44606</c:v>
                </c:pt>
                <c:pt idx="114">
                  <c:v>44599</c:v>
                </c:pt>
                <c:pt idx="115">
                  <c:v>44592</c:v>
                </c:pt>
                <c:pt idx="116">
                  <c:v>44585</c:v>
                </c:pt>
                <c:pt idx="117">
                  <c:v>44578</c:v>
                </c:pt>
                <c:pt idx="118">
                  <c:v>44571</c:v>
                </c:pt>
                <c:pt idx="119">
                  <c:v>44564</c:v>
                </c:pt>
                <c:pt idx="120">
                  <c:v>44557</c:v>
                </c:pt>
                <c:pt idx="121">
                  <c:v>44550</c:v>
                </c:pt>
                <c:pt idx="122">
                  <c:v>44543</c:v>
                </c:pt>
                <c:pt idx="123">
                  <c:v>44536</c:v>
                </c:pt>
                <c:pt idx="124">
                  <c:v>44529</c:v>
                </c:pt>
                <c:pt idx="125">
                  <c:v>44522</c:v>
                </c:pt>
                <c:pt idx="126">
                  <c:v>44515</c:v>
                </c:pt>
                <c:pt idx="127">
                  <c:v>44508</c:v>
                </c:pt>
                <c:pt idx="128">
                  <c:v>44501</c:v>
                </c:pt>
                <c:pt idx="129">
                  <c:v>44494</c:v>
                </c:pt>
                <c:pt idx="130">
                  <c:v>44487</c:v>
                </c:pt>
                <c:pt idx="131">
                  <c:v>44480</c:v>
                </c:pt>
                <c:pt idx="132">
                  <c:v>44473</c:v>
                </c:pt>
                <c:pt idx="133">
                  <c:v>44466</c:v>
                </c:pt>
                <c:pt idx="134">
                  <c:v>44459</c:v>
                </c:pt>
                <c:pt idx="135">
                  <c:v>44452</c:v>
                </c:pt>
                <c:pt idx="136">
                  <c:v>44445</c:v>
                </c:pt>
                <c:pt idx="137">
                  <c:v>44438</c:v>
                </c:pt>
                <c:pt idx="138">
                  <c:v>44431</c:v>
                </c:pt>
                <c:pt idx="139">
                  <c:v>44424</c:v>
                </c:pt>
                <c:pt idx="140">
                  <c:v>44417</c:v>
                </c:pt>
                <c:pt idx="141">
                  <c:v>44410</c:v>
                </c:pt>
                <c:pt idx="142">
                  <c:v>44403</c:v>
                </c:pt>
                <c:pt idx="143">
                  <c:v>44396</c:v>
                </c:pt>
                <c:pt idx="144">
                  <c:v>44389</c:v>
                </c:pt>
                <c:pt idx="145">
                  <c:v>44382</c:v>
                </c:pt>
                <c:pt idx="146">
                  <c:v>44375</c:v>
                </c:pt>
                <c:pt idx="147">
                  <c:v>44368</c:v>
                </c:pt>
                <c:pt idx="148">
                  <c:v>44361</c:v>
                </c:pt>
                <c:pt idx="149">
                  <c:v>44354</c:v>
                </c:pt>
                <c:pt idx="150">
                  <c:v>44347</c:v>
                </c:pt>
                <c:pt idx="151">
                  <c:v>44340</c:v>
                </c:pt>
                <c:pt idx="152">
                  <c:v>44333</c:v>
                </c:pt>
                <c:pt idx="153">
                  <c:v>44326</c:v>
                </c:pt>
                <c:pt idx="154">
                  <c:v>44319</c:v>
                </c:pt>
                <c:pt idx="155">
                  <c:v>44312</c:v>
                </c:pt>
                <c:pt idx="156">
                  <c:v>44305</c:v>
                </c:pt>
                <c:pt idx="157">
                  <c:v>44298</c:v>
                </c:pt>
                <c:pt idx="158">
                  <c:v>44291</c:v>
                </c:pt>
                <c:pt idx="159">
                  <c:v>44284</c:v>
                </c:pt>
                <c:pt idx="160">
                  <c:v>44277</c:v>
                </c:pt>
                <c:pt idx="161">
                  <c:v>44270</c:v>
                </c:pt>
                <c:pt idx="162">
                  <c:v>44263</c:v>
                </c:pt>
                <c:pt idx="163">
                  <c:v>44256</c:v>
                </c:pt>
                <c:pt idx="164">
                  <c:v>44249</c:v>
                </c:pt>
                <c:pt idx="165">
                  <c:v>44242</c:v>
                </c:pt>
                <c:pt idx="166">
                  <c:v>44235</c:v>
                </c:pt>
                <c:pt idx="167">
                  <c:v>44228</c:v>
                </c:pt>
                <c:pt idx="168">
                  <c:v>44221</c:v>
                </c:pt>
                <c:pt idx="169">
                  <c:v>44214</c:v>
                </c:pt>
                <c:pt idx="170">
                  <c:v>44207</c:v>
                </c:pt>
                <c:pt idx="171">
                  <c:v>44200</c:v>
                </c:pt>
                <c:pt idx="172">
                  <c:v>44193</c:v>
                </c:pt>
                <c:pt idx="173">
                  <c:v>44186</c:v>
                </c:pt>
                <c:pt idx="174">
                  <c:v>44179</c:v>
                </c:pt>
                <c:pt idx="175">
                  <c:v>44172</c:v>
                </c:pt>
                <c:pt idx="176">
                  <c:v>44165</c:v>
                </c:pt>
                <c:pt idx="177">
                  <c:v>44158</c:v>
                </c:pt>
                <c:pt idx="178">
                  <c:v>44151</c:v>
                </c:pt>
                <c:pt idx="179">
                  <c:v>44144</c:v>
                </c:pt>
                <c:pt idx="180">
                  <c:v>44137</c:v>
                </c:pt>
                <c:pt idx="181">
                  <c:v>44130</c:v>
                </c:pt>
                <c:pt idx="182">
                  <c:v>44123</c:v>
                </c:pt>
                <c:pt idx="183">
                  <c:v>44116</c:v>
                </c:pt>
                <c:pt idx="184">
                  <c:v>44109</c:v>
                </c:pt>
                <c:pt idx="185">
                  <c:v>44102</c:v>
                </c:pt>
                <c:pt idx="186">
                  <c:v>44095</c:v>
                </c:pt>
                <c:pt idx="187">
                  <c:v>44088</c:v>
                </c:pt>
                <c:pt idx="188">
                  <c:v>44081</c:v>
                </c:pt>
                <c:pt idx="189">
                  <c:v>44074</c:v>
                </c:pt>
                <c:pt idx="190">
                  <c:v>44067</c:v>
                </c:pt>
                <c:pt idx="191">
                  <c:v>44060</c:v>
                </c:pt>
                <c:pt idx="192">
                  <c:v>44053</c:v>
                </c:pt>
                <c:pt idx="193">
                  <c:v>44046</c:v>
                </c:pt>
                <c:pt idx="194">
                  <c:v>44039</c:v>
                </c:pt>
                <c:pt idx="195">
                  <c:v>44032</c:v>
                </c:pt>
                <c:pt idx="196">
                  <c:v>44025</c:v>
                </c:pt>
                <c:pt idx="197">
                  <c:v>44018</c:v>
                </c:pt>
                <c:pt idx="198">
                  <c:v>44011</c:v>
                </c:pt>
                <c:pt idx="199">
                  <c:v>44004</c:v>
                </c:pt>
                <c:pt idx="200">
                  <c:v>43997</c:v>
                </c:pt>
                <c:pt idx="201">
                  <c:v>43990</c:v>
                </c:pt>
                <c:pt idx="202">
                  <c:v>43983</c:v>
                </c:pt>
                <c:pt idx="203">
                  <c:v>43976</c:v>
                </c:pt>
                <c:pt idx="204">
                  <c:v>43969</c:v>
                </c:pt>
                <c:pt idx="205">
                  <c:v>43962</c:v>
                </c:pt>
                <c:pt idx="206">
                  <c:v>43955</c:v>
                </c:pt>
                <c:pt idx="207">
                  <c:v>43948</c:v>
                </c:pt>
                <c:pt idx="208">
                  <c:v>43941</c:v>
                </c:pt>
                <c:pt idx="209">
                  <c:v>43934</c:v>
                </c:pt>
                <c:pt idx="210">
                  <c:v>43927</c:v>
                </c:pt>
                <c:pt idx="211">
                  <c:v>43920</c:v>
                </c:pt>
                <c:pt idx="212">
                  <c:v>43913</c:v>
                </c:pt>
                <c:pt idx="213">
                  <c:v>43906</c:v>
                </c:pt>
                <c:pt idx="214">
                  <c:v>43899</c:v>
                </c:pt>
                <c:pt idx="215">
                  <c:v>43892</c:v>
                </c:pt>
                <c:pt idx="216">
                  <c:v>43885</c:v>
                </c:pt>
                <c:pt idx="217">
                  <c:v>43878</c:v>
                </c:pt>
                <c:pt idx="218">
                  <c:v>43871</c:v>
                </c:pt>
                <c:pt idx="219">
                  <c:v>43864</c:v>
                </c:pt>
                <c:pt idx="220">
                  <c:v>43857</c:v>
                </c:pt>
                <c:pt idx="221">
                  <c:v>43850</c:v>
                </c:pt>
                <c:pt idx="222">
                  <c:v>43843</c:v>
                </c:pt>
                <c:pt idx="223">
                  <c:v>43836</c:v>
                </c:pt>
                <c:pt idx="224">
                  <c:v>43829</c:v>
                </c:pt>
                <c:pt idx="225">
                  <c:v>43822</c:v>
                </c:pt>
                <c:pt idx="226">
                  <c:v>43815</c:v>
                </c:pt>
                <c:pt idx="227">
                  <c:v>43808</c:v>
                </c:pt>
                <c:pt idx="228">
                  <c:v>43801</c:v>
                </c:pt>
                <c:pt idx="229">
                  <c:v>43794</c:v>
                </c:pt>
                <c:pt idx="230">
                  <c:v>43787</c:v>
                </c:pt>
                <c:pt idx="231">
                  <c:v>43780</c:v>
                </c:pt>
                <c:pt idx="232">
                  <c:v>43773</c:v>
                </c:pt>
                <c:pt idx="233">
                  <c:v>43766</c:v>
                </c:pt>
                <c:pt idx="234">
                  <c:v>43759</c:v>
                </c:pt>
                <c:pt idx="235">
                  <c:v>43752</c:v>
                </c:pt>
                <c:pt idx="236">
                  <c:v>43745</c:v>
                </c:pt>
                <c:pt idx="237">
                  <c:v>43738</c:v>
                </c:pt>
                <c:pt idx="238">
                  <c:v>43731</c:v>
                </c:pt>
                <c:pt idx="239">
                  <c:v>43724</c:v>
                </c:pt>
                <c:pt idx="240">
                  <c:v>43717</c:v>
                </c:pt>
                <c:pt idx="241">
                  <c:v>43710</c:v>
                </c:pt>
                <c:pt idx="242">
                  <c:v>43703</c:v>
                </c:pt>
                <c:pt idx="243">
                  <c:v>43696</c:v>
                </c:pt>
                <c:pt idx="244">
                  <c:v>43689</c:v>
                </c:pt>
                <c:pt idx="245">
                  <c:v>43682</c:v>
                </c:pt>
                <c:pt idx="246">
                  <c:v>43675</c:v>
                </c:pt>
                <c:pt idx="247">
                  <c:v>43668</c:v>
                </c:pt>
                <c:pt idx="248">
                  <c:v>43661</c:v>
                </c:pt>
                <c:pt idx="249">
                  <c:v>43654</c:v>
                </c:pt>
                <c:pt idx="250">
                  <c:v>43647</c:v>
                </c:pt>
                <c:pt idx="251">
                  <c:v>43640</c:v>
                </c:pt>
                <c:pt idx="252">
                  <c:v>43633</c:v>
                </c:pt>
                <c:pt idx="253">
                  <c:v>43626</c:v>
                </c:pt>
                <c:pt idx="254">
                  <c:v>43619</c:v>
                </c:pt>
                <c:pt idx="255">
                  <c:v>43612</c:v>
                </c:pt>
                <c:pt idx="256">
                  <c:v>43605</c:v>
                </c:pt>
                <c:pt idx="257">
                  <c:v>43598</c:v>
                </c:pt>
                <c:pt idx="258">
                  <c:v>43591</c:v>
                </c:pt>
                <c:pt idx="259">
                  <c:v>43584</c:v>
                </c:pt>
                <c:pt idx="260">
                  <c:v>43577</c:v>
                </c:pt>
                <c:pt idx="261">
                  <c:v>43570</c:v>
                </c:pt>
                <c:pt idx="262">
                  <c:v>43563</c:v>
                </c:pt>
                <c:pt idx="263">
                  <c:v>43556</c:v>
                </c:pt>
                <c:pt idx="264">
                  <c:v>43549</c:v>
                </c:pt>
                <c:pt idx="265">
                  <c:v>43542</c:v>
                </c:pt>
                <c:pt idx="266">
                  <c:v>43535</c:v>
                </c:pt>
                <c:pt idx="267">
                  <c:v>43528</c:v>
                </c:pt>
                <c:pt idx="268">
                  <c:v>43521</c:v>
                </c:pt>
                <c:pt idx="269">
                  <c:v>43514</c:v>
                </c:pt>
                <c:pt idx="270">
                  <c:v>43507</c:v>
                </c:pt>
                <c:pt idx="271">
                  <c:v>43500</c:v>
                </c:pt>
                <c:pt idx="272">
                  <c:v>43493</c:v>
                </c:pt>
                <c:pt idx="273">
                  <c:v>43486</c:v>
                </c:pt>
                <c:pt idx="274">
                  <c:v>43479</c:v>
                </c:pt>
                <c:pt idx="275">
                  <c:v>43472</c:v>
                </c:pt>
                <c:pt idx="276">
                  <c:v>43465</c:v>
                </c:pt>
                <c:pt idx="277">
                  <c:v>43458</c:v>
                </c:pt>
                <c:pt idx="278">
                  <c:v>43451</c:v>
                </c:pt>
                <c:pt idx="279">
                  <c:v>43444</c:v>
                </c:pt>
                <c:pt idx="280">
                  <c:v>43437</c:v>
                </c:pt>
                <c:pt idx="281">
                  <c:v>43430</c:v>
                </c:pt>
                <c:pt idx="282">
                  <c:v>43423</c:v>
                </c:pt>
                <c:pt idx="283">
                  <c:v>43416</c:v>
                </c:pt>
                <c:pt idx="284">
                  <c:v>43409</c:v>
                </c:pt>
                <c:pt idx="285">
                  <c:v>43402</c:v>
                </c:pt>
                <c:pt idx="286">
                  <c:v>43395</c:v>
                </c:pt>
                <c:pt idx="287">
                  <c:v>43388</c:v>
                </c:pt>
                <c:pt idx="288">
                  <c:v>43381</c:v>
                </c:pt>
                <c:pt idx="289">
                  <c:v>43374</c:v>
                </c:pt>
                <c:pt idx="290">
                  <c:v>43367</c:v>
                </c:pt>
                <c:pt idx="291">
                  <c:v>43360</c:v>
                </c:pt>
                <c:pt idx="292">
                  <c:v>43353</c:v>
                </c:pt>
                <c:pt idx="293">
                  <c:v>43346</c:v>
                </c:pt>
                <c:pt idx="294">
                  <c:v>43339</c:v>
                </c:pt>
                <c:pt idx="295">
                  <c:v>43332</c:v>
                </c:pt>
                <c:pt idx="296">
                  <c:v>43325</c:v>
                </c:pt>
                <c:pt idx="297">
                  <c:v>43318</c:v>
                </c:pt>
                <c:pt idx="298">
                  <c:v>43311</c:v>
                </c:pt>
                <c:pt idx="299">
                  <c:v>43304</c:v>
                </c:pt>
                <c:pt idx="300">
                  <c:v>43297</c:v>
                </c:pt>
                <c:pt idx="301">
                  <c:v>43290</c:v>
                </c:pt>
                <c:pt idx="302">
                  <c:v>43283</c:v>
                </c:pt>
                <c:pt idx="303">
                  <c:v>43276</c:v>
                </c:pt>
                <c:pt idx="304">
                  <c:v>43269</c:v>
                </c:pt>
                <c:pt idx="305">
                  <c:v>43262</c:v>
                </c:pt>
                <c:pt idx="306">
                  <c:v>43255</c:v>
                </c:pt>
                <c:pt idx="307">
                  <c:v>43248</c:v>
                </c:pt>
                <c:pt idx="308">
                  <c:v>43241</c:v>
                </c:pt>
                <c:pt idx="309">
                  <c:v>43234</c:v>
                </c:pt>
                <c:pt idx="310">
                  <c:v>43227</c:v>
                </c:pt>
                <c:pt idx="311">
                  <c:v>43220</c:v>
                </c:pt>
                <c:pt idx="312">
                  <c:v>43213</c:v>
                </c:pt>
                <c:pt idx="313">
                  <c:v>43206</c:v>
                </c:pt>
                <c:pt idx="314">
                  <c:v>43199</c:v>
                </c:pt>
                <c:pt idx="315">
                  <c:v>43192</c:v>
                </c:pt>
                <c:pt idx="316">
                  <c:v>43185</c:v>
                </c:pt>
                <c:pt idx="317">
                  <c:v>43178</c:v>
                </c:pt>
                <c:pt idx="318">
                  <c:v>43171</c:v>
                </c:pt>
                <c:pt idx="319">
                  <c:v>43164</c:v>
                </c:pt>
                <c:pt idx="320">
                  <c:v>43157</c:v>
                </c:pt>
                <c:pt idx="321">
                  <c:v>43150</c:v>
                </c:pt>
                <c:pt idx="322">
                  <c:v>43143</c:v>
                </c:pt>
                <c:pt idx="323">
                  <c:v>43136</c:v>
                </c:pt>
                <c:pt idx="324">
                  <c:v>43129</c:v>
                </c:pt>
                <c:pt idx="325">
                  <c:v>43122</c:v>
                </c:pt>
                <c:pt idx="326">
                  <c:v>43115</c:v>
                </c:pt>
                <c:pt idx="327">
                  <c:v>43108</c:v>
                </c:pt>
                <c:pt idx="328">
                  <c:v>43101</c:v>
                </c:pt>
                <c:pt idx="329">
                  <c:v>43094</c:v>
                </c:pt>
                <c:pt idx="330">
                  <c:v>43087</c:v>
                </c:pt>
                <c:pt idx="331">
                  <c:v>43080</c:v>
                </c:pt>
                <c:pt idx="332">
                  <c:v>43073</c:v>
                </c:pt>
                <c:pt idx="333">
                  <c:v>43066</c:v>
                </c:pt>
                <c:pt idx="334">
                  <c:v>43059</c:v>
                </c:pt>
                <c:pt idx="335">
                  <c:v>43052</c:v>
                </c:pt>
                <c:pt idx="336">
                  <c:v>43045</c:v>
                </c:pt>
                <c:pt idx="337">
                  <c:v>43038</c:v>
                </c:pt>
                <c:pt idx="338">
                  <c:v>43031</c:v>
                </c:pt>
                <c:pt idx="339">
                  <c:v>43024</c:v>
                </c:pt>
                <c:pt idx="340">
                  <c:v>43017</c:v>
                </c:pt>
                <c:pt idx="341">
                  <c:v>43010</c:v>
                </c:pt>
                <c:pt idx="342">
                  <c:v>43003</c:v>
                </c:pt>
                <c:pt idx="343">
                  <c:v>42996</c:v>
                </c:pt>
                <c:pt idx="344">
                  <c:v>42989</c:v>
                </c:pt>
                <c:pt idx="345">
                  <c:v>42982</c:v>
                </c:pt>
                <c:pt idx="346">
                  <c:v>42975</c:v>
                </c:pt>
                <c:pt idx="347">
                  <c:v>42968</c:v>
                </c:pt>
                <c:pt idx="348">
                  <c:v>42961</c:v>
                </c:pt>
                <c:pt idx="349">
                  <c:v>42954</c:v>
                </c:pt>
                <c:pt idx="350">
                  <c:v>42947</c:v>
                </c:pt>
                <c:pt idx="351">
                  <c:v>42940</c:v>
                </c:pt>
                <c:pt idx="352">
                  <c:v>42933</c:v>
                </c:pt>
                <c:pt idx="353">
                  <c:v>42926</c:v>
                </c:pt>
                <c:pt idx="354">
                  <c:v>42919</c:v>
                </c:pt>
                <c:pt idx="355">
                  <c:v>42912</c:v>
                </c:pt>
                <c:pt idx="356">
                  <c:v>42905</c:v>
                </c:pt>
                <c:pt idx="357">
                  <c:v>42898</c:v>
                </c:pt>
                <c:pt idx="358">
                  <c:v>42891</c:v>
                </c:pt>
                <c:pt idx="359">
                  <c:v>42884</c:v>
                </c:pt>
                <c:pt idx="360">
                  <c:v>42877</c:v>
                </c:pt>
                <c:pt idx="361">
                  <c:v>42870</c:v>
                </c:pt>
                <c:pt idx="362">
                  <c:v>42863</c:v>
                </c:pt>
                <c:pt idx="363">
                  <c:v>42856</c:v>
                </c:pt>
                <c:pt idx="364">
                  <c:v>42849</c:v>
                </c:pt>
                <c:pt idx="365">
                  <c:v>42842</c:v>
                </c:pt>
                <c:pt idx="366">
                  <c:v>42835</c:v>
                </c:pt>
                <c:pt idx="367">
                  <c:v>42828</c:v>
                </c:pt>
                <c:pt idx="368">
                  <c:v>42821</c:v>
                </c:pt>
                <c:pt idx="369">
                  <c:v>42814</c:v>
                </c:pt>
                <c:pt idx="370">
                  <c:v>42807</c:v>
                </c:pt>
                <c:pt idx="371">
                  <c:v>42800</c:v>
                </c:pt>
                <c:pt idx="372">
                  <c:v>42793</c:v>
                </c:pt>
                <c:pt idx="373">
                  <c:v>42786</c:v>
                </c:pt>
                <c:pt idx="374">
                  <c:v>42779</c:v>
                </c:pt>
                <c:pt idx="375">
                  <c:v>42772</c:v>
                </c:pt>
                <c:pt idx="376">
                  <c:v>42765</c:v>
                </c:pt>
                <c:pt idx="377">
                  <c:v>42758</c:v>
                </c:pt>
                <c:pt idx="378">
                  <c:v>42751</c:v>
                </c:pt>
                <c:pt idx="379">
                  <c:v>42744</c:v>
                </c:pt>
                <c:pt idx="380">
                  <c:v>42737</c:v>
                </c:pt>
                <c:pt idx="381">
                  <c:v>42730</c:v>
                </c:pt>
                <c:pt idx="382">
                  <c:v>42723</c:v>
                </c:pt>
                <c:pt idx="383">
                  <c:v>42716</c:v>
                </c:pt>
                <c:pt idx="384">
                  <c:v>42709</c:v>
                </c:pt>
                <c:pt idx="385">
                  <c:v>42702</c:v>
                </c:pt>
                <c:pt idx="386">
                  <c:v>42695</c:v>
                </c:pt>
                <c:pt idx="387">
                  <c:v>42688</c:v>
                </c:pt>
                <c:pt idx="388">
                  <c:v>42681</c:v>
                </c:pt>
                <c:pt idx="389">
                  <c:v>42674</c:v>
                </c:pt>
                <c:pt idx="390">
                  <c:v>42667</c:v>
                </c:pt>
                <c:pt idx="391">
                  <c:v>42660</c:v>
                </c:pt>
                <c:pt idx="392">
                  <c:v>42653</c:v>
                </c:pt>
                <c:pt idx="393">
                  <c:v>42646</c:v>
                </c:pt>
                <c:pt idx="394">
                  <c:v>42639</c:v>
                </c:pt>
                <c:pt idx="395">
                  <c:v>42632</c:v>
                </c:pt>
                <c:pt idx="396">
                  <c:v>42625</c:v>
                </c:pt>
                <c:pt idx="397">
                  <c:v>42618</c:v>
                </c:pt>
                <c:pt idx="398">
                  <c:v>42611</c:v>
                </c:pt>
                <c:pt idx="399">
                  <c:v>42604</c:v>
                </c:pt>
                <c:pt idx="400">
                  <c:v>42597</c:v>
                </c:pt>
                <c:pt idx="401">
                  <c:v>42590</c:v>
                </c:pt>
                <c:pt idx="402">
                  <c:v>42583</c:v>
                </c:pt>
                <c:pt idx="403">
                  <c:v>42576</c:v>
                </c:pt>
                <c:pt idx="404">
                  <c:v>42569</c:v>
                </c:pt>
                <c:pt idx="405">
                  <c:v>42562</c:v>
                </c:pt>
                <c:pt idx="406">
                  <c:v>42555</c:v>
                </c:pt>
                <c:pt idx="407">
                  <c:v>42548</c:v>
                </c:pt>
                <c:pt idx="408">
                  <c:v>42541</c:v>
                </c:pt>
                <c:pt idx="409">
                  <c:v>42534</c:v>
                </c:pt>
                <c:pt idx="410">
                  <c:v>42527</c:v>
                </c:pt>
                <c:pt idx="411">
                  <c:v>42520</c:v>
                </c:pt>
                <c:pt idx="412">
                  <c:v>42513</c:v>
                </c:pt>
                <c:pt idx="413">
                  <c:v>42506</c:v>
                </c:pt>
                <c:pt idx="414">
                  <c:v>42499</c:v>
                </c:pt>
                <c:pt idx="415">
                  <c:v>42492</c:v>
                </c:pt>
                <c:pt idx="416">
                  <c:v>42485</c:v>
                </c:pt>
                <c:pt idx="417">
                  <c:v>42478</c:v>
                </c:pt>
                <c:pt idx="418">
                  <c:v>42471</c:v>
                </c:pt>
                <c:pt idx="419">
                  <c:v>42464</c:v>
                </c:pt>
                <c:pt idx="420">
                  <c:v>42457</c:v>
                </c:pt>
                <c:pt idx="421">
                  <c:v>42450</c:v>
                </c:pt>
                <c:pt idx="422">
                  <c:v>42443</c:v>
                </c:pt>
                <c:pt idx="423">
                  <c:v>42436</c:v>
                </c:pt>
                <c:pt idx="424">
                  <c:v>42429</c:v>
                </c:pt>
                <c:pt idx="425">
                  <c:v>42422</c:v>
                </c:pt>
                <c:pt idx="426">
                  <c:v>42415</c:v>
                </c:pt>
                <c:pt idx="427">
                  <c:v>42408</c:v>
                </c:pt>
                <c:pt idx="428">
                  <c:v>42401</c:v>
                </c:pt>
                <c:pt idx="429">
                  <c:v>42394</c:v>
                </c:pt>
                <c:pt idx="430">
                  <c:v>42387</c:v>
                </c:pt>
                <c:pt idx="431">
                  <c:v>42380</c:v>
                </c:pt>
                <c:pt idx="432">
                  <c:v>42373</c:v>
                </c:pt>
                <c:pt idx="433">
                  <c:v>42366</c:v>
                </c:pt>
                <c:pt idx="434">
                  <c:v>42359</c:v>
                </c:pt>
                <c:pt idx="435">
                  <c:v>42352</c:v>
                </c:pt>
                <c:pt idx="436">
                  <c:v>42345</c:v>
                </c:pt>
                <c:pt idx="437">
                  <c:v>42338</c:v>
                </c:pt>
                <c:pt idx="438">
                  <c:v>42331</c:v>
                </c:pt>
                <c:pt idx="439">
                  <c:v>42324</c:v>
                </c:pt>
                <c:pt idx="440">
                  <c:v>42317</c:v>
                </c:pt>
                <c:pt idx="441">
                  <c:v>42310</c:v>
                </c:pt>
                <c:pt idx="442">
                  <c:v>42303</c:v>
                </c:pt>
                <c:pt idx="443">
                  <c:v>42296</c:v>
                </c:pt>
                <c:pt idx="444">
                  <c:v>42289</c:v>
                </c:pt>
                <c:pt idx="445">
                  <c:v>42282</c:v>
                </c:pt>
                <c:pt idx="446">
                  <c:v>42275</c:v>
                </c:pt>
                <c:pt idx="447">
                  <c:v>42268</c:v>
                </c:pt>
                <c:pt idx="448">
                  <c:v>42261</c:v>
                </c:pt>
                <c:pt idx="449">
                  <c:v>42254</c:v>
                </c:pt>
                <c:pt idx="450">
                  <c:v>42247</c:v>
                </c:pt>
                <c:pt idx="451">
                  <c:v>42240</c:v>
                </c:pt>
                <c:pt idx="452">
                  <c:v>42233</c:v>
                </c:pt>
                <c:pt idx="453">
                  <c:v>42226</c:v>
                </c:pt>
                <c:pt idx="454">
                  <c:v>42219</c:v>
                </c:pt>
                <c:pt idx="455">
                  <c:v>42212</c:v>
                </c:pt>
                <c:pt idx="456">
                  <c:v>42205</c:v>
                </c:pt>
                <c:pt idx="457">
                  <c:v>42198</c:v>
                </c:pt>
                <c:pt idx="458">
                  <c:v>42191</c:v>
                </c:pt>
                <c:pt idx="459">
                  <c:v>42184</c:v>
                </c:pt>
                <c:pt idx="460">
                  <c:v>42177</c:v>
                </c:pt>
                <c:pt idx="461">
                  <c:v>42170</c:v>
                </c:pt>
                <c:pt idx="462">
                  <c:v>42163</c:v>
                </c:pt>
                <c:pt idx="463">
                  <c:v>42156</c:v>
                </c:pt>
                <c:pt idx="464">
                  <c:v>42149</c:v>
                </c:pt>
                <c:pt idx="465">
                  <c:v>42142</c:v>
                </c:pt>
                <c:pt idx="466">
                  <c:v>42135</c:v>
                </c:pt>
                <c:pt idx="467">
                  <c:v>42128</c:v>
                </c:pt>
                <c:pt idx="468">
                  <c:v>42121</c:v>
                </c:pt>
                <c:pt idx="469">
                  <c:v>42114</c:v>
                </c:pt>
                <c:pt idx="470">
                  <c:v>42107</c:v>
                </c:pt>
                <c:pt idx="471">
                  <c:v>42100</c:v>
                </c:pt>
                <c:pt idx="472">
                  <c:v>42093</c:v>
                </c:pt>
                <c:pt idx="473">
                  <c:v>42086</c:v>
                </c:pt>
                <c:pt idx="474">
                  <c:v>42079</c:v>
                </c:pt>
                <c:pt idx="475">
                  <c:v>42072</c:v>
                </c:pt>
                <c:pt idx="476">
                  <c:v>42065</c:v>
                </c:pt>
                <c:pt idx="477">
                  <c:v>42058</c:v>
                </c:pt>
                <c:pt idx="478">
                  <c:v>42051</c:v>
                </c:pt>
                <c:pt idx="479">
                  <c:v>42044</c:v>
                </c:pt>
                <c:pt idx="480">
                  <c:v>42037</c:v>
                </c:pt>
                <c:pt idx="481">
                  <c:v>42030</c:v>
                </c:pt>
                <c:pt idx="482">
                  <c:v>42023</c:v>
                </c:pt>
                <c:pt idx="483">
                  <c:v>42016</c:v>
                </c:pt>
                <c:pt idx="484">
                  <c:v>42009</c:v>
                </c:pt>
                <c:pt idx="485">
                  <c:v>42002</c:v>
                </c:pt>
                <c:pt idx="486">
                  <c:v>41995</c:v>
                </c:pt>
                <c:pt idx="487">
                  <c:v>41988</c:v>
                </c:pt>
                <c:pt idx="488">
                  <c:v>41981</c:v>
                </c:pt>
                <c:pt idx="489">
                  <c:v>41974</c:v>
                </c:pt>
                <c:pt idx="490">
                  <c:v>41967</c:v>
                </c:pt>
                <c:pt idx="491">
                  <c:v>41960</c:v>
                </c:pt>
                <c:pt idx="492">
                  <c:v>41953</c:v>
                </c:pt>
                <c:pt idx="493">
                  <c:v>41946</c:v>
                </c:pt>
                <c:pt idx="494">
                  <c:v>41939</c:v>
                </c:pt>
                <c:pt idx="495">
                  <c:v>41932</c:v>
                </c:pt>
                <c:pt idx="496">
                  <c:v>41925</c:v>
                </c:pt>
                <c:pt idx="497">
                  <c:v>41918</c:v>
                </c:pt>
                <c:pt idx="498">
                  <c:v>41911</c:v>
                </c:pt>
                <c:pt idx="499">
                  <c:v>41904</c:v>
                </c:pt>
                <c:pt idx="500">
                  <c:v>41897</c:v>
                </c:pt>
                <c:pt idx="501">
                  <c:v>41890</c:v>
                </c:pt>
                <c:pt idx="502">
                  <c:v>41883</c:v>
                </c:pt>
                <c:pt idx="503">
                  <c:v>41876</c:v>
                </c:pt>
                <c:pt idx="504">
                  <c:v>41869</c:v>
                </c:pt>
                <c:pt idx="505">
                  <c:v>41862</c:v>
                </c:pt>
                <c:pt idx="506">
                  <c:v>41855</c:v>
                </c:pt>
                <c:pt idx="507">
                  <c:v>41848</c:v>
                </c:pt>
                <c:pt idx="508">
                  <c:v>41841</c:v>
                </c:pt>
                <c:pt idx="509">
                  <c:v>41834</c:v>
                </c:pt>
                <c:pt idx="510">
                  <c:v>41827</c:v>
                </c:pt>
                <c:pt idx="511">
                  <c:v>41820</c:v>
                </c:pt>
                <c:pt idx="512">
                  <c:v>41813</c:v>
                </c:pt>
                <c:pt idx="513">
                  <c:v>41806</c:v>
                </c:pt>
                <c:pt idx="514">
                  <c:v>41799</c:v>
                </c:pt>
                <c:pt idx="515">
                  <c:v>41792</c:v>
                </c:pt>
                <c:pt idx="516">
                  <c:v>41785</c:v>
                </c:pt>
                <c:pt idx="517">
                  <c:v>41778</c:v>
                </c:pt>
                <c:pt idx="518">
                  <c:v>41771</c:v>
                </c:pt>
                <c:pt idx="519">
                  <c:v>41764</c:v>
                </c:pt>
                <c:pt idx="520">
                  <c:v>41757</c:v>
                </c:pt>
                <c:pt idx="521">
                  <c:v>41750</c:v>
                </c:pt>
                <c:pt idx="522">
                  <c:v>41743</c:v>
                </c:pt>
                <c:pt idx="523">
                  <c:v>41736</c:v>
                </c:pt>
                <c:pt idx="524">
                  <c:v>41729</c:v>
                </c:pt>
                <c:pt idx="525">
                  <c:v>41722</c:v>
                </c:pt>
                <c:pt idx="526">
                  <c:v>41715</c:v>
                </c:pt>
                <c:pt idx="527">
                  <c:v>41708</c:v>
                </c:pt>
                <c:pt idx="528">
                  <c:v>41701</c:v>
                </c:pt>
                <c:pt idx="529">
                  <c:v>41694</c:v>
                </c:pt>
                <c:pt idx="530">
                  <c:v>41687</c:v>
                </c:pt>
                <c:pt idx="531">
                  <c:v>41680</c:v>
                </c:pt>
                <c:pt idx="532">
                  <c:v>41673</c:v>
                </c:pt>
                <c:pt idx="533">
                  <c:v>41666</c:v>
                </c:pt>
                <c:pt idx="534">
                  <c:v>41659</c:v>
                </c:pt>
                <c:pt idx="535">
                  <c:v>41652</c:v>
                </c:pt>
                <c:pt idx="536">
                  <c:v>41645</c:v>
                </c:pt>
                <c:pt idx="537">
                  <c:v>41638</c:v>
                </c:pt>
                <c:pt idx="538">
                  <c:v>41631</c:v>
                </c:pt>
                <c:pt idx="539">
                  <c:v>41624</c:v>
                </c:pt>
                <c:pt idx="540">
                  <c:v>41617</c:v>
                </c:pt>
                <c:pt idx="541">
                  <c:v>41610</c:v>
                </c:pt>
                <c:pt idx="542">
                  <c:v>41603</c:v>
                </c:pt>
                <c:pt idx="543">
                  <c:v>41596</c:v>
                </c:pt>
                <c:pt idx="544">
                  <c:v>41589</c:v>
                </c:pt>
                <c:pt idx="545">
                  <c:v>41582</c:v>
                </c:pt>
                <c:pt idx="546">
                  <c:v>41575</c:v>
                </c:pt>
                <c:pt idx="547">
                  <c:v>41568</c:v>
                </c:pt>
                <c:pt idx="548">
                  <c:v>41561</c:v>
                </c:pt>
                <c:pt idx="549">
                  <c:v>41554</c:v>
                </c:pt>
                <c:pt idx="550">
                  <c:v>41547</c:v>
                </c:pt>
                <c:pt idx="551">
                  <c:v>41540</c:v>
                </c:pt>
                <c:pt idx="552">
                  <c:v>41533</c:v>
                </c:pt>
                <c:pt idx="553">
                  <c:v>41526</c:v>
                </c:pt>
                <c:pt idx="554">
                  <c:v>41519</c:v>
                </c:pt>
                <c:pt idx="555">
                  <c:v>41512</c:v>
                </c:pt>
                <c:pt idx="556">
                  <c:v>41505</c:v>
                </c:pt>
                <c:pt idx="557">
                  <c:v>41498</c:v>
                </c:pt>
                <c:pt idx="558">
                  <c:v>41491</c:v>
                </c:pt>
                <c:pt idx="559">
                  <c:v>41484</c:v>
                </c:pt>
                <c:pt idx="560">
                  <c:v>41477</c:v>
                </c:pt>
                <c:pt idx="561">
                  <c:v>41470</c:v>
                </c:pt>
                <c:pt idx="562">
                  <c:v>41463</c:v>
                </c:pt>
                <c:pt idx="563">
                  <c:v>41456</c:v>
                </c:pt>
                <c:pt idx="564">
                  <c:v>41449</c:v>
                </c:pt>
                <c:pt idx="565">
                  <c:v>41442</c:v>
                </c:pt>
                <c:pt idx="566">
                  <c:v>41435</c:v>
                </c:pt>
                <c:pt idx="567">
                  <c:v>41428</c:v>
                </c:pt>
                <c:pt idx="568">
                  <c:v>41421</c:v>
                </c:pt>
                <c:pt idx="569">
                  <c:v>41414</c:v>
                </c:pt>
                <c:pt idx="570">
                  <c:v>41407</c:v>
                </c:pt>
                <c:pt idx="571">
                  <c:v>41400</c:v>
                </c:pt>
                <c:pt idx="572">
                  <c:v>41393</c:v>
                </c:pt>
                <c:pt idx="573">
                  <c:v>41386</c:v>
                </c:pt>
                <c:pt idx="574">
                  <c:v>41379</c:v>
                </c:pt>
                <c:pt idx="575">
                  <c:v>41372</c:v>
                </c:pt>
                <c:pt idx="576">
                  <c:v>41365</c:v>
                </c:pt>
                <c:pt idx="577">
                  <c:v>41358</c:v>
                </c:pt>
                <c:pt idx="578">
                  <c:v>41351</c:v>
                </c:pt>
                <c:pt idx="579">
                  <c:v>41344</c:v>
                </c:pt>
                <c:pt idx="580">
                  <c:v>41337</c:v>
                </c:pt>
                <c:pt idx="581">
                  <c:v>41330</c:v>
                </c:pt>
                <c:pt idx="582">
                  <c:v>41323</c:v>
                </c:pt>
                <c:pt idx="583">
                  <c:v>41316</c:v>
                </c:pt>
                <c:pt idx="584">
                  <c:v>41309</c:v>
                </c:pt>
                <c:pt idx="585">
                  <c:v>41302</c:v>
                </c:pt>
                <c:pt idx="586">
                  <c:v>41295</c:v>
                </c:pt>
                <c:pt idx="587">
                  <c:v>41288</c:v>
                </c:pt>
                <c:pt idx="588">
                  <c:v>41281</c:v>
                </c:pt>
                <c:pt idx="589">
                  <c:v>41274</c:v>
                </c:pt>
                <c:pt idx="590">
                  <c:v>41267</c:v>
                </c:pt>
                <c:pt idx="591">
                  <c:v>41260</c:v>
                </c:pt>
                <c:pt idx="592">
                  <c:v>41253</c:v>
                </c:pt>
                <c:pt idx="593">
                  <c:v>41246</c:v>
                </c:pt>
                <c:pt idx="594">
                  <c:v>41239</c:v>
                </c:pt>
                <c:pt idx="595">
                  <c:v>41232</c:v>
                </c:pt>
                <c:pt idx="596">
                  <c:v>41225</c:v>
                </c:pt>
                <c:pt idx="597">
                  <c:v>41218</c:v>
                </c:pt>
                <c:pt idx="598">
                  <c:v>41211</c:v>
                </c:pt>
                <c:pt idx="599">
                  <c:v>41204</c:v>
                </c:pt>
                <c:pt idx="600">
                  <c:v>41197</c:v>
                </c:pt>
                <c:pt idx="601">
                  <c:v>41190</c:v>
                </c:pt>
                <c:pt idx="602">
                  <c:v>41183</c:v>
                </c:pt>
                <c:pt idx="603">
                  <c:v>41176</c:v>
                </c:pt>
                <c:pt idx="604">
                  <c:v>41169</c:v>
                </c:pt>
                <c:pt idx="605">
                  <c:v>41162</c:v>
                </c:pt>
                <c:pt idx="606">
                  <c:v>41155</c:v>
                </c:pt>
                <c:pt idx="607">
                  <c:v>41148</c:v>
                </c:pt>
                <c:pt idx="608">
                  <c:v>41141</c:v>
                </c:pt>
                <c:pt idx="609">
                  <c:v>41134</c:v>
                </c:pt>
                <c:pt idx="610">
                  <c:v>41127</c:v>
                </c:pt>
                <c:pt idx="611">
                  <c:v>41120</c:v>
                </c:pt>
                <c:pt idx="612">
                  <c:v>41113</c:v>
                </c:pt>
                <c:pt idx="613">
                  <c:v>41106</c:v>
                </c:pt>
                <c:pt idx="614">
                  <c:v>41099</c:v>
                </c:pt>
                <c:pt idx="615">
                  <c:v>41092</c:v>
                </c:pt>
                <c:pt idx="616">
                  <c:v>41085</c:v>
                </c:pt>
                <c:pt idx="617">
                  <c:v>41078</c:v>
                </c:pt>
                <c:pt idx="618">
                  <c:v>41071</c:v>
                </c:pt>
                <c:pt idx="619">
                  <c:v>41064</c:v>
                </c:pt>
                <c:pt idx="620">
                  <c:v>41057</c:v>
                </c:pt>
                <c:pt idx="621">
                  <c:v>41050</c:v>
                </c:pt>
                <c:pt idx="622">
                  <c:v>41043</c:v>
                </c:pt>
                <c:pt idx="623">
                  <c:v>41036</c:v>
                </c:pt>
                <c:pt idx="624">
                  <c:v>41029</c:v>
                </c:pt>
                <c:pt idx="625">
                  <c:v>41022</c:v>
                </c:pt>
                <c:pt idx="626">
                  <c:v>41015</c:v>
                </c:pt>
                <c:pt idx="627">
                  <c:v>41008</c:v>
                </c:pt>
                <c:pt idx="628">
                  <c:v>41001</c:v>
                </c:pt>
                <c:pt idx="629">
                  <c:v>40994</c:v>
                </c:pt>
                <c:pt idx="630">
                  <c:v>40987</c:v>
                </c:pt>
                <c:pt idx="631">
                  <c:v>40980</c:v>
                </c:pt>
                <c:pt idx="632">
                  <c:v>40973</c:v>
                </c:pt>
                <c:pt idx="633">
                  <c:v>40966</c:v>
                </c:pt>
                <c:pt idx="634">
                  <c:v>40959</c:v>
                </c:pt>
                <c:pt idx="635">
                  <c:v>40952</c:v>
                </c:pt>
                <c:pt idx="636">
                  <c:v>40945</c:v>
                </c:pt>
                <c:pt idx="637">
                  <c:v>40938</c:v>
                </c:pt>
                <c:pt idx="638">
                  <c:v>40931</c:v>
                </c:pt>
                <c:pt idx="639">
                  <c:v>40924</c:v>
                </c:pt>
                <c:pt idx="640">
                  <c:v>40917</c:v>
                </c:pt>
                <c:pt idx="641">
                  <c:v>40910</c:v>
                </c:pt>
                <c:pt idx="642">
                  <c:v>40903</c:v>
                </c:pt>
                <c:pt idx="643">
                  <c:v>40896</c:v>
                </c:pt>
                <c:pt idx="644">
                  <c:v>40889</c:v>
                </c:pt>
                <c:pt idx="645">
                  <c:v>40882</c:v>
                </c:pt>
                <c:pt idx="646">
                  <c:v>40875</c:v>
                </c:pt>
                <c:pt idx="647">
                  <c:v>40868</c:v>
                </c:pt>
                <c:pt idx="648">
                  <c:v>40861</c:v>
                </c:pt>
                <c:pt idx="649">
                  <c:v>40854</c:v>
                </c:pt>
                <c:pt idx="650">
                  <c:v>40847</c:v>
                </c:pt>
                <c:pt idx="651">
                  <c:v>40840</c:v>
                </c:pt>
                <c:pt idx="652">
                  <c:v>40833</c:v>
                </c:pt>
                <c:pt idx="653">
                  <c:v>40826</c:v>
                </c:pt>
                <c:pt idx="654">
                  <c:v>40819</c:v>
                </c:pt>
                <c:pt idx="655">
                  <c:v>40812</c:v>
                </c:pt>
                <c:pt idx="656">
                  <c:v>40805</c:v>
                </c:pt>
                <c:pt idx="657">
                  <c:v>40798</c:v>
                </c:pt>
                <c:pt idx="658">
                  <c:v>40791</c:v>
                </c:pt>
                <c:pt idx="659">
                  <c:v>40784</c:v>
                </c:pt>
                <c:pt idx="660">
                  <c:v>40777</c:v>
                </c:pt>
                <c:pt idx="661">
                  <c:v>40770</c:v>
                </c:pt>
                <c:pt idx="662">
                  <c:v>40763</c:v>
                </c:pt>
                <c:pt idx="663">
                  <c:v>40756</c:v>
                </c:pt>
                <c:pt idx="664">
                  <c:v>40749</c:v>
                </c:pt>
                <c:pt idx="665">
                  <c:v>40742</c:v>
                </c:pt>
                <c:pt idx="666">
                  <c:v>40735</c:v>
                </c:pt>
                <c:pt idx="667">
                  <c:v>40728</c:v>
                </c:pt>
                <c:pt idx="668">
                  <c:v>40721</c:v>
                </c:pt>
                <c:pt idx="669">
                  <c:v>40714</c:v>
                </c:pt>
                <c:pt idx="670">
                  <c:v>40707</c:v>
                </c:pt>
                <c:pt idx="671">
                  <c:v>40700</c:v>
                </c:pt>
                <c:pt idx="672">
                  <c:v>40693</c:v>
                </c:pt>
                <c:pt idx="673">
                  <c:v>40686</c:v>
                </c:pt>
                <c:pt idx="674">
                  <c:v>40679</c:v>
                </c:pt>
                <c:pt idx="675">
                  <c:v>40672</c:v>
                </c:pt>
                <c:pt idx="676">
                  <c:v>40665</c:v>
                </c:pt>
                <c:pt idx="677">
                  <c:v>40658</c:v>
                </c:pt>
                <c:pt idx="678">
                  <c:v>40651</c:v>
                </c:pt>
                <c:pt idx="679">
                  <c:v>40644</c:v>
                </c:pt>
                <c:pt idx="680">
                  <c:v>40637</c:v>
                </c:pt>
                <c:pt idx="681">
                  <c:v>40630</c:v>
                </c:pt>
                <c:pt idx="682">
                  <c:v>40623</c:v>
                </c:pt>
                <c:pt idx="683">
                  <c:v>40616</c:v>
                </c:pt>
                <c:pt idx="684">
                  <c:v>40609</c:v>
                </c:pt>
                <c:pt idx="685">
                  <c:v>40602</c:v>
                </c:pt>
                <c:pt idx="686">
                  <c:v>40595</c:v>
                </c:pt>
                <c:pt idx="687">
                  <c:v>40588</c:v>
                </c:pt>
                <c:pt idx="688">
                  <c:v>40581</c:v>
                </c:pt>
                <c:pt idx="689">
                  <c:v>40574</c:v>
                </c:pt>
                <c:pt idx="690">
                  <c:v>40567</c:v>
                </c:pt>
                <c:pt idx="691">
                  <c:v>40560</c:v>
                </c:pt>
                <c:pt idx="692">
                  <c:v>40553</c:v>
                </c:pt>
                <c:pt idx="693">
                  <c:v>40546</c:v>
                </c:pt>
                <c:pt idx="694">
                  <c:v>40539</c:v>
                </c:pt>
                <c:pt idx="695">
                  <c:v>40532</c:v>
                </c:pt>
                <c:pt idx="696">
                  <c:v>40525</c:v>
                </c:pt>
                <c:pt idx="697">
                  <c:v>40518</c:v>
                </c:pt>
                <c:pt idx="698">
                  <c:v>40511</c:v>
                </c:pt>
                <c:pt idx="699">
                  <c:v>40504</c:v>
                </c:pt>
                <c:pt idx="700">
                  <c:v>40497</c:v>
                </c:pt>
                <c:pt idx="701">
                  <c:v>40490</c:v>
                </c:pt>
                <c:pt idx="702">
                  <c:v>40483</c:v>
                </c:pt>
                <c:pt idx="703">
                  <c:v>40476</c:v>
                </c:pt>
                <c:pt idx="704">
                  <c:v>40469</c:v>
                </c:pt>
                <c:pt idx="705">
                  <c:v>40462</c:v>
                </c:pt>
                <c:pt idx="706">
                  <c:v>40455</c:v>
                </c:pt>
                <c:pt idx="707">
                  <c:v>40448</c:v>
                </c:pt>
                <c:pt idx="708">
                  <c:v>40441</c:v>
                </c:pt>
                <c:pt idx="709">
                  <c:v>40434</c:v>
                </c:pt>
                <c:pt idx="710">
                  <c:v>40427</c:v>
                </c:pt>
                <c:pt idx="711">
                  <c:v>40420</c:v>
                </c:pt>
                <c:pt idx="712">
                  <c:v>40413</c:v>
                </c:pt>
                <c:pt idx="713">
                  <c:v>40406</c:v>
                </c:pt>
                <c:pt idx="714">
                  <c:v>40399</c:v>
                </c:pt>
                <c:pt idx="715">
                  <c:v>40392</c:v>
                </c:pt>
                <c:pt idx="716">
                  <c:v>40385</c:v>
                </c:pt>
                <c:pt idx="717">
                  <c:v>40378</c:v>
                </c:pt>
                <c:pt idx="718">
                  <c:v>40371</c:v>
                </c:pt>
                <c:pt idx="719">
                  <c:v>40364</c:v>
                </c:pt>
                <c:pt idx="720">
                  <c:v>40357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147.05000000000001</c:v>
                </c:pt>
                <c:pt idx="1">
                  <c:v>171.759995</c:v>
                </c:pt>
                <c:pt idx="2">
                  <c:v>164.89999399999999</c:v>
                </c:pt>
                <c:pt idx="3">
                  <c:v>175.78999300000001</c:v>
                </c:pt>
                <c:pt idx="4">
                  <c:v>170.83000200000001</c:v>
                </c:pt>
                <c:pt idx="5">
                  <c:v>163.570007</c:v>
                </c:pt>
                <c:pt idx="6">
                  <c:v>175.33999600000001</c:v>
                </c:pt>
                <c:pt idx="7">
                  <c:v>202.63999899999999</c:v>
                </c:pt>
                <c:pt idx="8">
                  <c:v>191.970001</c:v>
                </c:pt>
                <c:pt idx="9">
                  <c:v>199.949997</c:v>
                </c:pt>
                <c:pt idx="10">
                  <c:v>193.570007</c:v>
                </c:pt>
                <c:pt idx="11">
                  <c:v>187.91000399999999</c:v>
                </c:pt>
                <c:pt idx="12">
                  <c:v>183.25</c:v>
                </c:pt>
                <c:pt idx="13">
                  <c:v>212.19000199999999</c:v>
                </c:pt>
                <c:pt idx="14">
                  <c:v>218.88999899999999</c:v>
                </c:pt>
                <c:pt idx="15">
                  <c:v>237.490005</c:v>
                </c:pt>
                <c:pt idx="16">
                  <c:v>248.479996</c:v>
                </c:pt>
                <c:pt idx="17">
                  <c:v>252.53999300000001</c:v>
                </c:pt>
                <c:pt idx="18">
                  <c:v>253.5</c:v>
                </c:pt>
                <c:pt idx="19">
                  <c:v>243.83999600000001</c:v>
                </c:pt>
                <c:pt idx="20">
                  <c:v>238.83000200000001</c:v>
                </c:pt>
                <c:pt idx="21">
                  <c:v>235.449997</c:v>
                </c:pt>
                <c:pt idx="22">
                  <c:v>234.300003</c:v>
                </c:pt>
                <c:pt idx="23">
                  <c:v>214.64999399999999</c:v>
                </c:pt>
                <c:pt idx="24">
                  <c:v>219.96000699999999</c:v>
                </c:pt>
                <c:pt idx="25">
                  <c:v>207.300003</c:v>
                </c:pt>
                <c:pt idx="26">
                  <c:v>211.990005</c:v>
                </c:pt>
                <c:pt idx="27">
                  <c:v>251.11999499999999</c:v>
                </c:pt>
                <c:pt idx="28">
                  <c:v>260.52999899999998</c:v>
                </c:pt>
                <c:pt idx="29">
                  <c:v>250.220001</c:v>
                </c:pt>
                <c:pt idx="30">
                  <c:v>244.88000500000001</c:v>
                </c:pt>
                <c:pt idx="31">
                  <c:v>274.39001500000001</c:v>
                </c:pt>
                <c:pt idx="32">
                  <c:v>248.5</c:v>
                </c:pt>
                <c:pt idx="33">
                  <c:v>245.009995</c:v>
                </c:pt>
                <c:pt idx="34">
                  <c:v>238.58999600000001</c:v>
                </c:pt>
                <c:pt idx="35">
                  <c:v>215.490005</c:v>
                </c:pt>
                <c:pt idx="36">
                  <c:v>242.64999399999999</c:v>
                </c:pt>
                <c:pt idx="37">
                  <c:v>253.86000100000001</c:v>
                </c:pt>
                <c:pt idx="38">
                  <c:v>266.44000199999999</c:v>
                </c:pt>
                <c:pt idx="39">
                  <c:v>260.01998900000001</c:v>
                </c:pt>
                <c:pt idx="40">
                  <c:v>281.38000499999998</c:v>
                </c:pt>
                <c:pt idx="41">
                  <c:v>274.42999300000002</c:v>
                </c:pt>
                <c:pt idx="42">
                  <c:v>261.76998900000001</c:v>
                </c:pt>
                <c:pt idx="43">
                  <c:v>256.60000600000001</c:v>
                </c:pt>
                <c:pt idx="44">
                  <c:v>260.540009</c:v>
                </c:pt>
                <c:pt idx="45">
                  <c:v>244.39999399999999</c:v>
                </c:pt>
                <c:pt idx="46">
                  <c:v>213.970001</c:v>
                </c:pt>
                <c:pt idx="47">
                  <c:v>193.16999799999999</c:v>
                </c:pt>
                <c:pt idx="48">
                  <c:v>180.13999899999999</c:v>
                </c:pt>
                <c:pt idx="49">
                  <c:v>167.979996</c:v>
                </c:pt>
                <c:pt idx="50">
                  <c:v>170.05999800000001</c:v>
                </c:pt>
                <c:pt idx="51">
                  <c:v>164.30999800000001</c:v>
                </c:pt>
                <c:pt idx="52">
                  <c:v>165.08000200000001</c:v>
                </c:pt>
                <c:pt idx="53">
                  <c:v>185</c:v>
                </c:pt>
                <c:pt idx="54">
                  <c:v>185.05999800000001</c:v>
                </c:pt>
                <c:pt idx="55">
                  <c:v>207.46000699999999</c:v>
                </c:pt>
                <c:pt idx="56">
                  <c:v>190.41000399999999</c:v>
                </c:pt>
                <c:pt idx="57">
                  <c:v>180.13000500000001</c:v>
                </c:pt>
                <c:pt idx="58">
                  <c:v>173.44000199999999</c:v>
                </c:pt>
                <c:pt idx="59">
                  <c:v>197.78999300000001</c:v>
                </c:pt>
                <c:pt idx="60">
                  <c:v>196.88000500000001</c:v>
                </c:pt>
                <c:pt idx="61">
                  <c:v>208.30999800000001</c:v>
                </c:pt>
                <c:pt idx="62">
                  <c:v>196.88999899999999</c:v>
                </c:pt>
                <c:pt idx="63">
                  <c:v>189.979996</c:v>
                </c:pt>
                <c:pt idx="64">
                  <c:v>177.89999399999999</c:v>
                </c:pt>
                <c:pt idx="65">
                  <c:v>133.41999799999999</c:v>
                </c:pt>
                <c:pt idx="66">
                  <c:v>122.400002</c:v>
                </c:pt>
                <c:pt idx="67">
                  <c:v>113.05999799999999</c:v>
                </c:pt>
                <c:pt idx="68">
                  <c:v>123.18</c:v>
                </c:pt>
                <c:pt idx="69">
                  <c:v>123.150002</c:v>
                </c:pt>
                <c:pt idx="70">
                  <c:v>150.229996</c:v>
                </c:pt>
                <c:pt idx="71">
                  <c:v>179.050003</c:v>
                </c:pt>
                <c:pt idx="72">
                  <c:v>194.86000100000001</c:v>
                </c:pt>
                <c:pt idx="73">
                  <c:v>182.86000100000001</c:v>
                </c:pt>
                <c:pt idx="74">
                  <c:v>180.19000199999999</c:v>
                </c:pt>
                <c:pt idx="75">
                  <c:v>195.970001</c:v>
                </c:pt>
                <c:pt idx="76">
                  <c:v>207.470001</c:v>
                </c:pt>
                <c:pt idx="77">
                  <c:v>228.520004</c:v>
                </c:pt>
                <c:pt idx="78">
                  <c:v>214.44000199999999</c:v>
                </c:pt>
                <c:pt idx="79">
                  <c:v>204.990005</c:v>
                </c:pt>
                <c:pt idx="80">
                  <c:v>223.070007</c:v>
                </c:pt>
                <c:pt idx="81">
                  <c:v>265.25</c:v>
                </c:pt>
                <c:pt idx="82">
                  <c:v>275.32998700000002</c:v>
                </c:pt>
                <c:pt idx="83">
                  <c:v>303.35000600000001</c:v>
                </c:pt>
                <c:pt idx="84">
                  <c:v>299.67999300000002</c:v>
                </c:pt>
                <c:pt idx="85">
                  <c:v>270.209991</c:v>
                </c:pt>
                <c:pt idx="86">
                  <c:v>288.08999599999999</c:v>
                </c:pt>
                <c:pt idx="87">
                  <c:v>296.66665599999999</c:v>
                </c:pt>
                <c:pt idx="88">
                  <c:v>300.02999899999998</c:v>
                </c:pt>
                <c:pt idx="89">
                  <c:v>288.17001299999998</c:v>
                </c:pt>
                <c:pt idx="90">
                  <c:v>297.14999399999999</c:v>
                </c:pt>
                <c:pt idx="91">
                  <c:v>272.24334700000003</c:v>
                </c:pt>
                <c:pt idx="92">
                  <c:v>240.066666</c:v>
                </c:pt>
                <c:pt idx="93">
                  <c:v>250.76333600000001</c:v>
                </c:pt>
                <c:pt idx="94">
                  <c:v>227.26333600000001</c:v>
                </c:pt>
                <c:pt idx="95">
                  <c:v>245.70666499999999</c:v>
                </c:pt>
                <c:pt idx="96">
                  <c:v>216.759995</c:v>
                </c:pt>
                <c:pt idx="97">
                  <c:v>232.229996</c:v>
                </c:pt>
                <c:pt idx="98">
                  <c:v>234.51666299999999</c:v>
                </c:pt>
                <c:pt idx="99">
                  <c:v>253.21000699999999</c:v>
                </c:pt>
                <c:pt idx="100">
                  <c:v>221.300003</c:v>
                </c:pt>
                <c:pt idx="101">
                  <c:v>256.52999899999998</c:v>
                </c:pt>
                <c:pt idx="102">
                  <c:v>288.54998799999998</c:v>
                </c:pt>
                <c:pt idx="103">
                  <c:v>290.25332600000002</c:v>
                </c:pt>
                <c:pt idx="104">
                  <c:v>335.01666299999999</c:v>
                </c:pt>
                <c:pt idx="105">
                  <c:v>328.33334400000001</c:v>
                </c:pt>
                <c:pt idx="106">
                  <c:v>341.82998700000002</c:v>
                </c:pt>
                <c:pt idx="107">
                  <c:v>361.52999899999998</c:v>
                </c:pt>
                <c:pt idx="108">
                  <c:v>336.88000499999998</c:v>
                </c:pt>
                <c:pt idx="109">
                  <c:v>301.79666099999997</c:v>
                </c:pt>
                <c:pt idx="110">
                  <c:v>265.116669</c:v>
                </c:pt>
                <c:pt idx="111">
                  <c:v>279.42999300000002</c:v>
                </c:pt>
                <c:pt idx="112">
                  <c:v>269.95666499999999</c:v>
                </c:pt>
                <c:pt idx="113">
                  <c:v>285.66000400000001</c:v>
                </c:pt>
                <c:pt idx="114">
                  <c:v>286.66665599999999</c:v>
                </c:pt>
                <c:pt idx="115">
                  <c:v>307.773346</c:v>
                </c:pt>
                <c:pt idx="116">
                  <c:v>282.116669</c:v>
                </c:pt>
                <c:pt idx="117">
                  <c:v>314.633331</c:v>
                </c:pt>
                <c:pt idx="118">
                  <c:v>349.86999500000002</c:v>
                </c:pt>
                <c:pt idx="119">
                  <c:v>342.32000699999998</c:v>
                </c:pt>
                <c:pt idx="120">
                  <c:v>352.26001000000002</c:v>
                </c:pt>
                <c:pt idx="121">
                  <c:v>355.66665599999999</c:v>
                </c:pt>
                <c:pt idx="122">
                  <c:v>310.85665899999998</c:v>
                </c:pt>
                <c:pt idx="123">
                  <c:v>339.01001000000002</c:v>
                </c:pt>
                <c:pt idx="124">
                  <c:v>338.32333399999999</c:v>
                </c:pt>
                <c:pt idx="125">
                  <c:v>360.64001500000001</c:v>
                </c:pt>
                <c:pt idx="126">
                  <c:v>379.01998900000001</c:v>
                </c:pt>
                <c:pt idx="127">
                  <c:v>344.47332799999998</c:v>
                </c:pt>
                <c:pt idx="128">
                  <c:v>407.36334199999999</c:v>
                </c:pt>
                <c:pt idx="129">
                  <c:v>371.33334400000001</c:v>
                </c:pt>
                <c:pt idx="130">
                  <c:v>303.226654</c:v>
                </c:pt>
                <c:pt idx="131">
                  <c:v>281.01001000000002</c:v>
                </c:pt>
                <c:pt idx="132">
                  <c:v>261.82998700000002</c:v>
                </c:pt>
                <c:pt idx="133">
                  <c:v>258.406677</c:v>
                </c:pt>
                <c:pt idx="134">
                  <c:v>258.13000499999998</c:v>
                </c:pt>
                <c:pt idx="135">
                  <c:v>253.16333</c:v>
                </c:pt>
                <c:pt idx="136">
                  <c:v>245.42334</c:v>
                </c:pt>
                <c:pt idx="137">
                  <c:v>244.52333100000001</c:v>
                </c:pt>
                <c:pt idx="138">
                  <c:v>237.30667099999999</c:v>
                </c:pt>
                <c:pt idx="139">
                  <c:v>226.75332599999999</c:v>
                </c:pt>
                <c:pt idx="140">
                  <c:v>239.05667099999999</c:v>
                </c:pt>
                <c:pt idx="141">
                  <c:v>233.03334000000001</c:v>
                </c:pt>
                <c:pt idx="142">
                  <c:v>229.066666</c:v>
                </c:pt>
                <c:pt idx="143">
                  <c:v>214.46000699999999</c:v>
                </c:pt>
                <c:pt idx="144">
                  <c:v>214.740005</c:v>
                </c:pt>
                <c:pt idx="145">
                  <c:v>218.98333700000001</c:v>
                </c:pt>
                <c:pt idx="146">
                  <c:v>226.300003</c:v>
                </c:pt>
                <c:pt idx="147">
                  <c:v>223.95666499999999</c:v>
                </c:pt>
                <c:pt idx="148">
                  <c:v>207.770004</c:v>
                </c:pt>
                <c:pt idx="149">
                  <c:v>203.296661</c:v>
                </c:pt>
                <c:pt idx="150">
                  <c:v>199.683334</c:v>
                </c:pt>
                <c:pt idx="151">
                  <c:v>208.40666200000001</c:v>
                </c:pt>
                <c:pt idx="152">
                  <c:v>193.62666300000001</c:v>
                </c:pt>
                <c:pt idx="153">
                  <c:v>196.58000200000001</c:v>
                </c:pt>
                <c:pt idx="154">
                  <c:v>224.12333699999999</c:v>
                </c:pt>
                <c:pt idx="155">
                  <c:v>236.479996</c:v>
                </c:pt>
                <c:pt idx="156">
                  <c:v>243.133331</c:v>
                </c:pt>
                <c:pt idx="157">
                  <c:v>246.59333799999999</c:v>
                </c:pt>
                <c:pt idx="158">
                  <c:v>225.67334</c:v>
                </c:pt>
                <c:pt idx="159">
                  <c:v>220.58332799999999</c:v>
                </c:pt>
                <c:pt idx="160">
                  <c:v>206.23666399999999</c:v>
                </c:pt>
                <c:pt idx="161">
                  <c:v>218.28999300000001</c:v>
                </c:pt>
                <c:pt idx="162">
                  <c:v>231.24333200000001</c:v>
                </c:pt>
                <c:pt idx="163">
                  <c:v>199.316666</c:v>
                </c:pt>
                <c:pt idx="164">
                  <c:v>225.16667200000001</c:v>
                </c:pt>
                <c:pt idx="165">
                  <c:v>260.43331899999998</c:v>
                </c:pt>
                <c:pt idx="166">
                  <c:v>272.040009</c:v>
                </c:pt>
                <c:pt idx="167">
                  <c:v>284.07666</c:v>
                </c:pt>
                <c:pt idx="168">
                  <c:v>264.51001000000002</c:v>
                </c:pt>
                <c:pt idx="169">
                  <c:v>282.21331800000002</c:v>
                </c:pt>
                <c:pt idx="170">
                  <c:v>275.38665800000001</c:v>
                </c:pt>
                <c:pt idx="171">
                  <c:v>293.33999599999999</c:v>
                </c:pt>
                <c:pt idx="172">
                  <c:v>235.22332800000001</c:v>
                </c:pt>
                <c:pt idx="173">
                  <c:v>220.58999600000001</c:v>
                </c:pt>
                <c:pt idx="174">
                  <c:v>231.66667200000001</c:v>
                </c:pt>
                <c:pt idx="175">
                  <c:v>203.33000200000001</c:v>
                </c:pt>
                <c:pt idx="176">
                  <c:v>199.679993</c:v>
                </c:pt>
                <c:pt idx="177">
                  <c:v>195.25332599999999</c:v>
                </c:pt>
                <c:pt idx="178">
                  <c:v>163.203339</c:v>
                </c:pt>
                <c:pt idx="179">
                  <c:v>136.16667200000001</c:v>
                </c:pt>
                <c:pt idx="180">
                  <c:v>143.316666</c:v>
                </c:pt>
                <c:pt idx="181">
                  <c:v>129.346664</c:v>
                </c:pt>
                <c:pt idx="182">
                  <c:v>140.21000699999999</c:v>
                </c:pt>
                <c:pt idx="183">
                  <c:v>146.55667099999999</c:v>
                </c:pt>
                <c:pt idx="184">
                  <c:v>144.66667200000001</c:v>
                </c:pt>
                <c:pt idx="185">
                  <c:v>138.363327</c:v>
                </c:pt>
                <c:pt idx="186">
                  <c:v>135.779999</c:v>
                </c:pt>
                <c:pt idx="187">
                  <c:v>147.383331</c:v>
                </c:pt>
                <c:pt idx="188">
                  <c:v>124.239998</c:v>
                </c:pt>
                <c:pt idx="189">
                  <c:v>139.44000199999999</c:v>
                </c:pt>
                <c:pt idx="190">
                  <c:v>147.55999800000001</c:v>
                </c:pt>
                <c:pt idx="191">
                  <c:v>136.66532900000001</c:v>
                </c:pt>
                <c:pt idx="192">
                  <c:v>110.04733299999999</c:v>
                </c:pt>
                <c:pt idx="193">
                  <c:v>96.847335999999999</c:v>
                </c:pt>
                <c:pt idx="194">
                  <c:v>95.384003000000007</c:v>
                </c:pt>
                <c:pt idx="195">
                  <c:v>94.466667000000001</c:v>
                </c:pt>
                <c:pt idx="196">
                  <c:v>100.056</c:v>
                </c:pt>
                <c:pt idx="197">
                  <c:v>102.976669</c:v>
                </c:pt>
                <c:pt idx="198">
                  <c:v>80.577331999999998</c:v>
                </c:pt>
                <c:pt idx="199">
                  <c:v>63.982666000000002</c:v>
                </c:pt>
                <c:pt idx="200">
                  <c:v>66.726669000000001</c:v>
                </c:pt>
                <c:pt idx="201">
                  <c:v>62.352001000000001</c:v>
                </c:pt>
                <c:pt idx="202">
                  <c:v>59.043998999999999</c:v>
                </c:pt>
                <c:pt idx="203">
                  <c:v>55.666668000000001</c:v>
                </c:pt>
                <c:pt idx="204">
                  <c:v>54.458668000000003</c:v>
                </c:pt>
                <c:pt idx="205">
                  <c:v>53.277999999999999</c:v>
                </c:pt>
                <c:pt idx="206">
                  <c:v>54.627997999999998</c:v>
                </c:pt>
                <c:pt idx="207">
                  <c:v>46.754665000000003</c:v>
                </c:pt>
                <c:pt idx="208">
                  <c:v>48.343333999999999</c:v>
                </c:pt>
                <c:pt idx="209">
                  <c:v>50.259335</c:v>
                </c:pt>
                <c:pt idx="210">
                  <c:v>38.200001</c:v>
                </c:pt>
                <c:pt idx="211">
                  <c:v>32.000667999999997</c:v>
                </c:pt>
                <c:pt idx="212">
                  <c:v>34.290667999999997</c:v>
                </c:pt>
                <c:pt idx="213">
                  <c:v>28.502001</c:v>
                </c:pt>
                <c:pt idx="214">
                  <c:v>36.441333999999998</c:v>
                </c:pt>
                <c:pt idx="215">
                  <c:v>46.898665999999999</c:v>
                </c:pt>
                <c:pt idx="216">
                  <c:v>44.532665000000001</c:v>
                </c:pt>
                <c:pt idx="217">
                  <c:v>60.066665999999998</c:v>
                </c:pt>
                <c:pt idx="218">
                  <c:v>53.335335000000001</c:v>
                </c:pt>
                <c:pt idx="219">
                  <c:v>49.871333999999997</c:v>
                </c:pt>
                <c:pt idx="220">
                  <c:v>43.371333999999997</c:v>
                </c:pt>
                <c:pt idx="221">
                  <c:v>37.654667000000003</c:v>
                </c:pt>
                <c:pt idx="222">
                  <c:v>34.033332999999999</c:v>
                </c:pt>
                <c:pt idx="223">
                  <c:v>31.876667000000001</c:v>
                </c:pt>
                <c:pt idx="224">
                  <c:v>29.533999999999999</c:v>
                </c:pt>
                <c:pt idx="225">
                  <c:v>28.691998999999999</c:v>
                </c:pt>
                <c:pt idx="226">
                  <c:v>27.039332999999999</c:v>
                </c:pt>
                <c:pt idx="227">
                  <c:v>23.892668</c:v>
                </c:pt>
                <c:pt idx="228">
                  <c:v>22.392668</c:v>
                </c:pt>
                <c:pt idx="229">
                  <c:v>21.995999999999999</c:v>
                </c:pt>
                <c:pt idx="230">
                  <c:v>22.202667000000002</c:v>
                </c:pt>
                <c:pt idx="231">
                  <c:v>23.478000999999999</c:v>
                </c:pt>
                <c:pt idx="232">
                  <c:v>22.475999999999999</c:v>
                </c:pt>
                <c:pt idx="233">
                  <c:v>20.887333000000002</c:v>
                </c:pt>
                <c:pt idx="234">
                  <c:v>21.875333999999999</c:v>
                </c:pt>
                <c:pt idx="235">
                  <c:v>17.129999000000002</c:v>
                </c:pt>
                <c:pt idx="236">
                  <c:v>16.525998999999999</c:v>
                </c:pt>
                <c:pt idx="237">
                  <c:v>15.428667000000001</c:v>
                </c:pt>
                <c:pt idx="238">
                  <c:v>16.141999999999999</c:v>
                </c:pt>
                <c:pt idx="239">
                  <c:v>16.041332000000001</c:v>
                </c:pt>
                <c:pt idx="240">
                  <c:v>16.346665999999999</c:v>
                </c:pt>
                <c:pt idx="241">
                  <c:v>15.163333</c:v>
                </c:pt>
                <c:pt idx="242">
                  <c:v>15.040666999999999</c:v>
                </c:pt>
                <c:pt idx="243">
                  <c:v>14.093332999999999</c:v>
                </c:pt>
                <c:pt idx="244">
                  <c:v>14.662667000000001</c:v>
                </c:pt>
                <c:pt idx="245">
                  <c:v>15.667332999999999</c:v>
                </c:pt>
                <c:pt idx="246">
                  <c:v>15.622667</c:v>
                </c:pt>
                <c:pt idx="247">
                  <c:v>15.202667</c:v>
                </c:pt>
                <c:pt idx="248">
                  <c:v>17.212</c:v>
                </c:pt>
                <c:pt idx="249">
                  <c:v>16.338667000000001</c:v>
                </c:pt>
                <c:pt idx="250">
                  <c:v>15.54</c:v>
                </c:pt>
                <c:pt idx="251">
                  <c:v>14.897333</c:v>
                </c:pt>
                <c:pt idx="252">
                  <c:v>14.790666999999999</c:v>
                </c:pt>
                <c:pt idx="253">
                  <c:v>14.327999999999999</c:v>
                </c:pt>
                <c:pt idx="254">
                  <c:v>13.633333</c:v>
                </c:pt>
                <c:pt idx="255">
                  <c:v>12.343999999999999</c:v>
                </c:pt>
                <c:pt idx="256">
                  <c:v>12.708667</c:v>
                </c:pt>
                <c:pt idx="257">
                  <c:v>14.068667</c:v>
                </c:pt>
                <c:pt idx="258">
                  <c:v>15.968</c:v>
                </c:pt>
                <c:pt idx="259">
                  <c:v>17.002001</c:v>
                </c:pt>
                <c:pt idx="260">
                  <c:v>15.676</c:v>
                </c:pt>
                <c:pt idx="261">
                  <c:v>18.217333</c:v>
                </c:pt>
                <c:pt idx="262">
                  <c:v>17.846665999999999</c:v>
                </c:pt>
                <c:pt idx="263">
                  <c:v>18.330666999999998</c:v>
                </c:pt>
                <c:pt idx="264">
                  <c:v>18.657333000000001</c:v>
                </c:pt>
                <c:pt idx="265">
                  <c:v>17.635331999999998</c:v>
                </c:pt>
                <c:pt idx="266">
                  <c:v>18.361999999999998</c:v>
                </c:pt>
                <c:pt idx="267">
                  <c:v>18.942667</c:v>
                </c:pt>
                <c:pt idx="268">
                  <c:v>19.652666</c:v>
                </c:pt>
                <c:pt idx="269">
                  <c:v>19.647333</c:v>
                </c:pt>
                <c:pt idx="270">
                  <c:v>20.525333</c:v>
                </c:pt>
                <c:pt idx="271">
                  <c:v>20.386666999999999</c:v>
                </c:pt>
                <c:pt idx="272">
                  <c:v>20.813998999999999</c:v>
                </c:pt>
                <c:pt idx="273">
                  <c:v>19.802668000000001</c:v>
                </c:pt>
                <c:pt idx="274">
                  <c:v>20.150666999999999</c:v>
                </c:pt>
                <c:pt idx="275">
                  <c:v>23.150666999999999</c:v>
                </c:pt>
                <c:pt idx="276">
                  <c:v>21.179333</c:v>
                </c:pt>
                <c:pt idx="277">
                  <c:v>22.257999000000002</c:v>
                </c:pt>
                <c:pt idx="278">
                  <c:v>21.318000999999999</c:v>
                </c:pt>
                <c:pt idx="279">
                  <c:v>24.380666999999999</c:v>
                </c:pt>
                <c:pt idx="280">
                  <c:v>23.864668000000002</c:v>
                </c:pt>
                <c:pt idx="281">
                  <c:v>23.365334000000001</c:v>
                </c:pt>
                <c:pt idx="282">
                  <c:v>21.722000000000001</c:v>
                </c:pt>
                <c:pt idx="283">
                  <c:v>23.620667000000001</c:v>
                </c:pt>
                <c:pt idx="284">
                  <c:v>23.367332000000001</c:v>
                </c:pt>
                <c:pt idx="285">
                  <c:v>23.094000000000001</c:v>
                </c:pt>
                <c:pt idx="286">
                  <c:v>22.059999000000001</c:v>
                </c:pt>
                <c:pt idx="287">
                  <c:v>17.333331999999999</c:v>
                </c:pt>
                <c:pt idx="288">
                  <c:v>17.252001</c:v>
                </c:pt>
                <c:pt idx="289">
                  <c:v>17.463332999999999</c:v>
                </c:pt>
                <c:pt idx="290">
                  <c:v>17.651333000000001</c:v>
                </c:pt>
                <c:pt idx="291">
                  <c:v>19.940000999999999</c:v>
                </c:pt>
                <c:pt idx="292">
                  <c:v>19.68</c:v>
                </c:pt>
                <c:pt idx="293">
                  <c:v>17.549334000000002</c:v>
                </c:pt>
                <c:pt idx="294">
                  <c:v>20.110665999999998</c:v>
                </c:pt>
                <c:pt idx="295">
                  <c:v>21.521334</c:v>
                </c:pt>
                <c:pt idx="296">
                  <c:v>20.366667</c:v>
                </c:pt>
                <c:pt idx="297">
                  <c:v>23.699332999999999</c:v>
                </c:pt>
                <c:pt idx="298">
                  <c:v>23.211331999999999</c:v>
                </c:pt>
                <c:pt idx="299">
                  <c:v>19.812000000000001</c:v>
                </c:pt>
                <c:pt idx="300">
                  <c:v>20.905332999999999</c:v>
                </c:pt>
                <c:pt idx="301">
                  <c:v>21.257999000000002</c:v>
                </c:pt>
                <c:pt idx="302">
                  <c:v>20.593332</c:v>
                </c:pt>
                <c:pt idx="303">
                  <c:v>22.863333000000001</c:v>
                </c:pt>
                <c:pt idx="304">
                  <c:v>22.242000999999998</c:v>
                </c:pt>
                <c:pt idx="305">
                  <c:v>23.878</c:v>
                </c:pt>
                <c:pt idx="306">
                  <c:v>21.177333999999998</c:v>
                </c:pt>
                <c:pt idx="307">
                  <c:v>19.454666</c:v>
                </c:pt>
                <c:pt idx="308">
                  <c:v>18.59</c:v>
                </c:pt>
                <c:pt idx="309">
                  <c:v>18.454666</c:v>
                </c:pt>
                <c:pt idx="310">
                  <c:v>20.070667</c:v>
                </c:pt>
                <c:pt idx="311">
                  <c:v>19.606000999999999</c:v>
                </c:pt>
                <c:pt idx="312">
                  <c:v>19.605333000000002</c:v>
                </c:pt>
                <c:pt idx="313">
                  <c:v>19.349333000000001</c:v>
                </c:pt>
                <c:pt idx="314">
                  <c:v>20.022666999999998</c:v>
                </c:pt>
                <c:pt idx="315">
                  <c:v>19.953333000000001</c:v>
                </c:pt>
                <c:pt idx="316">
                  <c:v>17.742000999999998</c:v>
                </c:pt>
                <c:pt idx="317">
                  <c:v>20.102667</c:v>
                </c:pt>
                <c:pt idx="318">
                  <c:v>21.423331999999998</c:v>
                </c:pt>
                <c:pt idx="319">
                  <c:v>21.811333000000001</c:v>
                </c:pt>
                <c:pt idx="320">
                  <c:v>22.341332999999999</c:v>
                </c:pt>
                <c:pt idx="321">
                  <c:v>23.469999000000001</c:v>
                </c:pt>
                <c:pt idx="322">
                  <c:v>22.365998999999999</c:v>
                </c:pt>
                <c:pt idx="323">
                  <c:v>20.694668</c:v>
                </c:pt>
                <c:pt idx="324">
                  <c:v>22.916668000000001</c:v>
                </c:pt>
                <c:pt idx="325">
                  <c:v>22.856667000000002</c:v>
                </c:pt>
                <c:pt idx="326">
                  <c:v>23.334667</c:v>
                </c:pt>
                <c:pt idx="327">
                  <c:v>22.414667000000001</c:v>
                </c:pt>
                <c:pt idx="328">
                  <c:v>21.105333000000002</c:v>
                </c:pt>
                <c:pt idx="329">
                  <c:v>20.756665999999999</c:v>
                </c:pt>
                <c:pt idx="330">
                  <c:v>21.68</c:v>
                </c:pt>
                <c:pt idx="331">
                  <c:v>22.896667000000001</c:v>
                </c:pt>
                <c:pt idx="332">
                  <c:v>21.008666999999999</c:v>
                </c:pt>
                <c:pt idx="333">
                  <c:v>20.435333</c:v>
                </c:pt>
                <c:pt idx="334">
                  <c:v>21.036667000000001</c:v>
                </c:pt>
                <c:pt idx="335">
                  <c:v>21.003332</c:v>
                </c:pt>
                <c:pt idx="336">
                  <c:v>20.199332999999999</c:v>
                </c:pt>
                <c:pt idx="337">
                  <c:v>20.405999999999999</c:v>
                </c:pt>
                <c:pt idx="338">
                  <c:v>21.391332999999999</c:v>
                </c:pt>
                <c:pt idx="339">
                  <c:v>23.006665999999999</c:v>
                </c:pt>
                <c:pt idx="340">
                  <c:v>23.704666</c:v>
                </c:pt>
                <c:pt idx="341">
                  <c:v>23.792000000000002</c:v>
                </c:pt>
                <c:pt idx="342">
                  <c:v>22.74</c:v>
                </c:pt>
                <c:pt idx="343">
                  <c:v>23.405999999999999</c:v>
                </c:pt>
                <c:pt idx="344">
                  <c:v>25.320667</c:v>
                </c:pt>
                <c:pt idx="345">
                  <c:v>22.893332999999998</c:v>
                </c:pt>
                <c:pt idx="346">
                  <c:v>23.693332999999999</c:v>
                </c:pt>
                <c:pt idx="347">
                  <c:v>23.203333000000001</c:v>
                </c:pt>
                <c:pt idx="348">
                  <c:v>23.164000000000001</c:v>
                </c:pt>
                <c:pt idx="349">
                  <c:v>23.858000000000001</c:v>
                </c:pt>
                <c:pt idx="350">
                  <c:v>23.794001000000002</c:v>
                </c:pt>
                <c:pt idx="351">
                  <c:v>22.337999</c:v>
                </c:pt>
                <c:pt idx="352">
                  <c:v>21.893332999999998</c:v>
                </c:pt>
                <c:pt idx="353">
                  <c:v>21.851998999999999</c:v>
                </c:pt>
                <c:pt idx="354">
                  <c:v>20.881332</c:v>
                </c:pt>
                <c:pt idx="355">
                  <c:v>24.107332</c:v>
                </c:pt>
                <c:pt idx="356">
                  <c:v>25.563334000000001</c:v>
                </c:pt>
                <c:pt idx="357">
                  <c:v>24.76</c:v>
                </c:pt>
                <c:pt idx="358">
                  <c:v>23.821332999999999</c:v>
                </c:pt>
                <c:pt idx="359">
                  <c:v>22.656668</c:v>
                </c:pt>
                <c:pt idx="360">
                  <c:v>21.676000999999999</c:v>
                </c:pt>
                <c:pt idx="361">
                  <c:v>20.722000000000001</c:v>
                </c:pt>
                <c:pt idx="362">
                  <c:v>21.653998999999999</c:v>
                </c:pt>
                <c:pt idx="363">
                  <c:v>20.556667000000001</c:v>
                </c:pt>
                <c:pt idx="364">
                  <c:v>20.937999999999999</c:v>
                </c:pt>
                <c:pt idx="365">
                  <c:v>20.373332999999999</c:v>
                </c:pt>
                <c:pt idx="366">
                  <c:v>20.266666000000001</c:v>
                </c:pt>
                <c:pt idx="367">
                  <c:v>20.169333000000002</c:v>
                </c:pt>
                <c:pt idx="368">
                  <c:v>18.553332999999999</c:v>
                </c:pt>
                <c:pt idx="369">
                  <c:v>17.544001000000002</c:v>
                </c:pt>
                <c:pt idx="370">
                  <c:v>17.433332</c:v>
                </c:pt>
                <c:pt idx="371">
                  <c:v>16.245999999999999</c:v>
                </c:pt>
                <c:pt idx="372">
                  <c:v>16.771334</c:v>
                </c:pt>
                <c:pt idx="373">
                  <c:v>17.133333</c:v>
                </c:pt>
                <c:pt idx="374">
                  <c:v>18.148665999999999</c:v>
                </c:pt>
                <c:pt idx="375">
                  <c:v>17.948668000000001</c:v>
                </c:pt>
                <c:pt idx="376">
                  <c:v>16.755333</c:v>
                </c:pt>
                <c:pt idx="377">
                  <c:v>16.863333000000001</c:v>
                </c:pt>
                <c:pt idx="378">
                  <c:v>16.315332000000001</c:v>
                </c:pt>
                <c:pt idx="379">
                  <c:v>15.85</c:v>
                </c:pt>
                <c:pt idx="380">
                  <c:v>15.267333000000001</c:v>
                </c:pt>
                <c:pt idx="381">
                  <c:v>14.246</c:v>
                </c:pt>
                <c:pt idx="382">
                  <c:v>14.222667</c:v>
                </c:pt>
                <c:pt idx="383">
                  <c:v>13.499333</c:v>
                </c:pt>
                <c:pt idx="384">
                  <c:v>12.811999999999999</c:v>
                </c:pt>
                <c:pt idx="385">
                  <c:v>12.098000000000001</c:v>
                </c:pt>
                <c:pt idx="386">
                  <c:v>13.11</c:v>
                </c:pt>
                <c:pt idx="387">
                  <c:v>12.334667</c:v>
                </c:pt>
                <c:pt idx="388">
                  <c:v>12.570667</c:v>
                </c:pt>
                <c:pt idx="389">
                  <c:v>12.704000000000001</c:v>
                </c:pt>
                <c:pt idx="390">
                  <c:v>13.331333000000001</c:v>
                </c:pt>
                <c:pt idx="391">
                  <c:v>13.339333</c:v>
                </c:pt>
                <c:pt idx="392">
                  <c:v>13.100667</c:v>
                </c:pt>
                <c:pt idx="393">
                  <c:v>13.107333000000001</c:v>
                </c:pt>
                <c:pt idx="394">
                  <c:v>13.602</c:v>
                </c:pt>
                <c:pt idx="395">
                  <c:v>13.83</c:v>
                </c:pt>
                <c:pt idx="396">
                  <c:v>13.693333000000001</c:v>
                </c:pt>
                <c:pt idx="397">
                  <c:v>12.964667</c:v>
                </c:pt>
                <c:pt idx="398">
                  <c:v>13.185333</c:v>
                </c:pt>
                <c:pt idx="399">
                  <c:v>14.666</c:v>
                </c:pt>
                <c:pt idx="400">
                  <c:v>15</c:v>
                </c:pt>
                <c:pt idx="401">
                  <c:v>15.040666999999999</c:v>
                </c:pt>
                <c:pt idx="402">
                  <c:v>15.335333</c:v>
                </c:pt>
                <c:pt idx="403">
                  <c:v>15.652666999999999</c:v>
                </c:pt>
                <c:pt idx="404">
                  <c:v>14.818</c:v>
                </c:pt>
                <c:pt idx="405">
                  <c:v>14.693333000000001</c:v>
                </c:pt>
                <c:pt idx="406">
                  <c:v>14.452</c:v>
                </c:pt>
                <c:pt idx="407">
                  <c:v>14.433332999999999</c:v>
                </c:pt>
                <c:pt idx="408">
                  <c:v>12.876666999999999</c:v>
                </c:pt>
                <c:pt idx="409">
                  <c:v>14.364667000000001</c:v>
                </c:pt>
                <c:pt idx="410">
                  <c:v>14.586</c:v>
                </c:pt>
                <c:pt idx="411">
                  <c:v>14.599333</c:v>
                </c:pt>
                <c:pt idx="412">
                  <c:v>14.869332999999999</c:v>
                </c:pt>
                <c:pt idx="413">
                  <c:v>14.685333</c:v>
                </c:pt>
                <c:pt idx="414">
                  <c:v>13.840667</c:v>
                </c:pt>
                <c:pt idx="415">
                  <c:v>14.328666999999999</c:v>
                </c:pt>
                <c:pt idx="416">
                  <c:v>16.050667000000001</c:v>
                </c:pt>
                <c:pt idx="417">
                  <c:v>16.916668000000001</c:v>
                </c:pt>
                <c:pt idx="418">
                  <c:v>16.967333</c:v>
                </c:pt>
                <c:pt idx="419">
                  <c:v>16.671333000000001</c:v>
                </c:pt>
                <c:pt idx="420">
                  <c:v>15.839333</c:v>
                </c:pt>
                <c:pt idx="421">
                  <c:v>15.183332999999999</c:v>
                </c:pt>
                <c:pt idx="422">
                  <c:v>15.516</c:v>
                </c:pt>
                <c:pt idx="423">
                  <c:v>13.833333</c:v>
                </c:pt>
                <c:pt idx="424">
                  <c:v>13.402666999999999</c:v>
                </c:pt>
                <c:pt idx="425">
                  <c:v>12.689333</c:v>
                </c:pt>
                <c:pt idx="426">
                  <c:v>11.105333</c:v>
                </c:pt>
                <c:pt idx="427">
                  <c:v>10.069333</c:v>
                </c:pt>
                <c:pt idx="428">
                  <c:v>10.84</c:v>
                </c:pt>
                <c:pt idx="429">
                  <c:v>12.746667</c:v>
                </c:pt>
                <c:pt idx="430">
                  <c:v>13.503333</c:v>
                </c:pt>
                <c:pt idx="431">
                  <c:v>13.666</c:v>
                </c:pt>
                <c:pt idx="432">
                  <c:v>14.066667000000001</c:v>
                </c:pt>
                <c:pt idx="433">
                  <c:v>16.000668000000001</c:v>
                </c:pt>
                <c:pt idx="434">
                  <c:v>15.371333</c:v>
                </c:pt>
                <c:pt idx="435">
                  <c:v>15.364000000000001</c:v>
                </c:pt>
                <c:pt idx="436">
                  <c:v>14.468</c:v>
                </c:pt>
                <c:pt idx="437">
                  <c:v>15.358667000000001</c:v>
                </c:pt>
                <c:pt idx="438">
                  <c:v>15.440666999999999</c:v>
                </c:pt>
                <c:pt idx="439">
                  <c:v>14.667332999999999</c:v>
                </c:pt>
                <c:pt idx="440">
                  <c:v>13.812666999999999</c:v>
                </c:pt>
                <c:pt idx="441">
                  <c:v>15.490667</c:v>
                </c:pt>
                <c:pt idx="442">
                  <c:v>13.795332999999999</c:v>
                </c:pt>
                <c:pt idx="443">
                  <c:v>13.939333</c:v>
                </c:pt>
                <c:pt idx="444">
                  <c:v>15.134</c:v>
                </c:pt>
                <c:pt idx="445">
                  <c:v>14.712667</c:v>
                </c:pt>
                <c:pt idx="446">
                  <c:v>16.504667000000001</c:v>
                </c:pt>
                <c:pt idx="447">
                  <c:v>17.127333</c:v>
                </c:pt>
                <c:pt idx="448">
                  <c:v>17.374666000000001</c:v>
                </c:pt>
                <c:pt idx="449">
                  <c:v>16.682666999999999</c:v>
                </c:pt>
                <c:pt idx="450">
                  <c:v>16.128668000000001</c:v>
                </c:pt>
                <c:pt idx="451">
                  <c:v>16.565332000000001</c:v>
                </c:pt>
                <c:pt idx="452">
                  <c:v>15.384667</c:v>
                </c:pt>
                <c:pt idx="453">
                  <c:v>16.209999</c:v>
                </c:pt>
                <c:pt idx="454">
                  <c:v>16.167334</c:v>
                </c:pt>
                <c:pt idx="455">
                  <c:v>17.743334000000001</c:v>
                </c:pt>
                <c:pt idx="456">
                  <c:v>17.693999999999999</c:v>
                </c:pt>
                <c:pt idx="457">
                  <c:v>18.310666999999999</c:v>
                </c:pt>
                <c:pt idx="458">
                  <c:v>17.276667</c:v>
                </c:pt>
                <c:pt idx="459">
                  <c:v>18.667998999999998</c:v>
                </c:pt>
                <c:pt idx="460">
                  <c:v>17.806000000000001</c:v>
                </c:pt>
                <c:pt idx="461">
                  <c:v>17.500668000000001</c:v>
                </c:pt>
                <c:pt idx="462">
                  <c:v>16.712667</c:v>
                </c:pt>
                <c:pt idx="463">
                  <c:v>16.609332999999999</c:v>
                </c:pt>
                <c:pt idx="464">
                  <c:v>16.719999000000001</c:v>
                </c:pt>
                <c:pt idx="465">
                  <c:v>16.515332999999998</c:v>
                </c:pt>
                <c:pt idx="466">
                  <c:v>16.589333</c:v>
                </c:pt>
                <c:pt idx="467">
                  <c:v>15.773999999999999</c:v>
                </c:pt>
                <c:pt idx="468">
                  <c:v>15.068667</c:v>
                </c:pt>
                <c:pt idx="469">
                  <c:v>14.561999999999999</c:v>
                </c:pt>
                <c:pt idx="470">
                  <c:v>13.786</c:v>
                </c:pt>
                <c:pt idx="471">
                  <c:v>14.06</c:v>
                </c:pt>
                <c:pt idx="472">
                  <c:v>12.733333</c:v>
                </c:pt>
                <c:pt idx="473">
                  <c:v>12.333333</c:v>
                </c:pt>
                <c:pt idx="474">
                  <c:v>13.205333</c:v>
                </c:pt>
                <c:pt idx="475">
                  <c:v>12.578666999999999</c:v>
                </c:pt>
                <c:pt idx="476">
                  <c:v>12.925333</c:v>
                </c:pt>
                <c:pt idx="477">
                  <c:v>13.555999999999999</c:v>
                </c:pt>
                <c:pt idx="478">
                  <c:v>14.474</c:v>
                </c:pt>
                <c:pt idx="479">
                  <c:v>13.584667</c:v>
                </c:pt>
                <c:pt idx="480">
                  <c:v>14.490667</c:v>
                </c:pt>
                <c:pt idx="481">
                  <c:v>13.573333</c:v>
                </c:pt>
                <c:pt idx="482">
                  <c:v>13.419333</c:v>
                </c:pt>
                <c:pt idx="483">
                  <c:v>12.871333</c:v>
                </c:pt>
                <c:pt idx="484">
                  <c:v>13.777333</c:v>
                </c:pt>
                <c:pt idx="485">
                  <c:v>14.620666999999999</c:v>
                </c:pt>
                <c:pt idx="486">
                  <c:v>15.188000000000001</c:v>
                </c:pt>
                <c:pt idx="487">
                  <c:v>14.619332999999999</c:v>
                </c:pt>
                <c:pt idx="488">
                  <c:v>13.8</c:v>
                </c:pt>
                <c:pt idx="489">
                  <c:v>14.914</c:v>
                </c:pt>
                <c:pt idx="490">
                  <c:v>16.301331999999999</c:v>
                </c:pt>
                <c:pt idx="491">
                  <c:v>16.185333</c:v>
                </c:pt>
                <c:pt idx="492">
                  <c:v>17.245332999999999</c:v>
                </c:pt>
                <c:pt idx="493">
                  <c:v>16.013331999999998</c:v>
                </c:pt>
                <c:pt idx="494">
                  <c:v>16.113333000000001</c:v>
                </c:pt>
                <c:pt idx="495">
                  <c:v>15.682667</c:v>
                </c:pt>
                <c:pt idx="496">
                  <c:v>15.165333</c:v>
                </c:pt>
                <c:pt idx="497">
                  <c:v>15.794</c:v>
                </c:pt>
                <c:pt idx="498">
                  <c:v>17.013999999999999</c:v>
                </c:pt>
                <c:pt idx="499">
                  <c:v>16.440000999999999</c:v>
                </c:pt>
                <c:pt idx="500">
                  <c:v>17.288</c:v>
                </c:pt>
                <c:pt idx="501">
                  <c:v>18.613333000000001</c:v>
                </c:pt>
                <c:pt idx="502">
                  <c:v>18.492666</c:v>
                </c:pt>
                <c:pt idx="503">
                  <c:v>17.98</c:v>
                </c:pt>
                <c:pt idx="504">
                  <c:v>17.118668</c:v>
                </c:pt>
                <c:pt idx="505">
                  <c:v>17.467333</c:v>
                </c:pt>
                <c:pt idx="506">
                  <c:v>16.542000000000002</c:v>
                </c:pt>
                <c:pt idx="507">
                  <c:v>15.551333</c:v>
                </c:pt>
                <c:pt idx="508">
                  <c:v>14.904667</c:v>
                </c:pt>
                <c:pt idx="509">
                  <c:v>14.667999999999999</c:v>
                </c:pt>
                <c:pt idx="510">
                  <c:v>14.542</c:v>
                </c:pt>
                <c:pt idx="511">
                  <c:v>15.283333000000001</c:v>
                </c:pt>
                <c:pt idx="512">
                  <c:v>15.937333000000001</c:v>
                </c:pt>
                <c:pt idx="513">
                  <c:v>15.305999999999999</c:v>
                </c:pt>
                <c:pt idx="514">
                  <c:v>13.761333</c:v>
                </c:pt>
                <c:pt idx="515">
                  <c:v>13.878</c:v>
                </c:pt>
                <c:pt idx="516">
                  <c:v>13.851333</c:v>
                </c:pt>
                <c:pt idx="517">
                  <c:v>13.82</c:v>
                </c:pt>
                <c:pt idx="518">
                  <c:v>12.770667</c:v>
                </c:pt>
                <c:pt idx="519">
                  <c:v>12.150667</c:v>
                </c:pt>
                <c:pt idx="520">
                  <c:v>14.060667</c:v>
                </c:pt>
                <c:pt idx="521">
                  <c:v>13.323333</c:v>
                </c:pt>
                <c:pt idx="522">
                  <c:v>13.208</c:v>
                </c:pt>
                <c:pt idx="523">
                  <c:v>13.585333</c:v>
                </c:pt>
                <c:pt idx="524">
                  <c:v>14.148667</c:v>
                </c:pt>
                <c:pt idx="525">
                  <c:v>14.157999999999999</c:v>
                </c:pt>
                <c:pt idx="526">
                  <c:v>15.259333</c:v>
                </c:pt>
                <c:pt idx="527">
                  <c:v>15.398</c:v>
                </c:pt>
                <c:pt idx="528">
                  <c:v>16.414000000000001</c:v>
                </c:pt>
                <c:pt idx="529">
                  <c:v>16.320667</c:v>
                </c:pt>
                <c:pt idx="530">
                  <c:v>13.973333</c:v>
                </c:pt>
                <c:pt idx="531">
                  <c:v>13.215332999999999</c:v>
                </c:pt>
                <c:pt idx="532">
                  <c:v>12.435333</c:v>
                </c:pt>
                <c:pt idx="533">
                  <c:v>12.093999999999999</c:v>
                </c:pt>
                <c:pt idx="534">
                  <c:v>11.64</c:v>
                </c:pt>
                <c:pt idx="535">
                  <c:v>11.334</c:v>
                </c:pt>
                <c:pt idx="536">
                  <c:v>9.7146670000000004</c:v>
                </c:pt>
                <c:pt idx="537">
                  <c:v>9.9706670000000006</c:v>
                </c:pt>
                <c:pt idx="538">
                  <c:v>10.074667</c:v>
                </c:pt>
                <c:pt idx="539">
                  <c:v>9.5493330000000007</c:v>
                </c:pt>
                <c:pt idx="540">
                  <c:v>9.8433329999999994</c:v>
                </c:pt>
                <c:pt idx="541">
                  <c:v>9.1573329999999995</c:v>
                </c:pt>
                <c:pt idx="542">
                  <c:v>8.4853330000000007</c:v>
                </c:pt>
                <c:pt idx="543">
                  <c:v>8.0920000000000005</c:v>
                </c:pt>
                <c:pt idx="544">
                  <c:v>9.0299999999999994</c:v>
                </c:pt>
                <c:pt idx="545">
                  <c:v>9.1966669999999997</c:v>
                </c:pt>
                <c:pt idx="546">
                  <c:v>10.811332999999999</c:v>
                </c:pt>
                <c:pt idx="547">
                  <c:v>11.310667</c:v>
                </c:pt>
                <c:pt idx="548">
                  <c:v>12.226667000000001</c:v>
                </c:pt>
                <c:pt idx="549">
                  <c:v>11.913333</c:v>
                </c:pt>
                <c:pt idx="550">
                  <c:v>12.065333000000001</c:v>
                </c:pt>
                <c:pt idx="551">
                  <c:v>12.726667000000001</c:v>
                </c:pt>
                <c:pt idx="552">
                  <c:v>12.226000000000001</c:v>
                </c:pt>
                <c:pt idx="553">
                  <c:v>11.036</c:v>
                </c:pt>
                <c:pt idx="554">
                  <c:v>11.131333</c:v>
                </c:pt>
                <c:pt idx="555">
                  <c:v>11.266667</c:v>
                </c:pt>
                <c:pt idx="556">
                  <c:v>10.789332999999999</c:v>
                </c:pt>
                <c:pt idx="557">
                  <c:v>9.4666669999999993</c:v>
                </c:pt>
                <c:pt idx="558">
                  <c:v>10.199999999999999</c:v>
                </c:pt>
                <c:pt idx="559">
                  <c:v>9.1999999999999993</c:v>
                </c:pt>
                <c:pt idx="560">
                  <c:v>8.6259999999999994</c:v>
                </c:pt>
                <c:pt idx="561">
                  <c:v>7.9786669999999997</c:v>
                </c:pt>
                <c:pt idx="562">
                  <c:v>8.66</c:v>
                </c:pt>
                <c:pt idx="563">
                  <c:v>8.0060000000000002</c:v>
                </c:pt>
                <c:pt idx="564">
                  <c:v>7.1573330000000004</c:v>
                </c:pt>
                <c:pt idx="565">
                  <c:v>6.6366670000000001</c:v>
                </c:pt>
                <c:pt idx="566">
                  <c:v>6.6866669999999999</c:v>
                </c:pt>
                <c:pt idx="567">
                  <c:v>6.8026669999999996</c:v>
                </c:pt>
                <c:pt idx="568">
                  <c:v>6.5173329999999998</c:v>
                </c:pt>
                <c:pt idx="569">
                  <c:v>6.4720000000000004</c:v>
                </c:pt>
                <c:pt idx="570">
                  <c:v>6.1</c:v>
                </c:pt>
                <c:pt idx="571">
                  <c:v>5.1173330000000004</c:v>
                </c:pt>
                <c:pt idx="572">
                  <c:v>3.6366670000000001</c:v>
                </c:pt>
                <c:pt idx="573">
                  <c:v>3.4133330000000002</c:v>
                </c:pt>
                <c:pt idx="574">
                  <c:v>3.1886670000000001</c:v>
                </c:pt>
                <c:pt idx="575">
                  <c:v>2.9166669999999999</c:v>
                </c:pt>
                <c:pt idx="576">
                  <c:v>2.758</c:v>
                </c:pt>
                <c:pt idx="577">
                  <c:v>2.5259999999999998</c:v>
                </c:pt>
                <c:pt idx="578">
                  <c:v>2.4413330000000002</c:v>
                </c:pt>
                <c:pt idx="579">
                  <c:v>2.3526669999999998</c:v>
                </c:pt>
                <c:pt idx="580">
                  <c:v>2.564667</c:v>
                </c:pt>
                <c:pt idx="581">
                  <c:v>2.31</c:v>
                </c:pt>
                <c:pt idx="582">
                  <c:v>2.4073329999999999</c:v>
                </c:pt>
                <c:pt idx="583">
                  <c:v>2.4693329999999998</c:v>
                </c:pt>
                <c:pt idx="584">
                  <c:v>2.6160000000000001</c:v>
                </c:pt>
                <c:pt idx="585">
                  <c:v>2.5533329999999999</c:v>
                </c:pt>
                <c:pt idx="586">
                  <c:v>2.4653330000000002</c:v>
                </c:pt>
                <c:pt idx="587">
                  <c:v>2.3013330000000001</c:v>
                </c:pt>
                <c:pt idx="588">
                  <c:v>2.194</c:v>
                </c:pt>
                <c:pt idx="589">
                  <c:v>2.2933330000000001</c:v>
                </c:pt>
                <c:pt idx="590">
                  <c:v>2.2146669999999999</c:v>
                </c:pt>
                <c:pt idx="591">
                  <c:v>2.266667</c:v>
                </c:pt>
                <c:pt idx="592">
                  <c:v>2.254</c:v>
                </c:pt>
                <c:pt idx="593">
                  <c:v>2.278</c:v>
                </c:pt>
                <c:pt idx="594">
                  <c:v>2.254667</c:v>
                </c:pt>
                <c:pt idx="595">
                  <c:v>2.1419999999999999</c:v>
                </c:pt>
                <c:pt idx="596">
                  <c:v>2.1226669999999999</c:v>
                </c:pt>
                <c:pt idx="597">
                  <c:v>2.0213329999999998</c:v>
                </c:pt>
                <c:pt idx="598">
                  <c:v>1.9279999999999999</c:v>
                </c:pt>
                <c:pt idx="599">
                  <c:v>1.8253330000000001</c:v>
                </c:pt>
                <c:pt idx="600">
                  <c:v>1.8493329999999999</c:v>
                </c:pt>
                <c:pt idx="601">
                  <c:v>1.8426670000000001</c:v>
                </c:pt>
                <c:pt idx="602">
                  <c:v>1.9259999999999999</c:v>
                </c:pt>
                <c:pt idx="603">
                  <c:v>1.952</c:v>
                </c:pt>
                <c:pt idx="604">
                  <c:v>2.0013329999999998</c:v>
                </c:pt>
                <c:pt idx="605">
                  <c:v>2.0259999999999998</c:v>
                </c:pt>
                <c:pt idx="606">
                  <c:v>1.9566669999999999</c:v>
                </c:pt>
                <c:pt idx="607">
                  <c:v>1.9013329999999999</c:v>
                </c:pt>
                <c:pt idx="608">
                  <c:v>1.9666669999999999</c:v>
                </c:pt>
                <c:pt idx="609">
                  <c:v>2.000667</c:v>
                </c:pt>
                <c:pt idx="610">
                  <c:v>1.996</c:v>
                </c:pt>
                <c:pt idx="611">
                  <c:v>1.8180000000000001</c:v>
                </c:pt>
                <c:pt idx="612">
                  <c:v>1.967333</c:v>
                </c:pt>
                <c:pt idx="613">
                  <c:v>2.1193330000000001</c:v>
                </c:pt>
                <c:pt idx="614">
                  <c:v>2.2833329999999998</c:v>
                </c:pt>
                <c:pt idx="615">
                  <c:v>2.0659999999999998</c:v>
                </c:pt>
                <c:pt idx="616">
                  <c:v>2.0859999999999999</c:v>
                </c:pt>
                <c:pt idx="617">
                  <c:v>2.2526670000000002</c:v>
                </c:pt>
                <c:pt idx="618">
                  <c:v>1.994</c:v>
                </c:pt>
                <c:pt idx="619">
                  <c:v>2.0053329999999998</c:v>
                </c:pt>
                <c:pt idx="620">
                  <c:v>1.8766670000000001</c:v>
                </c:pt>
                <c:pt idx="621">
                  <c:v>1.987333</c:v>
                </c:pt>
                <c:pt idx="622">
                  <c:v>1.8373330000000001</c:v>
                </c:pt>
                <c:pt idx="623">
                  <c:v>2.15</c:v>
                </c:pt>
                <c:pt idx="624">
                  <c:v>2.1219999999999999</c:v>
                </c:pt>
                <c:pt idx="625">
                  <c:v>2.2226669999999999</c:v>
                </c:pt>
                <c:pt idx="626">
                  <c:v>2.2106669999999999</c:v>
                </c:pt>
                <c:pt idx="627">
                  <c:v>2.2393329999999998</c:v>
                </c:pt>
                <c:pt idx="628">
                  <c:v>2.298667</c:v>
                </c:pt>
                <c:pt idx="629">
                  <c:v>2.4826670000000002</c:v>
                </c:pt>
                <c:pt idx="630">
                  <c:v>2.2719999999999998</c:v>
                </c:pt>
                <c:pt idx="631">
                  <c:v>2.3546670000000001</c:v>
                </c:pt>
                <c:pt idx="632">
                  <c:v>2.3159999999999998</c:v>
                </c:pt>
                <c:pt idx="633">
                  <c:v>2.269333</c:v>
                </c:pt>
                <c:pt idx="634">
                  <c:v>2.25</c:v>
                </c:pt>
                <c:pt idx="635">
                  <c:v>2.3313329999999999</c:v>
                </c:pt>
                <c:pt idx="636">
                  <c:v>2.0733329999999999</c:v>
                </c:pt>
                <c:pt idx="637">
                  <c:v>2.076667</c:v>
                </c:pt>
                <c:pt idx="638">
                  <c:v>1.955333</c:v>
                </c:pt>
                <c:pt idx="639">
                  <c:v>1.773333</c:v>
                </c:pt>
                <c:pt idx="640">
                  <c:v>1.519333</c:v>
                </c:pt>
                <c:pt idx="641">
                  <c:v>1.794</c:v>
                </c:pt>
                <c:pt idx="642">
                  <c:v>1.9039999999999999</c:v>
                </c:pt>
                <c:pt idx="643">
                  <c:v>1.86</c:v>
                </c:pt>
                <c:pt idx="644">
                  <c:v>1.8666670000000001</c:v>
                </c:pt>
                <c:pt idx="645">
                  <c:v>2.0693329999999999</c:v>
                </c:pt>
                <c:pt idx="646">
                  <c:v>2.2200000000000002</c:v>
                </c:pt>
                <c:pt idx="647">
                  <c:v>2.1106669999999998</c:v>
                </c:pt>
                <c:pt idx="648">
                  <c:v>2.173333</c:v>
                </c:pt>
                <c:pt idx="649">
                  <c:v>2.242667</c:v>
                </c:pt>
                <c:pt idx="650">
                  <c:v>2.1539999999999999</c:v>
                </c:pt>
                <c:pt idx="651">
                  <c:v>1.991333</c:v>
                </c:pt>
                <c:pt idx="652">
                  <c:v>1.8686670000000001</c:v>
                </c:pt>
                <c:pt idx="653">
                  <c:v>1.87</c:v>
                </c:pt>
                <c:pt idx="654">
                  <c:v>1.7993330000000001</c:v>
                </c:pt>
                <c:pt idx="655">
                  <c:v>1.6259999999999999</c:v>
                </c:pt>
                <c:pt idx="656">
                  <c:v>1.758667</c:v>
                </c:pt>
                <c:pt idx="657">
                  <c:v>1.72</c:v>
                </c:pt>
                <c:pt idx="658">
                  <c:v>1.5313330000000001</c:v>
                </c:pt>
                <c:pt idx="659">
                  <c:v>1.538</c:v>
                </c:pt>
                <c:pt idx="660">
                  <c:v>1.5820000000000001</c:v>
                </c:pt>
                <c:pt idx="661">
                  <c:v>1.486667</c:v>
                </c:pt>
                <c:pt idx="662">
                  <c:v>1.754</c:v>
                </c:pt>
                <c:pt idx="663">
                  <c:v>1.6160000000000001</c:v>
                </c:pt>
                <c:pt idx="664">
                  <c:v>1.8779999999999999</c:v>
                </c:pt>
                <c:pt idx="665">
                  <c:v>1.9526669999999999</c:v>
                </c:pt>
                <c:pt idx="666">
                  <c:v>1.8386670000000001</c:v>
                </c:pt>
                <c:pt idx="667">
                  <c:v>1.9206669999999999</c:v>
                </c:pt>
                <c:pt idx="668">
                  <c:v>1.9346669999999999</c:v>
                </c:pt>
                <c:pt idx="669">
                  <c:v>1.8380000000000001</c:v>
                </c:pt>
                <c:pt idx="670">
                  <c:v>1.766667</c:v>
                </c:pt>
                <c:pt idx="671">
                  <c:v>1.8573329999999999</c:v>
                </c:pt>
                <c:pt idx="672">
                  <c:v>2.008667</c:v>
                </c:pt>
                <c:pt idx="673">
                  <c:v>1.97</c:v>
                </c:pt>
                <c:pt idx="674">
                  <c:v>1.8646670000000001</c:v>
                </c:pt>
                <c:pt idx="675">
                  <c:v>1.836667</c:v>
                </c:pt>
                <c:pt idx="676">
                  <c:v>1.8080000000000001</c:v>
                </c:pt>
                <c:pt idx="677">
                  <c:v>1.84</c:v>
                </c:pt>
                <c:pt idx="678">
                  <c:v>1.782667</c:v>
                </c:pt>
                <c:pt idx="679">
                  <c:v>1.705333</c:v>
                </c:pt>
                <c:pt idx="680">
                  <c:v>1.766</c:v>
                </c:pt>
                <c:pt idx="681">
                  <c:v>1.7773330000000001</c:v>
                </c:pt>
                <c:pt idx="682">
                  <c:v>1.516667</c:v>
                </c:pt>
                <c:pt idx="683">
                  <c:v>1.530667</c:v>
                </c:pt>
                <c:pt idx="684">
                  <c:v>1.6046670000000001</c:v>
                </c:pt>
                <c:pt idx="685">
                  <c:v>1.663333</c:v>
                </c:pt>
                <c:pt idx="686">
                  <c:v>1.5740000000000001</c:v>
                </c:pt>
                <c:pt idx="687">
                  <c:v>1.5453330000000001</c:v>
                </c:pt>
                <c:pt idx="688">
                  <c:v>1.55</c:v>
                </c:pt>
                <c:pt idx="689">
                  <c:v>1.5640000000000001</c:v>
                </c:pt>
                <c:pt idx="690">
                  <c:v>1.6006670000000001</c:v>
                </c:pt>
                <c:pt idx="691">
                  <c:v>1.536</c:v>
                </c:pt>
                <c:pt idx="692">
                  <c:v>1.7166669999999999</c:v>
                </c:pt>
                <c:pt idx="693">
                  <c:v>1.8826670000000001</c:v>
                </c:pt>
                <c:pt idx="694">
                  <c:v>1.775333</c:v>
                </c:pt>
                <c:pt idx="695">
                  <c:v>2.0059999999999998</c:v>
                </c:pt>
                <c:pt idx="696">
                  <c:v>2.0906669999999998</c:v>
                </c:pt>
                <c:pt idx="697">
                  <c:v>2.1013329999999999</c:v>
                </c:pt>
                <c:pt idx="698">
                  <c:v>2.0993330000000001</c:v>
                </c:pt>
                <c:pt idx="699">
                  <c:v>2.3546670000000001</c:v>
                </c:pt>
                <c:pt idx="700">
                  <c:v>2.0659999999999998</c:v>
                </c:pt>
                <c:pt idx="701">
                  <c:v>1.989333</c:v>
                </c:pt>
                <c:pt idx="702">
                  <c:v>1.6293329999999999</c:v>
                </c:pt>
                <c:pt idx="703">
                  <c:v>1.456</c:v>
                </c:pt>
                <c:pt idx="704">
                  <c:v>1.3813329999999999</c:v>
                </c:pt>
                <c:pt idx="705">
                  <c:v>1.3693329999999999</c:v>
                </c:pt>
                <c:pt idx="706">
                  <c:v>1.3620000000000001</c:v>
                </c:pt>
                <c:pt idx="707">
                  <c:v>1.3733329999999999</c:v>
                </c:pt>
                <c:pt idx="708">
                  <c:v>1.34</c:v>
                </c:pt>
                <c:pt idx="709">
                  <c:v>1.3486670000000001</c:v>
                </c:pt>
                <c:pt idx="710">
                  <c:v>1.3446670000000001</c:v>
                </c:pt>
                <c:pt idx="711">
                  <c:v>1.4033329999999999</c:v>
                </c:pt>
                <c:pt idx="712">
                  <c:v>1.3133330000000001</c:v>
                </c:pt>
                <c:pt idx="713">
                  <c:v>1.273333</c:v>
                </c:pt>
                <c:pt idx="714">
                  <c:v>1.221333</c:v>
                </c:pt>
                <c:pt idx="715">
                  <c:v>1.306</c:v>
                </c:pt>
                <c:pt idx="716">
                  <c:v>1.3293330000000001</c:v>
                </c:pt>
                <c:pt idx="717">
                  <c:v>1.419333</c:v>
                </c:pt>
                <c:pt idx="718">
                  <c:v>1.3759999999999999</c:v>
                </c:pt>
                <c:pt idx="719">
                  <c:v>1.1599999999999999</c:v>
                </c:pt>
                <c:pt idx="720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-22,23%</c:v>
                </c:pt>
                <c:pt idx="1">
                  <c:v>-22,23% to -17,60%</c:v>
                </c:pt>
                <c:pt idx="2">
                  <c:v>-17,60% to -12,96%</c:v>
                </c:pt>
                <c:pt idx="3">
                  <c:v>-12,96% to -8,32%</c:v>
                </c:pt>
                <c:pt idx="4">
                  <c:v>-8,32% to -3,69%</c:v>
                </c:pt>
                <c:pt idx="5">
                  <c:v>-3,69% to 0,95%</c:v>
                </c:pt>
                <c:pt idx="6">
                  <c:v>0,95% to 5,59%</c:v>
                </c:pt>
                <c:pt idx="7">
                  <c:v>5,59% to 10,23%</c:v>
                </c:pt>
                <c:pt idx="8">
                  <c:v>10,23% to 14,86%</c:v>
                </c:pt>
                <c:pt idx="9">
                  <c:v>14,86% to 19,50%</c:v>
                </c:pt>
                <c:pt idx="10">
                  <c:v>19,50% to 24,14%</c:v>
                </c:pt>
                <c:pt idx="11">
                  <c:v>Greater than 24,14%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20</c:v>
                </c:pt>
                <c:pt idx="3">
                  <c:v>38</c:v>
                </c:pt>
                <c:pt idx="4">
                  <c:v>126</c:v>
                </c:pt>
                <c:pt idx="5">
                  <c:v>183</c:v>
                </c:pt>
                <c:pt idx="6">
                  <c:v>176</c:v>
                </c:pt>
                <c:pt idx="7">
                  <c:v>103</c:v>
                </c:pt>
                <c:pt idx="8">
                  <c:v>43</c:v>
                </c:pt>
                <c:pt idx="9">
                  <c:v>13</c:v>
                </c:pt>
                <c:pt idx="10">
                  <c:v>5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 (diluted)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</cx:f>
      </cx:strDim>
      <cx:numDim type="val">
        <cx:f dir="row">_xlchart.v1.7</cx:f>
      </cx:numDim>
    </cx:data>
    <cx:data id="1">
      <cx:strDim type="cat">
        <cx:f dir="row">_xlchart.v1.8</cx:f>
      </cx:strDim>
      <cx:numDim type="val">
        <cx:f dir="row">_xlchart.v1.9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_xlchart.v1.5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_xlchart.v1.6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114300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26</xdr:row>
      <xdr:rowOff>39090</xdr:rowOff>
    </xdr:from>
    <xdr:to>
      <xdr:col>14</xdr:col>
      <xdr:colOff>9525</xdr:colOff>
      <xdr:row>49</xdr:row>
      <xdr:rowOff>124818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295005-398C-FCD8-DB74-6E165B16A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6900" y="4992090"/>
          <a:ext cx="7591425" cy="44672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2"/>
  <sheetViews>
    <sheetView tabSelected="1" workbookViewId="0">
      <selection activeCell="E26" sqref="E26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165</v>
      </c>
      <c r="C2" s="19"/>
      <c r="E2" s="24" t="s">
        <v>48</v>
      </c>
      <c r="F2" s="51" t="s">
        <v>49</v>
      </c>
      <c r="G2" s="25"/>
      <c r="H2" s="26" t="s">
        <v>56</v>
      </c>
      <c r="I2" s="26" t="s">
        <v>1</v>
      </c>
      <c r="J2" s="27" t="s">
        <v>49</v>
      </c>
      <c r="L2" s="30" t="s">
        <v>42</v>
      </c>
      <c r="M2" s="31" t="s">
        <v>58</v>
      </c>
      <c r="N2" s="32" t="s">
        <v>57</v>
      </c>
    </row>
    <row r="3" spans="2:14" x14ac:dyDescent="0.25">
      <c r="B3" s="5" t="s">
        <v>41</v>
      </c>
      <c r="C3" s="20">
        <v>45576</v>
      </c>
      <c r="E3" s="5" t="s">
        <v>184</v>
      </c>
      <c r="F3" s="28" t="s">
        <v>185</v>
      </c>
      <c r="H3" t="s">
        <v>208</v>
      </c>
      <c r="I3" s="10">
        <v>31230</v>
      </c>
      <c r="J3" s="38">
        <f t="shared" ref="J3:J12" si="0">I3/($C$7*100000)</f>
        <v>8.8797270400909871E-5</v>
      </c>
      <c r="L3" s="5" t="s">
        <v>166</v>
      </c>
      <c r="M3" t="s">
        <v>167</v>
      </c>
      <c r="N3" s="37"/>
    </row>
    <row r="4" spans="2:14" x14ac:dyDescent="0.25">
      <c r="B4" s="5"/>
      <c r="C4" s="21">
        <v>0.37361111111111112</v>
      </c>
      <c r="E4" s="5" t="s">
        <v>186</v>
      </c>
      <c r="F4" s="28" t="s">
        <v>187</v>
      </c>
      <c r="H4" t="s">
        <v>209</v>
      </c>
      <c r="I4" s="10">
        <v>15000</v>
      </c>
      <c r="J4" s="38">
        <f t="shared" si="0"/>
        <v>4.2649985783338074E-5</v>
      </c>
      <c r="L4" s="5" t="s">
        <v>168</v>
      </c>
      <c r="M4" t="s">
        <v>169</v>
      </c>
      <c r="N4" s="13"/>
    </row>
    <row r="5" spans="2:14" x14ac:dyDescent="0.25">
      <c r="B5" s="5"/>
      <c r="C5" s="13"/>
      <c r="E5" s="5" t="s">
        <v>188</v>
      </c>
      <c r="F5" s="28" t="s">
        <v>189</v>
      </c>
      <c r="H5" t="s">
        <v>210</v>
      </c>
      <c r="I5" s="10">
        <v>205734</v>
      </c>
      <c r="J5" s="38">
        <f t="shared" si="0"/>
        <v>5.8497014500995162E-4</v>
      </c>
      <c r="L5" s="5" t="s">
        <v>170</v>
      </c>
      <c r="M5" t="s">
        <v>171</v>
      </c>
      <c r="N5" s="13"/>
    </row>
    <row r="6" spans="2:14" x14ac:dyDescent="0.25">
      <c r="B6" s="5" t="s">
        <v>0</v>
      </c>
      <c r="C6" s="13">
        <v>296.11</v>
      </c>
      <c r="E6" s="5" t="s">
        <v>190</v>
      </c>
      <c r="F6" s="28" t="s">
        <v>191</v>
      </c>
      <c r="H6" t="s">
        <v>211</v>
      </c>
      <c r="I6" s="10">
        <v>50598</v>
      </c>
      <c r="J6" s="38">
        <f t="shared" si="0"/>
        <v>1.4386693204435598E-4</v>
      </c>
      <c r="L6" s="5" t="s">
        <v>172</v>
      </c>
      <c r="M6" t="s">
        <v>173</v>
      </c>
      <c r="N6" s="13"/>
    </row>
    <row r="7" spans="2:14" x14ac:dyDescent="0.25">
      <c r="B7" s="5" t="s">
        <v>1</v>
      </c>
      <c r="C7" s="15">
        <f>Model!AB27</f>
        <v>3517</v>
      </c>
      <c r="E7" s="5" t="s">
        <v>192</v>
      </c>
      <c r="F7" s="28" t="s">
        <v>193</v>
      </c>
      <c r="H7" t="s">
        <v>236</v>
      </c>
      <c r="I7" s="10">
        <v>193790</v>
      </c>
      <c r="J7" s="38">
        <f t="shared" si="0"/>
        <v>5.5100938299687237E-4</v>
      </c>
      <c r="L7" s="5" t="s">
        <v>174</v>
      </c>
      <c r="M7" t="s">
        <v>175</v>
      </c>
      <c r="N7" s="13"/>
    </row>
    <row r="8" spans="2:14" x14ac:dyDescent="0.25">
      <c r="B8" s="5" t="s">
        <v>2</v>
      </c>
      <c r="C8" s="15">
        <f>C6*C7</f>
        <v>1041418.87</v>
      </c>
      <c r="E8" s="5" t="s">
        <v>194</v>
      </c>
      <c r="F8" s="28" t="s">
        <v>195</v>
      </c>
      <c r="H8" t="s">
        <v>204</v>
      </c>
      <c r="I8" s="10">
        <v>41106000</v>
      </c>
      <c r="J8" s="38">
        <f t="shared" si="0"/>
        <v>0.11687802104065965</v>
      </c>
      <c r="L8" s="5" t="s">
        <v>237</v>
      </c>
      <c r="M8" t="s">
        <v>176</v>
      </c>
      <c r="N8" s="13"/>
    </row>
    <row r="9" spans="2:14" x14ac:dyDescent="0.25">
      <c r="B9" s="5" t="s">
        <v>3</v>
      </c>
      <c r="C9" s="15">
        <f>Model!AB45+Model!AB46+Model!AB55</f>
        <v>37639</v>
      </c>
      <c r="E9" s="5" t="s">
        <v>196</v>
      </c>
      <c r="F9" s="28" t="s">
        <v>197</v>
      </c>
      <c r="H9" t="s">
        <v>205</v>
      </c>
      <c r="I9" s="10">
        <v>1608720</v>
      </c>
      <c r="J9" s="38">
        <f t="shared" si="0"/>
        <v>4.5741256752914418E-3</v>
      </c>
      <c r="L9" s="5" t="s">
        <v>238</v>
      </c>
      <c r="M9" t="s">
        <v>177</v>
      </c>
      <c r="N9" s="13"/>
    </row>
    <row r="10" spans="2:14" x14ac:dyDescent="0.25">
      <c r="B10" s="5" t="s">
        <v>4</v>
      </c>
      <c r="C10" s="15">
        <f>Model!AB67+Model!AB65</f>
        <v>8213</v>
      </c>
      <c r="E10" s="5" t="s">
        <v>198</v>
      </c>
      <c r="F10" s="28" t="s">
        <v>199</v>
      </c>
      <c r="H10" t="s">
        <v>206</v>
      </c>
      <c r="I10" s="10">
        <v>10493</v>
      </c>
      <c r="J10" s="38">
        <f t="shared" si="0"/>
        <v>2.983508672163776E-5</v>
      </c>
      <c r="L10" s="5" t="s">
        <v>178</v>
      </c>
      <c r="M10" t="s">
        <v>179</v>
      </c>
      <c r="N10" s="13"/>
    </row>
    <row r="11" spans="2:14" x14ac:dyDescent="0.25">
      <c r="B11" s="5" t="s">
        <v>36</v>
      </c>
      <c r="C11" s="15">
        <f>C9-C10</f>
        <v>29426</v>
      </c>
      <c r="E11" s="5" t="s">
        <v>200</v>
      </c>
      <c r="F11" s="28" t="s">
        <v>201</v>
      </c>
      <c r="H11" t="s">
        <v>207</v>
      </c>
      <c r="I11" s="10">
        <v>5400</v>
      </c>
      <c r="J11" s="38">
        <f t="shared" si="0"/>
        <v>1.5353994882001706E-5</v>
      </c>
      <c r="L11" s="5" t="s">
        <v>180</v>
      </c>
      <c r="M11" t="s">
        <v>181</v>
      </c>
      <c r="N11" s="13"/>
    </row>
    <row r="12" spans="2:14" x14ac:dyDescent="0.25">
      <c r="B12" s="5" t="s">
        <v>5</v>
      </c>
      <c r="C12" s="15">
        <f>C8-C9+C10</f>
        <v>1011992.87</v>
      </c>
      <c r="E12" s="5" t="s">
        <v>202</v>
      </c>
      <c r="F12" s="28" t="s">
        <v>203</v>
      </c>
      <c r="H12" t="s">
        <v>239</v>
      </c>
      <c r="I12">
        <v>63171</v>
      </c>
      <c r="J12" s="38">
        <f t="shared" si="0"/>
        <v>1.7961615012794996E-4</v>
      </c>
      <c r="L12" s="5" t="s">
        <v>182</v>
      </c>
      <c r="M12" t="s">
        <v>183</v>
      </c>
      <c r="N12" s="13"/>
    </row>
    <row r="13" spans="2:14" x14ac:dyDescent="0.25">
      <c r="B13" s="5" t="s">
        <v>47</v>
      </c>
      <c r="C13" s="36">
        <f>C6/Model!H28</f>
        <v>147.69803857608849</v>
      </c>
      <c r="E13" s="5"/>
      <c r="J13" s="13"/>
      <c r="L13" s="5"/>
      <c r="N13" s="13"/>
    </row>
    <row r="14" spans="2:14" x14ac:dyDescent="0.25">
      <c r="B14" s="5" t="s">
        <v>45</v>
      </c>
      <c r="C14" s="36">
        <f>C6/Model!I29</f>
        <v>100.71768707482994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46</v>
      </c>
      <c r="C15" s="36">
        <f>C6/Model!J29</f>
        <v>76.712435233160633</v>
      </c>
    </row>
    <row r="16" spans="2:14" x14ac:dyDescent="0.25">
      <c r="B16" s="5" t="s">
        <v>43</v>
      </c>
      <c r="C16" s="6">
        <f>Model!I29/Model!H28-1</f>
        <v>0.46645582186923829</v>
      </c>
    </row>
    <row r="17" spans="2:14" x14ac:dyDescent="0.25">
      <c r="B17" s="5" t="s">
        <v>44</v>
      </c>
      <c r="C17" s="6">
        <f>Model!J29/Model!I29-1</f>
        <v>0.31292517006802711</v>
      </c>
      <c r="E17" s="33" t="s">
        <v>54</v>
      </c>
      <c r="L17" s="143"/>
      <c r="M17" s="144"/>
      <c r="N17" s="145"/>
    </row>
    <row r="18" spans="2:14" x14ac:dyDescent="0.25">
      <c r="B18" s="5" t="s">
        <v>67</v>
      </c>
      <c r="C18" s="46">
        <f>C14/(C16*100)</f>
        <v>2.159211705649247</v>
      </c>
      <c r="L18" s="146"/>
      <c r="M18" s="147"/>
      <c r="N18" s="148"/>
    </row>
    <row r="19" spans="2:14" x14ac:dyDescent="0.25">
      <c r="B19" s="5" t="s">
        <v>68</v>
      </c>
      <c r="C19" s="46">
        <f>C15/(C17*100)</f>
        <v>2.4514626041901342</v>
      </c>
      <c r="L19" s="146"/>
      <c r="M19" s="147"/>
      <c r="N19" s="148"/>
    </row>
    <row r="20" spans="2:14" x14ac:dyDescent="0.25">
      <c r="B20" s="5" t="s">
        <v>80</v>
      </c>
      <c r="C20" s="6">
        <f>Model!I10/Model!H9-1</f>
        <v>0.15528713276691586</v>
      </c>
      <c r="L20" s="146"/>
      <c r="M20" s="147"/>
      <c r="N20" s="148"/>
    </row>
    <row r="21" spans="2:14" x14ac:dyDescent="0.25">
      <c r="B21" s="5" t="s">
        <v>81</v>
      </c>
      <c r="C21" s="6">
        <f>Model!J10/Model!I10-1</f>
        <v>0.1912989544568493</v>
      </c>
      <c r="L21" s="146"/>
      <c r="M21" s="147"/>
      <c r="N21" s="148"/>
    </row>
    <row r="22" spans="2:14" x14ac:dyDescent="0.25">
      <c r="B22" s="5" t="s">
        <v>69</v>
      </c>
      <c r="C22" s="15">
        <f>Model!H20</f>
        <v>7036</v>
      </c>
      <c r="L22" s="146"/>
      <c r="M22" s="147"/>
      <c r="N22" s="148"/>
    </row>
    <row r="23" spans="2:14" x14ac:dyDescent="0.25">
      <c r="B23" s="5" t="s">
        <v>19</v>
      </c>
      <c r="C23" s="15">
        <f>Model!H23</f>
        <v>8950</v>
      </c>
      <c r="L23" s="146"/>
      <c r="M23" s="147"/>
      <c r="N23" s="148"/>
    </row>
    <row r="24" spans="2:14" x14ac:dyDescent="0.25">
      <c r="B24" s="5" t="s">
        <v>29</v>
      </c>
      <c r="C24" s="7">
        <f>Model!H30</f>
        <v>0.17862626676220694</v>
      </c>
      <c r="L24" s="146"/>
      <c r="M24" s="147"/>
      <c r="N24" s="148"/>
    </row>
    <row r="25" spans="2:14" x14ac:dyDescent="0.25">
      <c r="B25" s="5" t="s">
        <v>30</v>
      </c>
      <c r="C25" s="7">
        <f>Model!H31</f>
        <v>7.2177295526665991E-2</v>
      </c>
      <c r="L25" s="146"/>
      <c r="M25" s="147"/>
      <c r="N25" s="148"/>
    </row>
    <row r="26" spans="2:14" x14ac:dyDescent="0.25">
      <c r="B26" s="5" t="s">
        <v>70</v>
      </c>
      <c r="C26" s="36">
        <f>C12/C23</f>
        <v>113.07182905027933</v>
      </c>
      <c r="L26" s="146"/>
      <c r="M26" s="147"/>
      <c r="N26" s="148"/>
    </row>
    <row r="27" spans="2:14" x14ac:dyDescent="0.25">
      <c r="B27" s="5" t="s">
        <v>82</v>
      </c>
      <c r="C27" s="111">
        <f>(Model!AB65+Model!AB67)/Model!AB71</f>
        <v>0.11146851248642779</v>
      </c>
      <c r="E27" t="s">
        <v>73</v>
      </c>
      <c r="L27" s="146"/>
      <c r="M27" s="147"/>
      <c r="N27" s="148"/>
    </row>
    <row r="28" spans="2:14" x14ac:dyDescent="0.25">
      <c r="B28" s="5" t="s">
        <v>83</v>
      </c>
      <c r="C28" s="36">
        <f>0</f>
        <v>0</v>
      </c>
      <c r="L28" s="149"/>
      <c r="M28" s="150"/>
      <c r="N28" s="151"/>
    </row>
    <row r="29" spans="2:14" x14ac:dyDescent="0.25">
      <c r="B29" s="5" t="s">
        <v>84</v>
      </c>
      <c r="C29" s="36">
        <f>Model!AB50/Model!AB66</f>
        <v>2.0249123902709831</v>
      </c>
    </row>
    <row r="30" spans="2:14" x14ac:dyDescent="0.25">
      <c r="B30" s="5" t="s">
        <v>85</v>
      </c>
      <c r="C30" s="36">
        <f>(Model!AB45+Model!AB46+Model!AB47)/Model!AB66</f>
        <v>1.421914576177093</v>
      </c>
    </row>
    <row r="31" spans="2:14" x14ac:dyDescent="0.25">
      <c r="B31" s="5" t="s">
        <v>86</v>
      </c>
      <c r="C31" s="6">
        <f>(Model!AB50-Model!AB66)/Model!AB60</f>
        <v>0.24198410747931515</v>
      </c>
    </row>
    <row r="32" spans="2:14" x14ac:dyDescent="0.25">
      <c r="B32" s="5" t="s">
        <v>87</v>
      </c>
      <c r="C32" s="36">
        <f>(Model!AB60-Model!AB70)/Main!C7</f>
        <v>20.949673016775662</v>
      </c>
    </row>
    <row r="33" spans="2:9" x14ac:dyDescent="0.25">
      <c r="B33" s="5" t="s">
        <v>88</v>
      </c>
      <c r="C33" s="36">
        <f>Model!AB9/Model!AB60</f>
        <v>0.21059228311624478</v>
      </c>
    </row>
    <row r="34" spans="2:9" x14ac:dyDescent="0.25">
      <c r="B34" s="5" t="s">
        <v>89</v>
      </c>
      <c r="C34" s="38">
        <f>Model!G26/Model!G60</f>
        <v>0.1406610516047947</v>
      </c>
    </row>
    <row r="35" spans="2:9" x14ac:dyDescent="0.25">
      <c r="B35" s="5" t="s">
        <v>90</v>
      </c>
      <c r="C35" s="38">
        <f>Model!H26/Model!H71</f>
        <v>9.5697611292073839E-2</v>
      </c>
    </row>
    <row r="36" spans="2:9" x14ac:dyDescent="0.25">
      <c r="B36" s="22" t="s">
        <v>91</v>
      </c>
      <c r="C36" s="23"/>
    </row>
    <row r="41" spans="2:9" x14ac:dyDescent="0.25">
      <c r="E41" s="49"/>
      <c r="F41" s="49"/>
      <c r="G41" s="50"/>
      <c r="H41" s="50"/>
      <c r="I41" s="50"/>
    </row>
    <row r="42" spans="2:9" x14ac:dyDescent="0.25">
      <c r="E42" s="49"/>
      <c r="F42" s="49"/>
      <c r="G42" s="50"/>
      <c r="H42" s="50"/>
      <c r="I42" s="50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E92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K50" sqref="K50"/>
    </sheetView>
  </sheetViews>
  <sheetFormatPr defaultColWidth="11.42578125" defaultRowHeight="15" x14ac:dyDescent="0.25"/>
  <cols>
    <col min="1" max="1" width="4.7109375" customWidth="1"/>
    <col min="2" max="2" width="27.28515625" customWidth="1"/>
    <col min="8" max="8" width="11.42578125" style="13"/>
    <col min="28" max="28" width="11.42578125" style="13"/>
  </cols>
  <sheetData>
    <row r="1" spans="1:31" x14ac:dyDescent="0.25">
      <c r="A1" s="8" t="s">
        <v>37</v>
      </c>
    </row>
    <row r="2" spans="1:31" x14ac:dyDescent="0.25">
      <c r="C2" t="s">
        <v>34</v>
      </c>
      <c r="D2" t="s">
        <v>18</v>
      </c>
      <c r="E2" t="s">
        <v>14</v>
      </c>
      <c r="F2" t="s">
        <v>15</v>
      </c>
      <c r="G2" t="s">
        <v>16</v>
      </c>
      <c r="H2" s="13" t="s">
        <v>32</v>
      </c>
      <c r="I2" t="s">
        <v>66</v>
      </c>
      <c r="J2" t="s">
        <v>232</v>
      </c>
      <c r="M2" t="s">
        <v>33</v>
      </c>
      <c r="N2" t="s">
        <v>10</v>
      </c>
      <c r="O2" t="s">
        <v>11</v>
      </c>
      <c r="P2" t="s">
        <v>12</v>
      </c>
      <c r="Q2" t="s">
        <v>13</v>
      </c>
      <c r="R2" t="s">
        <v>6</v>
      </c>
      <c r="S2" t="s">
        <v>7</v>
      </c>
      <c r="T2" t="s">
        <v>8</v>
      </c>
      <c r="U2" t="s">
        <v>9</v>
      </c>
      <c r="V2" t="s">
        <v>35</v>
      </c>
      <c r="W2" t="s">
        <v>39</v>
      </c>
      <c r="X2" t="s">
        <v>40</v>
      </c>
      <c r="Y2" t="s">
        <v>62</v>
      </c>
      <c r="Z2" t="s">
        <v>65</v>
      </c>
      <c r="AA2" t="s">
        <v>225</v>
      </c>
      <c r="AB2" s="13" t="s">
        <v>226</v>
      </c>
      <c r="AC2" t="s">
        <v>227</v>
      </c>
      <c r="AD2" t="s">
        <v>230</v>
      </c>
      <c r="AE2" t="s">
        <v>231</v>
      </c>
    </row>
    <row r="3" spans="1:31" x14ac:dyDescent="0.25">
      <c r="B3" s="9" t="s">
        <v>144</v>
      </c>
      <c r="C3" s="10">
        <v>19358</v>
      </c>
      <c r="D3" s="10">
        <v>24604</v>
      </c>
      <c r="E3" s="10">
        <v>44125</v>
      </c>
      <c r="F3" s="10">
        <v>67210</v>
      </c>
      <c r="G3" s="10">
        <v>78509</v>
      </c>
      <c r="H3" s="15">
        <f>SUM(Y3:AB3)</f>
        <v>72480</v>
      </c>
      <c r="M3" s="10">
        <v>8187</v>
      </c>
      <c r="N3" s="10">
        <v>9520</v>
      </c>
      <c r="O3" s="10">
        <v>11393</v>
      </c>
      <c r="P3" s="10">
        <f>E3-O3-N3-M3</f>
        <v>15025</v>
      </c>
      <c r="Q3" s="10">
        <v>15514</v>
      </c>
      <c r="R3" s="10">
        <v>13670</v>
      </c>
      <c r="S3" s="10">
        <v>17785</v>
      </c>
      <c r="T3" s="10">
        <f>F3-S3-R3-Q3</f>
        <v>20241</v>
      </c>
      <c r="U3" s="10">
        <v>18878</v>
      </c>
      <c r="V3" s="10">
        <v>20419</v>
      </c>
      <c r="W3" s="10">
        <v>18582</v>
      </c>
      <c r="X3" s="10">
        <f>G3-W3-V3-U3</f>
        <v>20630</v>
      </c>
      <c r="Y3" s="10">
        <v>16460</v>
      </c>
      <c r="Z3" s="10">
        <v>18530</v>
      </c>
      <c r="AA3" s="10">
        <v>18831</v>
      </c>
      <c r="AB3" s="15">
        <v>18659</v>
      </c>
      <c r="AC3" s="10"/>
    </row>
    <row r="4" spans="1:31" x14ac:dyDescent="0.25">
      <c r="B4" s="9" t="s">
        <v>145</v>
      </c>
      <c r="C4" s="10">
        <v>594</v>
      </c>
      <c r="D4" s="10">
        <v>1580</v>
      </c>
      <c r="E4" s="10">
        <v>1465</v>
      </c>
      <c r="F4" s="10">
        <v>1776</v>
      </c>
      <c r="G4" s="10">
        <v>1790</v>
      </c>
      <c r="H4" s="15">
        <f t="shared" ref="H4:H5" si="0">SUM(Y4:AB4)</f>
        <v>2763</v>
      </c>
      <c r="M4" s="10">
        <v>518</v>
      </c>
      <c r="N4" s="10">
        <v>354</v>
      </c>
      <c r="O4" s="10">
        <v>279</v>
      </c>
      <c r="P4" s="10">
        <f t="shared" ref="P4:P5" si="1">E4-O4-N4-M4</f>
        <v>314</v>
      </c>
      <c r="Q4" s="10">
        <v>679</v>
      </c>
      <c r="R4" s="10">
        <v>344</v>
      </c>
      <c r="S4" s="10">
        <v>286</v>
      </c>
      <c r="T4" s="10">
        <f t="shared" ref="T4:T5" si="2">F4-S4-R4-Q4</f>
        <v>467</v>
      </c>
      <c r="U4" s="10">
        <v>521</v>
      </c>
      <c r="V4" s="10">
        <v>282</v>
      </c>
      <c r="W4" s="10">
        <v>554</v>
      </c>
      <c r="X4" s="10">
        <f t="shared" ref="X4:X5" si="3">G4-W4-V4-U4</f>
        <v>433</v>
      </c>
      <c r="Y4" s="10">
        <v>442</v>
      </c>
      <c r="Z4" s="10">
        <v>890</v>
      </c>
      <c r="AA4" s="10">
        <v>739</v>
      </c>
      <c r="AB4" s="15">
        <v>692</v>
      </c>
      <c r="AC4" s="10"/>
    </row>
    <row r="5" spans="1:31" x14ac:dyDescent="0.25">
      <c r="B5" s="9" t="s">
        <v>146</v>
      </c>
      <c r="C5" s="10">
        <v>869</v>
      </c>
      <c r="D5" s="10">
        <v>1052</v>
      </c>
      <c r="E5" s="10">
        <v>1642</v>
      </c>
      <c r="F5" s="10">
        <v>2476</v>
      </c>
      <c r="G5" s="10">
        <v>2120</v>
      </c>
      <c r="H5" s="15">
        <f t="shared" si="0"/>
        <v>1827</v>
      </c>
      <c r="M5" s="10">
        <v>297</v>
      </c>
      <c r="N5" s="10">
        <v>332</v>
      </c>
      <c r="O5" s="10">
        <v>385</v>
      </c>
      <c r="P5" s="10">
        <f t="shared" si="1"/>
        <v>628</v>
      </c>
      <c r="Q5" s="10">
        <v>668</v>
      </c>
      <c r="R5" s="10">
        <v>588</v>
      </c>
      <c r="S5" s="10">
        <v>621</v>
      </c>
      <c r="T5" s="10">
        <f t="shared" si="2"/>
        <v>599</v>
      </c>
      <c r="U5" s="10">
        <v>564</v>
      </c>
      <c r="V5" s="10">
        <v>567</v>
      </c>
      <c r="W5" s="10">
        <v>489</v>
      </c>
      <c r="X5" s="10">
        <f t="shared" si="3"/>
        <v>500</v>
      </c>
      <c r="Y5" s="10">
        <v>476</v>
      </c>
      <c r="Z5" s="10">
        <v>458</v>
      </c>
      <c r="AA5" s="10">
        <v>446</v>
      </c>
      <c r="AB5" s="15">
        <v>447</v>
      </c>
      <c r="AC5" s="10"/>
    </row>
    <row r="6" spans="1:31" s="1" customFormat="1" x14ac:dyDescent="0.25">
      <c r="B6" s="1" t="s">
        <v>147</v>
      </c>
      <c r="C6" s="11">
        <f>SUM(C3:C5)</f>
        <v>20821</v>
      </c>
      <c r="D6" s="11">
        <f t="shared" ref="D6:J6" si="4">SUM(D3:D5)</f>
        <v>27236</v>
      </c>
      <c r="E6" s="11">
        <f t="shared" si="4"/>
        <v>47232</v>
      </c>
      <c r="F6" s="11">
        <f t="shared" si="4"/>
        <v>71462</v>
      </c>
      <c r="G6" s="11">
        <f t="shared" si="4"/>
        <v>82419</v>
      </c>
      <c r="H6" s="14">
        <f t="shared" si="4"/>
        <v>77070</v>
      </c>
      <c r="I6" s="11">
        <f t="shared" si="4"/>
        <v>0</v>
      </c>
      <c r="J6" s="11">
        <f t="shared" si="4"/>
        <v>0</v>
      </c>
      <c r="M6" s="11">
        <f>SUM(M3:M5)</f>
        <v>9002</v>
      </c>
      <c r="N6" s="11">
        <f t="shared" ref="N6" si="5">SUM(N3:N5)</f>
        <v>10206</v>
      </c>
      <c r="O6" s="11">
        <f t="shared" ref="O6" si="6">SUM(O3:O5)</f>
        <v>12057</v>
      </c>
      <c r="P6" s="11">
        <f t="shared" ref="P6" si="7">SUM(P3:P5)</f>
        <v>15967</v>
      </c>
      <c r="Q6" s="11">
        <f t="shared" ref="Q6" si="8">SUM(Q3:Q5)</f>
        <v>16861</v>
      </c>
      <c r="R6" s="11">
        <f t="shared" ref="R6" si="9">SUM(R3:R5)</f>
        <v>14602</v>
      </c>
      <c r="S6" s="11">
        <f t="shared" ref="S6" si="10">SUM(S3:S5)</f>
        <v>18692</v>
      </c>
      <c r="T6" s="11">
        <f t="shared" ref="T6" si="11">SUM(T3:T5)</f>
        <v>21307</v>
      </c>
      <c r="U6" s="11">
        <f t="shared" ref="U6" si="12">SUM(U3:U5)</f>
        <v>19963</v>
      </c>
      <c r="V6" s="11">
        <f t="shared" ref="V6" si="13">SUM(V3:V5)</f>
        <v>21268</v>
      </c>
      <c r="W6" s="11">
        <f t="shared" ref="W6" si="14">SUM(W3:W5)</f>
        <v>19625</v>
      </c>
      <c r="X6" s="11">
        <f t="shared" ref="X6" si="15">SUM(X3:X5)</f>
        <v>21563</v>
      </c>
      <c r="Y6" s="11">
        <f t="shared" ref="Y6" si="16">SUM(Y3:Y5)</f>
        <v>17378</v>
      </c>
      <c r="Z6" s="11">
        <f t="shared" ref="Z6:AB6" si="17">SUM(Z3:Z5)</f>
        <v>19878</v>
      </c>
      <c r="AA6" s="11">
        <f t="shared" si="17"/>
        <v>20016</v>
      </c>
      <c r="AB6" s="14">
        <f t="shared" si="17"/>
        <v>19798</v>
      </c>
      <c r="AC6" s="11">
        <f t="shared" ref="AC6:AE6" si="18">SUM(AC3:AC5)</f>
        <v>0</v>
      </c>
      <c r="AD6" s="11">
        <f t="shared" si="18"/>
        <v>0</v>
      </c>
      <c r="AE6" s="11">
        <f t="shared" si="18"/>
        <v>0</v>
      </c>
    </row>
    <row r="7" spans="1:31" x14ac:dyDescent="0.25">
      <c r="B7" s="9" t="s">
        <v>148</v>
      </c>
      <c r="C7" s="10">
        <v>1531</v>
      </c>
      <c r="D7" s="10">
        <v>1994</v>
      </c>
      <c r="E7" s="10">
        <v>2789</v>
      </c>
      <c r="F7" s="10">
        <v>3909</v>
      </c>
      <c r="G7" s="10">
        <v>6035</v>
      </c>
      <c r="H7" s="15">
        <f>SUM(Y7:AB7)</f>
        <v>10086</v>
      </c>
      <c r="M7" s="10">
        <v>494</v>
      </c>
      <c r="N7" s="10">
        <v>801</v>
      </c>
      <c r="O7" s="10">
        <v>806</v>
      </c>
      <c r="P7" s="10">
        <f t="shared" ref="P7:P8" si="19">E7-O7-N7-M7</f>
        <v>688</v>
      </c>
      <c r="Q7" s="10">
        <v>616</v>
      </c>
      <c r="R7" s="10">
        <v>866</v>
      </c>
      <c r="S7" s="10">
        <v>1117</v>
      </c>
      <c r="T7" s="10">
        <f t="shared" ref="T7:T8" si="20">F7-S7-R7-Q7</f>
        <v>1310</v>
      </c>
      <c r="U7" s="10">
        <v>1529</v>
      </c>
      <c r="V7" s="10">
        <v>1509</v>
      </c>
      <c r="W7" s="10">
        <v>1559</v>
      </c>
      <c r="X7" s="10">
        <f t="shared" ref="X7:X8" si="21">G7-W7-V7-U7</f>
        <v>1438</v>
      </c>
      <c r="Y7" s="10">
        <v>1635</v>
      </c>
      <c r="Z7" s="10">
        <v>3014</v>
      </c>
      <c r="AA7" s="10">
        <v>2376</v>
      </c>
      <c r="AB7" s="15">
        <v>3061</v>
      </c>
      <c r="AC7" s="10"/>
    </row>
    <row r="8" spans="1:31" x14ac:dyDescent="0.25">
      <c r="B8" s="9" t="s">
        <v>149</v>
      </c>
      <c r="C8" s="10">
        <v>2226</v>
      </c>
      <c r="D8" s="10">
        <v>2306</v>
      </c>
      <c r="E8" s="10">
        <v>3802</v>
      </c>
      <c r="F8" s="10">
        <v>6091</v>
      </c>
      <c r="G8" s="10">
        <v>8319</v>
      </c>
      <c r="H8" s="15">
        <f>SUM(Y8:AB8)</f>
        <v>10534</v>
      </c>
      <c r="M8" s="10">
        <v>893</v>
      </c>
      <c r="N8" s="10">
        <v>951</v>
      </c>
      <c r="O8" s="10">
        <v>894</v>
      </c>
      <c r="P8" s="10">
        <f t="shared" si="19"/>
        <v>1064</v>
      </c>
      <c r="Q8" s="10">
        <v>1279</v>
      </c>
      <c r="R8" s="10">
        <v>1466</v>
      </c>
      <c r="S8" s="10">
        <v>1645</v>
      </c>
      <c r="T8" s="10">
        <f t="shared" si="20"/>
        <v>1701</v>
      </c>
      <c r="U8" s="10">
        <v>1837</v>
      </c>
      <c r="V8" s="10">
        <v>2150</v>
      </c>
      <c r="W8" s="10">
        <v>2166</v>
      </c>
      <c r="X8" s="10">
        <f t="shared" si="21"/>
        <v>2166</v>
      </c>
      <c r="Y8" s="10">
        <v>2288</v>
      </c>
      <c r="Z8" s="10">
        <v>2608</v>
      </c>
      <c r="AA8" s="10">
        <v>2790</v>
      </c>
      <c r="AB8" s="15">
        <v>2848</v>
      </c>
      <c r="AC8" s="10"/>
    </row>
    <row r="9" spans="1:31" s="1" customFormat="1" x14ac:dyDescent="0.25">
      <c r="B9" s="1" t="s">
        <v>17</v>
      </c>
      <c r="C9" s="11">
        <f>SUM(C6:C8)</f>
        <v>24578</v>
      </c>
      <c r="D9" s="11">
        <f t="shared" ref="D9:J9" si="22">SUM(D6:D8)</f>
        <v>31536</v>
      </c>
      <c r="E9" s="11">
        <f t="shared" si="22"/>
        <v>53823</v>
      </c>
      <c r="F9" s="11">
        <f t="shared" si="22"/>
        <v>81462</v>
      </c>
      <c r="G9" s="11">
        <f t="shared" si="22"/>
        <v>96773</v>
      </c>
      <c r="H9" s="14">
        <f t="shared" si="22"/>
        <v>97690</v>
      </c>
      <c r="I9" s="11">
        <f t="shared" si="22"/>
        <v>0</v>
      </c>
      <c r="J9" s="11">
        <f t="shared" si="22"/>
        <v>0</v>
      </c>
      <c r="M9" s="11">
        <f t="shared" ref="M9" si="23">SUM(M6:M8)</f>
        <v>10389</v>
      </c>
      <c r="N9" s="11">
        <f t="shared" ref="N9" si="24">SUM(N6:N8)</f>
        <v>11958</v>
      </c>
      <c r="O9" s="11">
        <f t="shared" ref="O9" si="25">SUM(O6:O8)</f>
        <v>13757</v>
      </c>
      <c r="P9" s="11">
        <f t="shared" ref="P9" si="26">SUM(P6:P8)</f>
        <v>17719</v>
      </c>
      <c r="Q9" s="11">
        <f t="shared" ref="Q9" si="27">SUM(Q6:Q8)</f>
        <v>18756</v>
      </c>
      <c r="R9" s="11">
        <f t="shared" ref="R9" si="28">SUM(R6:R8)</f>
        <v>16934</v>
      </c>
      <c r="S9" s="11">
        <f t="shared" ref="S9" si="29">SUM(S6:S8)</f>
        <v>21454</v>
      </c>
      <c r="T9" s="11">
        <f t="shared" ref="T9" si="30">SUM(T6:T8)</f>
        <v>24318</v>
      </c>
      <c r="U9" s="11">
        <f t="shared" ref="U9" si="31">SUM(U6:U8)</f>
        <v>23329</v>
      </c>
      <c r="V9" s="11">
        <f t="shared" ref="V9" si="32">SUM(V6:V8)</f>
        <v>24927</v>
      </c>
      <c r="W9" s="11">
        <f t="shared" ref="W9" si="33">SUM(W6:W8)</f>
        <v>23350</v>
      </c>
      <c r="X9" s="11">
        <f t="shared" ref="X9" si="34">SUM(X6:X8)</f>
        <v>25167</v>
      </c>
      <c r="Y9" s="11">
        <f t="shared" ref="Y9" si="35">SUM(Y6:Y8)</f>
        <v>21301</v>
      </c>
      <c r="Z9" s="11">
        <f t="shared" ref="Z9:AB9" si="36">SUM(Z6:Z8)</f>
        <v>25500</v>
      </c>
      <c r="AA9" s="11">
        <f t="shared" si="36"/>
        <v>25182</v>
      </c>
      <c r="AB9" s="14">
        <f t="shared" si="36"/>
        <v>25707</v>
      </c>
      <c r="AC9" s="11">
        <f t="shared" ref="AC9:AE9" si="37">SUM(AC6:AC8)</f>
        <v>0</v>
      </c>
      <c r="AD9" s="11">
        <f t="shared" si="37"/>
        <v>0</v>
      </c>
      <c r="AE9" s="11">
        <f t="shared" si="37"/>
        <v>0</v>
      </c>
    </row>
    <row r="10" spans="1:31" x14ac:dyDescent="0.25">
      <c r="B10" s="9" t="s">
        <v>64</v>
      </c>
      <c r="C10" s="10"/>
      <c r="D10" s="10"/>
      <c r="E10" s="10"/>
      <c r="F10" s="10"/>
      <c r="G10" s="10"/>
      <c r="H10" s="126">
        <v>99690</v>
      </c>
      <c r="I10" s="42">
        <v>112860</v>
      </c>
      <c r="J10" s="42">
        <v>134450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20">
        <v>22340</v>
      </c>
      <c r="Z10" s="121">
        <v>25260</v>
      </c>
      <c r="AA10" s="120">
        <v>25340</v>
      </c>
      <c r="AB10" s="129">
        <v>27370</v>
      </c>
      <c r="AC10" s="10">
        <v>23970</v>
      </c>
      <c r="AD10">
        <v>27300</v>
      </c>
    </row>
    <row r="11" spans="1:31" x14ac:dyDescent="0.25">
      <c r="B11" s="9" t="s">
        <v>144</v>
      </c>
      <c r="C11" s="10">
        <v>15939</v>
      </c>
      <c r="D11" s="10">
        <v>19696</v>
      </c>
      <c r="E11" s="10">
        <v>32415</v>
      </c>
      <c r="F11" s="10">
        <v>49599</v>
      </c>
      <c r="G11" s="10">
        <v>65121</v>
      </c>
      <c r="H11" s="15">
        <f>SUM(Y11:AB11)</f>
        <v>61870</v>
      </c>
      <c r="I11" s="40"/>
      <c r="J11" s="40"/>
      <c r="M11" s="10">
        <v>6457</v>
      </c>
      <c r="N11" s="10">
        <v>7119</v>
      </c>
      <c r="O11" s="10">
        <v>8150</v>
      </c>
      <c r="P11" s="10">
        <f t="shared" ref="P11:P12" si="38">E11-O11-N11-M11</f>
        <v>10689</v>
      </c>
      <c r="Q11" s="10">
        <v>10914</v>
      </c>
      <c r="R11" s="10">
        <v>10153</v>
      </c>
      <c r="S11" s="10">
        <v>13099</v>
      </c>
      <c r="T11" s="10">
        <f t="shared" ref="T11:T12" si="39">F11-S11-R11-Q11</f>
        <v>15433</v>
      </c>
      <c r="U11" s="10">
        <v>15422</v>
      </c>
      <c r="V11" s="10">
        <v>16841</v>
      </c>
      <c r="W11" s="10">
        <v>15656</v>
      </c>
      <c r="X11" s="10">
        <f t="shared" ref="X11:X12" si="40">G11-W11-V11-U11</f>
        <v>17202</v>
      </c>
      <c r="Y11" s="10">
        <v>13897</v>
      </c>
      <c r="Z11" s="10">
        <v>15962</v>
      </c>
      <c r="AA11" s="10">
        <v>15743</v>
      </c>
      <c r="AB11" s="15">
        <v>16268</v>
      </c>
      <c r="AC11" s="10"/>
    </row>
    <row r="12" spans="1:31" x14ac:dyDescent="0.25">
      <c r="B12" s="9" t="s">
        <v>150</v>
      </c>
      <c r="C12" s="10">
        <v>459</v>
      </c>
      <c r="D12" s="10">
        <v>563</v>
      </c>
      <c r="E12" s="10">
        <v>978</v>
      </c>
      <c r="F12" s="10">
        <v>1509</v>
      </c>
      <c r="G12" s="10">
        <v>1268</v>
      </c>
      <c r="H12" s="15">
        <f>SUM(Y12:AB12)</f>
        <v>1003</v>
      </c>
      <c r="I12" s="40"/>
      <c r="J12" s="40"/>
      <c r="M12" s="10">
        <v>160</v>
      </c>
      <c r="N12" s="10">
        <v>188</v>
      </c>
      <c r="O12" s="10">
        <v>234</v>
      </c>
      <c r="P12" s="10">
        <f t="shared" si="38"/>
        <v>396</v>
      </c>
      <c r="Q12" s="10">
        <v>408</v>
      </c>
      <c r="R12" s="10">
        <v>368</v>
      </c>
      <c r="S12" s="10">
        <v>381</v>
      </c>
      <c r="T12" s="10">
        <f t="shared" si="39"/>
        <v>352</v>
      </c>
      <c r="U12" s="10">
        <v>333</v>
      </c>
      <c r="V12" s="10">
        <v>338</v>
      </c>
      <c r="W12" s="10">
        <v>301</v>
      </c>
      <c r="X12" s="10">
        <f t="shared" si="40"/>
        <v>296</v>
      </c>
      <c r="Y12" s="10">
        <v>269</v>
      </c>
      <c r="Z12" s="10">
        <v>245</v>
      </c>
      <c r="AA12" s="10">
        <v>247</v>
      </c>
      <c r="AB12" s="15">
        <v>242</v>
      </c>
      <c r="AC12" s="10"/>
    </row>
    <row r="13" spans="1:31" x14ac:dyDescent="0.25">
      <c r="B13" s="115" t="s">
        <v>151</v>
      </c>
      <c r="C13" s="11">
        <f>SUM(C11:C12)</f>
        <v>16398</v>
      </c>
      <c r="D13" s="11">
        <f t="shared" ref="D13:J13" si="41">SUM(D11:D12)</f>
        <v>20259</v>
      </c>
      <c r="E13" s="11">
        <f t="shared" si="41"/>
        <v>33393</v>
      </c>
      <c r="F13" s="11">
        <f t="shared" si="41"/>
        <v>51108</v>
      </c>
      <c r="G13" s="11">
        <f t="shared" si="41"/>
        <v>66389</v>
      </c>
      <c r="H13" s="14">
        <f t="shared" si="41"/>
        <v>62873</v>
      </c>
      <c r="I13" s="11">
        <f t="shared" si="41"/>
        <v>0</v>
      </c>
      <c r="J13" s="11">
        <f t="shared" si="41"/>
        <v>0</v>
      </c>
      <c r="M13" s="11">
        <f t="shared" ref="M13" si="42">SUM(M11:M12)</f>
        <v>6617</v>
      </c>
      <c r="N13" s="11">
        <f t="shared" ref="N13" si="43">SUM(N11:N12)</f>
        <v>7307</v>
      </c>
      <c r="O13" s="11">
        <f t="shared" ref="O13" si="44">SUM(O11:O12)</f>
        <v>8384</v>
      </c>
      <c r="P13" s="11">
        <f t="shared" ref="P13" si="45">SUM(P11:P12)</f>
        <v>11085</v>
      </c>
      <c r="Q13" s="11">
        <f t="shared" ref="Q13" si="46">SUM(Q11:Q12)</f>
        <v>11322</v>
      </c>
      <c r="R13" s="11">
        <f t="shared" ref="R13" si="47">SUM(R11:R12)</f>
        <v>10521</v>
      </c>
      <c r="S13" s="11">
        <f t="shared" ref="S13" si="48">SUM(S11:S12)</f>
        <v>13480</v>
      </c>
      <c r="T13" s="11">
        <f t="shared" ref="T13" si="49">SUM(T11:T12)</f>
        <v>15785</v>
      </c>
      <c r="U13" s="11">
        <f t="shared" ref="U13" si="50">SUM(U11:U12)</f>
        <v>15755</v>
      </c>
      <c r="V13" s="11">
        <f t="shared" ref="V13" si="51">SUM(V11:V12)</f>
        <v>17179</v>
      </c>
      <c r="W13" s="11">
        <f t="shared" ref="W13:X13" si="52">SUM(W11:W12)</f>
        <v>15957</v>
      </c>
      <c r="X13" s="11">
        <f t="shared" si="52"/>
        <v>17498</v>
      </c>
      <c r="Y13" s="11">
        <f t="shared" ref="Y13" si="53">SUM(Y11:Y12)</f>
        <v>14166</v>
      </c>
      <c r="Z13" s="11">
        <f t="shared" ref="Z13:AB13" si="54">SUM(Z11:Z12)</f>
        <v>16207</v>
      </c>
      <c r="AA13" s="11">
        <f t="shared" si="54"/>
        <v>15990</v>
      </c>
      <c r="AB13" s="14">
        <f t="shared" si="54"/>
        <v>16510</v>
      </c>
      <c r="AC13" s="11">
        <f t="shared" ref="AC13:AE13" si="55">SUM(AC11:AC12)</f>
        <v>0</v>
      </c>
      <c r="AD13" s="11">
        <f t="shared" si="55"/>
        <v>0</v>
      </c>
      <c r="AE13" s="11">
        <f t="shared" si="55"/>
        <v>0</v>
      </c>
    </row>
    <row r="14" spans="1:31" x14ac:dyDescent="0.25">
      <c r="B14" s="9" t="s">
        <v>148</v>
      </c>
      <c r="C14" s="10">
        <v>1341</v>
      </c>
      <c r="D14" s="10">
        <v>1976</v>
      </c>
      <c r="E14" s="10">
        <v>2918</v>
      </c>
      <c r="F14" s="10">
        <v>3621</v>
      </c>
      <c r="G14" s="10">
        <v>4894</v>
      </c>
      <c r="H14" s="15">
        <f>SUM(Y14:AB14)</f>
        <v>7446</v>
      </c>
      <c r="I14" s="40"/>
      <c r="J14" s="40"/>
      <c r="M14" s="10">
        <v>595</v>
      </c>
      <c r="N14" s="10">
        <v>781</v>
      </c>
      <c r="O14" s="10">
        <v>803</v>
      </c>
      <c r="P14" s="10">
        <f>E14-O14-N14-M14</f>
        <v>739</v>
      </c>
      <c r="Q14" s="10">
        <v>688</v>
      </c>
      <c r="R14" s="10">
        <v>769</v>
      </c>
      <c r="S14" s="10">
        <v>1013</v>
      </c>
      <c r="T14" s="10">
        <f t="shared" ref="T14:T15" si="56">F14-S14-R14-Q14</f>
        <v>1151</v>
      </c>
      <c r="U14" s="10">
        <v>1361</v>
      </c>
      <c r="V14" s="10">
        <v>1231</v>
      </c>
      <c r="W14" s="10">
        <v>1178</v>
      </c>
      <c r="X14" s="10">
        <f t="shared" ref="X14:X15" si="57">G14-W14-V14-U14</f>
        <v>1124</v>
      </c>
      <c r="Y14" s="10">
        <v>1232</v>
      </c>
      <c r="Z14" s="10">
        <v>2274</v>
      </c>
      <c r="AA14" s="10">
        <v>1651</v>
      </c>
      <c r="AB14" s="15">
        <v>2289</v>
      </c>
      <c r="AC14" s="10"/>
      <c r="AD14" s="10"/>
      <c r="AE14" s="10"/>
    </row>
    <row r="15" spans="1:31" x14ac:dyDescent="0.25">
      <c r="B15" s="9" t="s">
        <v>149</v>
      </c>
      <c r="C15" s="10">
        <v>2770</v>
      </c>
      <c r="D15" s="10">
        <v>2671</v>
      </c>
      <c r="E15" s="10">
        <v>3906</v>
      </c>
      <c r="F15" s="10">
        <v>5880</v>
      </c>
      <c r="G15" s="10">
        <v>7830</v>
      </c>
      <c r="H15" s="15">
        <f>SUM(Y15:AB15)</f>
        <v>9921</v>
      </c>
      <c r="I15" s="40"/>
      <c r="J15" s="40"/>
      <c r="M15" s="10">
        <v>962</v>
      </c>
      <c r="N15" s="10">
        <v>986</v>
      </c>
      <c r="O15" s="10">
        <v>910</v>
      </c>
      <c r="P15" s="10">
        <f>E15-O15-N15-M15</f>
        <v>1048</v>
      </c>
      <c r="Q15" s="10">
        <v>1286</v>
      </c>
      <c r="R15" s="10">
        <v>1410</v>
      </c>
      <c r="S15" s="10">
        <v>1579</v>
      </c>
      <c r="T15" s="10">
        <f t="shared" si="56"/>
        <v>1605</v>
      </c>
      <c r="U15" s="10">
        <v>1702</v>
      </c>
      <c r="V15" s="10">
        <v>1984</v>
      </c>
      <c r="W15" s="10">
        <v>2037</v>
      </c>
      <c r="X15" s="10">
        <f t="shared" si="57"/>
        <v>2107</v>
      </c>
      <c r="Y15" s="10">
        <v>2207</v>
      </c>
      <c r="Z15" s="10">
        <v>2441</v>
      </c>
      <c r="AA15" s="10">
        <v>2544</v>
      </c>
      <c r="AB15" s="15">
        <v>2729</v>
      </c>
      <c r="AC15" s="10"/>
      <c r="AD15" s="10"/>
      <c r="AE15" s="10"/>
    </row>
    <row r="16" spans="1:31" s="1" customFormat="1" x14ac:dyDescent="0.25">
      <c r="B16" s="1" t="s">
        <v>59</v>
      </c>
      <c r="C16" s="11">
        <f>SUM(C13:C15)</f>
        <v>20509</v>
      </c>
      <c r="D16" s="11">
        <f t="shared" ref="D16:J16" si="58">SUM(D13:D15)</f>
        <v>24906</v>
      </c>
      <c r="E16" s="11">
        <f t="shared" si="58"/>
        <v>40217</v>
      </c>
      <c r="F16" s="11">
        <f t="shared" si="58"/>
        <v>60609</v>
      </c>
      <c r="G16" s="11">
        <f t="shared" si="58"/>
        <v>79113</v>
      </c>
      <c r="H16" s="14">
        <f t="shared" si="58"/>
        <v>80240</v>
      </c>
      <c r="I16" s="11">
        <f t="shared" si="58"/>
        <v>0</v>
      </c>
      <c r="J16" s="11">
        <f t="shared" si="58"/>
        <v>0</v>
      </c>
      <c r="M16" s="11">
        <f t="shared" ref="M16" si="59">SUM(M13:M15)</f>
        <v>8174</v>
      </c>
      <c r="N16" s="11">
        <f t="shared" ref="N16" si="60">SUM(N13:N15)</f>
        <v>9074</v>
      </c>
      <c r="O16" s="11">
        <f t="shared" ref="O16" si="61">SUM(O13:O15)</f>
        <v>10097</v>
      </c>
      <c r="P16" s="11">
        <f t="shared" ref="P16" si="62">SUM(P13:P15)</f>
        <v>12872</v>
      </c>
      <c r="Q16" s="11">
        <f t="shared" ref="Q16" si="63">SUM(Q13:Q15)</f>
        <v>13296</v>
      </c>
      <c r="R16" s="11">
        <f t="shared" ref="R16" si="64">SUM(R13:R15)</f>
        <v>12700</v>
      </c>
      <c r="S16" s="11">
        <f t="shared" ref="S16" si="65">SUM(S13:S15)</f>
        <v>16072</v>
      </c>
      <c r="T16" s="11">
        <f t="shared" ref="T16" si="66">SUM(T13:T15)</f>
        <v>18541</v>
      </c>
      <c r="U16" s="11">
        <f t="shared" ref="U16" si="67">SUM(U13:U15)</f>
        <v>18818</v>
      </c>
      <c r="V16" s="11">
        <f t="shared" ref="V16" si="68">SUM(V13:V15)</f>
        <v>20394</v>
      </c>
      <c r="W16" s="11">
        <f t="shared" ref="W16:X16" si="69">SUM(W13:W15)</f>
        <v>19172</v>
      </c>
      <c r="X16" s="11">
        <f t="shared" si="69"/>
        <v>20729</v>
      </c>
      <c r="Y16" s="11">
        <f t="shared" ref="Y16" si="70">SUM(Y13:Y15)</f>
        <v>17605</v>
      </c>
      <c r="Z16" s="11">
        <f t="shared" ref="Z16:AB16" si="71">SUM(Z13:Z15)</f>
        <v>20922</v>
      </c>
      <c r="AA16" s="11">
        <f t="shared" si="71"/>
        <v>20185</v>
      </c>
      <c r="AB16" s="14">
        <f t="shared" si="71"/>
        <v>21528</v>
      </c>
      <c r="AC16" s="11">
        <f t="shared" ref="AC16:AE16" si="72">SUM(AC13:AC15)</f>
        <v>0</v>
      </c>
      <c r="AD16" s="11">
        <f t="shared" si="72"/>
        <v>0</v>
      </c>
      <c r="AE16" s="11">
        <f t="shared" si="72"/>
        <v>0</v>
      </c>
    </row>
    <row r="17" spans="2:31" x14ac:dyDescent="0.25">
      <c r="B17" t="s">
        <v>71</v>
      </c>
      <c r="C17" s="10">
        <v>1343</v>
      </c>
      <c r="D17" s="10">
        <v>1491</v>
      </c>
      <c r="E17" s="10">
        <v>2593</v>
      </c>
      <c r="F17" s="10">
        <v>3075</v>
      </c>
      <c r="G17" s="10">
        <v>3969</v>
      </c>
      <c r="H17" s="15">
        <f>SUM(Y17:AB17)</f>
        <v>4540</v>
      </c>
      <c r="I17" s="40"/>
      <c r="J17" s="40"/>
      <c r="M17" s="10">
        <v>666</v>
      </c>
      <c r="N17" s="10">
        <v>576</v>
      </c>
      <c r="O17" s="10">
        <v>611</v>
      </c>
      <c r="P17" s="10">
        <f t="shared" ref="P17:P19" si="73">E17-O17-N17-M17</f>
        <v>740</v>
      </c>
      <c r="Q17" s="10">
        <v>865</v>
      </c>
      <c r="R17" s="10">
        <v>667</v>
      </c>
      <c r="S17" s="10">
        <v>733</v>
      </c>
      <c r="T17" s="10">
        <f t="shared" ref="T17:T19" si="74">F17-S17-R17-Q17</f>
        <v>810</v>
      </c>
      <c r="U17" s="10">
        <v>771</v>
      </c>
      <c r="V17" s="10">
        <v>943</v>
      </c>
      <c r="W17" s="10">
        <v>1161</v>
      </c>
      <c r="X17" s="10">
        <f t="shared" ref="X17:X19" si="75">G17-W17-V17-U17</f>
        <v>1094</v>
      </c>
      <c r="Y17" s="10">
        <v>1151</v>
      </c>
      <c r="Z17" s="10">
        <v>1074</v>
      </c>
      <c r="AA17" s="10">
        <v>1039</v>
      </c>
      <c r="AB17" s="15">
        <v>1276</v>
      </c>
      <c r="AC17" s="10"/>
      <c r="AD17" s="10"/>
      <c r="AE17" s="10"/>
    </row>
    <row r="18" spans="2:31" x14ac:dyDescent="0.25">
      <c r="B18" t="s">
        <v>152</v>
      </c>
      <c r="C18" s="10">
        <v>2646</v>
      </c>
      <c r="D18" s="10">
        <v>3145</v>
      </c>
      <c r="E18" s="10">
        <v>4517</v>
      </c>
      <c r="F18" s="10">
        <v>3946</v>
      </c>
      <c r="G18" s="10">
        <v>4800</v>
      </c>
      <c r="H18" s="15">
        <f>SUM(Y18:AB18)</f>
        <v>5150</v>
      </c>
      <c r="I18" s="40"/>
      <c r="J18" s="40"/>
      <c r="M18" s="10">
        <v>1056</v>
      </c>
      <c r="N18" s="10">
        <v>973</v>
      </c>
      <c r="O18" s="10">
        <v>994</v>
      </c>
      <c r="P18" s="10">
        <f t="shared" si="73"/>
        <v>1494</v>
      </c>
      <c r="Q18" s="10">
        <v>992</v>
      </c>
      <c r="R18" s="10">
        <v>961</v>
      </c>
      <c r="S18" s="10">
        <v>961</v>
      </c>
      <c r="T18" s="10">
        <f t="shared" si="74"/>
        <v>1032</v>
      </c>
      <c r="U18" s="10">
        <v>1076</v>
      </c>
      <c r="V18" s="10">
        <v>1191</v>
      </c>
      <c r="W18" s="10">
        <v>1263</v>
      </c>
      <c r="X18" s="10">
        <f t="shared" si="75"/>
        <v>1270</v>
      </c>
      <c r="Y18" s="10">
        <v>1374</v>
      </c>
      <c r="Z18" s="10">
        <v>1277</v>
      </c>
      <c r="AA18" s="10">
        <v>1186</v>
      </c>
      <c r="AB18" s="15">
        <v>1313</v>
      </c>
      <c r="AC18" s="10"/>
      <c r="AD18" s="10"/>
      <c r="AE18" s="10"/>
    </row>
    <row r="19" spans="2:31" x14ac:dyDescent="0.25">
      <c r="B19" t="s">
        <v>153</v>
      </c>
      <c r="C19" s="10">
        <v>149</v>
      </c>
      <c r="D19" s="10">
        <v>0</v>
      </c>
      <c r="E19" s="10">
        <v>-27</v>
      </c>
      <c r="F19" s="10">
        <v>176</v>
      </c>
      <c r="G19" s="10">
        <v>0</v>
      </c>
      <c r="H19" s="15">
        <f>SUM(Y19:AB19)</f>
        <v>724</v>
      </c>
      <c r="I19" s="10"/>
      <c r="J19" s="10"/>
      <c r="M19" s="10">
        <v>-101</v>
      </c>
      <c r="N19" s="10">
        <v>23</v>
      </c>
      <c r="O19" s="10">
        <v>51</v>
      </c>
      <c r="P19" s="10">
        <f t="shared" si="73"/>
        <v>0</v>
      </c>
      <c r="Q19" s="10">
        <v>0</v>
      </c>
      <c r="R19" s="10">
        <v>142</v>
      </c>
      <c r="S19" s="10">
        <v>0</v>
      </c>
      <c r="T19" s="10">
        <f t="shared" si="74"/>
        <v>34</v>
      </c>
      <c r="U19" s="10">
        <v>0</v>
      </c>
      <c r="V19" s="10">
        <v>0</v>
      </c>
      <c r="W19" s="10">
        <v>0</v>
      </c>
      <c r="X19" s="10">
        <f t="shared" si="75"/>
        <v>0</v>
      </c>
      <c r="Y19" s="10">
        <v>0</v>
      </c>
      <c r="Z19" s="10">
        <v>662</v>
      </c>
      <c r="AA19" s="10">
        <v>55</v>
      </c>
      <c r="AB19" s="15">
        <v>7</v>
      </c>
      <c r="AC19" s="10"/>
      <c r="AD19" s="10"/>
      <c r="AE19" s="10"/>
    </row>
    <row r="20" spans="2:31" s="1" customFormat="1" x14ac:dyDescent="0.25">
      <c r="B20" s="1" t="s">
        <v>22</v>
      </c>
      <c r="C20" s="11">
        <f t="shared" ref="C20:J20" si="76">C9-SUM(C16:C19)</f>
        <v>-69</v>
      </c>
      <c r="D20" s="11">
        <f t="shared" si="76"/>
        <v>1994</v>
      </c>
      <c r="E20" s="11">
        <f t="shared" si="76"/>
        <v>6523</v>
      </c>
      <c r="F20" s="11">
        <f t="shared" si="76"/>
        <v>13656</v>
      </c>
      <c r="G20" s="11">
        <f t="shared" si="76"/>
        <v>8891</v>
      </c>
      <c r="H20" s="14">
        <f t="shared" si="76"/>
        <v>7036</v>
      </c>
      <c r="I20" s="11">
        <f t="shared" si="76"/>
        <v>0</v>
      </c>
      <c r="J20" s="11">
        <f t="shared" si="76"/>
        <v>0</v>
      </c>
      <c r="K20" s="11"/>
      <c r="L20" s="11"/>
      <c r="M20" s="11">
        <f t="shared" ref="M20:AB20" si="77">M9-SUM(M16:M19)</f>
        <v>594</v>
      </c>
      <c r="N20" s="11">
        <f t="shared" si="77"/>
        <v>1312</v>
      </c>
      <c r="O20" s="11">
        <f t="shared" si="77"/>
        <v>2004</v>
      </c>
      <c r="P20" s="11">
        <f t="shared" si="77"/>
        <v>2613</v>
      </c>
      <c r="Q20" s="11">
        <f t="shared" si="77"/>
        <v>3603</v>
      </c>
      <c r="R20" s="11">
        <f t="shared" si="77"/>
        <v>2464</v>
      </c>
      <c r="S20" s="11">
        <f t="shared" si="77"/>
        <v>3688</v>
      </c>
      <c r="T20" s="11">
        <f t="shared" si="77"/>
        <v>3901</v>
      </c>
      <c r="U20" s="11">
        <f t="shared" si="77"/>
        <v>2664</v>
      </c>
      <c r="V20" s="11">
        <f t="shared" si="77"/>
        <v>2399</v>
      </c>
      <c r="W20" s="11">
        <f t="shared" si="77"/>
        <v>1754</v>
      </c>
      <c r="X20" s="11">
        <f t="shared" si="77"/>
        <v>2074</v>
      </c>
      <c r="Y20" s="11">
        <f t="shared" si="77"/>
        <v>1171</v>
      </c>
      <c r="Z20" s="11">
        <f t="shared" si="77"/>
        <v>1565</v>
      </c>
      <c r="AA20" s="11">
        <f t="shared" si="77"/>
        <v>2717</v>
      </c>
      <c r="AB20" s="14">
        <f t="shared" si="77"/>
        <v>1583</v>
      </c>
      <c r="AC20" s="11">
        <f t="shared" ref="AC20:AE20" si="78">AC9-SUM(AC16:AC19)</f>
        <v>0</v>
      </c>
      <c r="AD20" s="11">
        <f t="shared" si="78"/>
        <v>0</v>
      </c>
      <c r="AE20" s="11">
        <f t="shared" si="78"/>
        <v>0</v>
      </c>
    </row>
    <row r="21" spans="2:31" x14ac:dyDescent="0.25">
      <c r="B21" t="s">
        <v>154</v>
      </c>
      <c r="C21" s="10">
        <f>44-685</f>
        <v>-641</v>
      </c>
      <c r="D21" s="10">
        <f>30-748</f>
        <v>-718</v>
      </c>
      <c r="E21" s="10">
        <f>56-371</f>
        <v>-315</v>
      </c>
      <c r="F21" s="10">
        <f>297-191</f>
        <v>106</v>
      </c>
      <c r="G21" s="10">
        <f>1066-156</f>
        <v>910</v>
      </c>
      <c r="H21" s="15">
        <f>SUM(Y21:AB21)</f>
        <v>1219</v>
      </c>
      <c r="I21" s="40"/>
      <c r="J21" s="40"/>
      <c r="M21" s="10">
        <f>10-99</f>
        <v>-89</v>
      </c>
      <c r="N21" s="10">
        <f>11-75</f>
        <v>-64</v>
      </c>
      <c r="O21" s="10">
        <f>10-126</f>
        <v>-116</v>
      </c>
      <c r="P21" s="10">
        <f t="shared" ref="P21:P22" si="79">E21-O21-N21-M21</f>
        <v>-46</v>
      </c>
      <c r="Q21" s="10">
        <f>28-61</f>
        <v>-33</v>
      </c>
      <c r="R21" s="10">
        <f>26-44</f>
        <v>-18</v>
      </c>
      <c r="S21" s="10">
        <f>86-63</f>
        <v>23</v>
      </c>
      <c r="T21" s="10">
        <f t="shared" ref="T21:T22" si="80">F21-S21-R21-Q21</f>
        <v>134</v>
      </c>
      <c r="U21" s="10">
        <f>213-29</f>
        <v>184</v>
      </c>
      <c r="V21" s="10">
        <f>238-28</f>
        <v>210</v>
      </c>
      <c r="W21" s="10">
        <f>282-38</f>
        <v>244</v>
      </c>
      <c r="X21" s="10">
        <f t="shared" ref="X21:X22" si="81">G21-W21-V21-U21</f>
        <v>272</v>
      </c>
      <c r="Y21">
        <f>350-76</f>
        <v>274</v>
      </c>
      <c r="Z21">
        <f>348-86</f>
        <v>262</v>
      </c>
      <c r="AA21">
        <f>429-92</f>
        <v>337</v>
      </c>
      <c r="AB21" s="13">
        <f>442-96</f>
        <v>346</v>
      </c>
    </row>
    <row r="22" spans="2:31" x14ac:dyDescent="0.25">
      <c r="B22" t="s">
        <v>155</v>
      </c>
      <c r="C22" s="10">
        <v>45</v>
      </c>
      <c r="D22" s="10">
        <v>-122</v>
      </c>
      <c r="E22" s="10">
        <v>135</v>
      </c>
      <c r="F22" s="10">
        <v>-43</v>
      </c>
      <c r="G22" s="10">
        <v>172</v>
      </c>
      <c r="H22" s="15">
        <f>SUM(Y22:AB22)</f>
        <v>695</v>
      </c>
      <c r="I22" s="40"/>
      <c r="J22" s="40"/>
      <c r="M22" s="10">
        <v>28</v>
      </c>
      <c r="N22" s="10">
        <v>45</v>
      </c>
      <c r="O22" s="10">
        <v>-6</v>
      </c>
      <c r="P22" s="10">
        <f t="shared" si="79"/>
        <v>68</v>
      </c>
      <c r="Q22" s="10">
        <v>56</v>
      </c>
      <c r="R22" s="10">
        <v>28</v>
      </c>
      <c r="S22" s="10">
        <v>-85</v>
      </c>
      <c r="T22" s="10">
        <f t="shared" si="80"/>
        <v>-42</v>
      </c>
      <c r="U22" s="10">
        <v>-48</v>
      </c>
      <c r="V22" s="10">
        <v>328</v>
      </c>
      <c r="W22" s="10">
        <v>37</v>
      </c>
      <c r="X22" s="10">
        <f t="shared" si="81"/>
        <v>-145</v>
      </c>
      <c r="Y22" s="10">
        <v>108</v>
      </c>
      <c r="Z22" s="10">
        <v>20</v>
      </c>
      <c r="AA22" s="10">
        <v>-270</v>
      </c>
      <c r="AB22" s="15">
        <v>837</v>
      </c>
      <c r="AC22" s="10"/>
      <c r="AD22" s="10"/>
      <c r="AE22" s="10"/>
    </row>
    <row r="23" spans="2:31" s="1" customFormat="1" x14ac:dyDescent="0.25">
      <c r="B23" s="1" t="s">
        <v>19</v>
      </c>
      <c r="C23" s="11">
        <f t="shared" ref="C23:J23" si="82">C20+SUM(C21:C22)</f>
        <v>-665</v>
      </c>
      <c r="D23" s="11">
        <f t="shared" si="82"/>
        <v>1154</v>
      </c>
      <c r="E23" s="11">
        <f t="shared" si="82"/>
        <v>6343</v>
      </c>
      <c r="F23" s="11">
        <f t="shared" si="82"/>
        <v>13719</v>
      </c>
      <c r="G23" s="11">
        <f t="shared" si="82"/>
        <v>9973</v>
      </c>
      <c r="H23" s="14">
        <f t="shared" si="82"/>
        <v>8950</v>
      </c>
      <c r="I23" s="11">
        <f t="shared" si="82"/>
        <v>0</v>
      </c>
      <c r="J23" s="11">
        <f t="shared" si="82"/>
        <v>0</v>
      </c>
      <c r="M23" s="11">
        <f t="shared" ref="M23:AB23" si="83">M20+SUM(M21:M22)</f>
        <v>533</v>
      </c>
      <c r="N23" s="11">
        <f t="shared" si="83"/>
        <v>1293</v>
      </c>
      <c r="O23" s="11">
        <f t="shared" si="83"/>
        <v>1882</v>
      </c>
      <c r="P23" s="11">
        <f t="shared" si="83"/>
        <v>2635</v>
      </c>
      <c r="Q23" s="11">
        <f t="shared" si="83"/>
        <v>3626</v>
      </c>
      <c r="R23" s="11">
        <f t="shared" si="83"/>
        <v>2474</v>
      </c>
      <c r="S23" s="11">
        <f t="shared" si="83"/>
        <v>3626</v>
      </c>
      <c r="T23" s="11">
        <f t="shared" si="83"/>
        <v>3993</v>
      </c>
      <c r="U23" s="11">
        <f t="shared" si="83"/>
        <v>2800</v>
      </c>
      <c r="V23" s="11">
        <f t="shared" si="83"/>
        <v>2937</v>
      </c>
      <c r="W23" s="11">
        <f t="shared" si="83"/>
        <v>2035</v>
      </c>
      <c r="X23" s="11">
        <f t="shared" si="83"/>
        <v>2201</v>
      </c>
      <c r="Y23" s="11">
        <f t="shared" si="83"/>
        <v>1553</v>
      </c>
      <c r="Z23" s="11">
        <f t="shared" si="83"/>
        <v>1847</v>
      </c>
      <c r="AA23" s="11">
        <f t="shared" si="83"/>
        <v>2784</v>
      </c>
      <c r="AB23" s="14">
        <f t="shared" si="83"/>
        <v>2766</v>
      </c>
      <c r="AC23" s="11">
        <f t="shared" ref="AC23:AE23" si="84">AC20+SUM(AC21:AC22)</f>
        <v>0</v>
      </c>
      <c r="AD23" s="11">
        <f t="shared" si="84"/>
        <v>0</v>
      </c>
      <c r="AE23" s="11">
        <f t="shared" si="84"/>
        <v>0</v>
      </c>
    </row>
    <row r="24" spans="2:31" x14ac:dyDescent="0.25">
      <c r="B24" t="s">
        <v>20</v>
      </c>
      <c r="C24" s="10">
        <v>110</v>
      </c>
      <c r="D24" s="10">
        <v>292</v>
      </c>
      <c r="E24" s="10">
        <v>699</v>
      </c>
      <c r="F24" s="10">
        <v>1132</v>
      </c>
      <c r="G24" s="10">
        <v>-5001</v>
      </c>
      <c r="H24" s="15">
        <f>SUM(Y24:AB24)</f>
        <v>1837</v>
      </c>
      <c r="I24" s="40"/>
      <c r="J24" s="40"/>
      <c r="M24" s="10">
        <v>69</v>
      </c>
      <c r="N24" s="10">
        <v>115</v>
      </c>
      <c r="O24" s="10">
        <v>223</v>
      </c>
      <c r="P24" s="10">
        <f t="shared" ref="P24:P25" si="85">E24-O24-N24-M24</f>
        <v>292</v>
      </c>
      <c r="Q24" s="10">
        <v>346</v>
      </c>
      <c r="R24" s="10">
        <v>205</v>
      </c>
      <c r="S24" s="10">
        <v>305</v>
      </c>
      <c r="T24" s="10">
        <f t="shared" ref="T24:T25" si="86">F24-S24-R24-Q24</f>
        <v>276</v>
      </c>
      <c r="U24" s="10">
        <v>261</v>
      </c>
      <c r="V24" s="10">
        <v>323</v>
      </c>
      <c r="W24" s="10">
        <v>167</v>
      </c>
      <c r="X24" s="10">
        <f t="shared" ref="X24:X25" si="87">G24-W24-V24-U24</f>
        <v>-5752</v>
      </c>
      <c r="Y24" s="10">
        <v>409</v>
      </c>
      <c r="Z24" s="10">
        <v>393</v>
      </c>
      <c r="AA24" s="10">
        <v>601</v>
      </c>
      <c r="AB24" s="15">
        <v>434</v>
      </c>
      <c r="AC24" s="10"/>
      <c r="AD24" s="10"/>
      <c r="AE24" s="10"/>
    </row>
    <row r="25" spans="2:31" x14ac:dyDescent="0.25">
      <c r="B25" t="s">
        <v>72</v>
      </c>
      <c r="C25" s="10">
        <v>87</v>
      </c>
      <c r="D25" s="10">
        <v>141</v>
      </c>
      <c r="E25" s="10">
        <v>125</v>
      </c>
      <c r="F25" s="10">
        <v>31</v>
      </c>
      <c r="G25" s="10">
        <v>-23</v>
      </c>
      <c r="H25" s="15">
        <f>SUM(Y25:AB25)</f>
        <v>62</v>
      </c>
      <c r="I25" s="40"/>
      <c r="J25" s="40"/>
      <c r="M25" s="10">
        <v>26</v>
      </c>
      <c r="N25" s="10">
        <v>36</v>
      </c>
      <c r="O25" s="10">
        <v>41</v>
      </c>
      <c r="P25" s="10">
        <f t="shared" si="85"/>
        <v>22</v>
      </c>
      <c r="Q25" s="10">
        <v>-38</v>
      </c>
      <c r="R25" s="10">
        <v>10</v>
      </c>
      <c r="S25" s="10">
        <v>39</v>
      </c>
      <c r="T25" s="10">
        <f t="shared" si="86"/>
        <v>20</v>
      </c>
      <c r="U25" s="10">
        <v>26</v>
      </c>
      <c r="V25" s="10">
        <v>-89</v>
      </c>
      <c r="W25" s="10">
        <v>25</v>
      </c>
      <c r="X25" s="10">
        <f t="shared" si="87"/>
        <v>15</v>
      </c>
      <c r="Y25" s="10">
        <v>15</v>
      </c>
      <c r="Z25" s="10">
        <v>16</v>
      </c>
      <c r="AA25" s="10">
        <v>16</v>
      </c>
      <c r="AB25" s="15">
        <v>15</v>
      </c>
      <c r="AC25" s="10"/>
      <c r="AD25" s="10"/>
      <c r="AE25" s="10"/>
    </row>
    <row r="26" spans="2:31" s="1" customFormat="1" x14ac:dyDescent="0.25">
      <c r="B26" s="1" t="s">
        <v>21</v>
      </c>
      <c r="C26" s="11">
        <f>C23-SUM(C24:C25)</f>
        <v>-862</v>
      </c>
      <c r="D26" s="11">
        <f t="shared" ref="D26:J26" si="88">D23-SUM(D24:D25)</f>
        <v>721</v>
      </c>
      <c r="E26" s="11">
        <f t="shared" si="88"/>
        <v>5519</v>
      </c>
      <c r="F26" s="11">
        <f t="shared" si="88"/>
        <v>12556</v>
      </c>
      <c r="G26" s="11">
        <f t="shared" si="88"/>
        <v>14997</v>
      </c>
      <c r="H26" s="14">
        <f t="shared" si="88"/>
        <v>7051</v>
      </c>
      <c r="I26" s="11">
        <f t="shared" si="88"/>
        <v>0</v>
      </c>
      <c r="J26" s="11">
        <f t="shared" si="88"/>
        <v>0</v>
      </c>
      <c r="M26" s="11">
        <f t="shared" ref="M26" si="89">M23-SUM(M24:M25)</f>
        <v>438</v>
      </c>
      <c r="N26" s="11">
        <f t="shared" ref="N26" si="90">N23-SUM(N24:N25)</f>
        <v>1142</v>
      </c>
      <c r="O26" s="11">
        <f t="shared" ref="O26" si="91">O23-SUM(O24:O25)</f>
        <v>1618</v>
      </c>
      <c r="P26" s="11">
        <f t="shared" ref="P26" si="92">P23-SUM(P24:P25)</f>
        <v>2321</v>
      </c>
      <c r="Q26" s="11">
        <f t="shared" ref="Q26" si="93">Q23-SUM(Q24:Q25)</f>
        <v>3318</v>
      </c>
      <c r="R26" s="11">
        <f t="shared" ref="R26" si="94">R23-SUM(R24:R25)</f>
        <v>2259</v>
      </c>
      <c r="S26" s="11">
        <f t="shared" ref="S26" si="95">S23-SUM(S24:S25)</f>
        <v>3282</v>
      </c>
      <c r="T26" s="11">
        <f t="shared" ref="T26" si="96">T23-SUM(T24:T25)</f>
        <v>3697</v>
      </c>
      <c r="U26" s="11">
        <f t="shared" ref="U26" si="97">U23-SUM(U24:U25)</f>
        <v>2513</v>
      </c>
      <c r="V26" s="11">
        <f t="shared" ref="V26" si="98">V23-SUM(V24:V25)</f>
        <v>2703</v>
      </c>
      <c r="W26" s="11">
        <f t="shared" ref="W26:X26" si="99">W23-SUM(W24:W25)</f>
        <v>1843</v>
      </c>
      <c r="X26" s="11">
        <f t="shared" si="99"/>
        <v>7938</v>
      </c>
      <c r="Y26" s="11">
        <f t="shared" ref="Y26" si="100">Y23-SUM(Y24:Y25)</f>
        <v>1129</v>
      </c>
      <c r="Z26" s="11">
        <f t="shared" ref="Z26:AB26" si="101">Z23-SUM(Z24:Z25)</f>
        <v>1438</v>
      </c>
      <c r="AA26" s="11">
        <f t="shared" si="101"/>
        <v>2167</v>
      </c>
      <c r="AB26" s="14">
        <f t="shared" si="101"/>
        <v>2317</v>
      </c>
      <c r="AC26" s="11">
        <f t="shared" ref="AC26:AE26" si="102">AC23-SUM(AC24:AC25)</f>
        <v>0</v>
      </c>
      <c r="AD26" s="11">
        <f t="shared" si="102"/>
        <v>0</v>
      </c>
      <c r="AE26" s="11">
        <f t="shared" si="102"/>
        <v>0</v>
      </c>
    </row>
    <row r="27" spans="2:31" x14ac:dyDescent="0.25">
      <c r="B27" t="s">
        <v>228</v>
      </c>
      <c r="C27" s="10">
        <v>887</v>
      </c>
      <c r="D27" s="10">
        <v>1083</v>
      </c>
      <c r="E27" s="10">
        <v>3386</v>
      </c>
      <c r="F27" s="10">
        <v>3475</v>
      </c>
      <c r="G27" s="10">
        <v>3485</v>
      </c>
      <c r="H27" s="127">
        <f>AB27</f>
        <v>3517</v>
      </c>
      <c r="I27" s="40"/>
      <c r="J27" s="40"/>
      <c r="M27" s="10">
        <v>1133</v>
      </c>
      <c r="N27" s="10">
        <v>1119</v>
      </c>
      <c r="O27" s="10">
        <v>3369</v>
      </c>
      <c r="P27" s="10">
        <f>E27</f>
        <v>3386</v>
      </c>
      <c r="Q27" s="10">
        <v>3472</v>
      </c>
      <c r="R27" s="10">
        <v>3464</v>
      </c>
      <c r="S27" s="10">
        <v>3468</v>
      </c>
      <c r="T27" s="10">
        <f>F27</f>
        <v>3475</v>
      </c>
      <c r="U27" s="10">
        <v>3468</v>
      </c>
      <c r="V27" s="10">
        <v>3478</v>
      </c>
      <c r="W27" s="10">
        <v>3493</v>
      </c>
      <c r="X27" s="10">
        <v>3492</v>
      </c>
      <c r="Y27" s="10">
        <v>3484</v>
      </c>
      <c r="Z27" s="10">
        <v>3481</v>
      </c>
      <c r="AA27" s="10">
        <v>3497</v>
      </c>
      <c r="AB27" s="15">
        <v>3517</v>
      </c>
      <c r="AC27" s="10"/>
      <c r="AD27" s="10"/>
      <c r="AE27" s="10"/>
    </row>
    <row r="28" spans="2:31" s="1" customFormat="1" x14ac:dyDescent="0.25">
      <c r="B28" s="1" t="s">
        <v>229</v>
      </c>
      <c r="C28" s="2">
        <f t="shared" ref="C28:H28" si="103">C26/C27</f>
        <v>-0.971815107102593</v>
      </c>
      <c r="D28" s="2">
        <f t="shared" si="103"/>
        <v>0.66574330563250228</v>
      </c>
      <c r="E28" s="2">
        <f t="shared" si="103"/>
        <v>1.6299468399291199</v>
      </c>
      <c r="F28" s="2">
        <f t="shared" si="103"/>
        <v>3.6132374100719424</v>
      </c>
      <c r="G28" s="124">
        <f t="shared" si="103"/>
        <v>4.3032998565279774</v>
      </c>
      <c r="H28" s="48">
        <f t="shared" si="103"/>
        <v>2.004833665055445</v>
      </c>
      <c r="I28" s="124" t="e">
        <f t="shared" ref="I28:J28" si="104">I26/I27</f>
        <v>#DIV/0!</v>
      </c>
      <c r="J28" s="124" t="e">
        <f t="shared" si="104"/>
        <v>#DIV/0!</v>
      </c>
      <c r="M28" s="2">
        <f t="shared" ref="M28:V28" si="105">M26/M27</f>
        <v>0.38658428949691087</v>
      </c>
      <c r="N28" s="2">
        <f t="shared" si="105"/>
        <v>1.0205540661304737</v>
      </c>
      <c r="O28" s="2">
        <f t="shared" si="105"/>
        <v>0.48026120510537251</v>
      </c>
      <c r="P28" s="2">
        <f t="shared" si="105"/>
        <v>0.68546958062610752</v>
      </c>
      <c r="Q28" s="2">
        <f t="shared" si="105"/>
        <v>0.95564516129032262</v>
      </c>
      <c r="R28" s="2">
        <f t="shared" si="105"/>
        <v>0.65213625866050806</v>
      </c>
      <c r="S28" s="2">
        <f t="shared" si="105"/>
        <v>0.94636678200692037</v>
      </c>
      <c r="T28" s="2">
        <f t="shared" si="105"/>
        <v>1.0638848920863309</v>
      </c>
      <c r="U28" s="2">
        <f t="shared" si="105"/>
        <v>0.7246251441753172</v>
      </c>
      <c r="V28" s="2">
        <f t="shared" si="105"/>
        <v>0.77717078780908566</v>
      </c>
      <c r="W28" s="2">
        <f t="shared" ref="W28:AB28" si="106">W26/W27</f>
        <v>0.52762668193529916</v>
      </c>
      <c r="X28" s="2">
        <f t="shared" si="106"/>
        <v>2.2731958762886597</v>
      </c>
      <c r="Y28" s="2">
        <f t="shared" si="106"/>
        <v>0.32405281285878301</v>
      </c>
      <c r="Z28" s="2">
        <f t="shared" si="106"/>
        <v>0.41309968399885089</v>
      </c>
      <c r="AA28" s="2">
        <f t="shared" si="106"/>
        <v>0.61967400629110669</v>
      </c>
      <c r="AB28" s="35">
        <f t="shared" si="106"/>
        <v>0.65880011373329539</v>
      </c>
      <c r="AC28" s="2"/>
      <c r="AD28" s="2"/>
      <c r="AE28" s="2"/>
    </row>
    <row r="29" spans="2:31" s="1" customFormat="1" x14ac:dyDescent="0.25">
      <c r="B29" s="9" t="s">
        <v>63</v>
      </c>
      <c r="C29" s="2"/>
      <c r="D29" s="2"/>
      <c r="E29" s="2"/>
      <c r="F29" s="2"/>
      <c r="G29" s="2"/>
      <c r="H29" s="128">
        <v>2.48</v>
      </c>
      <c r="I29" s="43">
        <v>2.94</v>
      </c>
      <c r="J29" s="43">
        <v>3.86</v>
      </c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4"/>
      <c r="Y29" s="119">
        <v>0.51</v>
      </c>
      <c r="Z29" s="122">
        <v>0.64</v>
      </c>
      <c r="AA29" s="123">
        <v>0.56999999999999995</v>
      </c>
      <c r="AB29" s="130">
        <v>0.74</v>
      </c>
      <c r="AC29" s="1">
        <v>0.52</v>
      </c>
      <c r="AD29" s="1">
        <v>0.68</v>
      </c>
    </row>
    <row r="30" spans="2:31" s="1" customFormat="1" x14ac:dyDescent="0.25">
      <c r="B30" t="s">
        <v>29</v>
      </c>
      <c r="C30" s="3">
        <f>1-C16/C9</f>
        <v>0.16555456098950283</v>
      </c>
      <c r="D30" s="3">
        <f>1-D16/D9</f>
        <v>0.2102359208523592</v>
      </c>
      <c r="E30" s="3">
        <f>1-E16/E9</f>
        <v>0.25279155751258753</v>
      </c>
      <c r="F30" s="3">
        <f>1-F16/F9</f>
        <v>0.25598438535759005</v>
      </c>
      <c r="G30" s="39">
        <f>1-G16/G9</f>
        <v>0.18248891736331418</v>
      </c>
      <c r="H30" s="6">
        <f t="shared" ref="H30:J30" si="107">1-H16/H9</f>
        <v>0.17862626676220694</v>
      </c>
      <c r="I30" s="39" t="e">
        <f t="shared" si="107"/>
        <v>#DIV/0!</v>
      </c>
      <c r="J30" s="39" t="e">
        <f t="shared" si="107"/>
        <v>#DIV/0!</v>
      </c>
      <c r="M30" s="3">
        <f t="shared" ref="M30:Y30" si="108">1-M16/M9</f>
        <v>0.21320627586870733</v>
      </c>
      <c r="N30" s="3">
        <f t="shared" si="108"/>
        <v>0.24117745442381666</v>
      </c>
      <c r="O30" s="3">
        <f t="shared" si="108"/>
        <v>0.26604637639020134</v>
      </c>
      <c r="P30" s="3">
        <f t="shared" si="108"/>
        <v>0.27354816863254139</v>
      </c>
      <c r="Q30" s="3">
        <f t="shared" si="108"/>
        <v>0.29110684580934099</v>
      </c>
      <c r="R30" s="3">
        <f t="shared" si="108"/>
        <v>0.25002952639659859</v>
      </c>
      <c r="S30" s="3">
        <f t="shared" si="108"/>
        <v>0.25086231005873028</v>
      </c>
      <c r="T30" s="3">
        <f t="shared" si="108"/>
        <v>0.23756065465910026</v>
      </c>
      <c r="U30" s="3">
        <f t="shared" si="108"/>
        <v>0.19336448197522393</v>
      </c>
      <c r="V30" s="3">
        <f t="shared" si="108"/>
        <v>0.18185100493440842</v>
      </c>
      <c r="W30" s="3">
        <f t="shared" si="108"/>
        <v>0.17892933618843687</v>
      </c>
      <c r="X30" s="39">
        <f t="shared" si="108"/>
        <v>0.17634203520483172</v>
      </c>
      <c r="Y30" s="39">
        <f t="shared" si="108"/>
        <v>0.17351298061123888</v>
      </c>
      <c r="Z30" s="39">
        <f t="shared" ref="Z30:AB30" si="109">1-Z16/Z9</f>
        <v>0.17952941176470594</v>
      </c>
      <c r="AA30" s="39">
        <f t="shared" si="109"/>
        <v>0.19843539035819235</v>
      </c>
      <c r="AB30" s="6">
        <f t="shared" si="109"/>
        <v>0.16256272610572997</v>
      </c>
      <c r="AC30" s="39" t="e">
        <f t="shared" ref="AC30:AE30" si="110">1-AC16/AC9</f>
        <v>#DIV/0!</v>
      </c>
      <c r="AD30" s="39" t="e">
        <f t="shared" si="110"/>
        <v>#DIV/0!</v>
      </c>
      <c r="AE30" s="39" t="e">
        <f t="shared" si="110"/>
        <v>#DIV/0!</v>
      </c>
    </row>
    <row r="31" spans="2:31" x14ac:dyDescent="0.25">
      <c r="B31" t="s">
        <v>30</v>
      </c>
      <c r="C31" s="4">
        <f>C26/C9</f>
        <v>-3.5072015623728539E-2</v>
      </c>
      <c r="D31" s="4">
        <f>D26/D9</f>
        <v>2.2862760020294266E-2</v>
      </c>
      <c r="E31" s="4">
        <f>E26/E9</f>
        <v>0.10253980640246735</v>
      </c>
      <c r="F31" s="4">
        <f>F26/F9</f>
        <v>0.15413321548697553</v>
      </c>
      <c r="G31" s="4">
        <f>G26/G9</f>
        <v>0.15497091130790613</v>
      </c>
      <c r="H31" s="140">
        <f t="shared" ref="H31:J31" si="111">H26/H9</f>
        <v>7.2177295526665991E-2</v>
      </c>
      <c r="I31" s="138" t="e">
        <f>I26/I9</f>
        <v>#DIV/0!</v>
      </c>
      <c r="J31" s="138" t="e">
        <f t="shared" si="111"/>
        <v>#DIV/0!</v>
      </c>
      <c r="M31" s="4">
        <f t="shared" ref="M31:Y31" si="112">M26/M9</f>
        <v>4.2159976898642794E-2</v>
      </c>
      <c r="N31" s="4">
        <f t="shared" si="112"/>
        <v>9.5500919886268604E-2</v>
      </c>
      <c r="O31" s="4">
        <f t="shared" si="112"/>
        <v>0.11761285163916552</v>
      </c>
      <c r="P31" s="4">
        <f t="shared" si="112"/>
        <v>0.13098933348383091</v>
      </c>
      <c r="Q31" s="4">
        <f t="shared" si="112"/>
        <v>0.17690339091490723</v>
      </c>
      <c r="R31" s="4">
        <f t="shared" si="112"/>
        <v>0.13340025983229006</v>
      </c>
      <c r="S31" s="4">
        <f t="shared" si="112"/>
        <v>0.15297846555420899</v>
      </c>
      <c r="T31" s="4">
        <f t="shared" si="112"/>
        <v>0.1520273048770458</v>
      </c>
      <c r="U31" s="4">
        <f t="shared" si="112"/>
        <v>0.10772000514381243</v>
      </c>
      <c r="V31" s="4">
        <f t="shared" si="112"/>
        <v>0.10843663497412444</v>
      </c>
      <c r="W31" s="4">
        <f t="shared" si="112"/>
        <v>7.8929336188436824E-2</v>
      </c>
      <c r="X31" s="4">
        <f t="shared" si="112"/>
        <v>0.31541304088687566</v>
      </c>
      <c r="Y31" s="4">
        <f t="shared" si="112"/>
        <v>5.3002206469179851E-2</v>
      </c>
      <c r="Z31" s="4">
        <f t="shared" ref="Z31:AB31" si="113">Z26/Z9</f>
        <v>5.6392156862745096E-2</v>
      </c>
      <c r="AA31" s="4">
        <f t="shared" si="113"/>
        <v>8.6053530299420214E-2</v>
      </c>
      <c r="AB31" s="7">
        <f t="shared" si="113"/>
        <v>9.0131092698486792E-2</v>
      </c>
      <c r="AC31" s="4" t="e">
        <f t="shared" ref="AC31:AE31" si="114">AC26/AC9</f>
        <v>#DIV/0!</v>
      </c>
      <c r="AD31" s="4" t="e">
        <f t="shared" si="114"/>
        <v>#DIV/0!</v>
      </c>
      <c r="AE31" s="4" t="e">
        <f t="shared" si="114"/>
        <v>#DIV/0!</v>
      </c>
    </row>
    <row r="32" spans="2:31" x14ac:dyDescent="0.25">
      <c r="B32" t="s">
        <v>31</v>
      </c>
      <c r="C32" s="3"/>
      <c r="D32" s="3">
        <f>D9/C9-1</f>
        <v>0.28309870615998056</v>
      </c>
      <c r="E32" s="3">
        <f>E9/D9-1</f>
        <v>0.70671613394216126</v>
      </c>
      <c r="F32" s="39">
        <f>F9/E9-1</f>
        <v>0.51351652639206291</v>
      </c>
      <c r="G32" s="39">
        <f>G9/F9-1</f>
        <v>0.18795266504627928</v>
      </c>
      <c r="H32" s="141">
        <f t="shared" ref="H32" si="115">H9/G9-1</f>
        <v>9.4757835346634955E-3</v>
      </c>
      <c r="I32" s="139">
        <f>I10/H9-1</f>
        <v>0.15528713276691586</v>
      </c>
      <c r="J32" s="139">
        <f>J10/I10-1</f>
        <v>0.1912989544568493</v>
      </c>
      <c r="M32" s="4"/>
      <c r="N32" s="4"/>
      <c r="O32" s="4"/>
      <c r="P32" s="4"/>
      <c r="Q32" s="4">
        <f t="shared" ref="Q32:X32" si="116">Q9/M9-1</f>
        <v>0.80537106555010096</v>
      </c>
      <c r="R32" s="4">
        <f t="shared" si="116"/>
        <v>0.41612309750794441</v>
      </c>
      <c r="S32" s="4">
        <f t="shared" si="116"/>
        <v>0.55949698335392894</v>
      </c>
      <c r="T32" s="4">
        <f t="shared" si="116"/>
        <v>0.37242508042214562</v>
      </c>
      <c r="U32" s="4">
        <f t="shared" si="116"/>
        <v>0.24381531243335464</v>
      </c>
      <c r="V32" s="4">
        <f t="shared" si="116"/>
        <v>0.47200897602456604</v>
      </c>
      <c r="W32" s="4">
        <f t="shared" si="116"/>
        <v>8.8375128181224838E-2</v>
      </c>
      <c r="X32" s="4">
        <f t="shared" si="116"/>
        <v>3.4912410560078877E-2</v>
      </c>
      <c r="Y32" s="133">
        <f>Y10/U9-1</f>
        <v>-4.2393587380513575E-2</v>
      </c>
      <c r="Z32" s="133">
        <f t="shared" ref="Z32:AC32" si="117">Z10/V9-1</f>
        <v>1.3359008304248299E-2</v>
      </c>
      <c r="AA32" s="133">
        <f t="shared" si="117"/>
        <v>8.5224839400428243E-2</v>
      </c>
      <c r="AB32" s="134">
        <f>AB10/X9-1</f>
        <v>8.7535264433583615E-2</v>
      </c>
      <c r="AC32" s="4">
        <f t="shared" si="117"/>
        <v>0.12529928172386273</v>
      </c>
      <c r="AD32" s="4">
        <f t="shared" ref="AD32" si="118">AD10/Z9-1</f>
        <v>7.0588235294117618E-2</v>
      </c>
      <c r="AE32" s="4">
        <f t="shared" ref="AE32" si="119">AE10/AA9-1</f>
        <v>-1</v>
      </c>
    </row>
    <row r="33" spans="2:31" x14ac:dyDescent="0.25">
      <c r="B33" t="s">
        <v>132</v>
      </c>
      <c r="C33" s="4">
        <f>C17/C9</f>
        <v>5.4642363088941333E-2</v>
      </c>
      <c r="D33" s="4">
        <f>D17/D9</f>
        <v>4.7279299847792999E-2</v>
      </c>
      <c r="E33" s="4">
        <f>E17/E9</f>
        <v>4.817643015067908E-2</v>
      </c>
      <c r="F33" s="4">
        <f>F17/F9</f>
        <v>3.7747661486337188E-2</v>
      </c>
      <c r="G33" s="4">
        <f>G17/G9</f>
        <v>4.1013505833238609E-2</v>
      </c>
      <c r="H33" s="7">
        <f t="shared" ref="H33:J33" si="120">H17/H9</f>
        <v>4.6473538745009722E-2</v>
      </c>
      <c r="I33" s="4" t="e">
        <f t="shared" si="120"/>
        <v>#DIV/0!</v>
      </c>
      <c r="J33" s="4" t="e">
        <f t="shared" si="120"/>
        <v>#DIV/0!</v>
      </c>
      <c r="M33" s="4">
        <f t="shared" ref="M33:Y33" si="121">M17/M9</f>
        <v>6.410626624314178E-2</v>
      </c>
      <c r="N33" s="4">
        <f t="shared" si="121"/>
        <v>4.8168590065228299E-2</v>
      </c>
      <c r="O33" s="4">
        <f t="shared" si="121"/>
        <v>4.4413752998473506E-2</v>
      </c>
      <c r="P33" s="4">
        <f t="shared" si="121"/>
        <v>4.176307918054066E-2</v>
      </c>
      <c r="Q33" s="4">
        <f t="shared" si="121"/>
        <v>4.6118575389208785E-2</v>
      </c>
      <c r="R33" s="4">
        <f t="shared" si="121"/>
        <v>3.9388213062477855E-2</v>
      </c>
      <c r="S33" s="4">
        <f t="shared" si="121"/>
        <v>3.4166122867530534E-2</v>
      </c>
      <c r="T33" s="4">
        <f t="shared" si="121"/>
        <v>3.3308660251665435E-2</v>
      </c>
      <c r="U33" s="4">
        <f t="shared" si="121"/>
        <v>3.3048994813322477E-2</v>
      </c>
      <c r="V33" s="4">
        <f t="shared" si="121"/>
        <v>3.7830464957676418E-2</v>
      </c>
      <c r="W33" s="4">
        <f t="shared" si="121"/>
        <v>4.9721627408993579E-2</v>
      </c>
      <c r="X33" s="4">
        <f t="shared" si="121"/>
        <v>4.3469622918901739E-2</v>
      </c>
      <c r="Y33" s="4">
        <f t="shared" si="121"/>
        <v>5.4035021829961033E-2</v>
      </c>
      <c r="Z33" s="4">
        <f t="shared" ref="Z33:AB33" si="122">Z17/Z9</f>
        <v>4.211764705882353E-2</v>
      </c>
      <c r="AA33" s="4">
        <f t="shared" si="122"/>
        <v>4.1259629894368995E-2</v>
      </c>
      <c r="AB33" s="7">
        <f t="shared" si="122"/>
        <v>4.9636285836542574E-2</v>
      </c>
      <c r="AC33" s="4" t="e">
        <f t="shared" ref="AC33:AE33" si="123">AC17/AC9</f>
        <v>#DIV/0!</v>
      </c>
      <c r="AD33" s="4" t="e">
        <f t="shared" si="123"/>
        <v>#DIV/0!</v>
      </c>
      <c r="AE33" s="4" t="e">
        <f t="shared" si="123"/>
        <v>#DIV/0!</v>
      </c>
    </row>
    <row r="34" spans="2:31" x14ac:dyDescent="0.25">
      <c r="B34" t="s">
        <v>156</v>
      </c>
      <c r="C34" s="4">
        <f>C18/C9</f>
        <v>0.10765725445520384</v>
      </c>
      <c r="D34" s="4">
        <f>D18/D9</f>
        <v>9.9727295788939629E-2</v>
      </c>
      <c r="E34" s="4">
        <f>E18/E9</f>
        <v>8.3923229845976624E-2</v>
      </c>
      <c r="F34" s="4">
        <f>F18/F9</f>
        <v>4.8439763325231394E-2</v>
      </c>
      <c r="G34" s="4">
        <f>G18/G9</f>
        <v>4.9600611740878139E-2</v>
      </c>
      <c r="H34" s="7">
        <f t="shared" ref="H34:J34" si="124">H18/H9</f>
        <v>5.2717780734977994E-2</v>
      </c>
      <c r="I34" s="4" t="e">
        <f t="shared" si="124"/>
        <v>#DIV/0!</v>
      </c>
      <c r="J34" s="4" t="e">
        <f t="shared" si="124"/>
        <v>#DIV/0!</v>
      </c>
      <c r="M34" s="4">
        <f t="shared" ref="M34:Y34" si="125">M18/M9</f>
        <v>0.10164597170083742</v>
      </c>
      <c r="N34" s="4">
        <f t="shared" si="125"/>
        <v>8.1368121759491555E-2</v>
      </c>
      <c r="O34" s="4">
        <f t="shared" si="125"/>
        <v>7.2254125172639377E-2</v>
      </c>
      <c r="P34" s="4">
        <f t="shared" si="125"/>
        <v>8.4316270669902368E-2</v>
      </c>
      <c r="Q34" s="4">
        <f t="shared" si="125"/>
        <v>5.2889741949242911E-2</v>
      </c>
      <c r="R34" s="4">
        <f t="shared" si="125"/>
        <v>5.6749734262430615E-2</v>
      </c>
      <c r="S34" s="4">
        <f t="shared" si="125"/>
        <v>4.4793511699449985E-2</v>
      </c>
      <c r="T34" s="4">
        <f t="shared" si="125"/>
        <v>4.2437700468788551E-2</v>
      </c>
      <c r="U34" s="4">
        <f t="shared" si="125"/>
        <v>4.6122851386686099E-2</v>
      </c>
      <c r="V34" s="4">
        <f t="shared" si="125"/>
        <v>4.7779516187266821E-2</v>
      </c>
      <c r="W34" s="4">
        <f t="shared" si="125"/>
        <v>5.4089935760171307E-2</v>
      </c>
      <c r="X34" s="4">
        <f t="shared" si="125"/>
        <v>5.0462907776055943E-2</v>
      </c>
      <c r="Y34" s="4">
        <f t="shared" si="125"/>
        <v>6.4504013896061224E-2</v>
      </c>
      <c r="Z34" s="4">
        <f t="shared" ref="Z34:AB34" si="126">Z18/Z9</f>
        <v>5.0078431372549019E-2</v>
      </c>
      <c r="AA34" s="4">
        <f t="shared" si="126"/>
        <v>4.7097132872686839E-2</v>
      </c>
      <c r="AB34" s="7">
        <f t="shared" si="126"/>
        <v>5.1075582526160193E-2</v>
      </c>
      <c r="AC34" s="4" t="e">
        <f t="shared" ref="AC34:AE34" si="127">AC18/AC9</f>
        <v>#DIV/0!</v>
      </c>
      <c r="AD34" s="4" t="e">
        <f t="shared" si="127"/>
        <v>#DIV/0!</v>
      </c>
      <c r="AE34" s="4" t="e">
        <f t="shared" si="127"/>
        <v>#DIV/0!</v>
      </c>
    </row>
    <row r="35" spans="2:31" x14ac:dyDescent="0.25">
      <c r="B35" t="s">
        <v>157</v>
      </c>
      <c r="C35" s="4"/>
      <c r="D35" s="4">
        <f t="shared" ref="D35" si="128">D3/C3-1</f>
        <v>0.27099907015187519</v>
      </c>
      <c r="E35" s="4">
        <f t="shared" ref="E35:G36" si="129">E3/D3-1</f>
        <v>0.79340757600390188</v>
      </c>
      <c r="F35" s="4">
        <f t="shared" si="129"/>
        <v>0.52317280453257786</v>
      </c>
      <c r="G35" s="4">
        <f t="shared" si="129"/>
        <v>0.16811486385954466</v>
      </c>
      <c r="H35" s="7">
        <f t="shared" ref="H35:H36" si="130">H3/G3-1</f>
        <v>-7.6793743392477243E-2</v>
      </c>
      <c r="I35" s="4">
        <f t="shared" ref="I35:I36" si="131">I3/H3-1</f>
        <v>-1</v>
      </c>
      <c r="J35" s="4" t="e">
        <f t="shared" ref="J35:J36" si="132">J3/I3-1</f>
        <v>#DIV/0!</v>
      </c>
      <c r="M35" s="4"/>
      <c r="N35" s="4"/>
      <c r="O35" s="4"/>
      <c r="P35" s="4"/>
      <c r="Q35" s="4">
        <f>Q3/M3-1</f>
        <v>0.89495541712470983</v>
      </c>
      <c r="R35" s="4">
        <f t="shared" ref="R35:X35" si="133">R3/N3-1</f>
        <v>0.43592436974789917</v>
      </c>
      <c r="S35" s="4">
        <f t="shared" si="133"/>
        <v>0.561046256473273</v>
      </c>
      <c r="T35" s="4">
        <f t="shared" si="133"/>
        <v>0.34715474209650576</v>
      </c>
      <c r="U35" s="4">
        <f t="shared" si="133"/>
        <v>0.21683640582699493</v>
      </c>
      <c r="V35" s="4">
        <f t="shared" si="133"/>
        <v>0.49370885149963417</v>
      </c>
      <c r="W35" s="4">
        <f t="shared" si="133"/>
        <v>4.4813044700590332E-2</v>
      </c>
      <c r="X35" s="4">
        <f t="shared" si="133"/>
        <v>1.9218418062348697E-2</v>
      </c>
      <c r="Y35" s="131">
        <f>Y3/U3-1</f>
        <v>-0.12808560228837795</v>
      </c>
      <c r="Z35" s="131">
        <f t="shared" ref="Z35:Z36" si="134">Z3/V3-1</f>
        <v>-9.2511876193741127E-2</v>
      </c>
      <c r="AA35" s="131">
        <f t="shared" ref="AA35:AA36" si="135">AA3/W3-1</f>
        <v>1.3400064578624526E-2</v>
      </c>
      <c r="AB35" s="132">
        <f t="shared" ref="AB35:AC36" si="136">AB3/X3-1</f>
        <v>-9.5540475036354877E-2</v>
      </c>
      <c r="AC35" s="4">
        <f t="shared" si="136"/>
        <v>-1</v>
      </c>
      <c r="AD35" s="4">
        <f t="shared" ref="AD35:AD36" si="137">AD3/Z3-1</f>
        <v>-1</v>
      </c>
      <c r="AE35" s="4">
        <f t="shared" ref="AE35:AE36" si="138">AE3/AA3-1</f>
        <v>-1</v>
      </c>
    </row>
    <row r="36" spans="2:31" x14ac:dyDescent="0.25">
      <c r="B36" t="s">
        <v>158</v>
      </c>
      <c r="C36" s="4"/>
      <c r="D36" s="4">
        <f t="shared" ref="D36" si="139">D4/C4-1</f>
        <v>1.65993265993266</v>
      </c>
      <c r="E36" s="4">
        <f t="shared" si="129"/>
        <v>-7.2784810126582333E-2</v>
      </c>
      <c r="F36" s="4">
        <f t="shared" si="129"/>
        <v>0.21228668941979523</v>
      </c>
      <c r="G36" s="4">
        <f t="shared" si="129"/>
        <v>7.8828828828829689E-3</v>
      </c>
      <c r="H36" s="7">
        <f t="shared" si="130"/>
        <v>0.54357541899441331</v>
      </c>
      <c r="I36" s="4">
        <f t="shared" si="131"/>
        <v>-1</v>
      </c>
      <c r="J36" s="4" t="e">
        <f t="shared" si="132"/>
        <v>#DIV/0!</v>
      </c>
      <c r="M36" s="4"/>
      <c r="N36" s="4"/>
      <c r="O36" s="4"/>
      <c r="P36" s="4"/>
      <c r="Q36" s="4">
        <f>Q4/M4-1</f>
        <v>0.31081081081081074</v>
      </c>
      <c r="R36" s="4">
        <f t="shared" ref="R36:X36" si="140">R4/N4-1</f>
        <v>-2.8248587570621431E-2</v>
      </c>
      <c r="S36" s="4">
        <f t="shared" si="140"/>
        <v>2.5089605734766929E-2</v>
      </c>
      <c r="T36" s="4">
        <f t="shared" si="140"/>
        <v>0.48726114649681529</v>
      </c>
      <c r="U36" s="4">
        <f t="shared" si="140"/>
        <v>-0.23269513991163471</v>
      </c>
      <c r="V36" s="4">
        <f t="shared" si="140"/>
        <v>-0.18023255813953487</v>
      </c>
      <c r="W36" s="4">
        <f t="shared" si="140"/>
        <v>0.93706293706293708</v>
      </c>
      <c r="X36" s="4">
        <f t="shared" si="140"/>
        <v>-7.2805139186295498E-2</v>
      </c>
      <c r="Y36" s="4">
        <f>Y4/U4-1</f>
        <v>-0.15163147792706333</v>
      </c>
      <c r="Z36" s="4">
        <f t="shared" si="134"/>
        <v>2.1560283687943262</v>
      </c>
      <c r="AA36" s="4">
        <f t="shared" si="135"/>
        <v>0.3339350180505416</v>
      </c>
      <c r="AB36" s="7">
        <f t="shared" si="136"/>
        <v>0.59815242494226317</v>
      </c>
      <c r="AC36" s="4">
        <f t="shared" si="136"/>
        <v>-1</v>
      </c>
      <c r="AD36" s="4">
        <f t="shared" si="137"/>
        <v>-1</v>
      </c>
      <c r="AE36" s="4">
        <f t="shared" si="138"/>
        <v>-1</v>
      </c>
    </row>
    <row r="37" spans="2:31" x14ac:dyDescent="0.25">
      <c r="B37" t="s">
        <v>233</v>
      </c>
      <c r="C37" s="3"/>
      <c r="D37" s="39">
        <f>D28/C28-1</f>
        <v>-1.6850514061438857</v>
      </c>
      <c r="E37" s="39">
        <f>E28/D28-1</f>
        <v>1.4483112727368059</v>
      </c>
      <c r="F37" s="39">
        <f>F28/E28-1</f>
        <v>1.2167823646500446</v>
      </c>
      <c r="G37" s="39">
        <f>G28/F28-1</f>
        <v>0.19098176182181592</v>
      </c>
      <c r="H37" s="6">
        <f>H28/G28-1</f>
        <v>-0.53411713524583415</v>
      </c>
      <c r="I37" s="139">
        <f>I29/H29-1</f>
        <v>0.18548387096774199</v>
      </c>
      <c r="J37" s="139">
        <f>J29/I29-1</f>
        <v>0.31292517006802711</v>
      </c>
      <c r="M37" s="4"/>
      <c r="N37" s="4"/>
      <c r="O37" s="4"/>
      <c r="P37" s="4"/>
      <c r="Q37" s="4">
        <f>Q28/M28-1</f>
        <v>1.4720227574016791</v>
      </c>
      <c r="R37" s="4">
        <f t="shared" ref="R37:AA37" si="141">R28/N28-1</f>
        <v>-0.36099783411461606</v>
      </c>
      <c r="S37" s="4">
        <f t="shared" si="141"/>
        <v>0.97052514745445895</v>
      </c>
      <c r="T37" s="4">
        <f t="shared" si="141"/>
        <v>0.55205266893766325</v>
      </c>
      <c r="U37" s="4">
        <f t="shared" si="141"/>
        <v>-0.24174246516675668</v>
      </c>
      <c r="V37" s="4">
        <f t="shared" si="141"/>
        <v>0.19173068126191795</v>
      </c>
      <c r="W37" s="131">
        <f t="shared" si="141"/>
        <v>-0.44247125747970217</v>
      </c>
      <c r="X37" s="131">
        <f t="shared" si="141"/>
        <v>1.1366934460652134</v>
      </c>
      <c r="Y37" s="131">
        <f t="shared" si="141"/>
        <v>-0.55279938121995253</v>
      </c>
      <c r="Z37" s="131">
        <f t="shared" si="141"/>
        <v>-0.46845701037809717</v>
      </c>
      <c r="AA37" s="131">
        <f t="shared" si="141"/>
        <v>0.1744554009630146</v>
      </c>
      <c r="AB37" s="132">
        <f>AB28/X28-1</f>
        <v>-0.71018770506970674</v>
      </c>
      <c r="AC37" s="4">
        <f>AC29/Y28-1</f>
        <v>0.60467670504871562</v>
      </c>
      <c r="AD37" s="4">
        <f>AD29/Z28-1</f>
        <v>0.64609179415855378</v>
      </c>
      <c r="AE37" s="4">
        <f t="shared" ref="AE37" si="142">AE26/AA26-1</f>
        <v>-1</v>
      </c>
    </row>
    <row r="38" spans="2:31" x14ac:dyDescent="0.25">
      <c r="B38" s="9" t="s">
        <v>159</v>
      </c>
      <c r="C38" s="116">
        <f t="shared" ref="C38:G39" si="143">1-C11/C3</f>
        <v>0.17661948548403761</v>
      </c>
      <c r="D38" s="116">
        <f t="shared" si="143"/>
        <v>0.19947975938871731</v>
      </c>
      <c r="E38" s="116">
        <f t="shared" si="143"/>
        <v>0.26538243626062319</v>
      </c>
      <c r="F38" s="116">
        <f t="shared" si="143"/>
        <v>0.26202945990180038</v>
      </c>
      <c r="G38" s="118">
        <f t="shared" si="143"/>
        <v>0.17052821969455734</v>
      </c>
      <c r="H38" s="117">
        <f t="shared" ref="H38:J38" si="144">1-H11/H3</f>
        <v>0.14638520971302427</v>
      </c>
      <c r="I38" s="118" t="e">
        <f t="shared" si="144"/>
        <v>#DIV/0!</v>
      </c>
      <c r="J38" s="118" t="e">
        <f t="shared" si="144"/>
        <v>#DIV/0!</v>
      </c>
      <c r="M38" s="116">
        <f>1-M11/M3</f>
        <v>0.21131061438866494</v>
      </c>
      <c r="N38" s="116">
        <f t="shared" ref="N38:Y38" si="145">1-N11/N3</f>
        <v>0.25220588235294117</v>
      </c>
      <c r="O38" s="116">
        <f t="shared" si="145"/>
        <v>0.28464846835776358</v>
      </c>
      <c r="P38" s="116">
        <f t="shared" si="145"/>
        <v>0.28858569051580696</v>
      </c>
      <c r="Q38" s="116">
        <f t="shared" si="145"/>
        <v>0.29650638133298957</v>
      </c>
      <c r="R38" s="116">
        <f t="shared" si="145"/>
        <v>0.25727871250914414</v>
      </c>
      <c r="S38" s="116">
        <f t="shared" si="145"/>
        <v>0.26348046106269329</v>
      </c>
      <c r="T38" s="116">
        <f t="shared" si="145"/>
        <v>0.23753767106368262</v>
      </c>
      <c r="U38" s="116">
        <f t="shared" si="145"/>
        <v>0.1830702404915775</v>
      </c>
      <c r="V38" s="116">
        <f t="shared" si="145"/>
        <v>0.17522895342573097</v>
      </c>
      <c r="W38" s="135">
        <f t="shared" si="145"/>
        <v>0.15746421267893662</v>
      </c>
      <c r="X38" s="136">
        <f t="shared" si="145"/>
        <v>0.16616577799321375</v>
      </c>
      <c r="Y38" s="136">
        <f t="shared" si="145"/>
        <v>0.15571081409477516</v>
      </c>
      <c r="Z38" s="136">
        <f t="shared" ref="Z38:AB38" si="146">1-Z11/Z3</f>
        <v>0.1385860766324879</v>
      </c>
      <c r="AA38" s="136">
        <f t="shared" si="146"/>
        <v>0.16398491848547603</v>
      </c>
      <c r="AB38" s="137">
        <f t="shared" si="146"/>
        <v>0.12814191542955145</v>
      </c>
      <c r="AC38" s="118" t="e">
        <f t="shared" ref="AC38:AE38" si="147">1-AC11/AC3</f>
        <v>#DIV/0!</v>
      </c>
      <c r="AD38" s="118" t="e">
        <f t="shared" si="147"/>
        <v>#DIV/0!</v>
      </c>
      <c r="AE38" s="118" t="e">
        <f t="shared" si="147"/>
        <v>#DIV/0!</v>
      </c>
    </row>
    <row r="39" spans="2:31" x14ac:dyDescent="0.25">
      <c r="B39" s="9" t="s">
        <v>160</v>
      </c>
      <c r="C39" s="116">
        <f t="shared" si="143"/>
        <v>0.22727272727272729</v>
      </c>
      <c r="D39" s="116">
        <f t="shared" si="143"/>
        <v>0.64367088607594936</v>
      </c>
      <c r="E39" s="116">
        <f t="shared" si="143"/>
        <v>0.33242320819112625</v>
      </c>
      <c r="F39" s="116">
        <f t="shared" si="143"/>
        <v>0.15033783783783783</v>
      </c>
      <c r="G39" s="118">
        <f t="shared" si="143"/>
        <v>0.29162011173184355</v>
      </c>
      <c r="H39" s="117">
        <f t="shared" ref="H39:J39" si="148">1-H12/H4</f>
        <v>0.63698878031125594</v>
      </c>
      <c r="I39" s="118" t="e">
        <f t="shared" si="148"/>
        <v>#DIV/0!</v>
      </c>
      <c r="J39" s="118" t="e">
        <f t="shared" si="148"/>
        <v>#DIV/0!</v>
      </c>
      <c r="M39" s="116">
        <f>1-M12/M4</f>
        <v>0.69111969111969107</v>
      </c>
      <c r="N39" s="116">
        <f t="shared" ref="N39:Y39" si="149">1-N12/N4</f>
        <v>0.46892655367231639</v>
      </c>
      <c r="O39" s="116">
        <f t="shared" si="149"/>
        <v>0.16129032258064513</v>
      </c>
      <c r="P39" s="116">
        <f t="shared" si="149"/>
        <v>-0.26114649681528657</v>
      </c>
      <c r="Q39" s="116">
        <f t="shared" si="149"/>
        <v>0.39911634756995584</v>
      </c>
      <c r="R39" s="116">
        <f t="shared" si="149"/>
        <v>-6.9767441860465018E-2</v>
      </c>
      <c r="S39" s="116">
        <f t="shared" si="149"/>
        <v>-0.33216783216783208</v>
      </c>
      <c r="T39" s="116">
        <f t="shared" si="149"/>
        <v>0.24625267665952888</v>
      </c>
      <c r="U39" s="116">
        <f t="shared" si="149"/>
        <v>0.36084452975047987</v>
      </c>
      <c r="V39" s="116">
        <f t="shared" si="149"/>
        <v>-0.19858156028368801</v>
      </c>
      <c r="W39" s="116">
        <f t="shared" si="149"/>
        <v>0.45667870036101088</v>
      </c>
      <c r="X39" s="118">
        <f t="shared" si="149"/>
        <v>0.31639722863741337</v>
      </c>
      <c r="Y39" s="118">
        <f t="shared" si="149"/>
        <v>0.39140271493212675</v>
      </c>
      <c r="Z39" s="118">
        <f t="shared" ref="Z39:AB39" si="150">1-Z12/Z4</f>
        <v>0.7247191011235955</v>
      </c>
      <c r="AA39" s="118">
        <f t="shared" si="150"/>
        <v>0.66576454668470908</v>
      </c>
      <c r="AB39" s="117">
        <f t="shared" si="150"/>
        <v>0.6502890173410405</v>
      </c>
      <c r="AC39" s="118" t="e">
        <f t="shared" ref="AC39:AE39" si="151">1-AC12/AC4</f>
        <v>#DIV/0!</v>
      </c>
      <c r="AD39" s="118" t="e">
        <f t="shared" si="151"/>
        <v>#DIV/0!</v>
      </c>
      <c r="AE39" s="118" t="e">
        <f t="shared" si="151"/>
        <v>#DIV/0!</v>
      </c>
    </row>
    <row r="40" spans="2:31" x14ac:dyDescent="0.25">
      <c r="B40" s="9" t="s">
        <v>161</v>
      </c>
      <c r="C40" s="116">
        <f t="shared" ref="C40:G41" si="152">1-C14/C7</f>
        <v>0.12410189418680606</v>
      </c>
      <c r="D40" s="116">
        <f t="shared" si="152"/>
        <v>9.0270812437311942E-3</v>
      </c>
      <c r="E40" s="116">
        <f t="shared" si="152"/>
        <v>-4.6253137325206195E-2</v>
      </c>
      <c r="F40" s="116">
        <f t="shared" si="152"/>
        <v>7.3676132003069883E-2</v>
      </c>
      <c r="G40" s="118">
        <f t="shared" si="152"/>
        <v>0.18906379453189726</v>
      </c>
      <c r="H40" s="117">
        <f t="shared" ref="H40:J40" si="153">1-H14/H7</f>
        <v>0.26174895895300421</v>
      </c>
      <c r="I40" s="118" t="e">
        <f t="shared" si="153"/>
        <v>#DIV/0!</v>
      </c>
      <c r="J40" s="118" t="e">
        <f t="shared" si="153"/>
        <v>#DIV/0!</v>
      </c>
      <c r="M40" s="116">
        <f>1-M14/M7</f>
        <v>-0.20445344129554655</v>
      </c>
      <c r="N40" s="116">
        <f t="shared" ref="N40:Y40" si="154">1-N14/N7</f>
        <v>2.4968789013732784E-2</v>
      </c>
      <c r="O40" s="116">
        <f t="shared" si="154"/>
        <v>3.7220843672456372E-3</v>
      </c>
      <c r="P40" s="116">
        <f t="shared" si="154"/>
        <v>-7.4127906976744207E-2</v>
      </c>
      <c r="Q40" s="116">
        <f t="shared" si="154"/>
        <v>-0.11688311688311681</v>
      </c>
      <c r="R40" s="116">
        <f t="shared" si="154"/>
        <v>0.11200923787528871</v>
      </c>
      <c r="S40" s="116">
        <f t="shared" si="154"/>
        <v>9.3106535362578291E-2</v>
      </c>
      <c r="T40" s="116">
        <f t="shared" si="154"/>
        <v>0.12137404580152666</v>
      </c>
      <c r="U40" s="116">
        <f t="shared" si="154"/>
        <v>0.1098757357750163</v>
      </c>
      <c r="V40" s="116">
        <f t="shared" si="154"/>
        <v>0.1842279655400928</v>
      </c>
      <c r="W40" s="116">
        <f t="shared" si="154"/>
        <v>0.24438742783835787</v>
      </c>
      <c r="X40" s="118">
        <f t="shared" si="154"/>
        <v>0.21835883171070936</v>
      </c>
      <c r="Y40" s="118">
        <f t="shared" si="154"/>
        <v>0.24648318042813455</v>
      </c>
      <c r="Z40" s="118">
        <f t="shared" ref="Z40:AB40" si="155">1-Z14/Z7</f>
        <v>0.24552090245520908</v>
      </c>
      <c r="AA40" s="118">
        <f t="shared" si="155"/>
        <v>0.30513468013468015</v>
      </c>
      <c r="AB40" s="117">
        <f t="shared" si="155"/>
        <v>0.25220516171185892</v>
      </c>
      <c r="AC40" s="118" t="e">
        <f t="shared" ref="AC40:AE40" si="156">1-AC14/AC7</f>
        <v>#DIV/0!</v>
      </c>
      <c r="AD40" s="118" t="e">
        <f t="shared" si="156"/>
        <v>#DIV/0!</v>
      </c>
      <c r="AE40" s="118" t="e">
        <f t="shared" si="156"/>
        <v>#DIV/0!</v>
      </c>
    </row>
    <row r="41" spans="2:31" x14ac:dyDescent="0.25">
      <c r="B41" s="9" t="s">
        <v>162</v>
      </c>
      <c r="C41" s="116">
        <f t="shared" si="152"/>
        <v>-0.24438454627133877</v>
      </c>
      <c r="D41" s="116">
        <f t="shared" si="152"/>
        <v>-0.15828274067649617</v>
      </c>
      <c r="E41" s="116">
        <f t="shared" si="152"/>
        <v>-2.7354024197790539E-2</v>
      </c>
      <c r="F41" s="116">
        <f t="shared" si="152"/>
        <v>3.464127401083561E-2</v>
      </c>
      <c r="G41" s="118">
        <f t="shared" si="152"/>
        <v>5.8781103498016574E-2</v>
      </c>
      <c r="H41" s="117">
        <f t="shared" ref="H41:J41" si="157">1-H15/H8</f>
        <v>5.8192519460793624E-2</v>
      </c>
      <c r="I41" s="118" t="e">
        <f t="shared" si="157"/>
        <v>#DIV/0!</v>
      </c>
      <c r="J41" s="118" t="e">
        <f t="shared" si="157"/>
        <v>#DIV/0!</v>
      </c>
      <c r="M41" s="116">
        <f>1-M15/M8</f>
        <v>-7.7267637178051407E-2</v>
      </c>
      <c r="N41" s="116">
        <f t="shared" ref="N41:Y41" si="158">1-N15/N8</f>
        <v>-3.6803364879074651E-2</v>
      </c>
      <c r="O41" s="116">
        <f t="shared" si="158"/>
        <v>-1.7897091722595126E-2</v>
      </c>
      <c r="P41" s="116">
        <f t="shared" si="158"/>
        <v>1.5037593984962405E-2</v>
      </c>
      <c r="Q41" s="116">
        <f t="shared" si="158"/>
        <v>-5.4730258014072941E-3</v>
      </c>
      <c r="R41" s="116">
        <f t="shared" si="158"/>
        <v>3.8199181446111896E-2</v>
      </c>
      <c r="S41" s="116">
        <f t="shared" si="158"/>
        <v>4.0121580547112456E-2</v>
      </c>
      <c r="T41" s="116">
        <f t="shared" si="158"/>
        <v>5.6437389770723101E-2</v>
      </c>
      <c r="U41" s="116">
        <f t="shared" si="158"/>
        <v>7.348938486663037E-2</v>
      </c>
      <c r="V41" s="116">
        <f t="shared" si="158"/>
        <v>7.720930232558143E-2</v>
      </c>
      <c r="W41" s="116">
        <f t="shared" si="158"/>
        <v>5.9556786703601095E-2</v>
      </c>
      <c r="X41" s="118">
        <f t="shared" si="158"/>
        <v>2.7239150507848531E-2</v>
      </c>
      <c r="Y41" s="118">
        <f t="shared" si="158"/>
        <v>3.5402097902097918E-2</v>
      </c>
      <c r="Z41" s="118">
        <f t="shared" ref="Z41:AB41" si="159">1-Z15/Z8</f>
        <v>6.4033742331288335E-2</v>
      </c>
      <c r="AA41" s="118">
        <f t="shared" si="159"/>
        <v>8.8172043010752654E-2</v>
      </c>
      <c r="AB41" s="117">
        <f t="shared" si="159"/>
        <v>4.1783707865168496E-2</v>
      </c>
      <c r="AC41" s="118" t="e">
        <f t="shared" ref="AC41:AE41" si="160">1-AC15/AC8</f>
        <v>#DIV/0!</v>
      </c>
      <c r="AD41" s="118" t="e">
        <f t="shared" si="160"/>
        <v>#DIV/0!</v>
      </c>
      <c r="AE41" s="118" t="e">
        <f t="shared" si="160"/>
        <v>#DIV/0!</v>
      </c>
    </row>
    <row r="42" spans="2:31" x14ac:dyDescent="0.25">
      <c r="B42" s="9"/>
    </row>
    <row r="44" spans="2:31" s="1" customFormat="1" x14ac:dyDescent="0.25">
      <c r="B44" s="1" t="s">
        <v>38</v>
      </c>
      <c r="C44" s="11">
        <f>C45+C46-C67</f>
        <v>0</v>
      </c>
      <c r="D44" s="11">
        <f>D45+D46-D65-D67</f>
        <v>7696</v>
      </c>
      <c r="E44" s="11">
        <f>E45+E46-E65-E67</f>
        <v>10873</v>
      </c>
      <c r="F44" s="11">
        <f>F45+F46-F65-F67</f>
        <v>19086</v>
      </c>
      <c r="G44" s="11">
        <f>G45+G46-G65-G67</f>
        <v>23864</v>
      </c>
      <c r="H44" s="14">
        <f t="shared" ref="H44:J44" si="161">H45+H46-H65-H67</f>
        <v>28350</v>
      </c>
      <c r="I44" s="11">
        <f t="shared" si="161"/>
        <v>0</v>
      </c>
      <c r="J44" s="11">
        <f t="shared" si="161"/>
        <v>0</v>
      </c>
      <c r="M44" s="11">
        <f>M45+M46-M67</f>
        <v>0</v>
      </c>
      <c r="N44" s="11">
        <f t="shared" ref="N44" si="162">N45+N46-N67</f>
        <v>0</v>
      </c>
      <c r="O44" s="11">
        <f t="shared" ref="O44:V44" si="163">O45+O46-O65-O67</f>
        <v>0</v>
      </c>
      <c r="P44" s="11">
        <f t="shared" si="163"/>
        <v>0</v>
      </c>
      <c r="Q44" s="11">
        <f t="shared" si="163"/>
        <v>13201</v>
      </c>
      <c r="R44" s="11">
        <f t="shared" si="163"/>
        <v>14485</v>
      </c>
      <c r="S44" s="11">
        <f t="shared" si="163"/>
        <v>17554</v>
      </c>
      <c r="T44" s="11">
        <f t="shared" si="163"/>
        <v>19086</v>
      </c>
      <c r="U44" s="11">
        <f t="shared" si="163"/>
        <v>19726</v>
      </c>
      <c r="V44" s="11">
        <f t="shared" si="163"/>
        <v>20744</v>
      </c>
      <c r="W44" s="11">
        <f>W45+W46-W65-W67</f>
        <v>21684</v>
      </c>
      <c r="X44" s="11">
        <f>X45+X46-X65-X67</f>
        <v>23864</v>
      </c>
      <c r="Y44" s="11">
        <f>Y45+Y46-Y65-Y67</f>
        <v>21503</v>
      </c>
      <c r="Z44" s="11">
        <f t="shared" ref="Z44:AB44" si="164">Z45+Z46-Z65-Z67</f>
        <v>22975</v>
      </c>
      <c r="AA44" s="11">
        <f t="shared" si="164"/>
        <v>25952</v>
      </c>
      <c r="AB44" s="14">
        <f t="shared" si="164"/>
        <v>28350</v>
      </c>
      <c r="AC44" s="11">
        <f t="shared" ref="AC44:AE44" si="165">AC45+AC46-AC65-AC67</f>
        <v>0</v>
      </c>
      <c r="AD44" s="11">
        <f t="shared" si="165"/>
        <v>0</v>
      </c>
      <c r="AE44" s="11">
        <f t="shared" si="165"/>
        <v>0</v>
      </c>
    </row>
    <row r="45" spans="2:31" x14ac:dyDescent="0.25">
      <c r="B45" t="s">
        <v>23</v>
      </c>
      <c r="C45" s="10"/>
      <c r="D45" s="10">
        <v>19384</v>
      </c>
      <c r="E45" s="10">
        <v>17576</v>
      </c>
      <c r="F45" s="10">
        <v>16253</v>
      </c>
      <c r="G45" s="10">
        <v>16398</v>
      </c>
      <c r="H45" s="15">
        <f>AB45</f>
        <v>36563</v>
      </c>
      <c r="M45" s="10"/>
      <c r="N45" s="10"/>
      <c r="O45" s="10"/>
      <c r="P45" s="10"/>
      <c r="Q45" s="10">
        <v>17505</v>
      </c>
      <c r="R45" s="10">
        <v>18324</v>
      </c>
      <c r="S45" s="10">
        <v>19532</v>
      </c>
      <c r="T45" s="10">
        <f>F45</f>
        <v>16253</v>
      </c>
      <c r="U45" s="10">
        <v>16048</v>
      </c>
      <c r="V45" s="10">
        <v>15296</v>
      </c>
      <c r="W45" s="10">
        <v>15932</v>
      </c>
      <c r="X45" s="10">
        <f>G45</f>
        <v>16398</v>
      </c>
      <c r="Y45" s="10">
        <v>26863</v>
      </c>
      <c r="Z45" s="10">
        <v>14635</v>
      </c>
      <c r="AA45" s="10">
        <v>18111</v>
      </c>
      <c r="AB45" s="15">
        <v>36563</v>
      </c>
      <c r="AC45" s="10"/>
      <c r="AD45" s="10"/>
      <c r="AE45" s="10"/>
    </row>
    <row r="46" spans="2:31" x14ac:dyDescent="0.25">
      <c r="B46" t="s">
        <v>133</v>
      </c>
      <c r="C46" s="10"/>
      <c r="D46" s="10">
        <v>0</v>
      </c>
      <c r="E46" s="10">
        <v>131</v>
      </c>
      <c r="F46" s="10">
        <v>5932</v>
      </c>
      <c r="G46" s="10">
        <v>12696</v>
      </c>
      <c r="H46" s="15">
        <f t="shared" ref="H46:H49" si="166">AB46</f>
        <v>0</v>
      </c>
      <c r="M46" s="10"/>
      <c r="N46" s="10"/>
      <c r="O46" s="10"/>
      <c r="P46" s="10"/>
      <c r="Q46" s="10">
        <v>508</v>
      </c>
      <c r="R46" s="10">
        <v>591</v>
      </c>
      <c r="S46" s="10">
        <v>1575</v>
      </c>
      <c r="T46" s="10">
        <f t="shared" ref="T46:T49" si="167">F46</f>
        <v>5932</v>
      </c>
      <c r="U46" s="10">
        <v>6354</v>
      </c>
      <c r="V46" s="10">
        <v>7779</v>
      </c>
      <c r="W46" s="10">
        <v>10145</v>
      </c>
      <c r="X46" s="10">
        <f t="shared" ref="X46:X49" si="168">G46</f>
        <v>12696</v>
      </c>
      <c r="Y46" s="10"/>
      <c r="Z46" s="10">
        <v>16085</v>
      </c>
      <c r="AA46" s="10">
        <v>15537</v>
      </c>
      <c r="AB46" s="15"/>
      <c r="AC46" s="10"/>
      <c r="AD46" s="10"/>
      <c r="AE46" s="10"/>
    </row>
    <row r="47" spans="2:31" x14ac:dyDescent="0.25">
      <c r="B47" t="s">
        <v>24</v>
      </c>
      <c r="C47" s="10"/>
      <c r="D47" s="10">
        <v>1886</v>
      </c>
      <c r="E47" s="10">
        <v>1913</v>
      </c>
      <c r="F47" s="10">
        <v>2952</v>
      </c>
      <c r="G47" s="10">
        <v>3508</v>
      </c>
      <c r="H47" s="15">
        <f t="shared" si="166"/>
        <v>4418</v>
      </c>
      <c r="M47" s="10"/>
      <c r="N47" s="10"/>
      <c r="O47" s="10"/>
      <c r="P47" s="10"/>
      <c r="Q47" s="10">
        <v>2311</v>
      </c>
      <c r="R47" s="10">
        <v>2081</v>
      </c>
      <c r="S47" s="10">
        <v>2192</v>
      </c>
      <c r="T47" s="10">
        <f t="shared" si="167"/>
        <v>2952</v>
      </c>
      <c r="U47" s="10">
        <v>2993</v>
      </c>
      <c r="V47" s="10">
        <v>3447</v>
      </c>
      <c r="W47" s="10">
        <v>2520</v>
      </c>
      <c r="X47" s="10">
        <f t="shared" si="168"/>
        <v>3508</v>
      </c>
      <c r="Y47" s="10">
        <v>3887</v>
      </c>
      <c r="Z47" s="10">
        <v>3737</v>
      </c>
      <c r="AA47" s="10">
        <v>3313</v>
      </c>
      <c r="AB47" s="15">
        <v>4418</v>
      </c>
      <c r="AC47" s="10"/>
      <c r="AD47" s="10"/>
      <c r="AE47" s="10"/>
    </row>
    <row r="48" spans="2:31" x14ac:dyDescent="0.25">
      <c r="B48" t="s">
        <v>134</v>
      </c>
      <c r="C48" s="10"/>
      <c r="D48" s="10">
        <v>4101</v>
      </c>
      <c r="E48" s="10">
        <v>5757</v>
      </c>
      <c r="F48" s="10">
        <v>12839</v>
      </c>
      <c r="G48" s="10">
        <v>13626</v>
      </c>
      <c r="H48" s="15">
        <f t="shared" si="166"/>
        <v>12017</v>
      </c>
      <c r="M48" s="10"/>
      <c r="N48" s="10"/>
      <c r="O48" s="10"/>
      <c r="P48" s="10"/>
      <c r="Q48" s="10">
        <v>6691</v>
      </c>
      <c r="R48" s="10">
        <v>8108</v>
      </c>
      <c r="S48" s="10">
        <v>10327</v>
      </c>
      <c r="T48" s="10">
        <f t="shared" si="167"/>
        <v>12839</v>
      </c>
      <c r="U48" s="10">
        <v>14375</v>
      </c>
      <c r="V48" s="10">
        <v>14356</v>
      </c>
      <c r="W48" s="10">
        <v>13721</v>
      </c>
      <c r="X48" s="10">
        <f t="shared" si="168"/>
        <v>13626</v>
      </c>
      <c r="Y48" s="10">
        <v>16033</v>
      </c>
      <c r="Z48" s="10">
        <v>14195</v>
      </c>
      <c r="AA48" s="10">
        <v>14530</v>
      </c>
      <c r="AB48" s="15">
        <v>12017</v>
      </c>
      <c r="AC48" s="10"/>
      <c r="AD48" s="10"/>
      <c r="AE48" s="10"/>
    </row>
    <row r="49" spans="2:31" x14ac:dyDescent="0.25">
      <c r="B49" t="s">
        <v>74</v>
      </c>
      <c r="C49" s="10"/>
      <c r="D49" s="10">
        <v>1346</v>
      </c>
      <c r="E49" s="10">
        <v>1723</v>
      </c>
      <c r="F49" s="10">
        <v>2941</v>
      </c>
      <c r="G49" s="10">
        <v>3388</v>
      </c>
      <c r="H49" s="15">
        <f t="shared" si="166"/>
        <v>5362</v>
      </c>
      <c r="M49" s="10"/>
      <c r="N49" s="10"/>
      <c r="O49" s="10"/>
      <c r="P49" s="10"/>
      <c r="Q49" s="10">
        <v>2035</v>
      </c>
      <c r="R49" s="10">
        <v>2118</v>
      </c>
      <c r="S49" s="10">
        <v>2364</v>
      </c>
      <c r="T49" s="10">
        <f t="shared" si="167"/>
        <v>2941</v>
      </c>
      <c r="U49" s="10">
        <v>3227</v>
      </c>
      <c r="V49" s="10">
        <v>2997</v>
      </c>
      <c r="W49" s="10">
        <v>2708</v>
      </c>
      <c r="X49" s="10">
        <f t="shared" si="168"/>
        <v>3388</v>
      </c>
      <c r="Y49" s="10">
        <v>3752</v>
      </c>
      <c r="Z49" s="10">
        <v>4325</v>
      </c>
      <c r="AA49" s="10">
        <v>4888</v>
      </c>
      <c r="AB49" s="15">
        <v>5362</v>
      </c>
      <c r="AC49" s="10"/>
      <c r="AD49" s="10"/>
      <c r="AE49" s="10"/>
    </row>
    <row r="50" spans="2:31" s="1" customFormat="1" x14ac:dyDescent="0.25">
      <c r="B50" s="1" t="s">
        <v>60</v>
      </c>
      <c r="C50" s="11">
        <f>SUM(C45:C49)</f>
        <v>0</v>
      </c>
      <c r="D50" s="11">
        <f>SUM(D45:D49)</f>
        <v>26717</v>
      </c>
      <c r="E50" s="11">
        <f>SUM(E45:E49)</f>
        <v>27100</v>
      </c>
      <c r="F50" s="11">
        <f>SUM(F45:F49)</f>
        <v>40917</v>
      </c>
      <c r="G50" s="11">
        <f>SUM(G45:G49)</f>
        <v>49616</v>
      </c>
      <c r="H50" s="14">
        <f t="shared" ref="H50:J50" si="169">SUM(H45:H49)</f>
        <v>58360</v>
      </c>
      <c r="I50" s="11">
        <f t="shared" si="169"/>
        <v>0</v>
      </c>
      <c r="J50" s="11">
        <f t="shared" si="169"/>
        <v>0</v>
      </c>
      <c r="M50" s="11">
        <f t="shared" ref="M50:X50" si="170">SUM(M45:M49)</f>
        <v>0</v>
      </c>
      <c r="N50" s="11">
        <f t="shared" si="170"/>
        <v>0</v>
      </c>
      <c r="O50" s="11">
        <f t="shared" si="170"/>
        <v>0</v>
      </c>
      <c r="P50" s="11">
        <f t="shared" si="170"/>
        <v>0</v>
      </c>
      <c r="Q50" s="11">
        <f t="shared" si="170"/>
        <v>29050</v>
      </c>
      <c r="R50" s="11">
        <f t="shared" si="170"/>
        <v>31222</v>
      </c>
      <c r="S50" s="11">
        <f t="shared" si="170"/>
        <v>35990</v>
      </c>
      <c r="T50" s="11">
        <f t="shared" si="170"/>
        <v>40917</v>
      </c>
      <c r="U50" s="11">
        <f t="shared" si="170"/>
        <v>42997</v>
      </c>
      <c r="V50" s="11">
        <f t="shared" si="170"/>
        <v>43875</v>
      </c>
      <c r="W50" s="11">
        <f t="shared" si="170"/>
        <v>45026</v>
      </c>
      <c r="X50" s="11">
        <f t="shared" si="170"/>
        <v>49616</v>
      </c>
      <c r="Y50" s="11">
        <f t="shared" ref="Y50:AB50" si="171">SUM(Y45:Y49)</f>
        <v>50535</v>
      </c>
      <c r="Z50" s="11">
        <f t="shared" si="171"/>
        <v>52977</v>
      </c>
      <c r="AA50" s="11">
        <f t="shared" si="171"/>
        <v>56379</v>
      </c>
      <c r="AB50" s="14">
        <f t="shared" si="171"/>
        <v>58360</v>
      </c>
      <c r="AC50" s="11">
        <f t="shared" ref="AC50:AE50" si="172">SUM(AC45:AC49)</f>
        <v>0</v>
      </c>
      <c r="AD50" s="11">
        <f t="shared" si="172"/>
        <v>0</v>
      </c>
      <c r="AE50" s="11">
        <f t="shared" si="172"/>
        <v>0</v>
      </c>
    </row>
    <row r="51" spans="2:31" x14ac:dyDescent="0.25">
      <c r="B51" t="s">
        <v>135</v>
      </c>
      <c r="C51" s="10"/>
      <c r="D51" s="10">
        <v>3091</v>
      </c>
      <c r="E51" s="10">
        <v>4511</v>
      </c>
      <c r="F51" s="10">
        <v>5035</v>
      </c>
      <c r="G51" s="10">
        <v>5989</v>
      </c>
      <c r="H51" s="15">
        <f t="shared" ref="H51:H59" si="173">AB51</f>
        <v>5581</v>
      </c>
      <c r="M51" s="10"/>
      <c r="N51" s="10"/>
      <c r="O51" s="10"/>
      <c r="P51" s="10"/>
      <c r="Q51" s="10">
        <v>4745</v>
      </c>
      <c r="R51" s="10">
        <v>4782</v>
      </c>
      <c r="S51" s="10">
        <v>4824</v>
      </c>
      <c r="T51" s="10">
        <f t="shared" ref="T51:T59" si="174">F51</f>
        <v>5035</v>
      </c>
      <c r="U51" s="10">
        <v>5473</v>
      </c>
      <c r="V51" s="10">
        <v>5935</v>
      </c>
      <c r="W51" s="10">
        <v>6119</v>
      </c>
      <c r="X51" s="10">
        <f t="shared" ref="X51:X59" si="175">G51</f>
        <v>5989</v>
      </c>
      <c r="Y51" s="10">
        <v>5736</v>
      </c>
      <c r="Z51" s="10">
        <v>5541</v>
      </c>
      <c r="AA51" s="10">
        <v>5380</v>
      </c>
      <c r="AB51" s="15">
        <v>5581</v>
      </c>
      <c r="AC51" s="10"/>
      <c r="AD51" s="10"/>
      <c r="AE51" s="10"/>
    </row>
    <row r="52" spans="2:31" x14ac:dyDescent="0.25">
      <c r="B52" t="s">
        <v>136</v>
      </c>
      <c r="C52" s="10"/>
      <c r="D52" s="10">
        <v>5979</v>
      </c>
      <c r="E52" s="10">
        <v>5765</v>
      </c>
      <c r="F52" s="10">
        <v>5489</v>
      </c>
      <c r="G52" s="10">
        <v>5229</v>
      </c>
      <c r="H52" s="15">
        <f t="shared" si="173"/>
        <v>4924</v>
      </c>
      <c r="M52" s="10"/>
      <c r="N52" s="10"/>
      <c r="O52" s="10"/>
      <c r="P52" s="10"/>
      <c r="Q52" s="10">
        <v>5686</v>
      </c>
      <c r="R52" s="10">
        <v>5624</v>
      </c>
      <c r="S52" s="10">
        <v>5562</v>
      </c>
      <c r="T52" s="10">
        <f t="shared" si="174"/>
        <v>5489</v>
      </c>
      <c r="U52" s="10">
        <v>5427</v>
      </c>
      <c r="V52" s="10">
        <v>5365</v>
      </c>
      <c r="W52" s="10">
        <v>5293</v>
      </c>
      <c r="X52" s="10">
        <f t="shared" si="175"/>
        <v>5229</v>
      </c>
      <c r="Y52" s="10">
        <v>5162</v>
      </c>
      <c r="Z52" s="10">
        <v>5102</v>
      </c>
      <c r="AA52" s="10">
        <v>5040</v>
      </c>
      <c r="AB52" s="15">
        <v>4924</v>
      </c>
      <c r="AC52" s="10"/>
      <c r="AD52" s="10"/>
      <c r="AE52" s="10"/>
    </row>
    <row r="53" spans="2:31" x14ac:dyDescent="0.25">
      <c r="B53" t="s">
        <v>75</v>
      </c>
      <c r="C53" s="10"/>
      <c r="D53" s="10">
        <v>12747</v>
      </c>
      <c r="E53" s="10">
        <v>18884</v>
      </c>
      <c r="F53" s="10">
        <v>23548</v>
      </c>
      <c r="G53" s="10">
        <v>29725</v>
      </c>
      <c r="H53" s="15">
        <f t="shared" si="173"/>
        <v>35836</v>
      </c>
      <c r="M53" s="10"/>
      <c r="N53" s="10"/>
      <c r="O53" s="10"/>
      <c r="P53" s="10"/>
      <c r="Q53" s="10">
        <v>20027</v>
      </c>
      <c r="R53" s="10">
        <v>21093</v>
      </c>
      <c r="S53" s="10">
        <v>21926</v>
      </c>
      <c r="T53" s="10">
        <f t="shared" si="174"/>
        <v>23548</v>
      </c>
      <c r="U53" s="10">
        <v>24969</v>
      </c>
      <c r="V53" s="10">
        <v>26389</v>
      </c>
      <c r="W53" s="10">
        <v>27744</v>
      </c>
      <c r="X53" s="10">
        <f t="shared" si="175"/>
        <v>29725</v>
      </c>
      <c r="Y53" s="10">
        <v>31436</v>
      </c>
      <c r="Z53" s="10">
        <v>32902</v>
      </c>
      <c r="AA53" s="10">
        <v>36116</v>
      </c>
      <c r="AB53" s="15">
        <v>35836</v>
      </c>
      <c r="AC53" s="10"/>
      <c r="AD53" s="10"/>
      <c r="AE53" s="10"/>
    </row>
    <row r="54" spans="2:31" x14ac:dyDescent="0.25">
      <c r="B54" t="s">
        <v>78</v>
      </c>
      <c r="C54" s="10"/>
      <c r="D54" s="10">
        <v>1558</v>
      </c>
      <c r="E54" s="10">
        <v>2016</v>
      </c>
      <c r="F54" s="10">
        <v>2563</v>
      </c>
      <c r="G54" s="10">
        <v>4180</v>
      </c>
      <c r="H54" s="15">
        <f t="shared" si="173"/>
        <v>5160</v>
      </c>
      <c r="M54" s="10"/>
      <c r="N54" s="10"/>
      <c r="O54" s="10"/>
      <c r="P54" s="10"/>
      <c r="Q54" s="10">
        <v>2181</v>
      </c>
      <c r="R54" s="10">
        <v>2185</v>
      </c>
      <c r="S54" s="10">
        <v>2251</v>
      </c>
      <c r="T54" s="10">
        <f t="shared" si="174"/>
        <v>2563</v>
      </c>
      <c r="U54" s="10">
        <v>2800</v>
      </c>
      <c r="V54" s="10">
        <v>3352</v>
      </c>
      <c r="W54" s="10">
        <v>3637</v>
      </c>
      <c r="X54" s="10">
        <f t="shared" si="175"/>
        <v>4180</v>
      </c>
      <c r="Y54" s="10">
        <v>4367</v>
      </c>
      <c r="Z54" s="10">
        <v>4563</v>
      </c>
      <c r="AA54" s="10">
        <v>4867</v>
      </c>
      <c r="AB54" s="15">
        <v>5160</v>
      </c>
      <c r="AC54" s="10"/>
      <c r="AD54" s="10"/>
      <c r="AE54" s="10"/>
    </row>
    <row r="55" spans="2:31" s="1" customFormat="1" x14ac:dyDescent="0.25">
      <c r="B55" t="s">
        <v>137</v>
      </c>
      <c r="C55" s="10"/>
      <c r="D55" s="10">
        <v>0</v>
      </c>
      <c r="E55" s="10">
        <v>1260</v>
      </c>
      <c r="F55" s="10">
        <v>184</v>
      </c>
      <c r="G55" s="10">
        <v>184</v>
      </c>
      <c r="H55" s="15">
        <f t="shared" si="173"/>
        <v>1076</v>
      </c>
      <c r="M55" s="10"/>
      <c r="N55" s="10"/>
      <c r="O55" s="10"/>
      <c r="P55" s="10"/>
      <c r="Q55" s="10">
        <v>1261</v>
      </c>
      <c r="R55" s="10">
        <v>218</v>
      </c>
      <c r="S55" s="10">
        <v>218</v>
      </c>
      <c r="T55" s="10">
        <f t="shared" si="174"/>
        <v>184</v>
      </c>
      <c r="U55" s="10">
        <v>184</v>
      </c>
      <c r="V55" s="10">
        <v>184</v>
      </c>
      <c r="W55" s="10">
        <v>184</v>
      </c>
      <c r="X55" s="10">
        <f t="shared" si="175"/>
        <v>184</v>
      </c>
      <c r="Y55" s="10">
        <v>184</v>
      </c>
      <c r="Z55" s="10">
        <v>184</v>
      </c>
      <c r="AA55" s="10">
        <v>184</v>
      </c>
      <c r="AB55" s="15">
        <v>1076</v>
      </c>
      <c r="AC55" s="10"/>
      <c r="AD55" s="10"/>
      <c r="AE55" s="10"/>
    </row>
    <row r="56" spans="2:31" s="1" customFormat="1" x14ac:dyDescent="0.25">
      <c r="B56" t="s">
        <v>163</v>
      </c>
      <c r="C56" s="10"/>
      <c r="D56" s="10">
        <v>313</v>
      </c>
      <c r="E56" s="10">
        <v>257</v>
      </c>
      <c r="F56" s="10">
        <v>215</v>
      </c>
      <c r="G56" s="10">
        <v>178</v>
      </c>
      <c r="H56" s="15">
        <f t="shared" si="173"/>
        <v>394</v>
      </c>
      <c r="M56" s="10"/>
      <c r="N56" s="10"/>
      <c r="O56" s="10"/>
      <c r="P56" s="10"/>
      <c r="Q56" s="10">
        <v>254</v>
      </c>
      <c r="R56" s="10">
        <v>241</v>
      </c>
      <c r="S56" s="10">
        <v>228</v>
      </c>
      <c r="T56" s="10">
        <f t="shared" si="174"/>
        <v>215</v>
      </c>
      <c r="U56" s="10">
        <v>204</v>
      </c>
      <c r="V56" s="10">
        <v>202</v>
      </c>
      <c r="W56" s="10">
        <v>191</v>
      </c>
      <c r="X56" s="10">
        <f t="shared" si="175"/>
        <v>178</v>
      </c>
      <c r="Y56" s="10">
        <v>421</v>
      </c>
      <c r="Z56" s="10">
        <v>164</v>
      </c>
      <c r="AA56" s="10">
        <v>158</v>
      </c>
      <c r="AB56" s="15">
        <v>394</v>
      </c>
      <c r="AC56" s="10"/>
      <c r="AD56" s="10"/>
      <c r="AE56" s="10"/>
    </row>
    <row r="57" spans="2:31" s="1" customFormat="1" x14ac:dyDescent="0.25">
      <c r="B57" t="s">
        <v>25</v>
      </c>
      <c r="C57" s="10"/>
      <c r="D57" s="10">
        <v>207</v>
      </c>
      <c r="E57" s="10">
        <v>200</v>
      </c>
      <c r="F57" s="10">
        <v>194</v>
      </c>
      <c r="G57" s="10">
        <v>253</v>
      </c>
      <c r="H57" s="15">
        <f t="shared" si="173"/>
        <v>0</v>
      </c>
      <c r="M57" s="10"/>
      <c r="N57" s="10"/>
      <c r="O57" s="10"/>
      <c r="P57" s="10"/>
      <c r="Q57" s="10">
        <v>200</v>
      </c>
      <c r="R57" s="10">
        <v>196</v>
      </c>
      <c r="S57" s="10">
        <v>191</v>
      </c>
      <c r="T57" s="10">
        <f t="shared" si="174"/>
        <v>194</v>
      </c>
      <c r="U57" s="10">
        <v>195</v>
      </c>
      <c r="V57" s="10">
        <v>263</v>
      </c>
      <c r="W57" s="10">
        <v>250</v>
      </c>
      <c r="X57" s="10">
        <f t="shared" si="175"/>
        <v>253</v>
      </c>
      <c r="Y57" s="10"/>
      <c r="Z57" s="10">
        <v>249</v>
      </c>
      <c r="AA57" s="10">
        <v>253</v>
      </c>
      <c r="AB57" s="15"/>
      <c r="AC57" s="10"/>
      <c r="AD57" s="10"/>
      <c r="AE57" s="10"/>
    </row>
    <row r="58" spans="2:31" s="1" customFormat="1" x14ac:dyDescent="0.25">
      <c r="B58" t="s">
        <v>138</v>
      </c>
      <c r="C58" s="10"/>
      <c r="D58" s="10">
        <v>0</v>
      </c>
      <c r="E58" s="10">
        <v>0</v>
      </c>
      <c r="F58" s="10">
        <v>328</v>
      </c>
      <c r="G58" s="10">
        <v>6733</v>
      </c>
      <c r="H58" s="15">
        <f t="shared" si="173"/>
        <v>6524</v>
      </c>
      <c r="M58" s="10"/>
      <c r="N58" s="10"/>
      <c r="O58" s="10"/>
      <c r="P58" s="10"/>
      <c r="Q58" s="10">
        <v>0</v>
      </c>
      <c r="R58" s="10">
        <v>0</v>
      </c>
      <c r="S58" s="10">
        <v>0</v>
      </c>
      <c r="T58" s="10">
        <f t="shared" si="174"/>
        <v>328</v>
      </c>
      <c r="U58" s="10">
        <v>0</v>
      </c>
      <c r="V58" s="10">
        <v>0</v>
      </c>
      <c r="W58" s="10">
        <v>0</v>
      </c>
      <c r="X58" s="10">
        <f t="shared" si="175"/>
        <v>6733</v>
      </c>
      <c r="Y58" s="10">
        <v>6769</v>
      </c>
      <c r="Z58" s="10">
        <v>6692</v>
      </c>
      <c r="AA58" s="10">
        <v>6486</v>
      </c>
      <c r="AB58" s="15">
        <v>6524</v>
      </c>
      <c r="AC58" s="10"/>
      <c r="AD58" s="10"/>
      <c r="AE58" s="10"/>
    </row>
    <row r="59" spans="2:31" s="1" customFormat="1" x14ac:dyDescent="0.25">
      <c r="B59" t="s">
        <v>139</v>
      </c>
      <c r="C59" s="10"/>
      <c r="D59" s="10">
        <v>1536</v>
      </c>
      <c r="E59" s="10">
        <v>2138</v>
      </c>
      <c r="F59" s="10">
        <v>3865</v>
      </c>
      <c r="G59" s="10">
        <v>4531</v>
      </c>
      <c r="H59" s="15">
        <f t="shared" si="173"/>
        <v>4215</v>
      </c>
      <c r="M59" s="10"/>
      <c r="N59" s="10"/>
      <c r="O59" s="10"/>
      <c r="P59" s="10"/>
      <c r="Q59" s="10">
        <v>2634</v>
      </c>
      <c r="R59" s="10">
        <v>2952</v>
      </c>
      <c r="S59" s="10">
        <v>3226</v>
      </c>
      <c r="T59" s="10">
        <f t="shared" si="174"/>
        <v>3865</v>
      </c>
      <c r="U59" s="10">
        <v>4584</v>
      </c>
      <c r="V59" s="10">
        <v>5026</v>
      </c>
      <c r="W59" s="10">
        <v>5497</v>
      </c>
      <c r="X59" s="10">
        <f t="shared" si="175"/>
        <v>4531</v>
      </c>
      <c r="Y59" s="10">
        <v>4616</v>
      </c>
      <c r="Z59" s="10">
        <v>4458</v>
      </c>
      <c r="AA59" s="10">
        <v>4989</v>
      </c>
      <c r="AB59" s="15">
        <v>4215</v>
      </c>
      <c r="AC59" s="10"/>
      <c r="AD59" s="10"/>
      <c r="AE59" s="10"/>
    </row>
    <row r="60" spans="2:31" x14ac:dyDescent="0.25">
      <c r="B60" s="1" t="s">
        <v>26</v>
      </c>
      <c r="C60" s="11">
        <f>SUM(C50:C59)</f>
        <v>0</v>
      </c>
      <c r="D60" s="11">
        <f>SUM(D50:D59)</f>
        <v>52148</v>
      </c>
      <c r="E60" s="11">
        <f>SUM(E50:E59)</f>
        <v>62131</v>
      </c>
      <c r="F60" s="11">
        <f>SUM(F50:F59)</f>
        <v>82338</v>
      </c>
      <c r="G60" s="11">
        <f>SUM(G50:G59)</f>
        <v>106618</v>
      </c>
      <c r="H60" s="14">
        <f t="shared" ref="H60:J60" si="176">SUM(H50:H59)</f>
        <v>122070</v>
      </c>
      <c r="I60" s="11">
        <f t="shared" si="176"/>
        <v>0</v>
      </c>
      <c r="J60" s="11">
        <f t="shared" si="176"/>
        <v>0</v>
      </c>
      <c r="M60" s="11">
        <f t="shared" ref="M60:X60" si="177">SUM(M50:M59)</f>
        <v>0</v>
      </c>
      <c r="N60" s="11">
        <f t="shared" si="177"/>
        <v>0</v>
      </c>
      <c r="O60" s="11">
        <f t="shared" si="177"/>
        <v>0</v>
      </c>
      <c r="P60" s="11">
        <f t="shared" si="177"/>
        <v>0</v>
      </c>
      <c r="Q60" s="11">
        <f t="shared" si="177"/>
        <v>66038</v>
      </c>
      <c r="R60" s="11">
        <f t="shared" si="177"/>
        <v>68513</v>
      </c>
      <c r="S60" s="11">
        <f t="shared" si="177"/>
        <v>74416</v>
      </c>
      <c r="T60" s="11">
        <f t="shared" si="177"/>
        <v>82338</v>
      </c>
      <c r="U60" s="11">
        <f t="shared" si="177"/>
        <v>86833</v>
      </c>
      <c r="V60" s="11">
        <f t="shared" si="177"/>
        <v>90591</v>
      </c>
      <c r="W60" s="11">
        <f t="shared" si="177"/>
        <v>93941</v>
      </c>
      <c r="X60" s="11">
        <f t="shared" si="177"/>
        <v>106618</v>
      </c>
      <c r="Y60" s="11">
        <f t="shared" ref="Y60:AB60" si="178">SUM(Y50:Y59)</f>
        <v>109226</v>
      </c>
      <c r="Z60" s="11">
        <f t="shared" si="178"/>
        <v>112832</v>
      </c>
      <c r="AA60" s="11">
        <f t="shared" si="178"/>
        <v>119852</v>
      </c>
      <c r="AB60" s="14">
        <f t="shared" si="178"/>
        <v>122070</v>
      </c>
      <c r="AC60" s="11">
        <f t="shared" ref="AC60:AE60" si="179">SUM(AC50:AC59)</f>
        <v>0</v>
      </c>
      <c r="AD60" s="11">
        <f t="shared" si="179"/>
        <v>0</v>
      </c>
      <c r="AE60" s="11">
        <f t="shared" si="179"/>
        <v>0</v>
      </c>
    </row>
    <row r="61" spans="2:31" x14ac:dyDescent="0.25">
      <c r="B61" t="s">
        <v>28</v>
      </c>
      <c r="C61" s="10"/>
      <c r="D61" s="10">
        <v>6051</v>
      </c>
      <c r="E61" s="10">
        <v>10025</v>
      </c>
      <c r="F61" s="10">
        <v>15255</v>
      </c>
      <c r="G61" s="10">
        <v>14431</v>
      </c>
      <c r="H61" s="15">
        <f t="shared" ref="H61:H65" si="180">AB61</f>
        <v>12474</v>
      </c>
      <c r="M61" s="10"/>
      <c r="N61" s="10"/>
      <c r="O61" s="10"/>
      <c r="P61" s="10"/>
      <c r="Q61" s="10">
        <v>11171</v>
      </c>
      <c r="R61" s="10">
        <v>11212</v>
      </c>
      <c r="S61" s="10">
        <v>13897</v>
      </c>
      <c r="T61" s="10">
        <f t="shared" ref="T61:T65" si="181">F61</f>
        <v>15255</v>
      </c>
      <c r="U61" s="10">
        <v>15904</v>
      </c>
      <c r="V61" s="10">
        <v>15273</v>
      </c>
      <c r="W61" s="10">
        <v>13937</v>
      </c>
      <c r="X61" s="10">
        <f t="shared" ref="X61:X65" si="182">G61</f>
        <v>14431</v>
      </c>
      <c r="Y61" s="10">
        <v>14725</v>
      </c>
      <c r="Z61" s="10">
        <v>13056</v>
      </c>
      <c r="AA61" s="10">
        <v>14654</v>
      </c>
      <c r="AB61" s="15">
        <v>12474</v>
      </c>
      <c r="AC61" s="10"/>
      <c r="AD61" s="10"/>
      <c r="AE61" s="10"/>
    </row>
    <row r="62" spans="2:31" x14ac:dyDescent="0.25">
      <c r="B62" t="s">
        <v>76</v>
      </c>
      <c r="C62" s="10"/>
      <c r="D62" s="10">
        <f>3855</f>
        <v>3855</v>
      </c>
      <c r="E62" s="10">
        <f>5719</f>
        <v>5719</v>
      </c>
      <c r="F62" s="10">
        <v>8205</v>
      </c>
      <c r="G62" s="10">
        <v>9080</v>
      </c>
      <c r="H62" s="15">
        <f t="shared" si="180"/>
        <v>10723</v>
      </c>
      <c r="M62" s="10"/>
      <c r="N62" s="10"/>
      <c r="O62" s="10"/>
      <c r="P62" s="10"/>
      <c r="Q62" s="10">
        <v>5906</v>
      </c>
      <c r="R62" s="10">
        <v>6037</v>
      </c>
      <c r="S62" s="10">
        <v>6246</v>
      </c>
      <c r="T62" s="10">
        <f t="shared" si="181"/>
        <v>8205</v>
      </c>
      <c r="U62" s="10">
        <v>7321</v>
      </c>
      <c r="V62" s="10">
        <v>7658</v>
      </c>
      <c r="W62" s="10">
        <v>7636</v>
      </c>
      <c r="X62" s="10">
        <f t="shared" si="182"/>
        <v>9080</v>
      </c>
      <c r="Y62" s="10">
        <v>9243</v>
      </c>
      <c r="Z62" s="10">
        <v>9616</v>
      </c>
      <c r="AA62" s="10">
        <v>10601</v>
      </c>
      <c r="AB62" s="15">
        <v>10723</v>
      </c>
      <c r="AC62" s="10"/>
      <c r="AD62" s="10"/>
      <c r="AE62" s="10"/>
    </row>
    <row r="63" spans="2:31" x14ac:dyDescent="0.25">
      <c r="B63" t="s">
        <v>140</v>
      </c>
      <c r="C63" s="10"/>
      <c r="D63" s="10">
        <v>1458</v>
      </c>
      <c r="E63" s="10">
        <v>1447</v>
      </c>
      <c r="F63" s="10">
        <v>1747</v>
      </c>
      <c r="G63" s="10">
        <v>2864</v>
      </c>
      <c r="H63" s="15">
        <f t="shared" si="180"/>
        <v>3168</v>
      </c>
      <c r="M63" s="10"/>
      <c r="N63" s="10"/>
      <c r="O63" s="10"/>
      <c r="P63" s="10"/>
      <c r="Q63" s="10">
        <v>1594</v>
      </c>
      <c r="R63" s="10">
        <v>1858</v>
      </c>
      <c r="S63" s="10">
        <v>1928</v>
      </c>
      <c r="T63" s="10">
        <f t="shared" si="181"/>
        <v>1747</v>
      </c>
      <c r="U63" s="10">
        <v>1750</v>
      </c>
      <c r="V63" s="10">
        <v>2176</v>
      </c>
      <c r="W63" s="10">
        <v>2206</v>
      </c>
      <c r="X63" s="10">
        <f t="shared" si="182"/>
        <v>2864</v>
      </c>
      <c r="Y63" s="10">
        <v>3024</v>
      </c>
      <c r="Z63" s="10">
        <v>2793</v>
      </c>
      <c r="AA63" s="10">
        <v>3031</v>
      </c>
      <c r="AB63" s="15">
        <v>3168</v>
      </c>
      <c r="AC63" s="10"/>
      <c r="AD63" s="10"/>
      <c r="AE63" s="10"/>
    </row>
    <row r="64" spans="2:31" x14ac:dyDescent="0.25">
      <c r="B64" t="s">
        <v>164</v>
      </c>
      <c r="C64" s="10"/>
      <c r="D64" s="10">
        <v>752</v>
      </c>
      <c r="E64" s="10">
        <v>925</v>
      </c>
      <c r="F64" s="10"/>
      <c r="G64" s="10"/>
      <c r="H64" s="15">
        <f t="shared" si="180"/>
        <v>0</v>
      </c>
      <c r="M64" s="10"/>
      <c r="N64" s="10"/>
      <c r="O64" s="10"/>
      <c r="P64" s="10"/>
      <c r="Q64" s="10">
        <v>1125</v>
      </c>
      <c r="R64" s="10">
        <v>1182</v>
      </c>
      <c r="S64" s="10">
        <v>1083</v>
      </c>
      <c r="T64" s="10">
        <f t="shared" si="181"/>
        <v>0</v>
      </c>
      <c r="U64" s="10">
        <v>1057</v>
      </c>
      <c r="V64" s="10">
        <v>1026</v>
      </c>
      <c r="W64" s="10">
        <v>894</v>
      </c>
      <c r="X64" s="10">
        <f t="shared" si="182"/>
        <v>0</v>
      </c>
      <c r="Y64" s="10">
        <v>0</v>
      </c>
      <c r="Z64" s="10"/>
      <c r="AA64" s="10"/>
      <c r="AB64" s="15"/>
      <c r="AC64" s="10"/>
      <c r="AD64" s="10"/>
      <c r="AE64" s="10"/>
    </row>
    <row r="65" spans="2:31" x14ac:dyDescent="0.25">
      <c r="B65" t="s">
        <v>141</v>
      </c>
      <c r="C65" s="10"/>
      <c r="D65" s="10">
        <v>2132</v>
      </c>
      <c r="E65" s="10">
        <v>1589</v>
      </c>
      <c r="F65" s="10">
        <v>1502</v>
      </c>
      <c r="G65" s="10">
        <v>2373</v>
      </c>
      <c r="H65" s="15">
        <f t="shared" si="180"/>
        <v>2456</v>
      </c>
      <c r="M65" s="10"/>
      <c r="N65" s="10"/>
      <c r="O65" s="10"/>
      <c r="P65" s="10"/>
      <c r="Q65" s="10">
        <v>1659</v>
      </c>
      <c r="R65" s="10">
        <v>1532</v>
      </c>
      <c r="S65" s="10">
        <v>1457</v>
      </c>
      <c r="T65" s="10">
        <f t="shared" si="181"/>
        <v>1502</v>
      </c>
      <c r="U65" s="10">
        <v>1404</v>
      </c>
      <c r="V65" s="10">
        <v>1459</v>
      </c>
      <c r="W65" s="10">
        <v>1967</v>
      </c>
      <c r="X65" s="10">
        <f t="shared" si="182"/>
        <v>2373</v>
      </c>
      <c r="Y65" s="10">
        <v>2461</v>
      </c>
      <c r="Z65" s="10">
        <v>2264</v>
      </c>
      <c r="AA65" s="10">
        <v>2291</v>
      </c>
      <c r="AB65" s="15">
        <v>2456</v>
      </c>
      <c r="AC65" s="10"/>
      <c r="AD65" s="10"/>
      <c r="AE65" s="10"/>
    </row>
    <row r="66" spans="2:31" s="1" customFormat="1" x14ac:dyDescent="0.25">
      <c r="B66" s="1" t="s">
        <v>61</v>
      </c>
      <c r="C66" s="11">
        <f>SUM(C61:C65)</f>
        <v>0</v>
      </c>
      <c r="D66" s="11">
        <f>SUM(D61:D65)</f>
        <v>14248</v>
      </c>
      <c r="E66" s="11">
        <f>SUM(E61:E65)</f>
        <v>19705</v>
      </c>
      <c r="F66" s="11">
        <f>SUM(F61:F65)</f>
        <v>26709</v>
      </c>
      <c r="G66" s="11">
        <f>SUM(G61:G65)</f>
        <v>28748</v>
      </c>
      <c r="H66" s="14">
        <f t="shared" ref="H66:J66" si="183">SUM(H61:H65)</f>
        <v>28821</v>
      </c>
      <c r="I66" s="11">
        <f t="shared" si="183"/>
        <v>0</v>
      </c>
      <c r="J66" s="11">
        <f t="shared" si="183"/>
        <v>0</v>
      </c>
      <c r="M66" s="11">
        <f t="shared" ref="M66:X66" si="184">SUM(M61:M65)</f>
        <v>0</v>
      </c>
      <c r="N66" s="11">
        <f t="shared" si="184"/>
        <v>0</v>
      </c>
      <c r="O66" s="11">
        <f t="shared" si="184"/>
        <v>0</v>
      </c>
      <c r="P66" s="11">
        <f t="shared" si="184"/>
        <v>0</v>
      </c>
      <c r="Q66" s="11">
        <f t="shared" si="184"/>
        <v>21455</v>
      </c>
      <c r="R66" s="11">
        <f t="shared" si="184"/>
        <v>21821</v>
      </c>
      <c r="S66" s="11">
        <f t="shared" si="184"/>
        <v>24611</v>
      </c>
      <c r="T66" s="11">
        <f t="shared" si="184"/>
        <v>26709</v>
      </c>
      <c r="U66" s="11">
        <f t="shared" si="184"/>
        <v>27436</v>
      </c>
      <c r="V66" s="11">
        <f t="shared" si="184"/>
        <v>27592</v>
      </c>
      <c r="W66" s="11">
        <f t="shared" si="184"/>
        <v>26640</v>
      </c>
      <c r="X66" s="11">
        <f t="shared" si="184"/>
        <v>28748</v>
      </c>
      <c r="Y66" s="11">
        <f t="shared" ref="Y66:AB66" si="185">SUM(Y61:Y65)</f>
        <v>29453</v>
      </c>
      <c r="Z66" s="11">
        <f t="shared" si="185"/>
        <v>27729</v>
      </c>
      <c r="AA66" s="11">
        <f t="shared" si="185"/>
        <v>30577</v>
      </c>
      <c r="AB66" s="14">
        <f t="shared" si="185"/>
        <v>28821</v>
      </c>
      <c r="AC66" s="11">
        <f t="shared" ref="AC66:AE66" si="186">SUM(AC61:AC65)</f>
        <v>0</v>
      </c>
      <c r="AD66" s="11">
        <f t="shared" si="186"/>
        <v>0</v>
      </c>
      <c r="AE66" s="11">
        <f t="shared" si="186"/>
        <v>0</v>
      </c>
    </row>
    <row r="67" spans="2:31" x14ac:dyDescent="0.25">
      <c r="B67" t="s">
        <v>142</v>
      </c>
      <c r="C67" s="10"/>
      <c r="D67" s="10">
        <v>9556</v>
      </c>
      <c r="E67" s="10">
        <v>5245</v>
      </c>
      <c r="F67" s="10">
        <v>1597</v>
      </c>
      <c r="G67" s="10">
        <v>2857</v>
      </c>
      <c r="H67" s="15">
        <f t="shared" ref="H67:H69" si="187">AB67</f>
        <v>5757</v>
      </c>
      <c r="M67" s="10"/>
      <c r="N67" s="10"/>
      <c r="O67" s="10"/>
      <c r="P67" s="10"/>
      <c r="Q67" s="10">
        <v>3153</v>
      </c>
      <c r="R67" s="10">
        <v>2898</v>
      </c>
      <c r="S67" s="10">
        <v>2096</v>
      </c>
      <c r="T67" s="10">
        <f>F67</f>
        <v>1597</v>
      </c>
      <c r="U67" s="10">
        <v>1272</v>
      </c>
      <c r="V67" s="10">
        <v>872</v>
      </c>
      <c r="W67" s="10">
        <v>2426</v>
      </c>
      <c r="X67" s="10">
        <f t="shared" ref="X67:X69" si="188">G67</f>
        <v>2857</v>
      </c>
      <c r="Y67" s="10">
        <v>2899</v>
      </c>
      <c r="Z67" s="10">
        <v>5481</v>
      </c>
      <c r="AA67" s="10">
        <v>5405</v>
      </c>
      <c r="AB67" s="15">
        <v>5757</v>
      </c>
      <c r="AC67" s="10"/>
      <c r="AD67" s="10"/>
      <c r="AE67" s="10"/>
    </row>
    <row r="68" spans="2:31" x14ac:dyDescent="0.25">
      <c r="B68" t="s">
        <v>140</v>
      </c>
      <c r="C68" s="10"/>
      <c r="D68" s="10">
        <v>1284</v>
      </c>
      <c r="E68" s="10">
        <v>2052</v>
      </c>
      <c r="F68" s="10">
        <v>2804</v>
      </c>
      <c r="G68" s="10">
        <v>3251</v>
      </c>
      <c r="H68" s="15">
        <f t="shared" si="187"/>
        <v>3317</v>
      </c>
      <c r="M68" s="10"/>
      <c r="N68" s="10"/>
      <c r="O68" s="10"/>
      <c r="P68" s="10"/>
      <c r="Q68" s="10">
        <v>2185</v>
      </c>
      <c r="R68" s="10">
        <v>2210</v>
      </c>
      <c r="S68" s="10">
        <v>2265</v>
      </c>
      <c r="T68" s="10">
        <f t="shared" ref="T68:T69" si="189">F68</f>
        <v>2804</v>
      </c>
      <c r="U68" s="10">
        <v>2911</v>
      </c>
      <c r="V68" s="10">
        <v>3021</v>
      </c>
      <c r="W68" s="10">
        <v>3059</v>
      </c>
      <c r="X68" s="10">
        <f t="shared" si="188"/>
        <v>3251</v>
      </c>
      <c r="Y68" s="10">
        <v>3214</v>
      </c>
      <c r="Z68" s="10">
        <v>3357</v>
      </c>
      <c r="AA68" s="10">
        <v>3350</v>
      </c>
      <c r="AB68" s="15">
        <v>3317</v>
      </c>
      <c r="AC68" s="10"/>
      <c r="AD68" s="10"/>
      <c r="AE68" s="10"/>
    </row>
    <row r="69" spans="2:31" x14ac:dyDescent="0.25">
      <c r="B69" t="s">
        <v>143</v>
      </c>
      <c r="C69" s="10"/>
      <c r="D69" s="10">
        <v>3330</v>
      </c>
      <c r="E69" s="10">
        <v>3546</v>
      </c>
      <c r="F69" s="10">
        <v>5330</v>
      </c>
      <c r="G69" s="10">
        <v>8153</v>
      </c>
      <c r="H69" s="15">
        <f t="shared" si="187"/>
        <v>10495</v>
      </c>
      <c r="M69" s="10"/>
      <c r="N69" s="10"/>
      <c r="O69" s="10"/>
      <c r="P69" s="10"/>
      <c r="Q69" s="10">
        <v>3839</v>
      </c>
      <c r="R69" s="10">
        <v>3926</v>
      </c>
      <c r="S69" s="10">
        <v>4330</v>
      </c>
      <c r="T69" s="10">
        <f t="shared" si="189"/>
        <v>5330</v>
      </c>
      <c r="U69" s="10">
        <v>5979</v>
      </c>
      <c r="V69" s="10">
        <v>6924</v>
      </c>
      <c r="W69" s="10">
        <v>7321</v>
      </c>
      <c r="X69" s="10">
        <f t="shared" si="188"/>
        <v>8153</v>
      </c>
      <c r="Y69" s="10">
        <v>8480</v>
      </c>
      <c r="Z69" s="10">
        <v>9002</v>
      </c>
      <c r="AA69" s="10">
        <v>9810</v>
      </c>
      <c r="AB69" s="15">
        <v>10495</v>
      </c>
      <c r="AC69" s="10"/>
      <c r="AD69" s="10"/>
      <c r="AE69" s="10"/>
    </row>
    <row r="70" spans="2:31" x14ac:dyDescent="0.25">
      <c r="B70" s="1" t="s">
        <v>27</v>
      </c>
      <c r="C70" s="11">
        <f>SUM(C66:C69)</f>
        <v>0</v>
      </c>
      <c r="D70" s="11">
        <f>SUM(D66:D69)</f>
        <v>28418</v>
      </c>
      <c r="E70" s="11">
        <f>SUM(E66:E69)</f>
        <v>30548</v>
      </c>
      <c r="F70" s="11">
        <f>SUM(F66:F69)</f>
        <v>36440</v>
      </c>
      <c r="G70" s="11">
        <f>SUM(G66:G69)</f>
        <v>43009</v>
      </c>
      <c r="H70" s="14">
        <f t="shared" ref="H70:J70" si="190">SUM(H66:H69)</f>
        <v>48390</v>
      </c>
      <c r="I70" s="11">
        <f t="shared" si="190"/>
        <v>0</v>
      </c>
      <c r="J70" s="11">
        <f t="shared" si="190"/>
        <v>0</v>
      </c>
      <c r="M70" s="11">
        <f t="shared" ref="M70:X70" si="191">SUM(M66:M69)</f>
        <v>0</v>
      </c>
      <c r="N70" s="11">
        <f t="shared" si="191"/>
        <v>0</v>
      </c>
      <c r="O70" s="11">
        <f t="shared" si="191"/>
        <v>0</v>
      </c>
      <c r="P70" s="11">
        <f t="shared" si="191"/>
        <v>0</v>
      </c>
      <c r="Q70" s="11">
        <f t="shared" si="191"/>
        <v>30632</v>
      </c>
      <c r="R70" s="11">
        <f t="shared" si="191"/>
        <v>30855</v>
      </c>
      <c r="S70" s="11">
        <f t="shared" si="191"/>
        <v>33302</v>
      </c>
      <c r="T70" s="11">
        <f t="shared" si="191"/>
        <v>36440</v>
      </c>
      <c r="U70" s="11">
        <f t="shared" si="191"/>
        <v>37598</v>
      </c>
      <c r="V70" s="11">
        <f t="shared" si="191"/>
        <v>38409</v>
      </c>
      <c r="W70" s="11">
        <f t="shared" si="191"/>
        <v>39446</v>
      </c>
      <c r="X70" s="11">
        <f t="shared" si="191"/>
        <v>43009</v>
      </c>
      <c r="Y70" s="11">
        <f t="shared" ref="Y70:AB70" si="192">SUM(Y66:Y69)</f>
        <v>44046</v>
      </c>
      <c r="Z70" s="11">
        <f t="shared" si="192"/>
        <v>45569</v>
      </c>
      <c r="AA70" s="11">
        <f t="shared" si="192"/>
        <v>49142</v>
      </c>
      <c r="AB70" s="14">
        <f t="shared" si="192"/>
        <v>48390</v>
      </c>
      <c r="AC70" s="11">
        <f t="shared" ref="AC70:AE70" si="193">SUM(AC66:AC69)</f>
        <v>0</v>
      </c>
      <c r="AD70" s="11">
        <f t="shared" si="193"/>
        <v>0</v>
      </c>
      <c r="AE70" s="11">
        <f t="shared" si="193"/>
        <v>0</v>
      </c>
    </row>
    <row r="71" spans="2:31" x14ac:dyDescent="0.25">
      <c r="B71" t="s">
        <v>77</v>
      </c>
      <c r="C71" s="10"/>
      <c r="D71" s="10">
        <f>D60-D70</f>
        <v>23730</v>
      </c>
      <c r="E71" s="10">
        <f>E60-E70</f>
        <v>31583</v>
      </c>
      <c r="F71" s="10">
        <f>F60-F70</f>
        <v>45898</v>
      </c>
      <c r="G71" s="10">
        <f>G60-G70</f>
        <v>63609</v>
      </c>
      <c r="H71" s="15">
        <f t="shared" ref="H71:J71" si="194">H60-H70</f>
        <v>73680</v>
      </c>
      <c r="I71" s="10">
        <f t="shared" si="194"/>
        <v>0</v>
      </c>
      <c r="J71" s="10">
        <f t="shared" si="194"/>
        <v>0</v>
      </c>
      <c r="Q71" s="10">
        <f t="shared" ref="Q71:X71" si="195">Q60-Q70</f>
        <v>35406</v>
      </c>
      <c r="R71" s="10">
        <f t="shared" si="195"/>
        <v>37658</v>
      </c>
      <c r="S71" s="10">
        <f t="shared" si="195"/>
        <v>41114</v>
      </c>
      <c r="T71" s="10">
        <f t="shared" si="195"/>
        <v>45898</v>
      </c>
      <c r="U71" s="10">
        <f t="shared" si="195"/>
        <v>49235</v>
      </c>
      <c r="V71" s="10">
        <f t="shared" si="195"/>
        <v>52182</v>
      </c>
      <c r="W71" s="10">
        <f t="shared" si="195"/>
        <v>54495</v>
      </c>
      <c r="X71" s="10">
        <f t="shared" si="195"/>
        <v>63609</v>
      </c>
      <c r="Y71" s="10">
        <f t="shared" ref="Y71:AB71" si="196">Y60-Y70</f>
        <v>65180</v>
      </c>
      <c r="Z71" s="10">
        <f t="shared" si="196"/>
        <v>67263</v>
      </c>
      <c r="AA71" s="10">
        <f t="shared" si="196"/>
        <v>70710</v>
      </c>
      <c r="AB71" s="15">
        <f t="shared" si="196"/>
        <v>73680</v>
      </c>
      <c r="AC71" s="10">
        <f t="shared" ref="AC71:AE71" si="197">AC60-AC70</f>
        <v>0</v>
      </c>
      <c r="AD71" s="10">
        <f t="shared" si="197"/>
        <v>0</v>
      </c>
      <c r="AE71" s="10">
        <f t="shared" si="197"/>
        <v>0</v>
      </c>
    </row>
    <row r="73" spans="2:31" s="1" customFormat="1" x14ac:dyDescent="0.25">
      <c r="B73" s="1" t="s">
        <v>79</v>
      </c>
      <c r="C73" s="47"/>
      <c r="D73" s="47"/>
      <c r="E73" s="47"/>
      <c r="F73" s="47"/>
      <c r="G73" s="125"/>
      <c r="H73" s="16"/>
      <c r="AB73" s="16"/>
    </row>
    <row r="91" spans="8:28" s="9" customFormat="1" x14ac:dyDescent="0.25">
      <c r="H91" s="41"/>
      <c r="AB91" s="41"/>
    </row>
    <row r="92" spans="8:28" s="1" customFormat="1" x14ac:dyDescent="0.25">
      <c r="H92" s="16"/>
      <c r="AB92" s="16"/>
    </row>
  </sheetData>
  <phoneticPr fontId="3" type="noConversion"/>
  <conditionalFormatting sqref="Q71:AB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:AB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5:A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7:AB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B42" sqref="B42"/>
    </sheetView>
  </sheetViews>
  <sheetFormatPr defaultRowHeight="15" x14ac:dyDescent="0.25"/>
  <sheetData>
    <row r="1" spans="1:1" x14ac:dyDescent="0.25">
      <c r="A1" s="8" t="s">
        <v>37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T25"/>
  <sheetViews>
    <sheetView workbookViewId="0">
      <selection activeCell="V23" sqref="V23"/>
    </sheetView>
  </sheetViews>
  <sheetFormatPr defaultRowHeight="15" x14ac:dyDescent="0.25"/>
  <cols>
    <col min="1" max="1" width="22.85546875" bestFit="1" customWidth="1"/>
  </cols>
  <sheetData>
    <row r="1" spans="1:20" x14ac:dyDescent="0.25">
      <c r="B1" s="28" t="s">
        <v>9</v>
      </c>
      <c r="C1" s="28" t="s">
        <v>35</v>
      </c>
      <c r="D1" s="28" t="s">
        <v>39</v>
      </c>
      <c r="E1" s="28" t="s">
        <v>40</v>
      </c>
      <c r="F1" s="28" t="s">
        <v>62</v>
      </c>
      <c r="G1" s="28" t="s">
        <v>65</v>
      </c>
      <c r="H1" s="28" t="s">
        <v>225</v>
      </c>
      <c r="I1" s="28" t="s">
        <v>226</v>
      </c>
      <c r="O1">
        <v>2020</v>
      </c>
      <c r="P1">
        <v>2021</v>
      </c>
      <c r="Q1">
        <v>2022</v>
      </c>
      <c r="R1">
        <v>2023</v>
      </c>
      <c r="S1">
        <v>2024</v>
      </c>
      <c r="T1">
        <v>2025</v>
      </c>
    </row>
    <row r="2" spans="1:20" x14ac:dyDescent="0.25">
      <c r="A2" t="s">
        <v>212</v>
      </c>
      <c r="B2" s="10">
        <v>421371</v>
      </c>
      <c r="C2" s="10">
        <v>460211</v>
      </c>
      <c r="D2" s="10">
        <v>416800</v>
      </c>
      <c r="E2" s="10">
        <v>476777</v>
      </c>
      <c r="F2" s="10">
        <v>412376</v>
      </c>
      <c r="G2" s="10">
        <v>386576</v>
      </c>
      <c r="H2" s="10">
        <v>443668</v>
      </c>
      <c r="I2" s="10">
        <v>436718</v>
      </c>
      <c r="O2" s="10">
        <v>454932</v>
      </c>
      <c r="P2" s="10">
        <v>906032</v>
      </c>
      <c r="Q2" s="10">
        <v>1298434</v>
      </c>
      <c r="R2" s="10">
        <f>SUM(B2:E2)</f>
        <v>1775159</v>
      </c>
      <c r="S2" s="10">
        <f>SUM(F2:I2)</f>
        <v>1679338</v>
      </c>
    </row>
    <row r="3" spans="1:20" x14ac:dyDescent="0.25">
      <c r="A3" t="s">
        <v>213</v>
      </c>
      <c r="B3" s="10">
        <v>19437</v>
      </c>
      <c r="C3" s="10">
        <v>19489</v>
      </c>
      <c r="D3" s="10">
        <v>13688</v>
      </c>
      <c r="E3" s="10">
        <v>18212</v>
      </c>
      <c r="F3" s="10">
        <v>20995</v>
      </c>
      <c r="G3" s="10">
        <v>24255</v>
      </c>
      <c r="H3" s="10">
        <v>26128</v>
      </c>
      <c r="I3" s="10">
        <v>22727</v>
      </c>
      <c r="O3" s="10">
        <v>54805</v>
      </c>
      <c r="P3" s="10">
        <v>24390</v>
      </c>
      <c r="Q3" s="10">
        <v>71177</v>
      </c>
      <c r="R3" s="10">
        <v>70826</v>
      </c>
      <c r="S3" s="10">
        <f>SUM(F3:I3)</f>
        <v>94105</v>
      </c>
    </row>
    <row r="4" spans="1:20" s="1" customFormat="1" x14ac:dyDescent="0.25">
      <c r="A4" s="1" t="s">
        <v>214</v>
      </c>
      <c r="B4" s="11">
        <f>SUM(B2:B3)</f>
        <v>440808</v>
      </c>
      <c r="C4" s="11">
        <f t="shared" ref="C4:I4" si="0">SUM(C2:C3)</f>
        <v>479700</v>
      </c>
      <c r="D4" s="11">
        <f t="shared" si="0"/>
        <v>430488</v>
      </c>
      <c r="E4" s="11">
        <f t="shared" si="0"/>
        <v>494989</v>
      </c>
      <c r="F4" s="11">
        <f t="shared" si="0"/>
        <v>433371</v>
      </c>
      <c r="G4" s="11">
        <f t="shared" si="0"/>
        <v>410831</v>
      </c>
      <c r="H4" s="11">
        <f t="shared" si="0"/>
        <v>469796</v>
      </c>
      <c r="I4" s="11">
        <f t="shared" si="0"/>
        <v>459445</v>
      </c>
      <c r="O4" s="1">
        <v>1845985</v>
      </c>
      <c r="P4" s="1">
        <v>1845985</v>
      </c>
      <c r="Q4" s="1">
        <v>1845985</v>
      </c>
      <c r="R4" s="11">
        <f>SUM(R2:R3)</f>
        <v>1845985</v>
      </c>
      <c r="S4" s="11">
        <f>SUM(S2:S3)</f>
        <v>1773443</v>
      </c>
    </row>
    <row r="5" spans="1:20" x14ac:dyDescent="0.25">
      <c r="B5" s="10"/>
      <c r="C5" s="10"/>
      <c r="D5" s="10"/>
      <c r="E5" s="10"/>
      <c r="F5" s="10"/>
      <c r="G5" s="10"/>
    </row>
    <row r="6" spans="1:20" x14ac:dyDescent="0.25">
      <c r="A6" t="s">
        <v>215</v>
      </c>
      <c r="B6" s="10">
        <v>412180</v>
      </c>
      <c r="C6" s="10">
        <v>446915</v>
      </c>
      <c r="D6" s="10">
        <v>419074</v>
      </c>
      <c r="E6" s="10">
        <v>461538</v>
      </c>
      <c r="F6" s="10">
        <v>369783</v>
      </c>
      <c r="G6" s="10">
        <v>422405</v>
      </c>
      <c r="H6" s="10">
        <v>439975</v>
      </c>
      <c r="I6" s="10">
        <v>471930</v>
      </c>
      <c r="O6" s="10">
        <v>442562</v>
      </c>
      <c r="P6" s="10">
        <v>911242</v>
      </c>
      <c r="Q6" s="10">
        <v>1247146</v>
      </c>
      <c r="R6" s="10">
        <f>SUM(B6:E6)</f>
        <v>1739707</v>
      </c>
      <c r="S6" s="10">
        <f>SUM(F6:I6)</f>
        <v>1704093</v>
      </c>
    </row>
    <row r="7" spans="1:20" x14ac:dyDescent="0.25">
      <c r="A7" t="s">
        <v>216</v>
      </c>
      <c r="B7" s="10">
        <v>10695</v>
      </c>
      <c r="C7" s="10">
        <v>19225</v>
      </c>
      <c r="D7" s="10">
        <v>15985</v>
      </c>
      <c r="E7" s="10">
        <v>22969</v>
      </c>
      <c r="F7" s="10">
        <v>17027</v>
      </c>
      <c r="G7" s="10">
        <v>21551</v>
      </c>
      <c r="H7" s="10">
        <v>22915</v>
      </c>
      <c r="I7" s="10">
        <v>23640</v>
      </c>
      <c r="O7" s="10">
        <v>57085</v>
      </c>
      <c r="P7" s="10">
        <v>24980</v>
      </c>
      <c r="Q7" s="10">
        <v>66705</v>
      </c>
      <c r="R7" s="10">
        <f>SUM(B7:E7)</f>
        <v>68874</v>
      </c>
      <c r="S7" s="10">
        <f>SUM(F7:I7)</f>
        <v>85133</v>
      </c>
    </row>
    <row r="8" spans="1:20" s="1" customFormat="1" x14ac:dyDescent="0.25">
      <c r="A8" s="1" t="s">
        <v>217</v>
      </c>
      <c r="B8" s="11">
        <f>SUM(B6:B7)</f>
        <v>422875</v>
      </c>
      <c r="C8" s="11">
        <f t="shared" ref="C8:I8" si="1">SUM(C6:C7)</f>
        <v>466140</v>
      </c>
      <c r="D8" s="11">
        <f t="shared" si="1"/>
        <v>435059</v>
      </c>
      <c r="E8" s="11">
        <f t="shared" si="1"/>
        <v>484507</v>
      </c>
      <c r="F8" s="11">
        <f t="shared" si="1"/>
        <v>386810</v>
      </c>
      <c r="G8" s="11">
        <f t="shared" si="1"/>
        <v>443956</v>
      </c>
      <c r="H8" s="11">
        <f t="shared" si="1"/>
        <v>462890</v>
      </c>
      <c r="I8" s="11">
        <f t="shared" si="1"/>
        <v>495570</v>
      </c>
      <c r="O8" s="11">
        <f t="shared" ref="O8:Q8" si="2">SUM(O6:O7)</f>
        <v>499647</v>
      </c>
      <c r="P8" s="11">
        <f t="shared" si="2"/>
        <v>936222</v>
      </c>
      <c r="Q8" s="11">
        <f t="shared" si="2"/>
        <v>1313851</v>
      </c>
      <c r="R8" s="11">
        <f>SUM(R6:R7)</f>
        <v>1808581</v>
      </c>
      <c r="S8" s="11">
        <f>SUM(S6:S7)</f>
        <v>1789226</v>
      </c>
    </row>
    <row r="9" spans="1:20" s="1" customFormat="1" x14ac:dyDescent="0.25">
      <c r="B9" s="11"/>
      <c r="C9" s="11"/>
      <c r="D9" s="11"/>
      <c r="E9" s="11"/>
      <c r="F9" s="11"/>
      <c r="G9" s="11"/>
      <c r="H9" s="11"/>
      <c r="I9" s="11"/>
      <c r="R9" s="11"/>
      <c r="S9" s="11"/>
    </row>
    <row r="10" spans="1:20" s="1" customFormat="1" x14ac:dyDescent="0.25">
      <c r="A10" s="1" t="s">
        <v>235</v>
      </c>
      <c r="B10" s="11"/>
      <c r="C10" s="11"/>
      <c r="D10" s="11"/>
      <c r="E10" s="11"/>
      <c r="F10" s="142">
        <f t="shared" ref="F10:H10" si="3">F6/B6-1</f>
        <v>-0.10286040079576886</v>
      </c>
      <c r="G10" s="142">
        <f t="shared" si="3"/>
        <v>-5.4842643455690676E-2</v>
      </c>
      <c r="H10" s="142">
        <f t="shared" si="3"/>
        <v>4.9874246553114787E-2</v>
      </c>
      <c r="I10" s="142">
        <f>I6/E6-1</f>
        <v>2.2516022516022582E-2</v>
      </c>
      <c r="P10" s="142">
        <f t="shared" ref="P10:R10" si="4">P6/O6-1</f>
        <v>1.0590154599807486</v>
      </c>
      <c r="Q10" s="142">
        <f t="shared" si="4"/>
        <v>0.368622166230266</v>
      </c>
      <c r="R10" s="142">
        <f t="shared" si="4"/>
        <v>0.3949505510982676</v>
      </c>
      <c r="S10" s="142">
        <f>S6/R6-1</f>
        <v>-2.047126326444626E-2</v>
      </c>
    </row>
    <row r="11" spans="1:20" s="1" customFormat="1" x14ac:dyDescent="0.25">
      <c r="B11" s="11"/>
      <c r="C11" s="11"/>
      <c r="D11" s="11"/>
      <c r="E11" s="11"/>
      <c r="F11" s="11"/>
      <c r="G11" s="11"/>
      <c r="H11" s="11"/>
      <c r="I11" s="11"/>
      <c r="R11" s="11"/>
      <c r="S11" s="11"/>
    </row>
    <row r="12" spans="1:20" x14ac:dyDescent="0.25">
      <c r="B12" s="10"/>
      <c r="C12" s="10"/>
      <c r="D12" s="10"/>
      <c r="E12" s="10"/>
      <c r="F12" s="10"/>
      <c r="G12" s="10"/>
    </row>
    <row r="13" spans="1:20" x14ac:dyDescent="0.25">
      <c r="A13" t="s">
        <v>218</v>
      </c>
      <c r="B13" s="10">
        <v>153988</v>
      </c>
      <c r="C13" s="10">
        <v>168058</v>
      </c>
      <c r="D13" s="10">
        <v>176231</v>
      </c>
      <c r="E13" s="10">
        <v>176564</v>
      </c>
      <c r="F13" s="10">
        <v>173131</v>
      </c>
      <c r="G13" s="10">
        <v>171353</v>
      </c>
      <c r="H13" s="10">
        <v>168867</v>
      </c>
      <c r="O13" s="10"/>
      <c r="P13" s="10"/>
      <c r="Q13" s="10"/>
      <c r="R13" s="10">
        <f>SUM(B13:E13)</f>
        <v>674841</v>
      </c>
      <c r="S13" s="10">
        <f>SUM(F13:I13)</f>
        <v>513351</v>
      </c>
    </row>
    <row r="14" spans="1:20" x14ac:dyDescent="0.25">
      <c r="A14" t="s">
        <v>219</v>
      </c>
      <c r="B14" s="10">
        <v>15</v>
      </c>
      <c r="C14" s="10">
        <v>16</v>
      </c>
      <c r="D14" s="10">
        <v>16</v>
      </c>
      <c r="E14" s="10">
        <v>15</v>
      </c>
      <c r="F14" s="10">
        <v>28</v>
      </c>
      <c r="G14" s="10">
        <v>18</v>
      </c>
      <c r="H14" s="10">
        <v>19</v>
      </c>
      <c r="O14" s="10"/>
      <c r="P14" s="10"/>
      <c r="Q14" s="10"/>
      <c r="R14" s="10">
        <f>SUM(B14:E14)</f>
        <v>62</v>
      </c>
      <c r="S14" s="10">
        <f>SUM(F14:I14)</f>
        <v>65</v>
      </c>
    </row>
    <row r="15" spans="1:20" x14ac:dyDescent="0.25">
      <c r="B15" s="10"/>
      <c r="C15" s="10"/>
      <c r="D15" s="10"/>
      <c r="E15" s="10"/>
      <c r="F15" s="10"/>
      <c r="G15" s="10"/>
    </row>
    <row r="16" spans="1:20" x14ac:dyDescent="0.25">
      <c r="A16" t="s">
        <v>220</v>
      </c>
      <c r="B16" s="10">
        <v>3889</v>
      </c>
      <c r="C16" s="10">
        <v>3653</v>
      </c>
      <c r="D16" s="10">
        <v>3980</v>
      </c>
      <c r="E16" s="10">
        <v>3202</v>
      </c>
      <c r="F16" s="10">
        <v>4053</v>
      </c>
      <c r="G16" s="10">
        <v>9400</v>
      </c>
      <c r="H16" s="10">
        <v>6900</v>
      </c>
      <c r="I16" s="10">
        <v>11000</v>
      </c>
      <c r="O16" s="10">
        <v>3000</v>
      </c>
      <c r="P16" s="10">
        <v>4000</v>
      </c>
      <c r="Q16" s="10">
        <v>65000</v>
      </c>
      <c r="R16" s="10">
        <f>SUM(B16:E16)</f>
        <v>14724</v>
      </c>
      <c r="S16" s="10">
        <f>SUM(F16:I16)</f>
        <v>31353</v>
      </c>
    </row>
    <row r="17" spans="1:19" x14ac:dyDescent="0.25">
      <c r="B17" s="10"/>
      <c r="C17" s="10"/>
      <c r="D17" s="10"/>
      <c r="E17" s="10"/>
      <c r="F17" s="10"/>
      <c r="G17" s="10"/>
    </row>
    <row r="18" spans="1:19" x14ac:dyDescent="0.25">
      <c r="A18" t="s">
        <v>221</v>
      </c>
      <c r="B18" s="10">
        <v>1000</v>
      </c>
      <c r="C18" s="10">
        <v>1068</v>
      </c>
      <c r="D18" s="10">
        <v>1129</v>
      </c>
      <c r="E18" s="10">
        <v>1208</v>
      </c>
      <c r="F18" s="10">
        <v>1258</v>
      </c>
      <c r="G18" s="10">
        <v>1286</v>
      </c>
      <c r="H18" s="10">
        <v>1306</v>
      </c>
      <c r="I18" s="10">
        <v>1359</v>
      </c>
      <c r="O18" s="10">
        <v>523</v>
      </c>
      <c r="P18" s="10">
        <v>644</v>
      </c>
      <c r="Q18" s="10">
        <v>963</v>
      </c>
      <c r="R18" s="10">
        <f>E18</f>
        <v>1208</v>
      </c>
      <c r="S18" s="10">
        <f>I18</f>
        <v>1359</v>
      </c>
    </row>
    <row r="19" spans="1:19" x14ac:dyDescent="0.25">
      <c r="A19" t="s">
        <v>222</v>
      </c>
      <c r="B19" s="10">
        <v>1692</v>
      </c>
      <c r="C19" s="10">
        <v>1769</v>
      </c>
      <c r="D19" s="10">
        <v>1846</v>
      </c>
      <c r="E19" s="10">
        <v>1909</v>
      </c>
      <c r="F19" s="10">
        <v>1897</v>
      </c>
      <c r="G19" s="10">
        <v>1896</v>
      </c>
      <c r="H19" s="10">
        <v>1933</v>
      </c>
      <c r="I19" s="10">
        <v>1895</v>
      </c>
      <c r="O19" s="10">
        <v>894</v>
      </c>
      <c r="P19" s="10">
        <v>1281</v>
      </c>
      <c r="Q19" s="10">
        <v>1584</v>
      </c>
      <c r="R19" s="10">
        <f>E19</f>
        <v>1909</v>
      </c>
      <c r="S19" s="10">
        <f>I19</f>
        <v>1895</v>
      </c>
    </row>
    <row r="20" spans="1:19" x14ac:dyDescent="0.25">
      <c r="B20" s="10"/>
      <c r="C20" s="10"/>
      <c r="D20" s="10"/>
      <c r="E20" s="10"/>
      <c r="F20" s="10"/>
      <c r="G20" s="10"/>
      <c r="R20" s="10"/>
    </row>
    <row r="21" spans="1:19" x14ac:dyDescent="0.25">
      <c r="A21" t="s">
        <v>223</v>
      </c>
      <c r="B21" s="10">
        <v>4947</v>
      </c>
      <c r="C21" s="10">
        <v>5265</v>
      </c>
      <c r="D21" s="10">
        <v>5595</v>
      </c>
      <c r="E21" s="10">
        <v>5952</v>
      </c>
      <c r="F21" s="10">
        <v>6249</v>
      </c>
      <c r="G21" s="10">
        <v>6473</v>
      </c>
      <c r="H21" s="10">
        <v>6706</v>
      </c>
      <c r="I21" s="10">
        <v>6975</v>
      </c>
      <c r="O21" s="10">
        <v>2564</v>
      </c>
      <c r="P21" s="10">
        <v>3476</v>
      </c>
      <c r="Q21" s="10">
        <v>4678</v>
      </c>
      <c r="R21" s="10">
        <f>E21</f>
        <v>5952</v>
      </c>
      <c r="S21" s="10">
        <f>I21</f>
        <v>6975</v>
      </c>
    </row>
    <row r="22" spans="1:19" x14ac:dyDescent="0.25">
      <c r="A22" t="s">
        <v>224</v>
      </c>
      <c r="B22" s="10">
        <v>45169</v>
      </c>
      <c r="C22" s="10">
        <v>48082</v>
      </c>
      <c r="D22" s="10">
        <v>51505</v>
      </c>
      <c r="E22" s="10">
        <v>54892</v>
      </c>
      <c r="F22" s="10">
        <v>57579</v>
      </c>
      <c r="G22" s="10">
        <v>59596</v>
      </c>
      <c r="H22" s="10">
        <v>62421</v>
      </c>
      <c r="I22" s="10">
        <v>65495</v>
      </c>
      <c r="O22" s="10">
        <v>23277</v>
      </c>
      <c r="P22" s="10">
        <v>31498</v>
      </c>
      <c r="Q22" s="10">
        <v>42419</v>
      </c>
      <c r="R22" s="10">
        <f>E22</f>
        <v>54892</v>
      </c>
      <c r="S22" s="10">
        <f>I22</f>
        <v>65495</v>
      </c>
    </row>
    <row r="25" spans="1:19" x14ac:dyDescent="0.25">
      <c r="A25" t="s">
        <v>234</v>
      </c>
    </row>
  </sheetData>
  <phoneticPr fontId="3" type="noConversion"/>
  <conditionalFormatting sqref="B6:I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I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I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:S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:S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E9" sqref="E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37</v>
      </c>
      <c r="B1" t="s">
        <v>50</v>
      </c>
      <c r="C1" s="17" t="s">
        <v>51</v>
      </c>
    </row>
    <row r="2" spans="1:13" x14ac:dyDescent="0.25">
      <c r="B2" s="12">
        <v>45397</v>
      </c>
      <c r="C2" s="18">
        <v>147.05000000000001</v>
      </c>
      <c r="E2" t="s">
        <v>50</v>
      </c>
      <c r="F2" t="s">
        <v>52</v>
      </c>
      <c r="M2" t="s">
        <v>53</v>
      </c>
    </row>
    <row r="3" spans="1:13" x14ac:dyDescent="0.25">
      <c r="B3" s="12">
        <v>45390</v>
      </c>
      <c r="C3" s="18">
        <v>171.759995</v>
      </c>
      <c r="E3" s="12">
        <v>45328</v>
      </c>
      <c r="F3" t="s">
        <v>55</v>
      </c>
      <c r="M3" s="12"/>
    </row>
    <row r="4" spans="1:13" x14ac:dyDescent="0.25">
      <c r="B4" s="12">
        <v>45383</v>
      </c>
      <c r="C4" s="18">
        <v>164.89999399999999</v>
      </c>
      <c r="E4" s="12">
        <v>45302</v>
      </c>
      <c r="F4" t="s">
        <v>55</v>
      </c>
      <c r="M4" s="12"/>
    </row>
    <row r="5" spans="1:13" x14ac:dyDescent="0.25">
      <c r="B5" s="12">
        <v>45376</v>
      </c>
      <c r="C5" s="18">
        <v>175.78999300000001</v>
      </c>
      <c r="M5" s="12"/>
    </row>
    <row r="6" spans="1:13" x14ac:dyDescent="0.25">
      <c r="B6" s="12">
        <v>45369</v>
      </c>
      <c r="C6" s="18">
        <v>170.83000200000001</v>
      </c>
      <c r="M6" s="12"/>
    </row>
    <row r="7" spans="1:13" x14ac:dyDescent="0.25">
      <c r="B7" s="12">
        <v>45362</v>
      </c>
      <c r="C7" s="18">
        <v>163.570007</v>
      </c>
      <c r="M7" s="12"/>
    </row>
    <row r="8" spans="1:13" x14ac:dyDescent="0.25">
      <c r="B8" s="12">
        <v>45355</v>
      </c>
      <c r="C8" s="18">
        <v>175.33999600000001</v>
      </c>
      <c r="M8" s="12"/>
    </row>
    <row r="9" spans="1:13" x14ac:dyDescent="0.25">
      <c r="B9" s="12">
        <v>45348</v>
      </c>
      <c r="C9" s="18">
        <v>202.63999899999999</v>
      </c>
      <c r="M9" s="12"/>
    </row>
    <row r="10" spans="1:13" x14ac:dyDescent="0.25">
      <c r="B10" s="12">
        <v>45341</v>
      </c>
      <c r="C10" s="18">
        <v>191.970001</v>
      </c>
      <c r="M10" s="12"/>
    </row>
    <row r="11" spans="1:13" x14ac:dyDescent="0.25">
      <c r="B11" s="12">
        <v>45334</v>
      </c>
      <c r="C11" s="18">
        <v>199.949997</v>
      </c>
      <c r="M11" s="12"/>
    </row>
    <row r="12" spans="1:13" x14ac:dyDescent="0.25">
      <c r="B12" s="12">
        <v>45327</v>
      </c>
      <c r="C12" s="18">
        <v>193.570007</v>
      </c>
      <c r="M12" s="12"/>
    </row>
    <row r="13" spans="1:13" x14ac:dyDescent="0.25">
      <c r="B13" s="12">
        <v>45320</v>
      </c>
      <c r="C13" s="18">
        <v>187.91000399999999</v>
      </c>
    </row>
    <row r="14" spans="1:13" x14ac:dyDescent="0.25">
      <c r="B14" s="12">
        <v>45313</v>
      </c>
      <c r="C14" s="18">
        <v>183.25</v>
      </c>
    </row>
    <row r="15" spans="1:13" x14ac:dyDescent="0.25">
      <c r="B15" s="12">
        <v>45306</v>
      </c>
      <c r="C15" s="18">
        <v>212.19000199999999</v>
      </c>
    </row>
    <row r="16" spans="1:13" x14ac:dyDescent="0.25">
      <c r="B16" s="12">
        <v>45299</v>
      </c>
      <c r="C16" s="18">
        <v>218.88999899999999</v>
      </c>
    </row>
    <row r="17" spans="2:3" x14ac:dyDescent="0.25">
      <c r="B17" s="12">
        <v>45292</v>
      </c>
      <c r="C17" s="18">
        <v>237.490005</v>
      </c>
    </row>
    <row r="18" spans="2:3" x14ac:dyDescent="0.25">
      <c r="B18" s="12">
        <v>45285</v>
      </c>
      <c r="C18" s="18">
        <v>248.479996</v>
      </c>
    </row>
    <row r="19" spans="2:3" x14ac:dyDescent="0.25">
      <c r="B19" s="12">
        <v>45278</v>
      </c>
      <c r="C19" s="18">
        <v>252.53999300000001</v>
      </c>
    </row>
    <row r="20" spans="2:3" x14ac:dyDescent="0.25">
      <c r="B20" s="12">
        <v>45271</v>
      </c>
      <c r="C20" s="18">
        <v>253.5</v>
      </c>
    </row>
    <row r="21" spans="2:3" x14ac:dyDescent="0.25">
      <c r="B21" s="12">
        <v>45264</v>
      </c>
      <c r="C21" s="18">
        <v>243.83999600000001</v>
      </c>
    </row>
    <row r="22" spans="2:3" x14ac:dyDescent="0.25">
      <c r="B22" s="12">
        <v>45257</v>
      </c>
      <c r="C22" s="18">
        <v>238.83000200000001</v>
      </c>
    </row>
    <row r="23" spans="2:3" x14ac:dyDescent="0.25">
      <c r="B23" s="12">
        <v>45250</v>
      </c>
      <c r="C23" s="18">
        <v>235.449997</v>
      </c>
    </row>
    <row r="24" spans="2:3" x14ac:dyDescent="0.25">
      <c r="B24" s="12">
        <v>45243</v>
      </c>
      <c r="C24" s="18">
        <v>234.300003</v>
      </c>
    </row>
    <row r="25" spans="2:3" x14ac:dyDescent="0.25">
      <c r="B25" s="12">
        <v>45236</v>
      </c>
      <c r="C25" s="18">
        <v>214.64999399999999</v>
      </c>
    </row>
    <row r="26" spans="2:3" x14ac:dyDescent="0.25">
      <c r="B26" s="12">
        <v>45229</v>
      </c>
      <c r="C26" s="18">
        <v>219.96000699999999</v>
      </c>
    </row>
    <row r="27" spans="2:3" x14ac:dyDescent="0.25">
      <c r="B27" s="12">
        <v>45222</v>
      </c>
      <c r="C27" s="18">
        <v>207.300003</v>
      </c>
    </row>
    <row r="28" spans="2:3" x14ac:dyDescent="0.25">
      <c r="B28" s="12">
        <v>45215</v>
      </c>
      <c r="C28" s="18">
        <v>211.990005</v>
      </c>
    </row>
    <row r="29" spans="2:3" x14ac:dyDescent="0.25">
      <c r="B29" s="12">
        <v>45208</v>
      </c>
      <c r="C29" s="18">
        <v>251.11999499999999</v>
      </c>
    </row>
    <row r="30" spans="2:3" x14ac:dyDescent="0.25">
      <c r="B30" s="12">
        <v>45201</v>
      </c>
      <c r="C30" s="18">
        <v>260.52999899999998</v>
      </c>
    </row>
    <row r="31" spans="2:3" x14ac:dyDescent="0.25">
      <c r="B31" s="12">
        <v>45194</v>
      </c>
      <c r="C31" s="18">
        <v>250.220001</v>
      </c>
    </row>
    <row r="32" spans="2:3" x14ac:dyDescent="0.25">
      <c r="B32" s="12">
        <v>45187</v>
      </c>
      <c r="C32" s="18">
        <v>244.88000500000001</v>
      </c>
    </row>
    <row r="33" spans="2:3" x14ac:dyDescent="0.25">
      <c r="B33" s="12">
        <v>45180</v>
      </c>
      <c r="C33" s="18">
        <v>274.39001500000001</v>
      </c>
    </row>
    <row r="34" spans="2:3" x14ac:dyDescent="0.25">
      <c r="B34" s="12">
        <v>45173</v>
      </c>
      <c r="C34" s="18">
        <v>248.5</v>
      </c>
    </row>
    <row r="35" spans="2:3" x14ac:dyDescent="0.25">
      <c r="B35" s="12">
        <v>45166</v>
      </c>
      <c r="C35" s="18">
        <v>245.009995</v>
      </c>
    </row>
    <row r="36" spans="2:3" x14ac:dyDescent="0.25">
      <c r="B36" s="12">
        <v>45159</v>
      </c>
      <c r="C36" s="18">
        <v>238.58999600000001</v>
      </c>
    </row>
    <row r="37" spans="2:3" x14ac:dyDescent="0.25">
      <c r="B37" s="12">
        <v>45152</v>
      </c>
      <c r="C37" s="18">
        <v>215.490005</v>
      </c>
    </row>
    <row r="38" spans="2:3" x14ac:dyDescent="0.25">
      <c r="B38" s="12">
        <v>45145</v>
      </c>
      <c r="C38" s="18">
        <v>242.64999399999999</v>
      </c>
    </row>
    <row r="39" spans="2:3" x14ac:dyDescent="0.25">
      <c r="B39" s="12">
        <v>45138</v>
      </c>
      <c r="C39" s="18">
        <v>253.86000100000001</v>
      </c>
    </row>
    <row r="40" spans="2:3" x14ac:dyDescent="0.25">
      <c r="B40" s="12">
        <v>45131</v>
      </c>
      <c r="C40" s="18">
        <v>266.44000199999999</v>
      </c>
    </row>
    <row r="41" spans="2:3" x14ac:dyDescent="0.25">
      <c r="B41" s="12">
        <v>45124</v>
      </c>
      <c r="C41" s="18">
        <v>260.01998900000001</v>
      </c>
    </row>
    <row r="42" spans="2:3" x14ac:dyDescent="0.25">
      <c r="B42" s="12">
        <v>45117</v>
      </c>
      <c r="C42" s="18">
        <v>281.38000499999998</v>
      </c>
    </row>
    <row r="43" spans="2:3" x14ac:dyDescent="0.25">
      <c r="B43" s="12">
        <v>45110</v>
      </c>
      <c r="C43" s="18">
        <v>274.42999300000002</v>
      </c>
    </row>
    <row r="44" spans="2:3" x14ac:dyDescent="0.25">
      <c r="B44" s="12">
        <v>45103</v>
      </c>
      <c r="C44" s="18">
        <v>261.76998900000001</v>
      </c>
    </row>
    <row r="45" spans="2:3" x14ac:dyDescent="0.25">
      <c r="B45" s="12">
        <v>45096</v>
      </c>
      <c r="C45" s="18">
        <v>256.60000600000001</v>
      </c>
    </row>
    <row r="46" spans="2:3" x14ac:dyDescent="0.25">
      <c r="B46" s="12">
        <v>45089</v>
      </c>
      <c r="C46" s="18">
        <v>260.540009</v>
      </c>
    </row>
    <row r="47" spans="2:3" x14ac:dyDescent="0.25">
      <c r="B47" s="12">
        <v>45082</v>
      </c>
      <c r="C47" s="18">
        <v>244.39999399999999</v>
      </c>
    </row>
    <row r="48" spans="2:3" x14ac:dyDescent="0.25">
      <c r="B48" s="12">
        <v>45075</v>
      </c>
      <c r="C48" s="18">
        <v>213.970001</v>
      </c>
    </row>
    <row r="49" spans="2:3" x14ac:dyDescent="0.25">
      <c r="B49" s="12">
        <v>45068</v>
      </c>
      <c r="C49" s="18">
        <v>193.16999799999999</v>
      </c>
    </row>
    <row r="50" spans="2:3" x14ac:dyDescent="0.25">
      <c r="B50" s="12">
        <v>45061</v>
      </c>
      <c r="C50" s="18">
        <v>180.13999899999999</v>
      </c>
    </row>
    <row r="51" spans="2:3" x14ac:dyDescent="0.25">
      <c r="B51" s="12">
        <v>45054</v>
      </c>
      <c r="C51" s="18">
        <v>167.979996</v>
      </c>
    </row>
    <row r="52" spans="2:3" x14ac:dyDescent="0.25">
      <c r="B52" s="12">
        <v>45047</v>
      </c>
      <c r="C52" s="18">
        <v>170.05999800000001</v>
      </c>
    </row>
    <row r="53" spans="2:3" x14ac:dyDescent="0.25">
      <c r="B53" s="12">
        <v>45040</v>
      </c>
      <c r="C53" s="18">
        <v>164.30999800000001</v>
      </c>
    </row>
    <row r="54" spans="2:3" x14ac:dyDescent="0.25">
      <c r="B54" s="12">
        <v>45033</v>
      </c>
      <c r="C54" s="18">
        <v>165.08000200000001</v>
      </c>
    </row>
    <row r="55" spans="2:3" x14ac:dyDescent="0.25">
      <c r="B55" s="12">
        <v>45026</v>
      </c>
      <c r="C55" s="18">
        <v>185</v>
      </c>
    </row>
    <row r="56" spans="2:3" x14ac:dyDescent="0.25">
      <c r="B56" s="12">
        <v>45019</v>
      </c>
      <c r="C56" s="18">
        <v>185.05999800000001</v>
      </c>
    </row>
    <row r="57" spans="2:3" x14ac:dyDescent="0.25">
      <c r="B57" s="12">
        <v>45012</v>
      </c>
      <c r="C57" s="18">
        <v>207.46000699999999</v>
      </c>
    </row>
    <row r="58" spans="2:3" x14ac:dyDescent="0.25">
      <c r="B58" s="12">
        <v>45005</v>
      </c>
      <c r="C58" s="18">
        <v>190.41000399999999</v>
      </c>
    </row>
    <row r="59" spans="2:3" x14ac:dyDescent="0.25">
      <c r="B59" s="12">
        <v>44998</v>
      </c>
      <c r="C59" s="18">
        <v>180.13000500000001</v>
      </c>
    </row>
    <row r="60" spans="2:3" x14ac:dyDescent="0.25">
      <c r="B60" s="12">
        <v>44991</v>
      </c>
      <c r="C60" s="18">
        <v>173.44000199999999</v>
      </c>
    </row>
    <row r="61" spans="2:3" x14ac:dyDescent="0.25">
      <c r="B61" s="12">
        <v>44984</v>
      </c>
      <c r="C61" s="18">
        <v>197.78999300000001</v>
      </c>
    </row>
    <row r="62" spans="2:3" x14ac:dyDescent="0.25">
      <c r="B62" s="12">
        <v>44977</v>
      </c>
      <c r="C62" s="18">
        <v>196.88000500000001</v>
      </c>
    </row>
    <row r="63" spans="2:3" x14ac:dyDescent="0.25">
      <c r="B63" s="12">
        <v>44970</v>
      </c>
      <c r="C63" s="18">
        <v>208.30999800000001</v>
      </c>
    </row>
    <row r="64" spans="2:3" x14ac:dyDescent="0.25">
      <c r="B64" s="12">
        <v>44963</v>
      </c>
      <c r="C64" s="18">
        <v>196.88999899999999</v>
      </c>
    </row>
    <row r="65" spans="2:3" x14ac:dyDescent="0.25">
      <c r="B65" s="12">
        <v>44956</v>
      </c>
      <c r="C65" s="18">
        <v>189.979996</v>
      </c>
    </row>
    <row r="66" spans="2:3" x14ac:dyDescent="0.25">
      <c r="B66" s="12">
        <v>44949</v>
      </c>
      <c r="C66" s="18">
        <v>177.89999399999999</v>
      </c>
    </row>
    <row r="67" spans="2:3" x14ac:dyDescent="0.25">
      <c r="B67" s="12">
        <v>44942</v>
      </c>
      <c r="C67" s="18">
        <v>133.41999799999999</v>
      </c>
    </row>
    <row r="68" spans="2:3" x14ac:dyDescent="0.25">
      <c r="B68" s="12">
        <v>44935</v>
      </c>
      <c r="C68" s="18">
        <v>122.400002</v>
      </c>
    </row>
    <row r="69" spans="2:3" x14ac:dyDescent="0.25">
      <c r="B69" s="12">
        <v>44928</v>
      </c>
      <c r="C69" s="18">
        <v>113.05999799999999</v>
      </c>
    </row>
    <row r="70" spans="2:3" x14ac:dyDescent="0.25">
      <c r="B70" s="12">
        <v>44921</v>
      </c>
      <c r="C70" s="18">
        <v>123.18</v>
      </c>
    </row>
    <row r="71" spans="2:3" x14ac:dyDescent="0.25">
      <c r="B71" s="12">
        <v>44914</v>
      </c>
      <c r="C71" s="18">
        <v>123.150002</v>
      </c>
    </row>
    <row r="72" spans="2:3" x14ac:dyDescent="0.25">
      <c r="B72" s="12">
        <v>44907</v>
      </c>
      <c r="C72" s="18">
        <v>150.229996</v>
      </c>
    </row>
    <row r="73" spans="2:3" x14ac:dyDescent="0.25">
      <c r="B73" s="12">
        <v>44900</v>
      </c>
      <c r="C73" s="18">
        <v>179.050003</v>
      </c>
    </row>
    <row r="74" spans="2:3" x14ac:dyDescent="0.25">
      <c r="B74" s="12">
        <v>44893</v>
      </c>
      <c r="C74" s="18">
        <v>194.86000100000001</v>
      </c>
    </row>
    <row r="75" spans="2:3" x14ac:dyDescent="0.25">
      <c r="B75" s="12">
        <v>44886</v>
      </c>
      <c r="C75" s="18">
        <v>182.86000100000001</v>
      </c>
    </row>
    <row r="76" spans="2:3" x14ac:dyDescent="0.25">
      <c r="B76" s="12">
        <v>44879</v>
      </c>
      <c r="C76" s="18">
        <v>180.19000199999999</v>
      </c>
    </row>
    <row r="77" spans="2:3" x14ac:dyDescent="0.25">
      <c r="B77" s="12">
        <v>44872</v>
      </c>
      <c r="C77" s="18">
        <v>195.970001</v>
      </c>
    </row>
    <row r="78" spans="2:3" x14ac:dyDescent="0.25">
      <c r="B78" s="12">
        <v>44865</v>
      </c>
      <c r="C78" s="18">
        <v>207.470001</v>
      </c>
    </row>
    <row r="79" spans="2:3" x14ac:dyDescent="0.25">
      <c r="B79" s="12">
        <v>44858</v>
      </c>
      <c r="C79" s="18">
        <v>228.520004</v>
      </c>
    </row>
    <row r="80" spans="2:3" x14ac:dyDescent="0.25">
      <c r="B80" s="12">
        <v>44851</v>
      </c>
      <c r="C80" s="18">
        <v>214.44000199999999</v>
      </c>
    </row>
    <row r="81" spans="2:3" x14ac:dyDescent="0.25">
      <c r="B81" s="12">
        <v>44844</v>
      </c>
      <c r="C81" s="18">
        <v>204.990005</v>
      </c>
    </row>
    <row r="82" spans="2:3" x14ac:dyDescent="0.25">
      <c r="B82" s="12">
        <v>44837</v>
      </c>
      <c r="C82" s="18">
        <v>223.070007</v>
      </c>
    </row>
    <row r="83" spans="2:3" x14ac:dyDescent="0.25">
      <c r="B83" s="12">
        <v>44830</v>
      </c>
      <c r="C83" s="18">
        <v>265.25</v>
      </c>
    </row>
    <row r="84" spans="2:3" x14ac:dyDescent="0.25">
      <c r="B84" s="12">
        <v>44823</v>
      </c>
      <c r="C84" s="18">
        <v>275.32998700000002</v>
      </c>
    </row>
    <row r="85" spans="2:3" x14ac:dyDescent="0.25">
      <c r="B85" s="12">
        <v>44816</v>
      </c>
      <c r="C85" s="18">
        <v>303.35000600000001</v>
      </c>
    </row>
    <row r="86" spans="2:3" x14ac:dyDescent="0.25">
      <c r="B86" s="12">
        <v>44809</v>
      </c>
      <c r="C86" s="18">
        <v>299.67999300000002</v>
      </c>
    </row>
    <row r="87" spans="2:3" x14ac:dyDescent="0.25">
      <c r="B87" s="12">
        <v>44802</v>
      </c>
      <c r="C87" s="18">
        <v>270.209991</v>
      </c>
    </row>
    <row r="88" spans="2:3" x14ac:dyDescent="0.25">
      <c r="B88" s="12">
        <v>44795</v>
      </c>
      <c r="C88" s="18">
        <v>288.08999599999999</v>
      </c>
    </row>
    <row r="89" spans="2:3" x14ac:dyDescent="0.25">
      <c r="B89" s="12">
        <v>44788</v>
      </c>
      <c r="C89" s="18">
        <v>296.66665599999999</v>
      </c>
    </row>
    <row r="90" spans="2:3" x14ac:dyDescent="0.25">
      <c r="B90" s="12">
        <v>44781</v>
      </c>
      <c r="C90" s="18">
        <v>300.02999899999998</v>
      </c>
    </row>
    <row r="91" spans="2:3" x14ac:dyDescent="0.25">
      <c r="B91" s="12">
        <v>44774</v>
      </c>
      <c r="C91" s="18">
        <v>288.17001299999998</v>
      </c>
    </row>
    <row r="92" spans="2:3" x14ac:dyDescent="0.25">
      <c r="B92" s="12">
        <v>44767</v>
      </c>
      <c r="C92" s="18">
        <v>297.14999399999999</v>
      </c>
    </row>
    <row r="93" spans="2:3" x14ac:dyDescent="0.25">
      <c r="B93" s="12">
        <v>44760</v>
      </c>
      <c r="C93" s="18">
        <v>272.24334700000003</v>
      </c>
    </row>
    <row r="94" spans="2:3" x14ac:dyDescent="0.25">
      <c r="B94" s="12">
        <v>44753</v>
      </c>
      <c r="C94" s="18">
        <v>240.066666</v>
      </c>
    </row>
    <row r="95" spans="2:3" x14ac:dyDescent="0.25">
      <c r="B95" s="12">
        <v>44746</v>
      </c>
      <c r="C95" s="18">
        <v>250.76333600000001</v>
      </c>
    </row>
    <row r="96" spans="2:3" x14ac:dyDescent="0.25">
      <c r="B96" s="12">
        <v>44739</v>
      </c>
      <c r="C96" s="18">
        <v>227.26333600000001</v>
      </c>
    </row>
    <row r="97" spans="2:3" x14ac:dyDescent="0.25">
      <c r="B97" s="12">
        <v>44732</v>
      </c>
      <c r="C97" s="18">
        <v>245.70666499999999</v>
      </c>
    </row>
    <row r="98" spans="2:3" x14ac:dyDescent="0.25">
      <c r="B98" s="12">
        <v>44725</v>
      </c>
      <c r="C98" s="18">
        <v>216.759995</v>
      </c>
    </row>
    <row r="99" spans="2:3" x14ac:dyDescent="0.25">
      <c r="B99" s="12">
        <v>44718</v>
      </c>
      <c r="C99" s="18">
        <v>232.229996</v>
      </c>
    </row>
    <row r="100" spans="2:3" x14ac:dyDescent="0.25">
      <c r="B100" s="12">
        <v>44711</v>
      </c>
      <c r="C100" s="18">
        <v>234.51666299999999</v>
      </c>
    </row>
    <row r="101" spans="2:3" x14ac:dyDescent="0.25">
      <c r="B101" s="12">
        <v>44704</v>
      </c>
      <c r="C101" s="18">
        <v>253.21000699999999</v>
      </c>
    </row>
    <row r="102" spans="2:3" x14ac:dyDescent="0.25">
      <c r="B102" s="12">
        <v>44697</v>
      </c>
      <c r="C102" s="18">
        <v>221.300003</v>
      </c>
    </row>
    <row r="103" spans="2:3" x14ac:dyDescent="0.25">
      <c r="B103" s="12">
        <v>44690</v>
      </c>
      <c r="C103" s="18">
        <v>256.52999899999998</v>
      </c>
    </row>
    <row r="104" spans="2:3" x14ac:dyDescent="0.25">
      <c r="B104" s="12">
        <v>44683</v>
      </c>
      <c r="C104" s="18">
        <v>288.54998799999998</v>
      </c>
    </row>
    <row r="105" spans="2:3" x14ac:dyDescent="0.25">
      <c r="B105" s="12">
        <v>44676</v>
      </c>
      <c r="C105" s="18">
        <v>290.25332600000002</v>
      </c>
    </row>
    <row r="106" spans="2:3" x14ac:dyDescent="0.25">
      <c r="B106" s="12">
        <v>44669</v>
      </c>
      <c r="C106" s="18">
        <v>335.01666299999999</v>
      </c>
    </row>
    <row r="107" spans="2:3" x14ac:dyDescent="0.25">
      <c r="B107" s="12">
        <v>44662</v>
      </c>
      <c r="C107" s="18">
        <v>328.33334400000001</v>
      </c>
    </row>
    <row r="108" spans="2:3" x14ac:dyDescent="0.25">
      <c r="B108" s="12">
        <v>44655</v>
      </c>
      <c r="C108" s="18">
        <v>341.82998700000002</v>
      </c>
    </row>
    <row r="109" spans="2:3" x14ac:dyDescent="0.25">
      <c r="B109" s="12">
        <v>44648</v>
      </c>
      <c r="C109" s="18">
        <v>361.52999899999998</v>
      </c>
    </row>
    <row r="110" spans="2:3" x14ac:dyDescent="0.25">
      <c r="B110" s="12">
        <v>44641</v>
      </c>
      <c r="C110" s="18">
        <v>336.88000499999998</v>
      </c>
    </row>
    <row r="111" spans="2:3" x14ac:dyDescent="0.25">
      <c r="B111" s="12">
        <v>44634</v>
      </c>
      <c r="C111" s="18">
        <v>301.79666099999997</v>
      </c>
    </row>
    <row r="112" spans="2:3" x14ac:dyDescent="0.25">
      <c r="B112" s="12">
        <v>44627</v>
      </c>
      <c r="C112" s="18">
        <v>265.116669</v>
      </c>
    </row>
    <row r="113" spans="2:3" x14ac:dyDescent="0.25">
      <c r="B113" s="12">
        <v>44620</v>
      </c>
      <c r="C113" s="18">
        <v>279.42999300000002</v>
      </c>
    </row>
    <row r="114" spans="2:3" x14ac:dyDescent="0.25">
      <c r="B114" s="12">
        <v>44613</v>
      </c>
      <c r="C114" s="18">
        <v>269.95666499999999</v>
      </c>
    </row>
    <row r="115" spans="2:3" x14ac:dyDescent="0.25">
      <c r="B115" s="12">
        <v>44606</v>
      </c>
      <c r="C115" s="18">
        <v>285.66000400000001</v>
      </c>
    </row>
    <row r="116" spans="2:3" x14ac:dyDescent="0.25">
      <c r="B116" s="12">
        <v>44599</v>
      </c>
      <c r="C116" s="18">
        <v>286.66665599999999</v>
      </c>
    </row>
    <row r="117" spans="2:3" x14ac:dyDescent="0.25">
      <c r="B117" s="12">
        <v>44592</v>
      </c>
      <c r="C117" s="18">
        <v>307.773346</v>
      </c>
    </row>
    <row r="118" spans="2:3" x14ac:dyDescent="0.25">
      <c r="B118" s="12">
        <v>44585</v>
      </c>
      <c r="C118" s="18">
        <v>282.116669</v>
      </c>
    </row>
    <row r="119" spans="2:3" x14ac:dyDescent="0.25">
      <c r="B119" s="12">
        <v>44578</v>
      </c>
      <c r="C119" s="18">
        <v>314.633331</v>
      </c>
    </row>
    <row r="120" spans="2:3" x14ac:dyDescent="0.25">
      <c r="B120" s="12">
        <v>44571</v>
      </c>
      <c r="C120" s="18">
        <v>349.86999500000002</v>
      </c>
    </row>
    <row r="121" spans="2:3" x14ac:dyDescent="0.25">
      <c r="B121" s="12">
        <v>44564</v>
      </c>
      <c r="C121" s="18">
        <v>342.32000699999998</v>
      </c>
    </row>
    <row r="122" spans="2:3" x14ac:dyDescent="0.25">
      <c r="B122" s="12">
        <v>44557</v>
      </c>
      <c r="C122" s="18">
        <v>352.26001000000002</v>
      </c>
    </row>
    <row r="123" spans="2:3" x14ac:dyDescent="0.25">
      <c r="B123" s="12">
        <v>44550</v>
      </c>
      <c r="C123" s="18">
        <v>355.66665599999999</v>
      </c>
    </row>
    <row r="124" spans="2:3" x14ac:dyDescent="0.25">
      <c r="B124" s="12">
        <v>44543</v>
      </c>
      <c r="C124" s="18">
        <v>310.85665899999998</v>
      </c>
    </row>
    <row r="125" spans="2:3" x14ac:dyDescent="0.25">
      <c r="B125" s="12">
        <v>44536</v>
      </c>
      <c r="C125" s="18">
        <v>339.01001000000002</v>
      </c>
    </row>
    <row r="126" spans="2:3" x14ac:dyDescent="0.25">
      <c r="B126" s="12">
        <v>44529</v>
      </c>
      <c r="C126" s="18">
        <v>338.32333399999999</v>
      </c>
    </row>
    <row r="127" spans="2:3" x14ac:dyDescent="0.25">
      <c r="B127" s="12">
        <v>44522</v>
      </c>
      <c r="C127" s="18">
        <v>360.64001500000001</v>
      </c>
    </row>
    <row r="128" spans="2:3" x14ac:dyDescent="0.25">
      <c r="B128" s="12">
        <v>44515</v>
      </c>
      <c r="C128" s="18">
        <v>379.01998900000001</v>
      </c>
    </row>
    <row r="129" spans="2:3" x14ac:dyDescent="0.25">
      <c r="B129" s="12">
        <v>44508</v>
      </c>
      <c r="C129" s="18">
        <v>344.47332799999998</v>
      </c>
    </row>
    <row r="130" spans="2:3" x14ac:dyDescent="0.25">
      <c r="B130" s="12">
        <v>44501</v>
      </c>
      <c r="C130" s="18">
        <v>407.36334199999999</v>
      </c>
    </row>
    <row r="131" spans="2:3" x14ac:dyDescent="0.25">
      <c r="B131" s="12">
        <v>44494</v>
      </c>
      <c r="C131" s="18">
        <v>371.33334400000001</v>
      </c>
    </row>
    <row r="132" spans="2:3" x14ac:dyDescent="0.25">
      <c r="B132" s="12">
        <v>44487</v>
      </c>
      <c r="C132" s="18">
        <v>303.226654</v>
      </c>
    </row>
    <row r="133" spans="2:3" x14ac:dyDescent="0.25">
      <c r="B133" s="12">
        <v>44480</v>
      </c>
      <c r="C133" s="18">
        <v>281.01001000000002</v>
      </c>
    </row>
    <row r="134" spans="2:3" x14ac:dyDescent="0.25">
      <c r="B134" s="12">
        <v>44473</v>
      </c>
      <c r="C134" s="18">
        <v>261.82998700000002</v>
      </c>
    </row>
    <row r="135" spans="2:3" x14ac:dyDescent="0.25">
      <c r="B135" s="12">
        <v>44466</v>
      </c>
      <c r="C135" s="18">
        <v>258.406677</v>
      </c>
    </row>
    <row r="136" spans="2:3" x14ac:dyDescent="0.25">
      <c r="B136" s="12">
        <v>44459</v>
      </c>
      <c r="C136" s="18">
        <v>258.13000499999998</v>
      </c>
    </row>
    <row r="137" spans="2:3" x14ac:dyDescent="0.25">
      <c r="B137" s="12">
        <v>44452</v>
      </c>
      <c r="C137" s="18">
        <v>253.16333</v>
      </c>
    </row>
    <row r="138" spans="2:3" x14ac:dyDescent="0.25">
      <c r="B138" s="12">
        <v>44445</v>
      </c>
      <c r="C138" s="18">
        <v>245.42334</v>
      </c>
    </row>
    <row r="139" spans="2:3" x14ac:dyDescent="0.25">
      <c r="B139" s="12">
        <v>44438</v>
      </c>
      <c r="C139" s="18">
        <v>244.52333100000001</v>
      </c>
    </row>
    <row r="140" spans="2:3" x14ac:dyDescent="0.25">
      <c r="B140" s="12">
        <v>44431</v>
      </c>
      <c r="C140" s="18">
        <v>237.30667099999999</v>
      </c>
    </row>
    <row r="141" spans="2:3" x14ac:dyDescent="0.25">
      <c r="B141" s="12">
        <v>44424</v>
      </c>
      <c r="C141" s="18">
        <v>226.75332599999999</v>
      </c>
    </row>
    <row r="142" spans="2:3" x14ac:dyDescent="0.25">
      <c r="B142" s="12">
        <v>44417</v>
      </c>
      <c r="C142" s="18">
        <v>239.05667099999999</v>
      </c>
    </row>
    <row r="143" spans="2:3" x14ac:dyDescent="0.25">
      <c r="B143" s="12">
        <v>44410</v>
      </c>
      <c r="C143" s="18">
        <v>233.03334000000001</v>
      </c>
    </row>
    <row r="144" spans="2:3" x14ac:dyDescent="0.25">
      <c r="B144" s="12">
        <v>44403</v>
      </c>
      <c r="C144" s="18">
        <v>229.066666</v>
      </c>
    </row>
    <row r="145" spans="2:3" x14ac:dyDescent="0.25">
      <c r="B145" s="12">
        <v>44396</v>
      </c>
      <c r="C145" s="18">
        <v>214.46000699999999</v>
      </c>
    </row>
    <row r="146" spans="2:3" x14ac:dyDescent="0.25">
      <c r="B146" s="12">
        <v>44389</v>
      </c>
      <c r="C146" s="18">
        <v>214.740005</v>
      </c>
    </row>
    <row r="147" spans="2:3" x14ac:dyDescent="0.25">
      <c r="B147" s="12">
        <v>44382</v>
      </c>
      <c r="C147" s="18">
        <v>218.98333700000001</v>
      </c>
    </row>
    <row r="148" spans="2:3" x14ac:dyDescent="0.25">
      <c r="B148" s="12">
        <v>44375</v>
      </c>
      <c r="C148" s="18">
        <v>226.300003</v>
      </c>
    </row>
    <row r="149" spans="2:3" x14ac:dyDescent="0.25">
      <c r="B149" s="12">
        <v>44368</v>
      </c>
      <c r="C149" s="18">
        <v>223.95666499999999</v>
      </c>
    </row>
    <row r="150" spans="2:3" x14ac:dyDescent="0.25">
      <c r="B150" s="12">
        <v>44361</v>
      </c>
      <c r="C150" s="18">
        <v>207.770004</v>
      </c>
    </row>
    <row r="151" spans="2:3" x14ac:dyDescent="0.25">
      <c r="B151" s="12">
        <v>44354</v>
      </c>
      <c r="C151" s="18">
        <v>203.296661</v>
      </c>
    </row>
    <row r="152" spans="2:3" x14ac:dyDescent="0.25">
      <c r="B152" s="12">
        <v>44347</v>
      </c>
      <c r="C152" s="18">
        <v>199.683334</v>
      </c>
    </row>
    <row r="153" spans="2:3" x14ac:dyDescent="0.25">
      <c r="B153" s="12">
        <v>44340</v>
      </c>
      <c r="C153" s="18">
        <v>208.40666200000001</v>
      </c>
    </row>
    <row r="154" spans="2:3" x14ac:dyDescent="0.25">
      <c r="B154" s="12">
        <v>44333</v>
      </c>
      <c r="C154" s="18">
        <v>193.62666300000001</v>
      </c>
    </row>
    <row r="155" spans="2:3" x14ac:dyDescent="0.25">
      <c r="B155" s="12">
        <v>44326</v>
      </c>
      <c r="C155" s="18">
        <v>196.58000200000001</v>
      </c>
    </row>
    <row r="156" spans="2:3" x14ac:dyDescent="0.25">
      <c r="B156" s="12">
        <v>44319</v>
      </c>
      <c r="C156" s="18">
        <v>224.12333699999999</v>
      </c>
    </row>
    <row r="157" spans="2:3" x14ac:dyDescent="0.25">
      <c r="B157" s="12">
        <v>44312</v>
      </c>
      <c r="C157" s="18">
        <v>236.479996</v>
      </c>
    </row>
    <row r="158" spans="2:3" x14ac:dyDescent="0.25">
      <c r="B158" s="12">
        <v>44305</v>
      </c>
      <c r="C158" s="18">
        <v>243.133331</v>
      </c>
    </row>
    <row r="159" spans="2:3" x14ac:dyDescent="0.25">
      <c r="B159" s="12">
        <v>44298</v>
      </c>
      <c r="C159" s="18">
        <v>246.59333799999999</v>
      </c>
    </row>
    <row r="160" spans="2:3" x14ac:dyDescent="0.25">
      <c r="B160" s="12">
        <v>44291</v>
      </c>
      <c r="C160" s="18">
        <v>225.67334</v>
      </c>
    </row>
    <row r="161" spans="2:3" x14ac:dyDescent="0.25">
      <c r="B161" s="12">
        <v>44284</v>
      </c>
      <c r="C161" s="18">
        <v>220.58332799999999</v>
      </c>
    </row>
    <row r="162" spans="2:3" x14ac:dyDescent="0.25">
      <c r="B162" s="12">
        <v>44277</v>
      </c>
      <c r="C162" s="18">
        <v>206.23666399999999</v>
      </c>
    </row>
    <row r="163" spans="2:3" x14ac:dyDescent="0.25">
      <c r="B163" s="12">
        <v>44270</v>
      </c>
      <c r="C163" s="18">
        <v>218.28999300000001</v>
      </c>
    </row>
    <row r="164" spans="2:3" x14ac:dyDescent="0.25">
      <c r="B164" s="12">
        <v>44263</v>
      </c>
      <c r="C164" s="18">
        <v>231.24333200000001</v>
      </c>
    </row>
    <row r="165" spans="2:3" x14ac:dyDescent="0.25">
      <c r="B165" s="12">
        <v>44256</v>
      </c>
      <c r="C165" s="18">
        <v>199.316666</v>
      </c>
    </row>
    <row r="166" spans="2:3" x14ac:dyDescent="0.25">
      <c r="B166" s="12">
        <v>44249</v>
      </c>
      <c r="C166" s="18">
        <v>225.16667200000001</v>
      </c>
    </row>
    <row r="167" spans="2:3" x14ac:dyDescent="0.25">
      <c r="B167" s="12">
        <v>44242</v>
      </c>
      <c r="C167" s="18">
        <v>260.43331899999998</v>
      </c>
    </row>
    <row r="168" spans="2:3" x14ac:dyDescent="0.25">
      <c r="B168" s="12">
        <v>44235</v>
      </c>
      <c r="C168" s="18">
        <v>272.040009</v>
      </c>
    </row>
    <row r="169" spans="2:3" x14ac:dyDescent="0.25">
      <c r="B169" s="12">
        <v>44228</v>
      </c>
      <c r="C169" s="18">
        <v>284.07666</v>
      </c>
    </row>
    <row r="170" spans="2:3" x14ac:dyDescent="0.25">
      <c r="B170" s="12">
        <v>44221</v>
      </c>
      <c r="C170" s="18">
        <v>264.51001000000002</v>
      </c>
    </row>
    <row r="171" spans="2:3" x14ac:dyDescent="0.25">
      <c r="B171" s="12">
        <v>44214</v>
      </c>
      <c r="C171" s="18">
        <v>282.21331800000002</v>
      </c>
    </row>
    <row r="172" spans="2:3" x14ac:dyDescent="0.25">
      <c r="B172" s="12">
        <v>44207</v>
      </c>
      <c r="C172" s="18">
        <v>275.38665800000001</v>
      </c>
    </row>
    <row r="173" spans="2:3" x14ac:dyDescent="0.25">
      <c r="B173" s="12">
        <v>44200</v>
      </c>
      <c r="C173" s="18">
        <v>293.33999599999999</v>
      </c>
    </row>
    <row r="174" spans="2:3" x14ac:dyDescent="0.25">
      <c r="B174" s="12">
        <v>44193</v>
      </c>
      <c r="C174" s="18">
        <v>235.22332800000001</v>
      </c>
    </row>
    <row r="175" spans="2:3" x14ac:dyDescent="0.25">
      <c r="B175" s="12">
        <v>44186</v>
      </c>
      <c r="C175" s="18">
        <v>220.58999600000001</v>
      </c>
    </row>
    <row r="176" spans="2:3" x14ac:dyDescent="0.25">
      <c r="B176" s="12">
        <v>44179</v>
      </c>
      <c r="C176" s="18">
        <v>231.66667200000001</v>
      </c>
    </row>
    <row r="177" spans="2:3" x14ac:dyDescent="0.25">
      <c r="B177" s="12">
        <v>44172</v>
      </c>
      <c r="C177" s="18">
        <v>203.33000200000001</v>
      </c>
    </row>
    <row r="178" spans="2:3" x14ac:dyDescent="0.25">
      <c r="B178" s="12">
        <v>44165</v>
      </c>
      <c r="C178" s="18">
        <v>199.679993</v>
      </c>
    </row>
    <row r="179" spans="2:3" x14ac:dyDescent="0.25">
      <c r="B179" s="12">
        <v>44158</v>
      </c>
      <c r="C179" s="18">
        <v>195.25332599999999</v>
      </c>
    </row>
    <row r="180" spans="2:3" x14ac:dyDescent="0.25">
      <c r="B180" s="12">
        <v>44151</v>
      </c>
      <c r="C180" s="18">
        <v>163.203339</v>
      </c>
    </row>
    <row r="181" spans="2:3" x14ac:dyDescent="0.25">
      <c r="B181" s="12">
        <v>44144</v>
      </c>
      <c r="C181" s="18">
        <v>136.16667200000001</v>
      </c>
    </row>
    <row r="182" spans="2:3" x14ac:dyDescent="0.25">
      <c r="B182" s="12">
        <v>44137</v>
      </c>
      <c r="C182" s="18">
        <v>143.316666</v>
      </c>
    </row>
    <row r="183" spans="2:3" x14ac:dyDescent="0.25">
      <c r="B183" s="12">
        <v>44130</v>
      </c>
      <c r="C183" s="18">
        <v>129.346664</v>
      </c>
    </row>
    <row r="184" spans="2:3" x14ac:dyDescent="0.25">
      <c r="B184" s="12">
        <v>44123</v>
      </c>
      <c r="C184" s="18">
        <v>140.21000699999999</v>
      </c>
    </row>
    <row r="185" spans="2:3" x14ac:dyDescent="0.25">
      <c r="B185" s="12">
        <v>44116</v>
      </c>
      <c r="C185" s="18">
        <v>146.55667099999999</v>
      </c>
    </row>
    <row r="186" spans="2:3" x14ac:dyDescent="0.25">
      <c r="B186" s="12">
        <v>44109</v>
      </c>
      <c r="C186" s="18">
        <v>144.66667200000001</v>
      </c>
    </row>
    <row r="187" spans="2:3" x14ac:dyDescent="0.25">
      <c r="B187" s="12">
        <v>44102</v>
      </c>
      <c r="C187" s="18">
        <v>138.363327</v>
      </c>
    </row>
    <row r="188" spans="2:3" x14ac:dyDescent="0.25">
      <c r="B188" s="12">
        <v>44095</v>
      </c>
      <c r="C188" s="18">
        <v>135.779999</v>
      </c>
    </row>
    <row r="189" spans="2:3" x14ac:dyDescent="0.25">
      <c r="B189" s="12">
        <v>44088</v>
      </c>
      <c r="C189" s="18">
        <v>147.383331</v>
      </c>
    </row>
    <row r="190" spans="2:3" x14ac:dyDescent="0.25">
      <c r="B190" s="12">
        <v>44081</v>
      </c>
      <c r="C190" s="18">
        <v>124.239998</v>
      </c>
    </row>
    <row r="191" spans="2:3" x14ac:dyDescent="0.25">
      <c r="B191" s="12">
        <v>44074</v>
      </c>
      <c r="C191" s="18">
        <v>139.44000199999999</v>
      </c>
    </row>
    <row r="192" spans="2:3" x14ac:dyDescent="0.25">
      <c r="B192" s="12">
        <v>44067</v>
      </c>
      <c r="C192" s="18">
        <v>147.55999800000001</v>
      </c>
    </row>
    <row r="193" spans="2:3" x14ac:dyDescent="0.25">
      <c r="B193" s="12">
        <v>44060</v>
      </c>
      <c r="C193" s="18">
        <v>136.66532900000001</v>
      </c>
    </row>
    <row r="194" spans="2:3" x14ac:dyDescent="0.25">
      <c r="B194" s="12">
        <v>44053</v>
      </c>
      <c r="C194" s="18">
        <v>110.04733299999999</v>
      </c>
    </row>
    <row r="195" spans="2:3" x14ac:dyDescent="0.25">
      <c r="B195" s="12">
        <v>44046</v>
      </c>
      <c r="C195" s="18">
        <v>96.847335999999999</v>
      </c>
    </row>
    <row r="196" spans="2:3" x14ac:dyDescent="0.25">
      <c r="B196" s="12">
        <v>44039</v>
      </c>
      <c r="C196" s="18">
        <v>95.384003000000007</v>
      </c>
    </row>
    <row r="197" spans="2:3" x14ac:dyDescent="0.25">
      <c r="B197" s="12">
        <v>44032</v>
      </c>
      <c r="C197" s="18">
        <v>94.466667000000001</v>
      </c>
    </row>
    <row r="198" spans="2:3" x14ac:dyDescent="0.25">
      <c r="B198" s="12">
        <v>44025</v>
      </c>
      <c r="C198" s="18">
        <v>100.056</v>
      </c>
    </row>
    <row r="199" spans="2:3" x14ac:dyDescent="0.25">
      <c r="B199" s="12">
        <v>44018</v>
      </c>
      <c r="C199" s="18">
        <v>102.976669</v>
      </c>
    </row>
    <row r="200" spans="2:3" x14ac:dyDescent="0.25">
      <c r="B200" s="12">
        <v>44011</v>
      </c>
      <c r="C200" s="18">
        <v>80.577331999999998</v>
      </c>
    </row>
    <row r="201" spans="2:3" x14ac:dyDescent="0.25">
      <c r="B201" s="12">
        <v>44004</v>
      </c>
      <c r="C201" s="18">
        <v>63.982666000000002</v>
      </c>
    </row>
    <row r="202" spans="2:3" x14ac:dyDescent="0.25">
      <c r="B202" s="12">
        <v>43997</v>
      </c>
      <c r="C202" s="18">
        <v>66.726669000000001</v>
      </c>
    </row>
    <row r="203" spans="2:3" x14ac:dyDescent="0.25">
      <c r="B203" s="12">
        <v>43990</v>
      </c>
      <c r="C203" s="18">
        <v>62.352001000000001</v>
      </c>
    </row>
    <row r="204" spans="2:3" x14ac:dyDescent="0.25">
      <c r="B204" s="12">
        <v>43983</v>
      </c>
      <c r="C204" s="18">
        <v>59.043998999999999</v>
      </c>
    </row>
    <row r="205" spans="2:3" x14ac:dyDescent="0.25">
      <c r="B205" s="12">
        <v>43976</v>
      </c>
      <c r="C205" s="18">
        <v>55.666668000000001</v>
      </c>
    </row>
    <row r="206" spans="2:3" x14ac:dyDescent="0.25">
      <c r="B206" s="12">
        <v>43969</v>
      </c>
      <c r="C206" s="18">
        <v>54.458668000000003</v>
      </c>
    </row>
    <row r="207" spans="2:3" x14ac:dyDescent="0.25">
      <c r="B207" s="12">
        <v>43962</v>
      </c>
      <c r="C207" s="18">
        <v>53.277999999999999</v>
      </c>
    </row>
    <row r="208" spans="2:3" x14ac:dyDescent="0.25">
      <c r="B208" s="12">
        <v>43955</v>
      </c>
      <c r="C208" s="18">
        <v>54.627997999999998</v>
      </c>
    </row>
    <row r="209" spans="2:3" x14ac:dyDescent="0.25">
      <c r="B209" s="12">
        <v>43948</v>
      </c>
      <c r="C209" s="18">
        <v>46.754665000000003</v>
      </c>
    </row>
    <row r="210" spans="2:3" x14ac:dyDescent="0.25">
      <c r="B210" s="12">
        <v>43941</v>
      </c>
      <c r="C210" s="18">
        <v>48.343333999999999</v>
      </c>
    </row>
    <row r="211" spans="2:3" x14ac:dyDescent="0.25">
      <c r="B211" s="12">
        <v>43934</v>
      </c>
      <c r="C211" s="18">
        <v>50.259335</v>
      </c>
    </row>
    <row r="212" spans="2:3" x14ac:dyDescent="0.25">
      <c r="B212" s="12">
        <v>43927</v>
      </c>
      <c r="C212" s="18">
        <v>38.200001</v>
      </c>
    </row>
    <row r="213" spans="2:3" x14ac:dyDescent="0.25">
      <c r="B213" s="12">
        <v>43920</v>
      </c>
      <c r="C213" s="18">
        <v>32.000667999999997</v>
      </c>
    </row>
    <row r="214" spans="2:3" x14ac:dyDescent="0.25">
      <c r="B214" s="12">
        <v>43913</v>
      </c>
      <c r="C214" s="18">
        <v>34.290667999999997</v>
      </c>
    </row>
    <row r="215" spans="2:3" x14ac:dyDescent="0.25">
      <c r="B215" s="12">
        <v>43906</v>
      </c>
      <c r="C215" s="18">
        <v>28.502001</v>
      </c>
    </row>
    <row r="216" spans="2:3" x14ac:dyDescent="0.25">
      <c r="B216" s="12">
        <v>43899</v>
      </c>
      <c r="C216" s="18">
        <v>36.441333999999998</v>
      </c>
    </row>
    <row r="217" spans="2:3" x14ac:dyDescent="0.25">
      <c r="B217" s="12">
        <v>43892</v>
      </c>
      <c r="C217" s="18">
        <v>46.898665999999999</v>
      </c>
    </row>
    <row r="218" spans="2:3" x14ac:dyDescent="0.25">
      <c r="B218" s="12">
        <v>43885</v>
      </c>
      <c r="C218" s="18">
        <v>44.532665000000001</v>
      </c>
    </row>
    <row r="219" spans="2:3" x14ac:dyDescent="0.25">
      <c r="B219" s="12">
        <v>43878</v>
      </c>
      <c r="C219" s="18">
        <v>60.066665999999998</v>
      </c>
    </row>
    <row r="220" spans="2:3" x14ac:dyDescent="0.25">
      <c r="B220" s="12">
        <v>43871</v>
      </c>
      <c r="C220" s="18">
        <v>53.335335000000001</v>
      </c>
    </row>
    <row r="221" spans="2:3" x14ac:dyDescent="0.25">
      <c r="B221" s="12">
        <v>43864</v>
      </c>
      <c r="C221" s="18">
        <v>49.871333999999997</v>
      </c>
    </row>
    <row r="222" spans="2:3" x14ac:dyDescent="0.25">
      <c r="B222" s="12">
        <v>43857</v>
      </c>
      <c r="C222" s="18">
        <v>43.371333999999997</v>
      </c>
    </row>
    <row r="223" spans="2:3" x14ac:dyDescent="0.25">
      <c r="B223" s="12">
        <v>43850</v>
      </c>
      <c r="C223" s="18">
        <v>37.654667000000003</v>
      </c>
    </row>
    <row r="224" spans="2:3" x14ac:dyDescent="0.25">
      <c r="B224" s="12">
        <v>43843</v>
      </c>
      <c r="C224" s="18">
        <v>34.033332999999999</v>
      </c>
    </row>
    <row r="225" spans="2:3" x14ac:dyDescent="0.25">
      <c r="B225" s="12">
        <v>43836</v>
      </c>
      <c r="C225" s="18">
        <v>31.876667000000001</v>
      </c>
    </row>
    <row r="226" spans="2:3" x14ac:dyDescent="0.25">
      <c r="B226" s="12">
        <v>43829</v>
      </c>
      <c r="C226" s="18">
        <v>29.533999999999999</v>
      </c>
    </row>
    <row r="227" spans="2:3" x14ac:dyDescent="0.25">
      <c r="B227" s="12">
        <v>43822</v>
      </c>
      <c r="C227" s="18">
        <v>28.691998999999999</v>
      </c>
    </row>
    <row r="228" spans="2:3" x14ac:dyDescent="0.25">
      <c r="B228" s="12">
        <v>43815</v>
      </c>
      <c r="C228" s="18">
        <v>27.039332999999999</v>
      </c>
    </row>
    <row r="229" spans="2:3" x14ac:dyDescent="0.25">
      <c r="B229" s="12">
        <v>43808</v>
      </c>
      <c r="C229" s="18">
        <v>23.892668</v>
      </c>
    </row>
    <row r="230" spans="2:3" x14ac:dyDescent="0.25">
      <c r="B230" s="12">
        <v>43801</v>
      </c>
      <c r="C230" s="18">
        <v>22.392668</v>
      </c>
    </row>
    <row r="231" spans="2:3" x14ac:dyDescent="0.25">
      <c r="B231" s="12">
        <v>43794</v>
      </c>
      <c r="C231" s="18">
        <v>21.995999999999999</v>
      </c>
    </row>
    <row r="232" spans="2:3" x14ac:dyDescent="0.25">
      <c r="B232" s="12">
        <v>43787</v>
      </c>
      <c r="C232" s="18">
        <v>22.202667000000002</v>
      </c>
    </row>
    <row r="233" spans="2:3" x14ac:dyDescent="0.25">
      <c r="B233" s="12">
        <v>43780</v>
      </c>
      <c r="C233" s="18">
        <v>23.478000999999999</v>
      </c>
    </row>
    <row r="234" spans="2:3" x14ac:dyDescent="0.25">
      <c r="B234" s="12">
        <v>43773</v>
      </c>
      <c r="C234" s="18">
        <v>22.475999999999999</v>
      </c>
    </row>
    <row r="235" spans="2:3" x14ac:dyDescent="0.25">
      <c r="B235" s="12">
        <v>43766</v>
      </c>
      <c r="C235" s="18">
        <v>20.887333000000002</v>
      </c>
    </row>
    <row r="236" spans="2:3" x14ac:dyDescent="0.25">
      <c r="B236" s="12">
        <v>43759</v>
      </c>
      <c r="C236" s="18">
        <v>21.875333999999999</v>
      </c>
    </row>
    <row r="237" spans="2:3" x14ac:dyDescent="0.25">
      <c r="B237" s="12">
        <v>43752</v>
      </c>
      <c r="C237" s="18">
        <v>17.129999000000002</v>
      </c>
    </row>
    <row r="238" spans="2:3" x14ac:dyDescent="0.25">
      <c r="B238" s="12">
        <v>43745</v>
      </c>
      <c r="C238" s="18">
        <v>16.525998999999999</v>
      </c>
    </row>
    <row r="239" spans="2:3" x14ac:dyDescent="0.25">
      <c r="B239" s="12">
        <v>43738</v>
      </c>
      <c r="C239" s="18">
        <v>15.428667000000001</v>
      </c>
    </row>
    <row r="240" spans="2:3" x14ac:dyDescent="0.25">
      <c r="B240" s="12">
        <v>43731</v>
      </c>
      <c r="C240" s="18">
        <v>16.141999999999999</v>
      </c>
    </row>
    <row r="241" spans="2:3" x14ac:dyDescent="0.25">
      <c r="B241" s="12">
        <v>43724</v>
      </c>
      <c r="C241" s="18">
        <v>16.041332000000001</v>
      </c>
    </row>
    <row r="242" spans="2:3" x14ac:dyDescent="0.25">
      <c r="B242" s="12">
        <v>43717</v>
      </c>
      <c r="C242" s="18">
        <v>16.346665999999999</v>
      </c>
    </row>
    <row r="243" spans="2:3" x14ac:dyDescent="0.25">
      <c r="B243" s="12">
        <v>43710</v>
      </c>
      <c r="C243" s="18">
        <v>15.163333</v>
      </c>
    </row>
    <row r="244" spans="2:3" x14ac:dyDescent="0.25">
      <c r="B244" s="12">
        <v>43703</v>
      </c>
      <c r="C244" s="18">
        <v>15.040666999999999</v>
      </c>
    </row>
    <row r="245" spans="2:3" x14ac:dyDescent="0.25">
      <c r="B245" s="12">
        <v>43696</v>
      </c>
      <c r="C245" s="18">
        <v>14.093332999999999</v>
      </c>
    </row>
    <row r="246" spans="2:3" x14ac:dyDescent="0.25">
      <c r="B246" s="12">
        <v>43689</v>
      </c>
      <c r="C246" s="18">
        <v>14.662667000000001</v>
      </c>
    </row>
    <row r="247" spans="2:3" x14ac:dyDescent="0.25">
      <c r="B247" s="12">
        <v>43682</v>
      </c>
      <c r="C247" s="18">
        <v>15.667332999999999</v>
      </c>
    </row>
    <row r="248" spans="2:3" x14ac:dyDescent="0.25">
      <c r="B248" s="12">
        <v>43675</v>
      </c>
      <c r="C248" s="18">
        <v>15.622667</v>
      </c>
    </row>
    <row r="249" spans="2:3" x14ac:dyDescent="0.25">
      <c r="B249" s="12">
        <v>43668</v>
      </c>
      <c r="C249" s="18">
        <v>15.202667</v>
      </c>
    </row>
    <row r="250" spans="2:3" x14ac:dyDescent="0.25">
      <c r="B250" s="12">
        <v>43661</v>
      </c>
      <c r="C250" s="18">
        <v>17.212</v>
      </c>
    </row>
    <row r="251" spans="2:3" x14ac:dyDescent="0.25">
      <c r="B251" s="12">
        <v>43654</v>
      </c>
      <c r="C251" s="18">
        <v>16.338667000000001</v>
      </c>
    </row>
    <row r="252" spans="2:3" x14ac:dyDescent="0.25">
      <c r="B252" s="12">
        <v>43647</v>
      </c>
      <c r="C252" s="18">
        <v>15.54</v>
      </c>
    </row>
    <row r="253" spans="2:3" x14ac:dyDescent="0.25">
      <c r="B253" s="12">
        <v>43640</v>
      </c>
      <c r="C253" s="18">
        <v>14.897333</v>
      </c>
    </row>
    <row r="254" spans="2:3" x14ac:dyDescent="0.25">
      <c r="B254" s="12">
        <v>43633</v>
      </c>
      <c r="C254" s="18">
        <v>14.790666999999999</v>
      </c>
    </row>
    <row r="255" spans="2:3" x14ac:dyDescent="0.25">
      <c r="B255" s="12">
        <v>43626</v>
      </c>
      <c r="C255" s="18">
        <v>14.327999999999999</v>
      </c>
    </row>
    <row r="256" spans="2:3" x14ac:dyDescent="0.25">
      <c r="B256" s="12">
        <v>43619</v>
      </c>
      <c r="C256" s="18">
        <v>13.633333</v>
      </c>
    </row>
    <row r="257" spans="2:3" x14ac:dyDescent="0.25">
      <c r="B257" s="12">
        <v>43612</v>
      </c>
      <c r="C257" s="18">
        <v>12.343999999999999</v>
      </c>
    </row>
    <row r="258" spans="2:3" x14ac:dyDescent="0.25">
      <c r="B258" s="12">
        <v>43605</v>
      </c>
      <c r="C258" s="18">
        <v>12.708667</v>
      </c>
    </row>
    <row r="259" spans="2:3" x14ac:dyDescent="0.25">
      <c r="B259" s="12">
        <v>43598</v>
      </c>
      <c r="C259" s="18">
        <v>14.068667</v>
      </c>
    </row>
    <row r="260" spans="2:3" x14ac:dyDescent="0.25">
      <c r="B260" s="12">
        <v>43591</v>
      </c>
      <c r="C260" s="18">
        <v>15.968</v>
      </c>
    </row>
    <row r="261" spans="2:3" x14ac:dyDescent="0.25">
      <c r="B261" s="12">
        <v>43584</v>
      </c>
      <c r="C261" s="18">
        <v>17.002001</v>
      </c>
    </row>
    <row r="262" spans="2:3" x14ac:dyDescent="0.25">
      <c r="B262" s="12">
        <v>43577</v>
      </c>
      <c r="C262" s="18">
        <v>15.676</v>
      </c>
    </row>
    <row r="263" spans="2:3" x14ac:dyDescent="0.25">
      <c r="B263" s="12">
        <v>43570</v>
      </c>
      <c r="C263" s="18">
        <v>18.217333</v>
      </c>
    </row>
    <row r="264" spans="2:3" x14ac:dyDescent="0.25">
      <c r="B264" s="12">
        <v>43563</v>
      </c>
      <c r="C264" s="18">
        <v>17.846665999999999</v>
      </c>
    </row>
    <row r="265" spans="2:3" x14ac:dyDescent="0.25">
      <c r="B265" s="12">
        <v>43556</v>
      </c>
      <c r="C265" s="18">
        <v>18.330666999999998</v>
      </c>
    </row>
    <row r="266" spans="2:3" x14ac:dyDescent="0.25">
      <c r="B266" s="12">
        <v>43549</v>
      </c>
      <c r="C266" s="18">
        <v>18.657333000000001</v>
      </c>
    </row>
    <row r="267" spans="2:3" x14ac:dyDescent="0.25">
      <c r="B267" s="12">
        <v>43542</v>
      </c>
      <c r="C267" s="18">
        <v>17.635331999999998</v>
      </c>
    </row>
    <row r="268" spans="2:3" x14ac:dyDescent="0.25">
      <c r="B268" s="12">
        <v>43535</v>
      </c>
      <c r="C268" s="18">
        <v>18.361999999999998</v>
      </c>
    </row>
    <row r="269" spans="2:3" x14ac:dyDescent="0.25">
      <c r="B269" s="12">
        <v>43528</v>
      </c>
      <c r="C269" s="18">
        <v>18.942667</v>
      </c>
    </row>
    <row r="270" spans="2:3" x14ac:dyDescent="0.25">
      <c r="B270" s="12">
        <v>43521</v>
      </c>
      <c r="C270" s="18">
        <v>19.652666</v>
      </c>
    </row>
    <row r="271" spans="2:3" x14ac:dyDescent="0.25">
      <c r="B271" s="12">
        <v>43514</v>
      </c>
      <c r="C271" s="18">
        <v>19.647333</v>
      </c>
    </row>
    <row r="272" spans="2:3" x14ac:dyDescent="0.25">
      <c r="B272" s="12">
        <v>43507</v>
      </c>
      <c r="C272" s="18">
        <v>20.525333</v>
      </c>
    </row>
    <row r="273" spans="2:3" x14ac:dyDescent="0.25">
      <c r="B273" s="12">
        <v>43500</v>
      </c>
      <c r="C273" s="18">
        <v>20.386666999999999</v>
      </c>
    </row>
    <row r="274" spans="2:3" x14ac:dyDescent="0.25">
      <c r="B274" s="12">
        <v>43493</v>
      </c>
      <c r="C274" s="18">
        <v>20.813998999999999</v>
      </c>
    </row>
    <row r="275" spans="2:3" x14ac:dyDescent="0.25">
      <c r="B275" s="12">
        <v>43486</v>
      </c>
      <c r="C275" s="18">
        <v>19.802668000000001</v>
      </c>
    </row>
    <row r="276" spans="2:3" x14ac:dyDescent="0.25">
      <c r="B276" s="12">
        <v>43479</v>
      </c>
      <c r="C276" s="18">
        <v>20.150666999999999</v>
      </c>
    </row>
    <row r="277" spans="2:3" x14ac:dyDescent="0.25">
      <c r="B277" s="12">
        <v>43472</v>
      </c>
      <c r="C277" s="18">
        <v>23.150666999999999</v>
      </c>
    </row>
    <row r="278" spans="2:3" x14ac:dyDescent="0.25">
      <c r="B278" s="12">
        <v>43465</v>
      </c>
      <c r="C278" s="18">
        <v>21.179333</v>
      </c>
    </row>
    <row r="279" spans="2:3" x14ac:dyDescent="0.25">
      <c r="B279" s="12">
        <v>43458</v>
      </c>
      <c r="C279" s="18">
        <v>22.257999000000002</v>
      </c>
    </row>
    <row r="280" spans="2:3" x14ac:dyDescent="0.25">
      <c r="B280" s="12">
        <v>43451</v>
      </c>
      <c r="C280" s="18">
        <v>21.318000999999999</v>
      </c>
    </row>
    <row r="281" spans="2:3" x14ac:dyDescent="0.25">
      <c r="B281" s="12">
        <v>43444</v>
      </c>
      <c r="C281" s="18">
        <v>24.380666999999999</v>
      </c>
    </row>
    <row r="282" spans="2:3" x14ac:dyDescent="0.25">
      <c r="B282" s="12">
        <v>43437</v>
      </c>
      <c r="C282" s="18">
        <v>23.864668000000002</v>
      </c>
    </row>
    <row r="283" spans="2:3" x14ac:dyDescent="0.25">
      <c r="B283" s="12">
        <v>43430</v>
      </c>
      <c r="C283" s="18">
        <v>23.365334000000001</v>
      </c>
    </row>
    <row r="284" spans="2:3" x14ac:dyDescent="0.25">
      <c r="B284" s="12">
        <v>43423</v>
      </c>
      <c r="C284" s="18">
        <v>21.722000000000001</v>
      </c>
    </row>
    <row r="285" spans="2:3" x14ac:dyDescent="0.25">
      <c r="B285" s="12">
        <v>43416</v>
      </c>
      <c r="C285" s="18">
        <v>23.620667000000001</v>
      </c>
    </row>
    <row r="286" spans="2:3" x14ac:dyDescent="0.25">
      <c r="B286" s="12">
        <v>43409</v>
      </c>
      <c r="C286" s="18">
        <v>23.367332000000001</v>
      </c>
    </row>
    <row r="287" spans="2:3" x14ac:dyDescent="0.25">
      <c r="B287" s="12">
        <v>43402</v>
      </c>
      <c r="C287" s="18">
        <v>23.094000000000001</v>
      </c>
    </row>
    <row r="288" spans="2:3" x14ac:dyDescent="0.25">
      <c r="B288" s="12">
        <v>43395</v>
      </c>
      <c r="C288" s="18">
        <v>22.059999000000001</v>
      </c>
    </row>
    <row r="289" spans="2:3" x14ac:dyDescent="0.25">
      <c r="B289" s="12">
        <v>43388</v>
      </c>
      <c r="C289" s="18">
        <v>17.333331999999999</v>
      </c>
    </row>
    <row r="290" spans="2:3" x14ac:dyDescent="0.25">
      <c r="B290" s="12">
        <v>43381</v>
      </c>
      <c r="C290" s="18">
        <v>17.252001</v>
      </c>
    </row>
    <row r="291" spans="2:3" x14ac:dyDescent="0.25">
      <c r="B291" s="12">
        <v>43374</v>
      </c>
      <c r="C291" s="18">
        <v>17.463332999999999</v>
      </c>
    </row>
    <row r="292" spans="2:3" x14ac:dyDescent="0.25">
      <c r="B292" s="12">
        <v>43367</v>
      </c>
      <c r="C292" s="18">
        <v>17.651333000000001</v>
      </c>
    </row>
    <row r="293" spans="2:3" x14ac:dyDescent="0.25">
      <c r="B293" s="12">
        <v>43360</v>
      </c>
      <c r="C293" s="18">
        <v>19.940000999999999</v>
      </c>
    </row>
    <row r="294" spans="2:3" x14ac:dyDescent="0.25">
      <c r="B294" s="12">
        <v>43353</v>
      </c>
      <c r="C294" s="18">
        <v>19.68</v>
      </c>
    </row>
    <row r="295" spans="2:3" x14ac:dyDescent="0.25">
      <c r="B295" s="12">
        <v>43346</v>
      </c>
      <c r="C295" s="18">
        <v>17.549334000000002</v>
      </c>
    </row>
    <row r="296" spans="2:3" x14ac:dyDescent="0.25">
      <c r="B296" s="12">
        <v>43339</v>
      </c>
      <c r="C296" s="18">
        <v>20.110665999999998</v>
      </c>
    </row>
    <row r="297" spans="2:3" x14ac:dyDescent="0.25">
      <c r="B297" s="12">
        <v>43332</v>
      </c>
      <c r="C297" s="18">
        <v>21.521334</v>
      </c>
    </row>
    <row r="298" spans="2:3" x14ac:dyDescent="0.25">
      <c r="B298" s="12">
        <v>43325</v>
      </c>
      <c r="C298" s="18">
        <v>20.366667</v>
      </c>
    </row>
    <row r="299" spans="2:3" x14ac:dyDescent="0.25">
      <c r="B299" s="12">
        <v>43318</v>
      </c>
      <c r="C299" s="18">
        <v>23.699332999999999</v>
      </c>
    </row>
    <row r="300" spans="2:3" x14ac:dyDescent="0.25">
      <c r="B300" s="12">
        <v>43311</v>
      </c>
      <c r="C300" s="18">
        <v>23.211331999999999</v>
      </c>
    </row>
    <row r="301" spans="2:3" x14ac:dyDescent="0.25">
      <c r="B301" s="12">
        <v>43304</v>
      </c>
      <c r="C301" s="18">
        <v>19.812000000000001</v>
      </c>
    </row>
    <row r="302" spans="2:3" x14ac:dyDescent="0.25">
      <c r="B302" s="12">
        <v>43297</v>
      </c>
      <c r="C302" s="18">
        <v>20.905332999999999</v>
      </c>
    </row>
    <row r="303" spans="2:3" x14ac:dyDescent="0.25">
      <c r="B303" s="12">
        <v>43290</v>
      </c>
      <c r="C303" s="18">
        <v>21.257999000000002</v>
      </c>
    </row>
    <row r="304" spans="2:3" x14ac:dyDescent="0.25">
      <c r="B304" s="12">
        <v>43283</v>
      </c>
      <c r="C304" s="18">
        <v>20.593332</v>
      </c>
    </row>
    <row r="305" spans="2:3" x14ac:dyDescent="0.25">
      <c r="B305" s="12">
        <v>43276</v>
      </c>
      <c r="C305" s="18">
        <v>22.863333000000001</v>
      </c>
    </row>
    <row r="306" spans="2:3" x14ac:dyDescent="0.25">
      <c r="B306" s="12">
        <v>43269</v>
      </c>
      <c r="C306" s="18">
        <v>22.242000999999998</v>
      </c>
    </row>
    <row r="307" spans="2:3" x14ac:dyDescent="0.25">
      <c r="B307" s="12">
        <v>43262</v>
      </c>
      <c r="C307" s="18">
        <v>23.878</v>
      </c>
    </row>
    <row r="308" spans="2:3" x14ac:dyDescent="0.25">
      <c r="B308" s="12">
        <v>43255</v>
      </c>
      <c r="C308" s="18">
        <v>21.177333999999998</v>
      </c>
    </row>
    <row r="309" spans="2:3" x14ac:dyDescent="0.25">
      <c r="B309" s="12">
        <v>43248</v>
      </c>
      <c r="C309" s="18">
        <v>19.454666</v>
      </c>
    </row>
    <row r="310" spans="2:3" x14ac:dyDescent="0.25">
      <c r="B310" s="12">
        <v>43241</v>
      </c>
      <c r="C310" s="18">
        <v>18.59</v>
      </c>
    </row>
    <row r="311" spans="2:3" x14ac:dyDescent="0.25">
      <c r="B311" s="12">
        <v>43234</v>
      </c>
      <c r="C311" s="18">
        <v>18.454666</v>
      </c>
    </row>
    <row r="312" spans="2:3" x14ac:dyDescent="0.25">
      <c r="B312" s="12">
        <v>43227</v>
      </c>
      <c r="C312" s="18">
        <v>20.070667</v>
      </c>
    </row>
    <row r="313" spans="2:3" x14ac:dyDescent="0.25">
      <c r="B313" s="12">
        <v>43220</v>
      </c>
      <c r="C313" s="18">
        <v>19.606000999999999</v>
      </c>
    </row>
    <row r="314" spans="2:3" x14ac:dyDescent="0.25">
      <c r="B314" s="12">
        <v>43213</v>
      </c>
      <c r="C314" s="18">
        <v>19.605333000000002</v>
      </c>
    </row>
    <row r="315" spans="2:3" x14ac:dyDescent="0.25">
      <c r="B315" s="12">
        <v>43206</v>
      </c>
      <c r="C315" s="18">
        <v>19.349333000000001</v>
      </c>
    </row>
    <row r="316" spans="2:3" x14ac:dyDescent="0.25">
      <c r="B316" s="12">
        <v>43199</v>
      </c>
      <c r="C316" s="18">
        <v>20.022666999999998</v>
      </c>
    </row>
    <row r="317" spans="2:3" x14ac:dyDescent="0.25">
      <c r="B317" s="12">
        <v>43192</v>
      </c>
      <c r="C317" s="18">
        <v>19.953333000000001</v>
      </c>
    </row>
    <row r="318" spans="2:3" x14ac:dyDescent="0.25">
      <c r="B318" s="12">
        <v>43185</v>
      </c>
      <c r="C318" s="18">
        <v>17.742000999999998</v>
      </c>
    </row>
    <row r="319" spans="2:3" x14ac:dyDescent="0.25">
      <c r="B319" s="12">
        <v>43178</v>
      </c>
      <c r="C319" s="18">
        <v>20.102667</v>
      </c>
    </row>
    <row r="320" spans="2:3" x14ac:dyDescent="0.25">
      <c r="B320" s="12">
        <v>43171</v>
      </c>
      <c r="C320" s="18">
        <v>21.423331999999998</v>
      </c>
    </row>
    <row r="321" spans="2:3" x14ac:dyDescent="0.25">
      <c r="B321" s="12">
        <v>43164</v>
      </c>
      <c r="C321" s="18">
        <v>21.811333000000001</v>
      </c>
    </row>
    <row r="322" spans="2:3" x14ac:dyDescent="0.25">
      <c r="B322" s="12">
        <v>43157</v>
      </c>
      <c r="C322" s="18">
        <v>22.341332999999999</v>
      </c>
    </row>
    <row r="323" spans="2:3" x14ac:dyDescent="0.25">
      <c r="B323" s="12">
        <v>43150</v>
      </c>
      <c r="C323" s="18">
        <v>23.469999000000001</v>
      </c>
    </row>
    <row r="324" spans="2:3" x14ac:dyDescent="0.25">
      <c r="B324" s="12">
        <v>43143</v>
      </c>
      <c r="C324" s="18">
        <v>22.365998999999999</v>
      </c>
    </row>
    <row r="325" spans="2:3" x14ac:dyDescent="0.25">
      <c r="B325" s="12">
        <v>43136</v>
      </c>
      <c r="C325" s="18">
        <v>20.694668</v>
      </c>
    </row>
    <row r="326" spans="2:3" x14ac:dyDescent="0.25">
      <c r="B326" s="12">
        <v>43129</v>
      </c>
      <c r="C326" s="18">
        <v>22.916668000000001</v>
      </c>
    </row>
    <row r="327" spans="2:3" x14ac:dyDescent="0.25">
      <c r="B327" s="12">
        <v>43122</v>
      </c>
      <c r="C327" s="18">
        <v>22.856667000000002</v>
      </c>
    </row>
    <row r="328" spans="2:3" x14ac:dyDescent="0.25">
      <c r="B328" s="12">
        <v>43115</v>
      </c>
      <c r="C328" s="18">
        <v>23.334667</v>
      </c>
    </row>
    <row r="329" spans="2:3" x14ac:dyDescent="0.25">
      <c r="B329" s="12">
        <v>43108</v>
      </c>
      <c r="C329" s="18">
        <v>22.414667000000001</v>
      </c>
    </row>
    <row r="330" spans="2:3" x14ac:dyDescent="0.25">
      <c r="B330" s="12">
        <v>43101</v>
      </c>
      <c r="C330" s="18">
        <v>21.105333000000002</v>
      </c>
    </row>
    <row r="331" spans="2:3" x14ac:dyDescent="0.25">
      <c r="B331" s="12">
        <v>43094</v>
      </c>
      <c r="C331" s="18">
        <v>20.756665999999999</v>
      </c>
    </row>
    <row r="332" spans="2:3" x14ac:dyDescent="0.25">
      <c r="B332" s="12">
        <v>43087</v>
      </c>
      <c r="C332" s="18">
        <v>21.68</v>
      </c>
    </row>
    <row r="333" spans="2:3" x14ac:dyDescent="0.25">
      <c r="B333" s="12">
        <v>43080</v>
      </c>
      <c r="C333" s="18">
        <v>22.896667000000001</v>
      </c>
    </row>
    <row r="334" spans="2:3" x14ac:dyDescent="0.25">
      <c r="B334" s="12">
        <v>43073</v>
      </c>
      <c r="C334" s="18">
        <v>21.008666999999999</v>
      </c>
    </row>
    <row r="335" spans="2:3" x14ac:dyDescent="0.25">
      <c r="B335" s="12">
        <v>43066</v>
      </c>
      <c r="C335" s="18">
        <v>20.435333</v>
      </c>
    </row>
    <row r="336" spans="2:3" x14ac:dyDescent="0.25">
      <c r="B336" s="12">
        <v>43059</v>
      </c>
      <c r="C336" s="18">
        <v>21.036667000000001</v>
      </c>
    </row>
    <row r="337" spans="2:3" x14ac:dyDescent="0.25">
      <c r="B337" s="12">
        <v>43052</v>
      </c>
      <c r="C337" s="18">
        <v>21.003332</v>
      </c>
    </row>
    <row r="338" spans="2:3" x14ac:dyDescent="0.25">
      <c r="B338" s="12">
        <v>43045</v>
      </c>
      <c r="C338" s="18">
        <v>20.199332999999999</v>
      </c>
    </row>
    <row r="339" spans="2:3" x14ac:dyDescent="0.25">
      <c r="B339" s="12">
        <v>43038</v>
      </c>
      <c r="C339" s="18">
        <v>20.405999999999999</v>
      </c>
    </row>
    <row r="340" spans="2:3" x14ac:dyDescent="0.25">
      <c r="B340" s="12">
        <v>43031</v>
      </c>
      <c r="C340" s="18">
        <v>21.391332999999999</v>
      </c>
    </row>
    <row r="341" spans="2:3" x14ac:dyDescent="0.25">
      <c r="B341" s="12">
        <v>43024</v>
      </c>
      <c r="C341" s="18">
        <v>23.006665999999999</v>
      </c>
    </row>
    <row r="342" spans="2:3" x14ac:dyDescent="0.25">
      <c r="B342" s="12">
        <v>43017</v>
      </c>
      <c r="C342" s="18">
        <v>23.704666</v>
      </c>
    </row>
    <row r="343" spans="2:3" x14ac:dyDescent="0.25">
      <c r="B343" s="12">
        <v>43010</v>
      </c>
      <c r="C343" s="18">
        <v>23.792000000000002</v>
      </c>
    </row>
    <row r="344" spans="2:3" x14ac:dyDescent="0.25">
      <c r="B344" s="12">
        <v>43003</v>
      </c>
      <c r="C344" s="18">
        <v>22.74</v>
      </c>
    </row>
    <row r="345" spans="2:3" x14ac:dyDescent="0.25">
      <c r="B345" s="12">
        <v>42996</v>
      </c>
      <c r="C345" s="18">
        <v>23.405999999999999</v>
      </c>
    </row>
    <row r="346" spans="2:3" x14ac:dyDescent="0.25">
      <c r="B346" s="12">
        <v>42989</v>
      </c>
      <c r="C346" s="18">
        <v>25.320667</v>
      </c>
    </row>
    <row r="347" spans="2:3" x14ac:dyDescent="0.25">
      <c r="B347" s="12">
        <v>42982</v>
      </c>
      <c r="C347" s="18">
        <v>22.893332999999998</v>
      </c>
    </row>
    <row r="348" spans="2:3" x14ac:dyDescent="0.25">
      <c r="B348" s="12">
        <v>42975</v>
      </c>
      <c r="C348" s="18">
        <v>23.693332999999999</v>
      </c>
    </row>
    <row r="349" spans="2:3" x14ac:dyDescent="0.25">
      <c r="B349" s="12">
        <v>42968</v>
      </c>
      <c r="C349" s="18">
        <v>23.203333000000001</v>
      </c>
    </row>
    <row r="350" spans="2:3" x14ac:dyDescent="0.25">
      <c r="B350" s="12">
        <v>42961</v>
      </c>
      <c r="C350" s="18">
        <v>23.164000000000001</v>
      </c>
    </row>
    <row r="351" spans="2:3" x14ac:dyDescent="0.25">
      <c r="B351" s="12">
        <v>42954</v>
      </c>
      <c r="C351" s="18">
        <v>23.858000000000001</v>
      </c>
    </row>
    <row r="352" spans="2:3" x14ac:dyDescent="0.25">
      <c r="B352" s="12">
        <v>42947</v>
      </c>
      <c r="C352" s="18">
        <v>23.794001000000002</v>
      </c>
    </row>
    <row r="353" spans="2:3" x14ac:dyDescent="0.25">
      <c r="B353" s="12">
        <v>42940</v>
      </c>
      <c r="C353" s="18">
        <v>22.337999</v>
      </c>
    </row>
    <row r="354" spans="2:3" x14ac:dyDescent="0.25">
      <c r="B354" s="12">
        <v>42933</v>
      </c>
      <c r="C354" s="18">
        <v>21.893332999999998</v>
      </c>
    </row>
    <row r="355" spans="2:3" x14ac:dyDescent="0.25">
      <c r="B355" s="12">
        <v>42926</v>
      </c>
      <c r="C355" s="18">
        <v>21.851998999999999</v>
      </c>
    </row>
    <row r="356" spans="2:3" x14ac:dyDescent="0.25">
      <c r="B356" s="12">
        <v>42919</v>
      </c>
      <c r="C356" s="18">
        <v>20.881332</v>
      </c>
    </row>
    <row r="357" spans="2:3" x14ac:dyDescent="0.25">
      <c r="B357" s="12">
        <v>42912</v>
      </c>
      <c r="C357" s="18">
        <v>24.107332</v>
      </c>
    </row>
    <row r="358" spans="2:3" x14ac:dyDescent="0.25">
      <c r="B358" s="12">
        <v>42905</v>
      </c>
      <c r="C358" s="18">
        <v>25.563334000000001</v>
      </c>
    </row>
    <row r="359" spans="2:3" x14ac:dyDescent="0.25">
      <c r="B359" s="12">
        <v>42898</v>
      </c>
      <c r="C359" s="18">
        <v>24.76</v>
      </c>
    </row>
    <row r="360" spans="2:3" x14ac:dyDescent="0.25">
      <c r="B360" s="12">
        <v>42891</v>
      </c>
      <c r="C360" s="18">
        <v>23.821332999999999</v>
      </c>
    </row>
    <row r="361" spans="2:3" x14ac:dyDescent="0.25">
      <c r="B361" s="12">
        <v>42884</v>
      </c>
      <c r="C361" s="18">
        <v>22.656668</v>
      </c>
    </row>
    <row r="362" spans="2:3" x14ac:dyDescent="0.25">
      <c r="B362" s="12">
        <v>42877</v>
      </c>
      <c r="C362" s="18">
        <v>21.676000999999999</v>
      </c>
    </row>
    <row r="363" spans="2:3" x14ac:dyDescent="0.25">
      <c r="B363" s="12">
        <v>42870</v>
      </c>
      <c r="C363" s="18">
        <v>20.722000000000001</v>
      </c>
    </row>
    <row r="364" spans="2:3" x14ac:dyDescent="0.25">
      <c r="B364" s="12">
        <v>42863</v>
      </c>
      <c r="C364" s="18">
        <v>21.653998999999999</v>
      </c>
    </row>
    <row r="365" spans="2:3" x14ac:dyDescent="0.25">
      <c r="B365" s="12">
        <v>42856</v>
      </c>
      <c r="C365" s="18">
        <v>20.556667000000001</v>
      </c>
    </row>
    <row r="366" spans="2:3" x14ac:dyDescent="0.25">
      <c r="B366" s="12">
        <v>42849</v>
      </c>
      <c r="C366" s="18">
        <v>20.937999999999999</v>
      </c>
    </row>
    <row r="367" spans="2:3" x14ac:dyDescent="0.25">
      <c r="B367" s="12">
        <v>42842</v>
      </c>
      <c r="C367" s="18">
        <v>20.373332999999999</v>
      </c>
    </row>
    <row r="368" spans="2:3" x14ac:dyDescent="0.25">
      <c r="B368" s="12">
        <v>42835</v>
      </c>
      <c r="C368" s="18">
        <v>20.266666000000001</v>
      </c>
    </row>
    <row r="369" spans="2:3" x14ac:dyDescent="0.25">
      <c r="B369" s="12">
        <v>42828</v>
      </c>
      <c r="C369" s="18">
        <v>20.169333000000002</v>
      </c>
    </row>
    <row r="370" spans="2:3" x14ac:dyDescent="0.25">
      <c r="B370" s="12">
        <v>42821</v>
      </c>
      <c r="C370" s="18">
        <v>18.553332999999999</v>
      </c>
    </row>
    <row r="371" spans="2:3" x14ac:dyDescent="0.25">
      <c r="B371" s="12">
        <v>42814</v>
      </c>
      <c r="C371" s="18">
        <v>17.544001000000002</v>
      </c>
    </row>
    <row r="372" spans="2:3" x14ac:dyDescent="0.25">
      <c r="B372" s="12">
        <v>42807</v>
      </c>
      <c r="C372" s="18">
        <v>17.433332</v>
      </c>
    </row>
    <row r="373" spans="2:3" x14ac:dyDescent="0.25">
      <c r="B373" s="12">
        <v>42800</v>
      </c>
      <c r="C373" s="18">
        <v>16.245999999999999</v>
      </c>
    </row>
    <row r="374" spans="2:3" x14ac:dyDescent="0.25">
      <c r="B374" s="12">
        <v>42793</v>
      </c>
      <c r="C374" s="18">
        <v>16.771334</v>
      </c>
    </row>
    <row r="375" spans="2:3" x14ac:dyDescent="0.25">
      <c r="B375" s="12">
        <v>42786</v>
      </c>
      <c r="C375" s="18">
        <v>17.133333</v>
      </c>
    </row>
    <row r="376" spans="2:3" x14ac:dyDescent="0.25">
      <c r="B376" s="12">
        <v>42779</v>
      </c>
      <c r="C376" s="18">
        <v>18.148665999999999</v>
      </c>
    </row>
    <row r="377" spans="2:3" x14ac:dyDescent="0.25">
      <c r="B377" s="12">
        <v>42772</v>
      </c>
      <c r="C377" s="18">
        <v>17.948668000000001</v>
      </c>
    </row>
    <row r="378" spans="2:3" x14ac:dyDescent="0.25">
      <c r="B378" s="12">
        <v>42765</v>
      </c>
      <c r="C378" s="18">
        <v>16.755333</v>
      </c>
    </row>
    <row r="379" spans="2:3" x14ac:dyDescent="0.25">
      <c r="B379" s="12">
        <v>42758</v>
      </c>
      <c r="C379" s="18">
        <v>16.863333000000001</v>
      </c>
    </row>
    <row r="380" spans="2:3" x14ac:dyDescent="0.25">
      <c r="B380" s="12">
        <v>42751</v>
      </c>
      <c r="C380" s="18">
        <v>16.315332000000001</v>
      </c>
    </row>
    <row r="381" spans="2:3" x14ac:dyDescent="0.25">
      <c r="B381" s="12">
        <v>42744</v>
      </c>
      <c r="C381" s="18">
        <v>15.85</v>
      </c>
    </row>
    <row r="382" spans="2:3" x14ac:dyDescent="0.25">
      <c r="B382" s="12">
        <v>42737</v>
      </c>
      <c r="C382" s="18">
        <v>15.267333000000001</v>
      </c>
    </row>
    <row r="383" spans="2:3" x14ac:dyDescent="0.25">
      <c r="B383" s="12">
        <v>42730</v>
      </c>
      <c r="C383" s="18">
        <v>14.246</v>
      </c>
    </row>
    <row r="384" spans="2:3" x14ac:dyDescent="0.25">
      <c r="B384" s="12">
        <v>42723</v>
      </c>
      <c r="C384" s="18">
        <v>14.222667</v>
      </c>
    </row>
    <row r="385" spans="2:3" x14ac:dyDescent="0.25">
      <c r="B385" s="12">
        <v>42716</v>
      </c>
      <c r="C385" s="18">
        <v>13.499333</v>
      </c>
    </row>
    <row r="386" spans="2:3" x14ac:dyDescent="0.25">
      <c r="B386" s="12">
        <v>42709</v>
      </c>
      <c r="C386" s="18">
        <v>12.811999999999999</v>
      </c>
    </row>
    <row r="387" spans="2:3" x14ac:dyDescent="0.25">
      <c r="B387" s="12">
        <v>42702</v>
      </c>
      <c r="C387" s="18">
        <v>12.098000000000001</v>
      </c>
    </row>
    <row r="388" spans="2:3" x14ac:dyDescent="0.25">
      <c r="B388" s="12">
        <v>42695</v>
      </c>
      <c r="C388" s="18">
        <v>13.11</v>
      </c>
    </row>
    <row r="389" spans="2:3" x14ac:dyDescent="0.25">
      <c r="B389" s="12">
        <v>42688</v>
      </c>
      <c r="C389" s="18">
        <v>12.334667</v>
      </c>
    </row>
    <row r="390" spans="2:3" x14ac:dyDescent="0.25">
      <c r="B390" s="12">
        <v>42681</v>
      </c>
      <c r="C390" s="18">
        <v>12.570667</v>
      </c>
    </row>
    <row r="391" spans="2:3" x14ac:dyDescent="0.25">
      <c r="B391" s="12">
        <v>42674</v>
      </c>
      <c r="C391" s="18">
        <v>12.704000000000001</v>
      </c>
    </row>
    <row r="392" spans="2:3" x14ac:dyDescent="0.25">
      <c r="B392" s="12">
        <v>42667</v>
      </c>
      <c r="C392" s="18">
        <v>13.331333000000001</v>
      </c>
    </row>
    <row r="393" spans="2:3" x14ac:dyDescent="0.25">
      <c r="B393" s="12">
        <v>42660</v>
      </c>
      <c r="C393" s="18">
        <v>13.339333</v>
      </c>
    </row>
    <row r="394" spans="2:3" x14ac:dyDescent="0.25">
      <c r="B394" s="12">
        <v>42653</v>
      </c>
      <c r="C394" s="18">
        <v>13.100667</v>
      </c>
    </row>
    <row r="395" spans="2:3" x14ac:dyDescent="0.25">
      <c r="B395" s="12">
        <v>42646</v>
      </c>
      <c r="C395" s="18">
        <v>13.107333000000001</v>
      </c>
    </row>
    <row r="396" spans="2:3" x14ac:dyDescent="0.25">
      <c r="B396" s="12">
        <v>42639</v>
      </c>
      <c r="C396" s="18">
        <v>13.602</v>
      </c>
    </row>
    <row r="397" spans="2:3" x14ac:dyDescent="0.25">
      <c r="B397" s="12">
        <v>42632</v>
      </c>
      <c r="C397" s="18">
        <v>13.83</v>
      </c>
    </row>
    <row r="398" spans="2:3" x14ac:dyDescent="0.25">
      <c r="B398" s="12">
        <v>42625</v>
      </c>
      <c r="C398" s="18">
        <v>13.693333000000001</v>
      </c>
    </row>
    <row r="399" spans="2:3" x14ac:dyDescent="0.25">
      <c r="B399" s="12">
        <v>42618</v>
      </c>
      <c r="C399" s="18">
        <v>12.964667</v>
      </c>
    </row>
    <row r="400" spans="2:3" x14ac:dyDescent="0.25">
      <c r="B400" s="12">
        <v>42611</v>
      </c>
      <c r="C400" s="18">
        <v>13.185333</v>
      </c>
    </row>
    <row r="401" spans="2:3" x14ac:dyDescent="0.25">
      <c r="B401" s="12">
        <v>42604</v>
      </c>
      <c r="C401" s="18">
        <v>14.666</v>
      </c>
    </row>
    <row r="402" spans="2:3" x14ac:dyDescent="0.25">
      <c r="B402" s="12">
        <v>42597</v>
      </c>
      <c r="C402" s="18">
        <v>15</v>
      </c>
    </row>
    <row r="403" spans="2:3" x14ac:dyDescent="0.25">
      <c r="B403" s="12">
        <v>42590</v>
      </c>
      <c r="C403" s="18">
        <v>15.040666999999999</v>
      </c>
    </row>
    <row r="404" spans="2:3" x14ac:dyDescent="0.25">
      <c r="B404" s="12">
        <v>42583</v>
      </c>
      <c r="C404" s="18">
        <v>15.335333</v>
      </c>
    </row>
    <row r="405" spans="2:3" x14ac:dyDescent="0.25">
      <c r="B405" s="12">
        <v>42576</v>
      </c>
      <c r="C405" s="18">
        <v>15.652666999999999</v>
      </c>
    </row>
    <row r="406" spans="2:3" x14ac:dyDescent="0.25">
      <c r="B406" s="12">
        <v>42569</v>
      </c>
      <c r="C406" s="18">
        <v>14.818</v>
      </c>
    </row>
    <row r="407" spans="2:3" x14ac:dyDescent="0.25">
      <c r="B407" s="12">
        <v>42562</v>
      </c>
      <c r="C407" s="18">
        <v>14.693333000000001</v>
      </c>
    </row>
    <row r="408" spans="2:3" x14ac:dyDescent="0.25">
      <c r="B408" s="12">
        <v>42555</v>
      </c>
      <c r="C408" s="18">
        <v>14.452</v>
      </c>
    </row>
    <row r="409" spans="2:3" x14ac:dyDescent="0.25">
      <c r="B409" s="12">
        <v>42548</v>
      </c>
      <c r="C409" s="18">
        <v>14.433332999999999</v>
      </c>
    </row>
    <row r="410" spans="2:3" x14ac:dyDescent="0.25">
      <c r="B410" s="12">
        <v>42541</v>
      </c>
      <c r="C410" s="18">
        <v>12.876666999999999</v>
      </c>
    </row>
    <row r="411" spans="2:3" x14ac:dyDescent="0.25">
      <c r="B411" s="12">
        <v>42534</v>
      </c>
      <c r="C411" s="18">
        <v>14.364667000000001</v>
      </c>
    </row>
    <row r="412" spans="2:3" x14ac:dyDescent="0.25">
      <c r="B412" s="12">
        <v>42527</v>
      </c>
      <c r="C412" s="18">
        <v>14.586</v>
      </c>
    </row>
    <row r="413" spans="2:3" x14ac:dyDescent="0.25">
      <c r="B413" s="12">
        <v>42520</v>
      </c>
      <c r="C413" s="18">
        <v>14.599333</v>
      </c>
    </row>
    <row r="414" spans="2:3" x14ac:dyDescent="0.25">
      <c r="B414" s="12">
        <v>42513</v>
      </c>
      <c r="C414" s="18">
        <v>14.869332999999999</v>
      </c>
    </row>
    <row r="415" spans="2:3" x14ac:dyDescent="0.25">
      <c r="B415" s="12">
        <v>42506</v>
      </c>
      <c r="C415" s="18">
        <v>14.685333</v>
      </c>
    </row>
    <row r="416" spans="2:3" x14ac:dyDescent="0.25">
      <c r="B416" s="12">
        <v>42499</v>
      </c>
      <c r="C416" s="18">
        <v>13.840667</v>
      </c>
    </row>
    <row r="417" spans="2:3" x14ac:dyDescent="0.25">
      <c r="B417" s="12">
        <v>42492</v>
      </c>
      <c r="C417" s="18">
        <v>14.328666999999999</v>
      </c>
    </row>
    <row r="418" spans="2:3" x14ac:dyDescent="0.25">
      <c r="B418" s="12">
        <v>42485</v>
      </c>
      <c r="C418" s="18">
        <v>16.050667000000001</v>
      </c>
    </row>
    <row r="419" spans="2:3" x14ac:dyDescent="0.25">
      <c r="B419" s="12">
        <v>42478</v>
      </c>
      <c r="C419" s="18">
        <v>16.916668000000001</v>
      </c>
    </row>
    <row r="420" spans="2:3" x14ac:dyDescent="0.25">
      <c r="B420" s="12">
        <v>42471</v>
      </c>
      <c r="C420" s="18">
        <v>16.967333</v>
      </c>
    </row>
    <row r="421" spans="2:3" x14ac:dyDescent="0.25">
      <c r="B421" s="12">
        <v>42464</v>
      </c>
      <c r="C421" s="18">
        <v>16.671333000000001</v>
      </c>
    </row>
    <row r="422" spans="2:3" x14ac:dyDescent="0.25">
      <c r="B422" s="12">
        <v>42457</v>
      </c>
      <c r="C422" s="18">
        <v>15.839333</v>
      </c>
    </row>
    <row r="423" spans="2:3" x14ac:dyDescent="0.25">
      <c r="B423" s="12">
        <v>42450</v>
      </c>
      <c r="C423" s="18">
        <v>15.183332999999999</v>
      </c>
    </row>
    <row r="424" spans="2:3" x14ac:dyDescent="0.25">
      <c r="B424" s="12">
        <v>42443</v>
      </c>
      <c r="C424" s="18">
        <v>15.516</v>
      </c>
    </row>
    <row r="425" spans="2:3" x14ac:dyDescent="0.25">
      <c r="B425" s="12">
        <v>42436</v>
      </c>
      <c r="C425" s="18">
        <v>13.833333</v>
      </c>
    </row>
    <row r="426" spans="2:3" x14ac:dyDescent="0.25">
      <c r="B426" s="12">
        <v>42429</v>
      </c>
      <c r="C426" s="18">
        <v>13.402666999999999</v>
      </c>
    </row>
    <row r="427" spans="2:3" x14ac:dyDescent="0.25">
      <c r="B427" s="12">
        <v>42422</v>
      </c>
      <c r="C427" s="18">
        <v>12.689333</v>
      </c>
    </row>
    <row r="428" spans="2:3" x14ac:dyDescent="0.25">
      <c r="B428" s="12">
        <v>42415</v>
      </c>
      <c r="C428" s="18">
        <v>11.105333</v>
      </c>
    </row>
    <row r="429" spans="2:3" x14ac:dyDescent="0.25">
      <c r="B429" s="12">
        <v>42408</v>
      </c>
      <c r="C429" s="18">
        <v>10.069333</v>
      </c>
    </row>
    <row r="430" spans="2:3" x14ac:dyDescent="0.25">
      <c r="B430" s="12">
        <v>42401</v>
      </c>
      <c r="C430" s="18">
        <v>10.84</v>
      </c>
    </row>
    <row r="431" spans="2:3" x14ac:dyDescent="0.25">
      <c r="B431" s="12">
        <v>42394</v>
      </c>
      <c r="C431" s="18">
        <v>12.746667</v>
      </c>
    </row>
    <row r="432" spans="2:3" x14ac:dyDescent="0.25">
      <c r="B432" s="12">
        <v>42387</v>
      </c>
      <c r="C432" s="18">
        <v>13.503333</v>
      </c>
    </row>
    <row r="433" spans="2:3" x14ac:dyDescent="0.25">
      <c r="B433" s="12">
        <v>42380</v>
      </c>
      <c r="C433" s="18">
        <v>13.666</v>
      </c>
    </row>
    <row r="434" spans="2:3" x14ac:dyDescent="0.25">
      <c r="B434" s="12">
        <v>42373</v>
      </c>
      <c r="C434" s="18">
        <v>14.066667000000001</v>
      </c>
    </row>
    <row r="435" spans="2:3" x14ac:dyDescent="0.25">
      <c r="B435" s="12">
        <v>42366</v>
      </c>
      <c r="C435" s="18">
        <v>16.000668000000001</v>
      </c>
    </row>
    <row r="436" spans="2:3" x14ac:dyDescent="0.25">
      <c r="B436" s="12">
        <v>42359</v>
      </c>
      <c r="C436" s="18">
        <v>15.371333</v>
      </c>
    </row>
    <row r="437" spans="2:3" x14ac:dyDescent="0.25">
      <c r="B437" s="12">
        <v>42352</v>
      </c>
      <c r="C437" s="18">
        <v>15.364000000000001</v>
      </c>
    </row>
    <row r="438" spans="2:3" x14ac:dyDescent="0.25">
      <c r="B438" s="12">
        <v>42345</v>
      </c>
      <c r="C438" s="18">
        <v>14.468</v>
      </c>
    </row>
    <row r="439" spans="2:3" x14ac:dyDescent="0.25">
      <c r="B439" s="12">
        <v>42338</v>
      </c>
      <c r="C439" s="18">
        <v>15.358667000000001</v>
      </c>
    </row>
    <row r="440" spans="2:3" x14ac:dyDescent="0.25">
      <c r="B440" s="12">
        <v>42331</v>
      </c>
      <c r="C440" s="18">
        <v>15.440666999999999</v>
      </c>
    </row>
    <row r="441" spans="2:3" x14ac:dyDescent="0.25">
      <c r="B441" s="12">
        <v>42324</v>
      </c>
      <c r="C441" s="18">
        <v>14.667332999999999</v>
      </c>
    </row>
    <row r="442" spans="2:3" x14ac:dyDescent="0.25">
      <c r="B442" s="12">
        <v>42317</v>
      </c>
      <c r="C442" s="18">
        <v>13.812666999999999</v>
      </c>
    </row>
    <row r="443" spans="2:3" x14ac:dyDescent="0.25">
      <c r="B443" s="12">
        <v>42310</v>
      </c>
      <c r="C443" s="18">
        <v>15.490667</v>
      </c>
    </row>
    <row r="444" spans="2:3" x14ac:dyDescent="0.25">
      <c r="B444" s="12">
        <v>42303</v>
      </c>
      <c r="C444" s="18">
        <v>13.795332999999999</v>
      </c>
    </row>
    <row r="445" spans="2:3" x14ac:dyDescent="0.25">
      <c r="B445" s="12">
        <v>42296</v>
      </c>
      <c r="C445" s="18">
        <v>13.939333</v>
      </c>
    </row>
    <row r="446" spans="2:3" x14ac:dyDescent="0.25">
      <c r="B446" s="12">
        <v>42289</v>
      </c>
      <c r="C446" s="18">
        <v>15.134</v>
      </c>
    </row>
    <row r="447" spans="2:3" x14ac:dyDescent="0.25">
      <c r="B447" s="12">
        <v>42282</v>
      </c>
      <c r="C447" s="18">
        <v>14.712667</v>
      </c>
    </row>
    <row r="448" spans="2:3" x14ac:dyDescent="0.25">
      <c r="B448" s="12">
        <v>42275</v>
      </c>
      <c r="C448" s="18">
        <v>16.504667000000001</v>
      </c>
    </row>
    <row r="449" spans="2:3" x14ac:dyDescent="0.25">
      <c r="B449" s="12">
        <v>42268</v>
      </c>
      <c r="C449" s="18">
        <v>17.127333</v>
      </c>
    </row>
    <row r="450" spans="2:3" x14ac:dyDescent="0.25">
      <c r="B450" s="12">
        <v>42261</v>
      </c>
      <c r="C450" s="18">
        <v>17.374666000000001</v>
      </c>
    </row>
    <row r="451" spans="2:3" x14ac:dyDescent="0.25">
      <c r="B451" s="12">
        <v>42254</v>
      </c>
      <c r="C451" s="18">
        <v>16.682666999999999</v>
      </c>
    </row>
    <row r="452" spans="2:3" x14ac:dyDescent="0.25">
      <c r="B452" s="12">
        <v>42247</v>
      </c>
      <c r="C452" s="18">
        <v>16.128668000000001</v>
      </c>
    </row>
    <row r="453" spans="2:3" x14ac:dyDescent="0.25">
      <c r="B453" s="12">
        <v>42240</v>
      </c>
      <c r="C453" s="18">
        <v>16.565332000000001</v>
      </c>
    </row>
    <row r="454" spans="2:3" x14ac:dyDescent="0.25">
      <c r="B454" s="12">
        <v>42233</v>
      </c>
      <c r="C454" s="18">
        <v>15.384667</v>
      </c>
    </row>
    <row r="455" spans="2:3" x14ac:dyDescent="0.25">
      <c r="B455" s="12">
        <v>42226</v>
      </c>
      <c r="C455" s="18">
        <v>16.209999</v>
      </c>
    </row>
    <row r="456" spans="2:3" x14ac:dyDescent="0.25">
      <c r="B456" s="12">
        <v>42219</v>
      </c>
      <c r="C456" s="18">
        <v>16.167334</v>
      </c>
    </row>
    <row r="457" spans="2:3" x14ac:dyDescent="0.25">
      <c r="B457" s="12">
        <v>42212</v>
      </c>
      <c r="C457" s="18">
        <v>17.743334000000001</v>
      </c>
    </row>
    <row r="458" spans="2:3" x14ac:dyDescent="0.25">
      <c r="B458" s="12">
        <v>42205</v>
      </c>
      <c r="C458" s="18">
        <v>17.693999999999999</v>
      </c>
    </row>
    <row r="459" spans="2:3" x14ac:dyDescent="0.25">
      <c r="B459" s="12">
        <v>42198</v>
      </c>
      <c r="C459" s="18">
        <v>18.310666999999999</v>
      </c>
    </row>
    <row r="460" spans="2:3" x14ac:dyDescent="0.25">
      <c r="B460" s="12">
        <v>42191</v>
      </c>
      <c r="C460" s="18">
        <v>17.276667</v>
      </c>
    </row>
    <row r="461" spans="2:3" x14ac:dyDescent="0.25">
      <c r="B461" s="12">
        <v>42184</v>
      </c>
      <c r="C461" s="18">
        <v>18.667998999999998</v>
      </c>
    </row>
    <row r="462" spans="2:3" x14ac:dyDescent="0.25">
      <c r="B462" s="12">
        <v>42177</v>
      </c>
      <c r="C462" s="18">
        <v>17.806000000000001</v>
      </c>
    </row>
    <row r="463" spans="2:3" x14ac:dyDescent="0.25">
      <c r="B463" s="12">
        <v>42170</v>
      </c>
      <c r="C463" s="18">
        <v>17.500668000000001</v>
      </c>
    </row>
    <row r="464" spans="2:3" x14ac:dyDescent="0.25">
      <c r="B464" s="12">
        <v>42163</v>
      </c>
      <c r="C464" s="18">
        <v>16.712667</v>
      </c>
    </row>
    <row r="465" spans="2:3" x14ac:dyDescent="0.25">
      <c r="B465" s="12">
        <v>42156</v>
      </c>
      <c r="C465" s="18">
        <v>16.609332999999999</v>
      </c>
    </row>
    <row r="466" spans="2:3" x14ac:dyDescent="0.25">
      <c r="B466" s="12">
        <v>42149</v>
      </c>
      <c r="C466" s="18">
        <v>16.719999000000001</v>
      </c>
    </row>
    <row r="467" spans="2:3" x14ac:dyDescent="0.25">
      <c r="B467" s="12">
        <v>42142</v>
      </c>
      <c r="C467" s="18">
        <v>16.515332999999998</v>
      </c>
    </row>
    <row r="468" spans="2:3" x14ac:dyDescent="0.25">
      <c r="B468" s="12">
        <v>42135</v>
      </c>
      <c r="C468" s="18">
        <v>16.589333</v>
      </c>
    </row>
    <row r="469" spans="2:3" x14ac:dyDescent="0.25">
      <c r="B469" s="12">
        <v>42128</v>
      </c>
      <c r="C469" s="18">
        <v>15.773999999999999</v>
      </c>
    </row>
    <row r="470" spans="2:3" x14ac:dyDescent="0.25">
      <c r="B470" s="12">
        <v>42121</v>
      </c>
      <c r="C470" s="18">
        <v>15.068667</v>
      </c>
    </row>
    <row r="471" spans="2:3" x14ac:dyDescent="0.25">
      <c r="B471" s="12">
        <v>42114</v>
      </c>
      <c r="C471" s="18">
        <v>14.561999999999999</v>
      </c>
    </row>
    <row r="472" spans="2:3" x14ac:dyDescent="0.25">
      <c r="B472" s="12">
        <v>42107</v>
      </c>
      <c r="C472" s="18">
        <v>13.786</v>
      </c>
    </row>
    <row r="473" spans="2:3" x14ac:dyDescent="0.25">
      <c r="B473" s="12">
        <v>42100</v>
      </c>
      <c r="C473" s="18">
        <v>14.06</v>
      </c>
    </row>
    <row r="474" spans="2:3" x14ac:dyDescent="0.25">
      <c r="B474" s="12">
        <v>42093</v>
      </c>
      <c r="C474" s="18">
        <v>12.733333</v>
      </c>
    </row>
    <row r="475" spans="2:3" x14ac:dyDescent="0.25">
      <c r="B475" s="12">
        <v>42086</v>
      </c>
      <c r="C475" s="18">
        <v>12.333333</v>
      </c>
    </row>
    <row r="476" spans="2:3" x14ac:dyDescent="0.25">
      <c r="B476" s="12">
        <v>42079</v>
      </c>
      <c r="C476" s="18">
        <v>13.205333</v>
      </c>
    </row>
    <row r="477" spans="2:3" x14ac:dyDescent="0.25">
      <c r="B477" s="12">
        <v>42072</v>
      </c>
      <c r="C477" s="18">
        <v>12.578666999999999</v>
      </c>
    </row>
    <row r="478" spans="2:3" x14ac:dyDescent="0.25">
      <c r="B478" s="12">
        <v>42065</v>
      </c>
      <c r="C478" s="18">
        <v>12.925333</v>
      </c>
    </row>
    <row r="479" spans="2:3" x14ac:dyDescent="0.25">
      <c r="B479" s="12">
        <v>42058</v>
      </c>
      <c r="C479" s="18">
        <v>13.555999999999999</v>
      </c>
    </row>
    <row r="480" spans="2:3" x14ac:dyDescent="0.25">
      <c r="B480" s="12">
        <v>42051</v>
      </c>
      <c r="C480" s="18">
        <v>14.474</v>
      </c>
    </row>
    <row r="481" spans="2:3" x14ac:dyDescent="0.25">
      <c r="B481" s="12">
        <v>42044</v>
      </c>
      <c r="C481" s="18">
        <v>13.584667</v>
      </c>
    </row>
    <row r="482" spans="2:3" x14ac:dyDescent="0.25">
      <c r="B482" s="12">
        <v>42037</v>
      </c>
      <c r="C482" s="18">
        <v>14.490667</v>
      </c>
    </row>
    <row r="483" spans="2:3" x14ac:dyDescent="0.25">
      <c r="B483" s="12">
        <v>42030</v>
      </c>
      <c r="C483" s="18">
        <v>13.573333</v>
      </c>
    </row>
    <row r="484" spans="2:3" x14ac:dyDescent="0.25">
      <c r="B484" s="12">
        <v>42023</v>
      </c>
      <c r="C484" s="18">
        <v>13.419333</v>
      </c>
    </row>
    <row r="485" spans="2:3" x14ac:dyDescent="0.25">
      <c r="B485" s="12">
        <v>42016</v>
      </c>
      <c r="C485" s="18">
        <v>12.871333</v>
      </c>
    </row>
    <row r="486" spans="2:3" x14ac:dyDescent="0.25">
      <c r="B486" s="12">
        <v>42009</v>
      </c>
      <c r="C486" s="18">
        <v>13.777333</v>
      </c>
    </row>
    <row r="487" spans="2:3" x14ac:dyDescent="0.25">
      <c r="B487" s="12">
        <v>42002</v>
      </c>
      <c r="C487" s="18">
        <v>14.620666999999999</v>
      </c>
    </row>
    <row r="488" spans="2:3" x14ac:dyDescent="0.25">
      <c r="B488" s="12">
        <v>41995</v>
      </c>
      <c r="C488" s="18">
        <v>15.188000000000001</v>
      </c>
    </row>
    <row r="489" spans="2:3" x14ac:dyDescent="0.25">
      <c r="B489" s="12">
        <v>41988</v>
      </c>
      <c r="C489" s="18">
        <v>14.619332999999999</v>
      </c>
    </row>
    <row r="490" spans="2:3" x14ac:dyDescent="0.25">
      <c r="B490" s="12">
        <v>41981</v>
      </c>
      <c r="C490" s="18">
        <v>13.8</v>
      </c>
    </row>
    <row r="491" spans="2:3" x14ac:dyDescent="0.25">
      <c r="B491" s="12">
        <v>41974</v>
      </c>
      <c r="C491" s="18">
        <v>14.914</v>
      </c>
    </row>
    <row r="492" spans="2:3" x14ac:dyDescent="0.25">
      <c r="B492" s="12">
        <v>41967</v>
      </c>
      <c r="C492" s="18">
        <v>16.301331999999999</v>
      </c>
    </row>
    <row r="493" spans="2:3" x14ac:dyDescent="0.25">
      <c r="B493" s="12">
        <v>41960</v>
      </c>
      <c r="C493" s="18">
        <v>16.185333</v>
      </c>
    </row>
    <row r="494" spans="2:3" x14ac:dyDescent="0.25">
      <c r="B494" s="12">
        <v>41953</v>
      </c>
      <c r="C494" s="18">
        <v>17.245332999999999</v>
      </c>
    </row>
    <row r="495" spans="2:3" x14ac:dyDescent="0.25">
      <c r="B495" s="12">
        <v>41946</v>
      </c>
      <c r="C495" s="18">
        <v>16.013331999999998</v>
      </c>
    </row>
    <row r="496" spans="2:3" x14ac:dyDescent="0.25">
      <c r="B496" s="12">
        <v>41939</v>
      </c>
      <c r="C496" s="18">
        <v>16.113333000000001</v>
      </c>
    </row>
    <row r="497" spans="2:3" x14ac:dyDescent="0.25">
      <c r="B497" s="12">
        <v>41932</v>
      </c>
      <c r="C497" s="18">
        <v>15.682667</v>
      </c>
    </row>
    <row r="498" spans="2:3" x14ac:dyDescent="0.25">
      <c r="B498" s="12">
        <v>41925</v>
      </c>
      <c r="C498" s="18">
        <v>15.165333</v>
      </c>
    </row>
    <row r="499" spans="2:3" x14ac:dyDescent="0.25">
      <c r="B499" s="12">
        <v>41918</v>
      </c>
      <c r="C499" s="18">
        <v>15.794</v>
      </c>
    </row>
    <row r="500" spans="2:3" x14ac:dyDescent="0.25">
      <c r="B500" s="12">
        <v>41911</v>
      </c>
      <c r="C500" s="18">
        <v>17.013999999999999</v>
      </c>
    </row>
    <row r="501" spans="2:3" x14ac:dyDescent="0.25">
      <c r="B501" s="12">
        <v>41904</v>
      </c>
      <c r="C501" s="18">
        <v>16.440000999999999</v>
      </c>
    </row>
    <row r="502" spans="2:3" x14ac:dyDescent="0.25">
      <c r="B502" s="12">
        <v>41897</v>
      </c>
      <c r="C502" s="18">
        <v>17.288</v>
      </c>
    </row>
    <row r="503" spans="2:3" x14ac:dyDescent="0.25">
      <c r="B503" s="12">
        <v>41890</v>
      </c>
      <c r="C503" s="18">
        <v>18.613333000000001</v>
      </c>
    </row>
    <row r="504" spans="2:3" x14ac:dyDescent="0.25">
      <c r="B504" s="12">
        <v>41883</v>
      </c>
      <c r="C504" s="18">
        <v>18.492666</v>
      </c>
    </row>
    <row r="505" spans="2:3" x14ac:dyDescent="0.25">
      <c r="B505" s="12">
        <v>41876</v>
      </c>
      <c r="C505" s="18">
        <v>17.98</v>
      </c>
    </row>
    <row r="506" spans="2:3" x14ac:dyDescent="0.25">
      <c r="B506" s="12">
        <v>41869</v>
      </c>
      <c r="C506" s="18">
        <v>17.118668</v>
      </c>
    </row>
    <row r="507" spans="2:3" x14ac:dyDescent="0.25">
      <c r="B507" s="12">
        <v>41862</v>
      </c>
      <c r="C507" s="18">
        <v>17.467333</v>
      </c>
    </row>
    <row r="508" spans="2:3" x14ac:dyDescent="0.25">
      <c r="B508" s="12">
        <v>41855</v>
      </c>
      <c r="C508" s="18">
        <v>16.542000000000002</v>
      </c>
    </row>
    <row r="509" spans="2:3" x14ac:dyDescent="0.25">
      <c r="B509" s="12">
        <v>41848</v>
      </c>
      <c r="C509" s="18">
        <v>15.551333</v>
      </c>
    </row>
    <row r="510" spans="2:3" x14ac:dyDescent="0.25">
      <c r="B510" s="12">
        <v>41841</v>
      </c>
      <c r="C510" s="18">
        <v>14.904667</v>
      </c>
    </row>
    <row r="511" spans="2:3" x14ac:dyDescent="0.25">
      <c r="B511" s="12">
        <v>41834</v>
      </c>
      <c r="C511" s="18">
        <v>14.667999999999999</v>
      </c>
    </row>
    <row r="512" spans="2:3" x14ac:dyDescent="0.25">
      <c r="B512" s="12">
        <v>41827</v>
      </c>
      <c r="C512" s="18">
        <v>14.542</v>
      </c>
    </row>
    <row r="513" spans="2:3" x14ac:dyDescent="0.25">
      <c r="B513" s="12">
        <v>41820</v>
      </c>
      <c r="C513" s="18">
        <v>15.283333000000001</v>
      </c>
    </row>
    <row r="514" spans="2:3" x14ac:dyDescent="0.25">
      <c r="B514" s="12">
        <v>41813</v>
      </c>
      <c r="C514" s="18">
        <v>15.937333000000001</v>
      </c>
    </row>
    <row r="515" spans="2:3" x14ac:dyDescent="0.25">
      <c r="B515" s="12">
        <v>41806</v>
      </c>
      <c r="C515" s="18">
        <v>15.305999999999999</v>
      </c>
    </row>
    <row r="516" spans="2:3" x14ac:dyDescent="0.25">
      <c r="B516" s="12">
        <v>41799</v>
      </c>
      <c r="C516" s="18">
        <v>13.761333</v>
      </c>
    </row>
    <row r="517" spans="2:3" x14ac:dyDescent="0.25">
      <c r="B517" s="12">
        <v>41792</v>
      </c>
      <c r="C517" s="18">
        <v>13.878</v>
      </c>
    </row>
    <row r="518" spans="2:3" x14ac:dyDescent="0.25">
      <c r="B518" s="12">
        <v>41785</v>
      </c>
      <c r="C518" s="18">
        <v>13.851333</v>
      </c>
    </row>
    <row r="519" spans="2:3" x14ac:dyDescent="0.25">
      <c r="B519" s="12">
        <v>41778</v>
      </c>
      <c r="C519" s="18">
        <v>13.82</v>
      </c>
    </row>
    <row r="520" spans="2:3" x14ac:dyDescent="0.25">
      <c r="B520" s="12">
        <v>41771</v>
      </c>
      <c r="C520" s="18">
        <v>12.770667</v>
      </c>
    </row>
    <row r="521" spans="2:3" x14ac:dyDescent="0.25">
      <c r="B521" s="12">
        <v>41764</v>
      </c>
      <c r="C521" s="18">
        <v>12.150667</v>
      </c>
    </row>
    <row r="522" spans="2:3" x14ac:dyDescent="0.25">
      <c r="B522" s="12">
        <v>41757</v>
      </c>
      <c r="C522" s="18">
        <v>14.060667</v>
      </c>
    </row>
    <row r="523" spans="2:3" x14ac:dyDescent="0.25">
      <c r="B523" s="12">
        <v>41750</v>
      </c>
      <c r="C523" s="18">
        <v>13.323333</v>
      </c>
    </row>
    <row r="524" spans="2:3" x14ac:dyDescent="0.25">
      <c r="B524" s="12">
        <v>41743</v>
      </c>
      <c r="C524" s="18">
        <v>13.208</v>
      </c>
    </row>
    <row r="525" spans="2:3" x14ac:dyDescent="0.25">
      <c r="B525" s="12">
        <v>41736</v>
      </c>
      <c r="C525" s="18">
        <v>13.585333</v>
      </c>
    </row>
    <row r="526" spans="2:3" x14ac:dyDescent="0.25">
      <c r="B526" s="12">
        <v>41729</v>
      </c>
      <c r="C526" s="18">
        <v>14.148667</v>
      </c>
    </row>
    <row r="527" spans="2:3" x14ac:dyDescent="0.25">
      <c r="B527" s="12">
        <v>41722</v>
      </c>
      <c r="C527" s="18">
        <v>14.157999999999999</v>
      </c>
    </row>
    <row r="528" spans="2:3" x14ac:dyDescent="0.25">
      <c r="B528" s="12">
        <v>41715</v>
      </c>
      <c r="C528" s="18">
        <v>15.259333</v>
      </c>
    </row>
    <row r="529" spans="2:3" x14ac:dyDescent="0.25">
      <c r="B529" s="12">
        <v>41708</v>
      </c>
      <c r="C529" s="18">
        <v>15.398</v>
      </c>
    </row>
    <row r="530" spans="2:3" x14ac:dyDescent="0.25">
      <c r="B530" s="12">
        <v>41701</v>
      </c>
      <c r="C530" s="18">
        <v>16.414000000000001</v>
      </c>
    </row>
    <row r="531" spans="2:3" x14ac:dyDescent="0.25">
      <c r="B531" s="12">
        <v>41694</v>
      </c>
      <c r="C531" s="18">
        <v>16.320667</v>
      </c>
    </row>
    <row r="532" spans="2:3" x14ac:dyDescent="0.25">
      <c r="B532" s="12">
        <v>41687</v>
      </c>
      <c r="C532" s="18">
        <v>13.973333</v>
      </c>
    </row>
    <row r="533" spans="2:3" x14ac:dyDescent="0.25">
      <c r="B533" s="12">
        <v>41680</v>
      </c>
      <c r="C533" s="18">
        <v>13.215332999999999</v>
      </c>
    </row>
    <row r="534" spans="2:3" x14ac:dyDescent="0.25">
      <c r="B534" s="12">
        <v>41673</v>
      </c>
      <c r="C534" s="18">
        <v>12.435333</v>
      </c>
    </row>
    <row r="535" spans="2:3" x14ac:dyDescent="0.25">
      <c r="B535" s="12">
        <v>41666</v>
      </c>
      <c r="C535" s="18">
        <v>12.093999999999999</v>
      </c>
    </row>
    <row r="536" spans="2:3" x14ac:dyDescent="0.25">
      <c r="B536" s="12">
        <v>41659</v>
      </c>
      <c r="C536" s="18">
        <v>11.64</v>
      </c>
    </row>
    <row r="537" spans="2:3" x14ac:dyDescent="0.25">
      <c r="B537" s="12">
        <v>41652</v>
      </c>
      <c r="C537" s="18">
        <v>11.334</v>
      </c>
    </row>
    <row r="538" spans="2:3" x14ac:dyDescent="0.25">
      <c r="B538" s="12">
        <v>41645</v>
      </c>
      <c r="C538" s="18">
        <v>9.7146670000000004</v>
      </c>
    </row>
    <row r="539" spans="2:3" x14ac:dyDescent="0.25">
      <c r="B539" s="12">
        <v>41638</v>
      </c>
      <c r="C539" s="18">
        <v>9.9706670000000006</v>
      </c>
    </row>
    <row r="540" spans="2:3" x14ac:dyDescent="0.25">
      <c r="B540" s="12">
        <v>41631</v>
      </c>
      <c r="C540" s="18">
        <v>10.074667</v>
      </c>
    </row>
    <row r="541" spans="2:3" x14ac:dyDescent="0.25">
      <c r="B541" s="12">
        <v>41624</v>
      </c>
      <c r="C541" s="18">
        <v>9.5493330000000007</v>
      </c>
    </row>
    <row r="542" spans="2:3" x14ac:dyDescent="0.25">
      <c r="B542" s="12">
        <v>41617</v>
      </c>
      <c r="C542" s="18">
        <v>9.8433329999999994</v>
      </c>
    </row>
    <row r="543" spans="2:3" x14ac:dyDescent="0.25">
      <c r="B543" s="12">
        <v>41610</v>
      </c>
      <c r="C543" s="18">
        <v>9.1573329999999995</v>
      </c>
    </row>
    <row r="544" spans="2:3" x14ac:dyDescent="0.25">
      <c r="B544" s="12">
        <v>41603</v>
      </c>
      <c r="C544" s="18">
        <v>8.4853330000000007</v>
      </c>
    </row>
    <row r="545" spans="2:3" x14ac:dyDescent="0.25">
      <c r="B545" s="12">
        <v>41596</v>
      </c>
      <c r="C545" s="18">
        <v>8.0920000000000005</v>
      </c>
    </row>
    <row r="546" spans="2:3" x14ac:dyDescent="0.25">
      <c r="B546" s="12">
        <v>41589</v>
      </c>
      <c r="C546" s="18">
        <v>9.0299999999999994</v>
      </c>
    </row>
    <row r="547" spans="2:3" x14ac:dyDescent="0.25">
      <c r="B547" s="12">
        <v>41582</v>
      </c>
      <c r="C547" s="18">
        <v>9.1966669999999997</v>
      </c>
    </row>
    <row r="548" spans="2:3" x14ac:dyDescent="0.25">
      <c r="B548" s="12">
        <v>41575</v>
      </c>
      <c r="C548" s="18">
        <v>10.811332999999999</v>
      </c>
    </row>
    <row r="549" spans="2:3" x14ac:dyDescent="0.25">
      <c r="B549" s="12">
        <v>41568</v>
      </c>
      <c r="C549" s="18">
        <v>11.310667</v>
      </c>
    </row>
    <row r="550" spans="2:3" x14ac:dyDescent="0.25">
      <c r="B550" s="12">
        <v>41561</v>
      </c>
      <c r="C550" s="18">
        <v>12.226667000000001</v>
      </c>
    </row>
    <row r="551" spans="2:3" x14ac:dyDescent="0.25">
      <c r="B551" s="12">
        <v>41554</v>
      </c>
      <c r="C551" s="18">
        <v>11.913333</v>
      </c>
    </row>
    <row r="552" spans="2:3" x14ac:dyDescent="0.25">
      <c r="B552" s="12">
        <v>41547</v>
      </c>
      <c r="C552" s="18">
        <v>12.065333000000001</v>
      </c>
    </row>
    <row r="553" spans="2:3" x14ac:dyDescent="0.25">
      <c r="B553" s="12">
        <v>41540</v>
      </c>
      <c r="C553" s="18">
        <v>12.726667000000001</v>
      </c>
    </row>
    <row r="554" spans="2:3" x14ac:dyDescent="0.25">
      <c r="B554" s="12">
        <v>41533</v>
      </c>
      <c r="C554" s="18">
        <v>12.226000000000001</v>
      </c>
    </row>
    <row r="555" spans="2:3" x14ac:dyDescent="0.25">
      <c r="B555" s="12">
        <v>41526</v>
      </c>
      <c r="C555" s="18">
        <v>11.036</v>
      </c>
    </row>
    <row r="556" spans="2:3" x14ac:dyDescent="0.25">
      <c r="B556" s="12">
        <v>41519</v>
      </c>
      <c r="C556" s="18">
        <v>11.131333</v>
      </c>
    </row>
    <row r="557" spans="2:3" x14ac:dyDescent="0.25">
      <c r="B557" s="12">
        <v>41512</v>
      </c>
      <c r="C557" s="18">
        <v>11.266667</v>
      </c>
    </row>
    <row r="558" spans="2:3" x14ac:dyDescent="0.25">
      <c r="B558" s="12">
        <v>41505</v>
      </c>
      <c r="C558" s="18">
        <v>10.789332999999999</v>
      </c>
    </row>
    <row r="559" spans="2:3" x14ac:dyDescent="0.25">
      <c r="B559" s="12">
        <v>41498</v>
      </c>
      <c r="C559" s="18">
        <v>9.4666669999999993</v>
      </c>
    </row>
    <row r="560" spans="2:3" x14ac:dyDescent="0.25">
      <c r="B560" s="12">
        <v>41491</v>
      </c>
      <c r="C560" s="18">
        <v>10.199999999999999</v>
      </c>
    </row>
    <row r="561" spans="2:3" x14ac:dyDescent="0.25">
      <c r="B561" s="12">
        <v>41484</v>
      </c>
      <c r="C561" s="18">
        <v>9.1999999999999993</v>
      </c>
    </row>
    <row r="562" spans="2:3" x14ac:dyDescent="0.25">
      <c r="B562" s="12">
        <v>41477</v>
      </c>
      <c r="C562" s="18">
        <v>8.6259999999999994</v>
      </c>
    </row>
    <row r="563" spans="2:3" x14ac:dyDescent="0.25">
      <c r="B563" s="12">
        <v>41470</v>
      </c>
      <c r="C563" s="18">
        <v>7.9786669999999997</v>
      </c>
    </row>
    <row r="564" spans="2:3" x14ac:dyDescent="0.25">
      <c r="B564" s="12">
        <v>41463</v>
      </c>
      <c r="C564" s="18">
        <v>8.66</v>
      </c>
    </row>
    <row r="565" spans="2:3" x14ac:dyDescent="0.25">
      <c r="B565" s="12">
        <v>41456</v>
      </c>
      <c r="C565" s="18">
        <v>8.0060000000000002</v>
      </c>
    </row>
    <row r="566" spans="2:3" x14ac:dyDescent="0.25">
      <c r="B566" s="12">
        <v>41449</v>
      </c>
      <c r="C566" s="18">
        <v>7.1573330000000004</v>
      </c>
    </row>
    <row r="567" spans="2:3" x14ac:dyDescent="0.25">
      <c r="B567" s="12">
        <v>41442</v>
      </c>
      <c r="C567" s="18">
        <v>6.6366670000000001</v>
      </c>
    </row>
    <row r="568" spans="2:3" x14ac:dyDescent="0.25">
      <c r="B568" s="12">
        <v>41435</v>
      </c>
      <c r="C568" s="18">
        <v>6.6866669999999999</v>
      </c>
    </row>
    <row r="569" spans="2:3" x14ac:dyDescent="0.25">
      <c r="B569" s="12">
        <v>41428</v>
      </c>
      <c r="C569" s="18">
        <v>6.8026669999999996</v>
      </c>
    </row>
    <row r="570" spans="2:3" x14ac:dyDescent="0.25">
      <c r="B570" s="12">
        <v>41421</v>
      </c>
      <c r="C570" s="18">
        <v>6.5173329999999998</v>
      </c>
    </row>
    <row r="571" spans="2:3" x14ac:dyDescent="0.25">
      <c r="B571" s="12">
        <v>41414</v>
      </c>
      <c r="C571" s="18">
        <v>6.4720000000000004</v>
      </c>
    </row>
    <row r="572" spans="2:3" x14ac:dyDescent="0.25">
      <c r="B572" s="12">
        <v>41407</v>
      </c>
      <c r="C572" s="18">
        <v>6.1</v>
      </c>
    </row>
    <row r="573" spans="2:3" x14ac:dyDescent="0.25">
      <c r="B573" s="12">
        <v>41400</v>
      </c>
      <c r="C573" s="18">
        <v>5.1173330000000004</v>
      </c>
    </row>
    <row r="574" spans="2:3" x14ac:dyDescent="0.25">
      <c r="B574" s="12">
        <v>41393</v>
      </c>
      <c r="C574" s="18">
        <v>3.6366670000000001</v>
      </c>
    </row>
    <row r="575" spans="2:3" x14ac:dyDescent="0.25">
      <c r="B575" s="12">
        <v>41386</v>
      </c>
      <c r="C575" s="18">
        <v>3.4133330000000002</v>
      </c>
    </row>
    <row r="576" spans="2:3" x14ac:dyDescent="0.25">
      <c r="B576" s="12">
        <v>41379</v>
      </c>
      <c r="C576" s="18">
        <v>3.1886670000000001</v>
      </c>
    </row>
    <row r="577" spans="2:3" x14ac:dyDescent="0.25">
      <c r="B577" s="12">
        <v>41372</v>
      </c>
      <c r="C577" s="18">
        <v>2.9166669999999999</v>
      </c>
    </row>
    <row r="578" spans="2:3" x14ac:dyDescent="0.25">
      <c r="B578" s="12">
        <v>41365</v>
      </c>
      <c r="C578" s="18">
        <v>2.758</v>
      </c>
    </row>
    <row r="579" spans="2:3" x14ac:dyDescent="0.25">
      <c r="B579" s="12">
        <v>41358</v>
      </c>
      <c r="C579" s="18">
        <v>2.5259999999999998</v>
      </c>
    </row>
    <row r="580" spans="2:3" x14ac:dyDescent="0.25">
      <c r="B580" s="12">
        <v>41351</v>
      </c>
      <c r="C580" s="18">
        <v>2.4413330000000002</v>
      </c>
    </row>
    <row r="581" spans="2:3" x14ac:dyDescent="0.25">
      <c r="B581" s="12">
        <v>41344</v>
      </c>
      <c r="C581" s="18">
        <v>2.3526669999999998</v>
      </c>
    </row>
    <row r="582" spans="2:3" x14ac:dyDescent="0.25">
      <c r="B582" s="12">
        <v>41337</v>
      </c>
      <c r="C582" s="18">
        <v>2.564667</v>
      </c>
    </row>
    <row r="583" spans="2:3" x14ac:dyDescent="0.25">
      <c r="B583" s="12">
        <v>41330</v>
      </c>
      <c r="C583" s="18">
        <v>2.31</v>
      </c>
    </row>
    <row r="584" spans="2:3" x14ac:dyDescent="0.25">
      <c r="B584" s="12">
        <v>41323</v>
      </c>
      <c r="C584" s="18">
        <v>2.4073329999999999</v>
      </c>
    </row>
    <row r="585" spans="2:3" x14ac:dyDescent="0.25">
      <c r="B585" s="12">
        <v>41316</v>
      </c>
      <c r="C585" s="18">
        <v>2.4693329999999998</v>
      </c>
    </row>
    <row r="586" spans="2:3" x14ac:dyDescent="0.25">
      <c r="B586" s="12">
        <v>41309</v>
      </c>
      <c r="C586" s="18">
        <v>2.6160000000000001</v>
      </c>
    </row>
    <row r="587" spans="2:3" x14ac:dyDescent="0.25">
      <c r="B587" s="12">
        <v>41302</v>
      </c>
      <c r="C587" s="18">
        <v>2.5533329999999999</v>
      </c>
    </row>
    <row r="588" spans="2:3" x14ac:dyDescent="0.25">
      <c r="B588" s="12">
        <v>41295</v>
      </c>
      <c r="C588" s="18">
        <v>2.4653330000000002</v>
      </c>
    </row>
    <row r="589" spans="2:3" x14ac:dyDescent="0.25">
      <c r="B589" s="12">
        <v>41288</v>
      </c>
      <c r="C589" s="18">
        <v>2.3013330000000001</v>
      </c>
    </row>
    <row r="590" spans="2:3" x14ac:dyDescent="0.25">
      <c r="B590" s="12">
        <v>41281</v>
      </c>
      <c r="C590" s="18">
        <v>2.194</v>
      </c>
    </row>
    <row r="591" spans="2:3" x14ac:dyDescent="0.25">
      <c r="B591" s="12">
        <v>41274</v>
      </c>
      <c r="C591" s="18">
        <v>2.2933330000000001</v>
      </c>
    </row>
    <row r="592" spans="2:3" x14ac:dyDescent="0.25">
      <c r="B592" s="12">
        <v>41267</v>
      </c>
      <c r="C592" s="18">
        <v>2.2146669999999999</v>
      </c>
    </row>
    <row r="593" spans="2:3" x14ac:dyDescent="0.25">
      <c r="B593" s="12">
        <v>41260</v>
      </c>
      <c r="C593" s="18">
        <v>2.266667</v>
      </c>
    </row>
    <row r="594" spans="2:3" x14ac:dyDescent="0.25">
      <c r="B594" s="12">
        <v>41253</v>
      </c>
      <c r="C594" s="18">
        <v>2.254</v>
      </c>
    </row>
    <row r="595" spans="2:3" x14ac:dyDescent="0.25">
      <c r="B595" s="12">
        <v>41246</v>
      </c>
      <c r="C595" s="18">
        <v>2.278</v>
      </c>
    </row>
    <row r="596" spans="2:3" x14ac:dyDescent="0.25">
      <c r="B596" s="12">
        <v>41239</v>
      </c>
      <c r="C596" s="18">
        <v>2.254667</v>
      </c>
    </row>
    <row r="597" spans="2:3" x14ac:dyDescent="0.25">
      <c r="B597" s="12">
        <v>41232</v>
      </c>
      <c r="C597" s="18">
        <v>2.1419999999999999</v>
      </c>
    </row>
    <row r="598" spans="2:3" x14ac:dyDescent="0.25">
      <c r="B598" s="12">
        <v>41225</v>
      </c>
      <c r="C598" s="18">
        <v>2.1226669999999999</v>
      </c>
    </row>
    <row r="599" spans="2:3" x14ac:dyDescent="0.25">
      <c r="B599" s="12">
        <v>41218</v>
      </c>
      <c r="C599" s="18">
        <v>2.0213329999999998</v>
      </c>
    </row>
    <row r="600" spans="2:3" x14ac:dyDescent="0.25">
      <c r="B600" s="12">
        <v>41211</v>
      </c>
      <c r="C600" s="18">
        <v>1.9279999999999999</v>
      </c>
    </row>
    <row r="601" spans="2:3" x14ac:dyDescent="0.25">
      <c r="B601" s="12">
        <v>41204</v>
      </c>
      <c r="C601" s="18">
        <v>1.8253330000000001</v>
      </c>
    </row>
    <row r="602" spans="2:3" x14ac:dyDescent="0.25">
      <c r="B602" s="12">
        <v>41197</v>
      </c>
      <c r="C602" s="18">
        <v>1.8493329999999999</v>
      </c>
    </row>
    <row r="603" spans="2:3" x14ac:dyDescent="0.25">
      <c r="B603" s="12">
        <v>41190</v>
      </c>
      <c r="C603" s="18">
        <v>1.8426670000000001</v>
      </c>
    </row>
    <row r="604" spans="2:3" x14ac:dyDescent="0.25">
      <c r="B604" s="12">
        <v>41183</v>
      </c>
      <c r="C604" s="18">
        <v>1.9259999999999999</v>
      </c>
    </row>
    <row r="605" spans="2:3" x14ac:dyDescent="0.25">
      <c r="B605" s="12">
        <v>41176</v>
      </c>
      <c r="C605" s="18">
        <v>1.952</v>
      </c>
    </row>
    <row r="606" spans="2:3" x14ac:dyDescent="0.25">
      <c r="B606" s="12">
        <v>41169</v>
      </c>
      <c r="C606" s="18">
        <v>2.0013329999999998</v>
      </c>
    </row>
    <row r="607" spans="2:3" x14ac:dyDescent="0.25">
      <c r="B607" s="12">
        <v>41162</v>
      </c>
      <c r="C607" s="18">
        <v>2.0259999999999998</v>
      </c>
    </row>
    <row r="608" spans="2:3" x14ac:dyDescent="0.25">
      <c r="B608" s="12">
        <v>41155</v>
      </c>
      <c r="C608" s="18">
        <v>1.9566669999999999</v>
      </c>
    </row>
    <row r="609" spans="2:3" x14ac:dyDescent="0.25">
      <c r="B609" s="12">
        <v>41148</v>
      </c>
      <c r="C609" s="18">
        <v>1.9013329999999999</v>
      </c>
    </row>
    <row r="610" spans="2:3" x14ac:dyDescent="0.25">
      <c r="B610" s="12">
        <v>41141</v>
      </c>
      <c r="C610" s="18">
        <v>1.9666669999999999</v>
      </c>
    </row>
    <row r="611" spans="2:3" x14ac:dyDescent="0.25">
      <c r="B611" s="12">
        <v>41134</v>
      </c>
      <c r="C611" s="18">
        <v>2.000667</v>
      </c>
    </row>
    <row r="612" spans="2:3" x14ac:dyDescent="0.25">
      <c r="B612" s="12">
        <v>41127</v>
      </c>
      <c r="C612" s="18">
        <v>1.996</v>
      </c>
    </row>
    <row r="613" spans="2:3" x14ac:dyDescent="0.25">
      <c r="B613" s="12">
        <v>41120</v>
      </c>
      <c r="C613" s="18">
        <v>1.8180000000000001</v>
      </c>
    </row>
    <row r="614" spans="2:3" x14ac:dyDescent="0.25">
      <c r="B614" s="12">
        <v>41113</v>
      </c>
      <c r="C614" s="18">
        <v>1.967333</v>
      </c>
    </row>
    <row r="615" spans="2:3" x14ac:dyDescent="0.25">
      <c r="B615" s="12">
        <v>41106</v>
      </c>
      <c r="C615" s="18">
        <v>2.1193330000000001</v>
      </c>
    </row>
    <row r="616" spans="2:3" x14ac:dyDescent="0.25">
      <c r="B616" s="12">
        <v>41099</v>
      </c>
      <c r="C616" s="18">
        <v>2.2833329999999998</v>
      </c>
    </row>
    <row r="617" spans="2:3" x14ac:dyDescent="0.25">
      <c r="B617" s="12">
        <v>41092</v>
      </c>
      <c r="C617" s="18">
        <v>2.0659999999999998</v>
      </c>
    </row>
    <row r="618" spans="2:3" x14ac:dyDescent="0.25">
      <c r="B618" s="12">
        <v>41085</v>
      </c>
      <c r="C618" s="18">
        <v>2.0859999999999999</v>
      </c>
    </row>
    <row r="619" spans="2:3" x14ac:dyDescent="0.25">
      <c r="B619" s="12">
        <v>41078</v>
      </c>
      <c r="C619" s="18">
        <v>2.2526670000000002</v>
      </c>
    </row>
    <row r="620" spans="2:3" x14ac:dyDescent="0.25">
      <c r="B620" s="12">
        <v>41071</v>
      </c>
      <c r="C620" s="18">
        <v>1.994</v>
      </c>
    </row>
    <row r="621" spans="2:3" x14ac:dyDescent="0.25">
      <c r="B621" s="12">
        <v>41064</v>
      </c>
      <c r="C621" s="18">
        <v>2.0053329999999998</v>
      </c>
    </row>
    <row r="622" spans="2:3" x14ac:dyDescent="0.25">
      <c r="B622" s="12">
        <v>41057</v>
      </c>
      <c r="C622" s="18">
        <v>1.8766670000000001</v>
      </c>
    </row>
    <row r="623" spans="2:3" x14ac:dyDescent="0.25">
      <c r="B623" s="12">
        <v>41050</v>
      </c>
      <c r="C623" s="18">
        <v>1.987333</v>
      </c>
    </row>
    <row r="624" spans="2:3" x14ac:dyDescent="0.25">
      <c r="B624" s="12">
        <v>41043</v>
      </c>
      <c r="C624" s="18">
        <v>1.8373330000000001</v>
      </c>
    </row>
    <row r="625" spans="2:3" x14ac:dyDescent="0.25">
      <c r="B625" s="12">
        <v>41036</v>
      </c>
      <c r="C625" s="18">
        <v>2.15</v>
      </c>
    </row>
    <row r="626" spans="2:3" x14ac:dyDescent="0.25">
      <c r="B626" s="12">
        <v>41029</v>
      </c>
      <c r="C626" s="18">
        <v>2.1219999999999999</v>
      </c>
    </row>
    <row r="627" spans="2:3" x14ac:dyDescent="0.25">
      <c r="B627" s="12">
        <v>41022</v>
      </c>
      <c r="C627" s="18">
        <v>2.2226669999999999</v>
      </c>
    </row>
    <row r="628" spans="2:3" x14ac:dyDescent="0.25">
      <c r="B628" s="12">
        <v>41015</v>
      </c>
      <c r="C628" s="18">
        <v>2.2106669999999999</v>
      </c>
    </row>
    <row r="629" spans="2:3" x14ac:dyDescent="0.25">
      <c r="B629" s="12">
        <v>41008</v>
      </c>
      <c r="C629" s="18">
        <v>2.2393329999999998</v>
      </c>
    </row>
    <row r="630" spans="2:3" x14ac:dyDescent="0.25">
      <c r="B630" s="12">
        <v>41001</v>
      </c>
      <c r="C630" s="18">
        <v>2.298667</v>
      </c>
    </row>
    <row r="631" spans="2:3" x14ac:dyDescent="0.25">
      <c r="B631" s="12">
        <v>40994</v>
      </c>
      <c r="C631" s="18">
        <v>2.4826670000000002</v>
      </c>
    </row>
    <row r="632" spans="2:3" x14ac:dyDescent="0.25">
      <c r="B632" s="12">
        <v>40987</v>
      </c>
      <c r="C632" s="18">
        <v>2.2719999999999998</v>
      </c>
    </row>
    <row r="633" spans="2:3" x14ac:dyDescent="0.25">
      <c r="B633" s="12">
        <v>40980</v>
      </c>
      <c r="C633" s="18">
        <v>2.3546670000000001</v>
      </c>
    </row>
    <row r="634" spans="2:3" x14ac:dyDescent="0.25">
      <c r="B634" s="12">
        <v>40973</v>
      </c>
      <c r="C634" s="18">
        <v>2.3159999999999998</v>
      </c>
    </row>
    <row r="635" spans="2:3" x14ac:dyDescent="0.25">
      <c r="B635" s="12">
        <v>40966</v>
      </c>
      <c r="C635" s="18">
        <v>2.269333</v>
      </c>
    </row>
    <row r="636" spans="2:3" x14ac:dyDescent="0.25">
      <c r="B636" s="12">
        <v>40959</v>
      </c>
      <c r="C636" s="18">
        <v>2.25</v>
      </c>
    </row>
    <row r="637" spans="2:3" x14ac:dyDescent="0.25">
      <c r="B637" s="12">
        <v>40952</v>
      </c>
      <c r="C637" s="18">
        <v>2.3313329999999999</v>
      </c>
    </row>
    <row r="638" spans="2:3" x14ac:dyDescent="0.25">
      <c r="B638" s="12">
        <v>40945</v>
      </c>
      <c r="C638" s="18">
        <v>2.0733329999999999</v>
      </c>
    </row>
    <row r="639" spans="2:3" x14ac:dyDescent="0.25">
      <c r="B639" s="12">
        <v>40938</v>
      </c>
      <c r="C639" s="18">
        <v>2.076667</v>
      </c>
    </row>
    <row r="640" spans="2:3" x14ac:dyDescent="0.25">
      <c r="B640" s="12">
        <v>40931</v>
      </c>
      <c r="C640" s="18">
        <v>1.955333</v>
      </c>
    </row>
    <row r="641" spans="2:3" x14ac:dyDescent="0.25">
      <c r="B641" s="12">
        <v>40924</v>
      </c>
      <c r="C641" s="18">
        <v>1.773333</v>
      </c>
    </row>
    <row r="642" spans="2:3" x14ac:dyDescent="0.25">
      <c r="B642" s="12">
        <v>40917</v>
      </c>
      <c r="C642" s="18">
        <v>1.519333</v>
      </c>
    </row>
    <row r="643" spans="2:3" x14ac:dyDescent="0.25">
      <c r="B643" s="12">
        <v>40910</v>
      </c>
      <c r="C643" s="18">
        <v>1.794</v>
      </c>
    </row>
    <row r="644" spans="2:3" x14ac:dyDescent="0.25">
      <c r="B644" s="12">
        <v>40903</v>
      </c>
      <c r="C644" s="18">
        <v>1.9039999999999999</v>
      </c>
    </row>
    <row r="645" spans="2:3" x14ac:dyDescent="0.25">
      <c r="B645" s="12">
        <v>40896</v>
      </c>
      <c r="C645" s="18">
        <v>1.86</v>
      </c>
    </row>
    <row r="646" spans="2:3" x14ac:dyDescent="0.25">
      <c r="B646" s="12">
        <v>40889</v>
      </c>
      <c r="C646" s="18">
        <v>1.8666670000000001</v>
      </c>
    </row>
    <row r="647" spans="2:3" x14ac:dyDescent="0.25">
      <c r="B647" s="12">
        <v>40882</v>
      </c>
      <c r="C647" s="18">
        <v>2.0693329999999999</v>
      </c>
    </row>
    <row r="648" spans="2:3" x14ac:dyDescent="0.25">
      <c r="B648" s="12">
        <v>40875</v>
      </c>
      <c r="C648" s="18">
        <v>2.2200000000000002</v>
      </c>
    </row>
    <row r="649" spans="2:3" x14ac:dyDescent="0.25">
      <c r="B649" s="12">
        <v>40868</v>
      </c>
      <c r="C649" s="18">
        <v>2.1106669999999998</v>
      </c>
    </row>
    <row r="650" spans="2:3" x14ac:dyDescent="0.25">
      <c r="B650" s="12">
        <v>40861</v>
      </c>
      <c r="C650" s="18">
        <v>2.173333</v>
      </c>
    </row>
    <row r="651" spans="2:3" x14ac:dyDescent="0.25">
      <c r="B651" s="12">
        <v>40854</v>
      </c>
      <c r="C651" s="18">
        <v>2.242667</v>
      </c>
    </row>
    <row r="652" spans="2:3" x14ac:dyDescent="0.25">
      <c r="B652" s="12">
        <v>40847</v>
      </c>
      <c r="C652" s="18">
        <v>2.1539999999999999</v>
      </c>
    </row>
    <row r="653" spans="2:3" x14ac:dyDescent="0.25">
      <c r="B653" s="12">
        <v>40840</v>
      </c>
      <c r="C653" s="18">
        <v>1.991333</v>
      </c>
    </row>
    <row r="654" spans="2:3" x14ac:dyDescent="0.25">
      <c r="B654" s="12">
        <v>40833</v>
      </c>
      <c r="C654" s="18">
        <v>1.8686670000000001</v>
      </c>
    </row>
    <row r="655" spans="2:3" x14ac:dyDescent="0.25">
      <c r="B655" s="12">
        <v>40826</v>
      </c>
      <c r="C655" s="18">
        <v>1.87</v>
      </c>
    </row>
    <row r="656" spans="2:3" x14ac:dyDescent="0.25">
      <c r="B656" s="12">
        <v>40819</v>
      </c>
      <c r="C656" s="18">
        <v>1.7993330000000001</v>
      </c>
    </row>
    <row r="657" spans="2:3" x14ac:dyDescent="0.25">
      <c r="B657" s="12">
        <v>40812</v>
      </c>
      <c r="C657" s="18">
        <v>1.6259999999999999</v>
      </c>
    </row>
    <row r="658" spans="2:3" x14ac:dyDescent="0.25">
      <c r="B658" s="12">
        <v>40805</v>
      </c>
      <c r="C658" s="18">
        <v>1.758667</v>
      </c>
    </row>
    <row r="659" spans="2:3" x14ac:dyDescent="0.25">
      <c r="B659" s="12">
        <v>40798</v>
      </c>
      <c r="C659" s="18">
        <v>1.72</v>
      </c>
    </row>
    <row r="660" spans="2:3" x14ac:dyDescent="0.25">
      <c r="B660" s="12">
        <v>40791</v>
      </c>
      <c r="C660" s="18">
        <v>1.5313330000000001</v>
      </c>
    </row>
    <row r="661" spans="2:3" x14ac:dyDescent="0.25">
      <c r="B661" s="12">
        <v>40784</v>
      </c>
      <c r="C661" s="18">
        <v>1.538</v>
      </c>
    </row>
    <row r="662" spans="2:3" x14ac:dyDescent="0.25">
      <c r="B662" s="12">
        <v>40777</v>
      </c>
      <c r="C662" s="18">
        <v>1.5820000000000001</v>
      </c>
    </row>
    <row r="663" spans="2:3" x14ac:dyDescent="0.25">
      <c r="B663" s="12">
        <v>40770</v>
      </c>
      <c r="C663" s="18">
        <v>1.486667</v>
      </c>
    </row>
    <row r="664" spans="2:3" x14ac:dyDescent="0.25">
      <c r="B664" s="12">
        <v>40763</v>
      </c>
      <c r="C664" s="18">
        <v>1.754</v>
      </c>
    </row>
    <row r="665" spans="2:3" x14ac:dyDescent="0.25">
      <c r="B665" s="12">
        <v>40756</v>
      </c>
      <c r="C665" s="18">
        <v>1.6160000000000001</v>
      </c>
    </row>
    <row r="666" spans="2:3" x14ac:dyDescent="0.25">
      <c r="B666" s="12">
        <v>40749</v>
      </c>
      <c r="C666" s="18">
        <v>1.8779999999999999</v>
      </c>
    </row>
    <row r="667" spans="2:3" x14ac:dyDescent="0.25">
      <c r="B667" s="12">
        <v>40742</v>
      </c>
      <c r="C667" s="18">
        <v>1.9526669999999999</v>
      </c>
    </row>
    <row r="668" spans="2:3" x14ac:dyDescent="0.25">
      <c r="B668" s="12">
        <v>40735</v>
      </c>
      <c r="C668" s="18">
        <v>1.8386670000000001</v>
      </c>
    </row>
    <row r="669" spans="2:3" x14ac:dyDescent="0.25">
      <c r="B669" s="12">
        <v>40728</v>
      </c>
      <c r="C669" s="18">
        <v>1.9206669999999999</v>
      </c>
    </row>
    <row r="670" spans="2:3" x14ac:dyDescent="0.25">
      <c r="B670" s="12">
        <v>40721</v>
      </c>
      <c r="C670" s="18">
        <v>1.9346669999999999</v>
      </c>
    </row>
    <row r="671" spans="2:3" x14ac:dyDescent="0.25">
      <c r="B671" s="12">
        <v>40714</v>
      </c>
      <c r="C671" s="18">
        <v>1.8380000000000001</v>
      </c>
    </row>
    <row r="672" spans="2:3" x14ac:dyDescent="0.25">
      <c r="B672" s="12">
        <v>40707</v>
      </c>
      <c r="C672" s="18">
        <v>1.766667</v>
      </c>
    </row>
    <row r="673" spans="2:3" x14ac:dyDescent="0.25">
      <c r="B673" s="12">
        <v>40700</v>
      </c>
      <c r="C673" s="18">
        <v>1.8573329999999999</v>
      </c>
    </row>
    <row r="674" spans="2:3" x14ac:dyDescent="0.25">
      <c r="B674" s="12">
        <v>40693</v>
      </c>
      <c r="C674" s="18">
        <v>2.008667</v>
      </c>
    </row>
    <row r="675" spans="2:3" x14ac:dyDescent="0.25">
      <c r="B675" s="12">
        <v>40686</v>
      </c>
      <c r="C675" s="18">
        <v>1.97</v>
      </c>
    </row>
    <row r="676" spans="2:3" x14ac:dyDescent="0.25">
      <c r="B676" s="12">
        <v>40679</v>
      </c>
      <c r="C676" s="18">
        <v>1.8646670000000001</v>
      </c>
    </row>
    <row r="677" spans="2:3" x14ac:dyDescent="0.25">
      <c r="B677" s="12">
        <v>40672</v>
      </c>
      <c r="C677" s="18">
        <v>1.836667</v>
      </c>
    </row>
    <row r="678" spans="2:3" x14ac:dyDescent="0.25">
      <c r="B678" s="12">
        <v>40665</v>
      </c>
      <c r="C678" s="18">
        <v>1.8080000000000001</v>
      </c>
    </row>
    <row r="679" spans="2:3" x14ac:dyDescent="0.25">
      <c r="B679" s="12">
        <v>40658</v>
      </c>
      <c r="C679" s="18">
        <v>1.84</v>
      </c>
    </row>
    <row r="680" spans="2:3" x14ac:dyDescent="0.25">
      <c r="B680" s="12">
        <v>40651</v>
      </c>
      <c r="C680" s="18">
        <v>1.782667</v>
      </c>
    </row>
    <row r="681" spans="2:3" x14ac:dyDescent="0.25">
      <c r="B681" s="12">
        <v>40644</v>
      </c>
      <c r="C681" s="18">
        <v>1.705333</v>
      </c>
    </row>
    <row r="682" spans="2:3" x14ac:dyDescent="0.25">
      <c r="B682" s="12">
        <v>40637</v>
      </c>
      <c r="C682" s="18">
        <v>1.766</v>
      </c>
    </row>
    <row r="683" spans="2:3" x14ac:dyDescent="0.25">
      <c r="B683" s="12">
        <v>40630</v>
      </c>
      <c r="C683" s="18">
        <v>1.7773330000000001</v>
      </c>
    </row>
    <row r="684" spans="2:3" x14ac:dyDescent="0.25">
      <c r="B684" s="12">
        <v>40623</v>
      </c>
      <c r="C684" s="18">
        <v>1.516667</v>
      </c>
    </row>
    <row r="685" spans="2:3" x14ac:dyDescent="0.25">
      <c r="B685" s="12">
        <v>40616</v>
      </c>
      <c r="C685" s="18">
        <v>1.530667</v>
      </c>
    </row>
    <row r="686" spans="2:3" x14ac:dyDescent="0.25">
      <c r="B686" s="12">
        <v>40609</v>
      </c>
      <c r="C686" s="18">
        <v>1.6046670000000001</v>
      </c>
    </row>
    <row r="687" spans="2:3" x14ac:dyDescent="0.25">
      <c r="B687" s="12">
        <v>40602</v>
      </c>
      <c r="C687" s="18">
        <v>1.663333</v>
      </c>
    </row>
    <row r="688" spans="2:3" x14ac:dyDescent="0.25">
      <c r="B688" s="12">
        <v>40595</v>
      </c>
      <c r="C688" s="18">
        <v>1.5740000000000001</v>
      </c>
    </row>
    <row r="689" spans="2:3" x14ac:dyDescent="0.25">
      <c r="B689" s="12">
        <v>40588</v>
      </c>
      <c r="C689" s="18">
        <v>1.5453330000000001</v>
      </c>
    </row>
    <row r="690" spans="2:3" x14ac:dyDescent="0.25">
      <c r="B690" s="12">
        <v>40581</v>
      </c>
      <c r="C690" s="18">
        <v>1.55</v>
      </c>
    </row>
    <row r="691" spans="2:3" x14ac:dyDescent="0.25">
      <c r="B691" s="12">
        <v>40574</v>
      </c>
      <c r="C691" s="18">
        <v>1.5640000000000001</v>
      </c>
    </row>
    <row r="692" spans="2:3" x14ac:dyDescent="0.25">
      <c r="B692" s="12">
        <v>40567</v>
      </c>
      <c r="C692" s="18">
        <v>1.6006670000000001</v>
      </c>
    </row>
    <row r="693" spans="2:3" x14ac:dyDescent="0.25">
      <c r="B693" s="12">
        <v>40560</v>
      </c>
      <c r="C693" s="18">
        <v>1.536</v>
      </c>
    </row>
    <row r="694" spans="2:3" x14ac:dyDescent="0.25">
      <c r="B694" s="12">
        <v>40553</v>
      </c>
      <c r="C694" s="18">
        <v>1.7166669999999999</v>
      </c>
    </row>
    <row r="695" spans="2:3" x14ac:dyDescent="0.25">
      <c r="B695" s="12">
        <v>40546</v>
      </c>
      <c r="C695" s="18">
        <v>1.8826670000000001</v>
      </c>
    </row>
    <row r="696" spans="2:3" x14ac:dyDescent="0.25">
      <c r="B696" s="12">
        <v>40539</v>
      </c>
      <c r="C696" s="18">
        <v>1.775333</v>
      </c>
    </row>
    <row r="697" spans="2:3" x14ac:dyDescent="0.25">
      <c r="B697" s="12">
        <v>40532</v>
      </c>
      <c r="C697" s="18">
        <v>2.0059999999999998</v>
      </c>
    </row>
    <row r="698" spans="2:3" x14ac:dyDescent="0.25">
      <c r="B698" s="12">
        <v>40525</v>
      </c>
      <c r="C698" s="18">
        <v>2.0906669999999998</v>
      </c>
    </row>
    <row r="699" spans="2:3" x14ac:dyDescent="0.25">
      <c r="B699" s="12">
        <v>40518</v>
      </c>
      <c r="C699" s="18">
        <v>2.1013329999999999</v>
      </c>
    </row>
    <row r="700" spans="2:3" x14ac:dyDescent="0.25">
      <c r="B700" s="12">
        <v>40511</v>
      </c>
      <c r="C700" s="18">
        <v>2.0993330000000001</v>
      </c>
    </row>
    <row r="701" spans="2:3" x14ac:dyDescent="0.25">
      <c r="B701" s="12">
        <v>40504</v>
      </c>
      <c r="C701" s="18">
        <v>2.3546670000000001</v>
      </c>
    </row>
    <row r="702" spans="2:3" x14ac:dyDescent="0.25">
      <c r="B702" s="12">
        <v>40497</v>
      </c>
      <c r="C702" s="18">
        <v>2.0659999999999998</v>
      </c>
    </row>
    <row r="703" spans="2:3" x14ac:dyDescent="0.25">
      <c r="B703" s="12">
        <v>40490</v>
      </c>
      <c r="C703" s="18">
        <v>1.989333</v>
      </c>
    </row>
    <row r="704" spans="2:3" x14ac:dyDescent="0.25">
      <c r="B704" s="12">
        <v>40483</v>
      </c>
      <c r="C704" s="18">
        <v>1.6293329999999999</v>
      </c>
    </row>
    <row r="705" spans="2:3" x14ac:dyDescent="0.25">
      <c r="B705" s="12">
        <v>40476</v>
      </c>
      <c r="C705" s="18">
        <v>1.456</v>
      </c>
    </row>
    <row r="706" spans="2:3" x14ac:dyDescent="0.25">
      <c r="B706" s="12">
        <v>40469</v>
      </c>
      <c r="C706" s="18">
        <v>1.3813329999999999</v>
      </c>
    </row>
    <row r="707" spans="2:3" x14ac:dyDescent="0.25">
      <c r="B707" s="12">
        <v>40462</v>
      </c>
      <c r="C707" s="18">
        <v>1.3693329999999999</v>
      </c>
    </row>
    <row r="708" spans="2:3" x14ac:dyDescent="0.25">
      <c r="B708" s="12">
        <v>40455</v>
      </c>
      <c r="C708" s="18">
        <v>1.3620000000000001</v>
      </c>
    </row>
    <row r="709" spans="2:3" x14ac:dyDescent="0.25">
      <c r="B709" s="12">
        <v>40448</v>
      </c>
      <c r="C709" s="18">
        <v>1.3733329999999999</v>
      </c>
    </row>
    <row r="710" spans="2:3" x14ac:dyDescent="0.25">
      <c r="B710" s="12">
        <v>40441</v>
      </c>
      <c r="C710" s="18">
        <v>1.34</v>
      </c>
    </row>
    <row r="711" spans="2:3" x14ac:dyDescent="0.25">
      <c r="B711" s="12">
        <v>40434</v>
      </c>
      <c r="C711" s="18">
        <v>1.3486670000000001</v>
      </c>
    </row>
    <row r="712" spans="2:3" x14ac:dyDescent="0.25">
      <c r="B712" s="12">
        <v>40427</v>
      </c>
      <c r="C712" s="18">
        <v>1.3446670000000001</v>
      </c>
    </row>
    <row r="713" spans="2:3" x14ac:dyDescent="0.25">
      <c r="B713" s="12">
        <v>40420</v>
      </c>
      <c r="C713" s="18">
        <v>1.4033329999999999</v>
      </c>
    </row>
    <row r="714" spans="2:3" x14ac:dyDescent="0.25">
      <c r="B714" s="12">
        <v>40413</v>
      </c>
      <c r="C714" s="18">
        <v>1.3133330000000001</v>
      </c>
    </row>
    <row r="715" spans="2:3" x14ac:dyDescent="0.25">
      <c r="B715" s="12">
        <v>40406</v>
      </c>
      <c r="C715" s="18">
        <v>1.273333</v>
      </c>
    </row>
    <row r="716" spans="2:3" x14ac:dyDescent="0.25">
      <c r="B716" s="12">
        <v>40399</v>
      </c>
      <c r="C716" s="18">
        <v>1.221333</v>
      </c>
    </row>
    <row r="717" spans="2:3" x14ac:dyDescent="0.25">
      <c r="B717" s="12">
        <v>40392</v>
      </c>
      <c r="C717" s="18">
        <v>1.306</v>
      </c>
    </row>
    <row r="718" spans="2:3" x14ac:dyDescent="0.25">
      <c r="B718" s="12">
        <v>40385</v>
      </c>
      <c r="C718" s="18">
        <v>1.3293330000000001</v>
      </c>
    </row>
    <row r="719" spans="2:3" x14ac:dyDescent="0.25">
      <c r="B719" s="12">
        <v>40378</v>
      </c>
      <c r="C719" s="18">
        <v>1.419333</v>
      </c>
    </row>
    <row r="720" spans="2:3" x14ac:dyDescent="0.25">
      <c r="B720" s="12">
        <v>40371</v>
      </c>
      <c r="C720" s="18">
        <v>1.3759999999999999</v>
      </c>
    </row>
    <row r="721" spans="2:3" x14ac:dyDescent="0.25">
      <c r="B721" s="12">
        <v>40364</v>
      </c>
      <c r="C721" s="18">
        <v>1.1599999999999999</v>
      </c>
    </row>
    <row r="722" spans="2:3" x14ac:dyDescent="0.25">
      <c r="B722" s="12">
        <v>40357</v>
      </c>
      <c r="C722" s="18">
        <v>1.28</v>
      </c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723"/>
  <sheetViews>
    <sheetView workbookViewId="0">
      <selection activeCell="E16" sqref="E16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37</v>
      </c>
      <c r="B1" s="1" t="s">
        <v>50</v>
      </c>
      <c r="C1" s="1" t="s">
        <v>0</v>
      </c>
      <c r="D1" s="1" t="s">
        <v>92</v>
      </c>
      <c r="H1" s="152" t="s">
        <v>93</v>
      </c>
      <c r="I1" s="153"/>
      <c r="J1" s="153"/>
      <c r="K1" s="153"/>
      <c r="L1" s="153"/>
      <c r="M1" s="154"/>
    </row>
    <row r="2" spans="1:13" ht="15.75" thickBot="1" x14ac:dyDescent="0.3">
      <c r="B2" s="12">
        <v>45397</v>
      </c>
      <c r="C2" s="18">
        <v>147.05000000000001</v>
      </c>
      <c r="D2" s="114">
        <f>C2/C3-1</f>
        <v>-0.14386350558522076</v>
      </c>
      <c r="H2" s="52"/>
      <c r="I2" s="53"/>
      <c r="J2" s="53"/>
      <c r="K2" s="53"/>
      <c r="L2" s="53"/>
      <c r="M2" s="54"/>
    </row>
    <row r="3" spans="1:13" ht="15.75" thickBot="1" x14ac:dyDescent="0.3">
      <c r="B3" s="12">
        <v>45390</v>
      </c>
      <c r="C3" s="18">
        <v>171.759995</v>
      </c>
      <c r="D3" s="114">
        <f t="shared" ref="D3:D66" si="0">C3/C4-1</f>
        <v>4.1600977862982891E-2</v>
      </c>
      <c r="H3" s="55" t="s">
        <v>94</v>
      </c>
      <c r="I3" s="56" t="s">
        <v>95</v>
      </c>
      <c r="J3" s="57" t="s">
        <v>96</v>
      </c>
      <c r="K3" s="58" t="s">
        <v>97</v>
      </c>
      <c r="L3" s="58" t="s">
        <v>98</v>
      </c>
      <c r="M3" s="59" t="s">
        <v>99</v>
      </c>
    </row>
    <row r="4" spans="1:13" x14ac:dyDescent="0.25">
      <c r="B4" s="12">
        <v>45383</v>
      </c>
      <c r="C4" s="18">
        <v>164.89999399999999</v>
      </c>
      <c r="D4" s="114">
        <f t="shared" si="0"/>
        <v>-6.1948913098824776E-2</v>
      </c>
      <c r="H4" s="60">
        <f>$I$19-3*$I$23</f>
        <v>-0.22233541100501991</v>
      </c>
      <c r="I4" s="61">
        <f>H4</f>
        <v>-0.22233541100501991</v>
      </c>
      <c r="J4" s="62">
        <f>COUNTIF(D:D,"&lt;="&amp;H4)</f>
        <v>2</v>
      </c>
      <c r="K4" s="62" t="str">
        <f>"Less than "&amp;TEXT(H4,"0,00%")</f>
        <v>Less than -22,23%</v>
      </c>
      <c r="L4" s="63">
        <f>J4/$I$31</f>
        <v>2.7777777777777779E-3</v>
      </c>
      <c r="M4" s="64">
        <f>L4</f>
        <v>2.7777777777777779E-3</v>
      </c>
    </row>
    <row r="5" spans="1:13" x14ac:dyDescent="0.25">
      <c r="B5" s="12">
        <v>45376</v>
      </c>
      <c r="C5" s="18">
        <v>175.78999300000001</v>
      </c>
      <c r="D5" s="114">
        <f t="shared" si="0"/>
        <v>2.9034659848566902E-2</v>
      </c>
      <c r="H5" s="65">
        <f>$I$19-2.4*$I$23</f>
        <v>-0.17596439972431432</v>
      </c>
      <c r="I5" s="66">
        <f>H5</f>
        <v>-0.17596439972431432</v>
      </c>
      <c r="J5" s="67">
        <f>COUNTIFS(D:D,"&lt;="&amp;H5,D:D,"&gt;"&amp;H4)</f>
        <v>2</v>
      </c>
      <c r="K5" s="68" t="str">
        <f t="shared" ref="K5:K14" si="1">TEXT(H4,"0,00%")&amp;" to "&amp;TEXT(H5,"0,00%")</f>
        <v>-22,23% to -17,60%</v>
      </c>
      <c r="L5" s="69">
        <f>J5/$I$31</f>
        <v>2.7777777777777779E-3</v>
      </c>
      <c r="M5" s="70">
        <f>M4+L5</f>
        <v>5.5555555555555558E-3</v>
      </c>
    </row>
    <row r="6" spans="1:13" x14ac:dyDescent="0.25">
      <c r="B6" s="12">
        <v>45369</v>
      </c>
      <c r="C6" s="18">
        <v>170.83000200000001</v>
      </c>
      <c r="D6" s="114">
        <f t="shared" si="0"/>
        <v>4.4384634647597787E-2</v>
      </c>
      <c r="H6" s="65">
        <f>$I$19-1.8*$I$23</f>
        <v>-0.12959338844360879</v>
      </c>
      <c r="I6" s="66">
        <f t="shared" ref="I6:I14" si="2">H6</f>
        <v>-0.12959338844360879</v>
      </c>
      <c r="J6" s="67">
        <f t="shared" ref="J6:J14" si="3">COUNTIFS(D:D,"&lt;="&amp;H6,D:D,"&gt;"&amp;H5)</f>
        <v>20</v>
      </c>
      <c r="K6" s="68" t="str">
        <f t="shared" si="1"/>
        <v>-17,60% to -12,96%</v>
      </c>
      <c r="L6" s="69">
        <f t="shared" ref="L6:L15" si="4">J6/$I$31</f>
        <v>2.7777777777777776E-2</v>
      </c>
      <c r="M6" s="70">
        <f t="shared" ref="M6:M15" si="5">M5+L6</f>
        <v>3.3333333333333333E-2</v>
      </c>
    </row>
    <row r="7" spans="1:13" x14ac:dyDescent="0.25">
      <c r="B7" s="12">
        <v>45362</v>
      </c>
      <c r="C7" s="18">
        <v>163.570007</v>
      </c>
      <c r="D7" s="114">
        <f t="shared" si="0"/>
        <v>-6.7126664015664805E-2</v>
      </c>
      <c r="H7" s="65">
        <f>$I$19-1.2*$I$23</f>
        <v>-8.3222377162903233E-2</v>
      </c>
      <c r="I7" s="66">
        <f t="shared" si="2"/>
        <v>-8.3222377162903233E-2</v>
      </c>
      <c r="J7" s="67">
        <f t="shared" si="3"/>
        <v>38</v>
      </c>
      <c r="K7" s="68" t="str">
        <f t="shared" si="1"/>
        <v>-12,96% to -8,32%</v>
      </c>
      <c r="L7" s="69">
        <f t="shared" si="4"/>
        <v>5.2777777777777778E-2</v>
      </c>
      <c r="M7" s="70">
        <f t="shared" si="5"/>
        <v>8.611111111111111E-2</v>
      </c>
    </row>
    <row r="8" spans="1:13" x14ac:dyDescent="0.25">
      <c r="B8" s="12">
        <v>45355</v>
      </c>
      <c r="C8" s="18">
        <v>175.33999600000001</v>
      </c>
      <c r="D8" s="114">
        <f t="shared" si="0"/>
        <v>-0.13472168937387319</v>
      </c>
      <c r="H8" s="65">
        <f>$I$19-0.6*$I$23</f>
        <v>-3.685136588219768E-2</v>
      </c>
      <c r="I8" s="66">
        <f t="shared" si="2"/>
        <v>-3.685136588219768E-2</v>
      </c>
      <c r="J8" s="67">
        <f t="shared" si="3"/>
        <v>126</v>
      </c>
      <c r="K8" s="68" t="str">
        <f t="shared" si="1"/>
        <v>-8,32% to -3,69%</v>
      </c>
      <c r="L8" s="69">
        <f t="shared" si="4"/>
        <v>0.17499999999999999</v>
      </c>
      <c r="M8" s="70">
        <f t="shared" si="5"/>
        <v>0.26111111111111107</v>
      </c>
    </row>
    <row r="9" spans="1:13" x14ac:dyDescent="0.25">
      <c r="B9" s="12">
        <v>45348</v>
      </c>
      <c r="C9" s="18">
        <v>202.63999899999999</v>
      </c>
      <c r="D9" s="114">
        <f t="shared" si="0"/>
        <v>5.5581590584041329E-2</v>
      </c>
      <c r="H9" s="65">
        <f>$I$19</f>
        <v>9.5196453985078727E-3</v>
      </c>
      <c r="I9" s="66">
        <f t="shared" si="2"/>
        <v>9.5196453985078727E-3</v>
      </c>
      <c r="J9" s="67">
        <f t="shared" si="3"/>
        <v>183</v>
      </c>
      <c r="K9" s="68" t="str">
        <f t="shared" si="1"/>
        <v>-3,69% to 0,95%</v>
      </c>
      <c r="L9" s="69">
        <f t="shared" si="4"/>
        <v>0.25416666666666665</v>
      </c>
      <c r="M9" s="70">
        <f t="shared" si="5"/>
        <v>0.51527777777777772</v>
      </c>
    </row>
    <row r="10" spans="1:13" x14ac:dyDescent="0.25">
      <c r="B10" s="12">
        <v>45341</v>
      </c>
      <c r="C10" s="18">
        <v>191.970001</v>
      </c>
      <c r="D10" s="114">
        <f t="shared" si="0"/>
        <v>-3.9909958088171438E-2</v>
      </c>
      <c r="H10" s="65">
        <f>$I$19+0.6*$I$23</f>
        <v>5.5890656679213425E-2</v>
      </c>
      <c r="I10" s="66">
        <f t="shared" si="2"/>
        <v>5.5890656679213425E-2</v>
      </c>
      <c r="J10" s="67">
        <f t="shared" si="3"/>
        <v>176</v>
      </c>
      <c r="K10" s="68" t="str">
        <f t="shared" si="1"/>
        <v>0,95% to 5,59%</v>
      </c>
      <c r="L10" s="69">
        <f t="shared" si="4"/>
        <v>0.24444444444444444</v>
      </c>
      <c r="M10" s="70">
        <f t="shared" si="5"/>
        <v>0.75972222222222219</v>
      </c>
    </row>
    <row r="11" spans="1:13" x14ac:dyDescent="0.25">
      <c r="B11" s="12">
        <v>45334</v>
      </c>
      <c r="C11" s="18">
        <v>199.949997</v>
      </c>
      <c r="D11" s="114">
        <f t="shared" si="0"/>
        <v>3.2959599985962651E-2</v>
      </c>
      <c r="H11" s="65">
        <f>$I$19+1.2*$I$23</f>
        <v>0.10226166795991898</v>
      </c>
      <c r="I11" s="66">
        <f t="shared" si="2"/>
        <v>0.10226166795991898</v>
      </c>
      <c r="J11" s="67">
        <f t="shared" si="3"/>
        <v>103</v>
      </c>
      <c r="K11" s="68" t="str">
        <f t="shared" si="1"/>
        <v>5,59% to 10,23%</v>
      </c>
      <c r="L11" s="69">
        <f t="shared" si="4"/>
        <v>0.14305555555555555</v>
      </c>
      <c r="M11" s="70">
        <f t="shared" si="5"/>
        <v>0.90277777777777768</v>
      </c>
    </row>
    <row r="12" spans="1:13" x14ac:dyDescent="0.25">
      <c r="B12" s="12">
        <v>45327</v>
      </c>
      <c r="C12" s="18">
        <v>193.570007</v>
      </c>
      <c r="D12" s="114">
        <f t="shared" si="0"/>
        <v>3.0120817835755043E-2</v>
      </c>
      <c r="H12" s="65">
        <f>$I$19+1.8*$I$23</f>
        <v>0.14863267924062457</v>
      </c>
      <c r="I12" s="66">
        <f t="shared" si="2"/>
        <v>0.14863267924062457</v>
      </c>
      <c r="J12" s="67">
        <f t="shared" si="3"/>
        <v>43</v>
      </c>
      <c r="K12" s="68" t="str">
        <f t="shared" si="1"/>
        <v>10,23% to 14,86%</v>
      </c>
      <c r="L12" s="69">
        <f t="shared" si="4"/>
        <v>5.9722222222222225E-2</v>
      </c>
      <c r="M12" s="70">
        <f t="shared" si="5"/>
        <v>0.96249999999999991</v>
      </c>
    </row>
    <row r="13" spans="1:13" x14ac:dyDescent="0.25">
      <c r="B13" s="12">
        <v>45320</v>
      </c>
      <c r="C13" s="18">
        <v>187.91000399999999</v>
      </c>
      <c r="D13" s="114">
        <f t="shared" si="0"/>
        <v>2.5429762619372465E-2</v>
      </c>
      <c r="H13" s="65">
        <f>$I$19+2.4*$I$23</f>
        <v>0.1950036905213301</v>
      </c>
      <c r="I13" s="66">
        <f t="shared" si="2"/>
        <v>0.1950036905213301</v>
      </c>
      <c r="J13" s="67">
        <f t="shared" si="3"/>
        <v>13</v>
      </c>
      <c r="K13" s="68" t="str">
        <f t="shared" si="1"/>
        <v>14,86% to 19,50%</v>
      </c>
      <c r="L13" s="69">
        <f t="shared" si="4"/>
        <v>1.8055555555555554E-2</v>
      </c>
      <c r="M13" s="70">
        <f t="shared" si="5"/>
        <v>0.98055555555555551</v>
      </c>
    </row>
    <row r="14" spans="1:13" x14ac:dyDescent="0.25">
      <c r="B14" s="12">
        <v>45313</v>
      </c>
      <c r="C14" s="18">
        <v>183.25</v>
      </c>
      <c r="D14" s="114">
        <f t="shared" si="0"/>
        <v>-0.13638720829080342</v>
      </c>
      <c r="H14" s="65">
        <f>$I$19+3*$I$23</f>
        <v>0.24137470180203563</v>
      </c>
      <c r="I14" s="66">
        <f t="shared" si="2"/>
        <v>0.24137470180203563</v>
      </c>
      <c r="J14" s="67">
        <f t="shared" si="3"/>
        <v>5</v>
      </c>
      <c r="K14" s="68" t="str">
        <f t="shared" si="1"/>
        <v>19,50% to 24,14%</v>
      </c>
      <c r="L14" s="69">
        <f t="shared" si="4"/>
        <v>6.9444444444444441E-3</v>
      </c>
      <c r="M14" s="70">
        <f t="shared" si="5"/>
        <v>0.98749999999999993</v>
      </c>
    </row>
    <row r="15" spans="1:13" ht="15.75" thickBot="1" x14ac:dyDescent="0.3">
      <c r="B15" s="12">
        <v>45306</v>
      </c>
      <c r="C15" s="18">
        <v>212.19000199999999</v>
      </c>
      <c r="D15" s="114">
        <f t="shared" si="0"/>
        <v>-3.0608968114619106E-2</v>
      </c>
      <c r="H15" s="71"/>
      <c r="I15" s="72" t="s">
        <v>100</v>
      </c>
      <c r="J15" s="72">
        <f>COUNTIF(D:D,"&gt;"&amp;H14)</f>
        <v>9</v>
      </c>
      <c r="K15" s="72" t="str">
        <f>"Greater than "&amp;TEXT(H14,"0,00%")</f>
        <v>Greater than 24,14%</v>
      </c>
      <c r="L15" s="73">
        <f t="shared" si="4"/>
        <v>1.2500000000000001E-2</v>
      </c>
      <c r="M15" s="73">
        <f t="shared" si="5"/>
        <v>0.99999999999999989</v>
      </c>
    </row>
    <row r="16" spans="1:13" ht="15.75" thickBot="1" x14ac:dyDescent="0.3">
      <c r="B16" s="12">
        <v>45299</v>
      </c>
      <c r="C16" s="18">
        <v>218.88999899999999</v>
      </c>
      <c r="D16" s="114">
        <f t="shared" si="0"/>
        <v>-7.831911073478659E-2</v>
      </c>
      <c r="H16" s="74"/>
      <c r="M16" s="75"/>
    </row>
    <row r="17" spans="2:13" x14ac:dyDescent="0.25">
      <c r="B17" s="12">
        <v>45292</v>
      </c>
      <c r="C17" s="18">
        <v>237.490005</v>
      </c>
      <c r="D17" s="114">
        <f t="shared" si="0"/>
        <v>-4.4228876275416606E-2</v>
      </c>
      <c r="H17" s="155" t="s">
        <v>131</v>
      </c>
      <c r="I17" s="156"/>
      <c r="M17" s="75"/>
    </row>
    <row r="18" spans="2:13" x14ac:dyDescent="0.25">
      <c r="B18" s="12">
        <v>45285</v>
      </c>
      <c r="C18" s="18">
        <v>248.479996</v>
      </c>
      <c r="D18" s="114">
        <f t="shared" si="0"/>
        <v>-1.6076649689302891E-2</v>
      </c>
      <c r="H18" s="157"/>
      <c r="I18" s="158"/>
      <c r="M18" s="75"/>
    </row>
    <row r="19" spans="2:13" x14ac:dyDescent="0.25">
      <c r="B19" s="12">
        <v>45278</v>
      </c>
      <c r="C19" s="18">
        <v>252.53999300000001</v>
      </c>
      <c r="D19" s="114">
        <f t="shared" si="0"/>
        <v>-3.7870098619329218E-3</v>
      </c>
      <c r="H19" s="76" t="s">
        <v>101</v>
      </c>
      <c r="I19" s="112">
        <f>AVERAGE(D:D)</f>
        <v>9.5196453985078727E-3</v>
      </c>
      <c r="M19" s="75"/>
    </row>
    <row r="20" spans="2:13" x14ac:dyDescent="0.25">
      <c r="B20" s="12">
        <v>45271</v>
      </c>
      <c r="C20" s="18">
        <v>253.5</v>
      </c>
      <c r="D20" s="114">
        <f t="shared" si="0"/>
        <v>3.9616158786354161E-2</v>
      </c>
      <c r="H20" s="76" t="s">
        <v>102</v>
      </c>
      <c r="I20" s="112">
        <f>_xlfn.STDEV.S(D:D)/SQRT(COUNT(D:D))</f>
        <v>2.8802425946963112E-3</v>
      </c>
      <c r="M20" s="75"/>
    </row>
    <row r="21" spans="2:13" x14ac:dyDescent="0.25">
      <c r="B21" s="12">
        <v>45264</v>
      </c>
      <c r="C21" s="18">
        <v>243.83999600000001</v>
      </c>
      <c r="D21" s="114">
        <f t="shared" si="0"/>
        <v>2.0977238864654968E-2</v>
      </c>
      <c r="H21" s="76" t="s">
        <v>103</v>
      </c>
      <c r="I21" s="112">
        <f>MEDIAN(D:D)</f>
        <v>6.9031396452409188E-3</v>
      </c>
      <c r="M21" s="75"/>
    </row>
    <row r="22" spans="2:13" x14ac:dyDescent="0.25">
      <c r="B22" s="12">
        <v>45257</v>
      </c>
      <c r="C22" s="18">
        <v>238.83000200000001</v>
      </c>
      <c r="D22" s="114">
        <f t="shared" si="0"/>
        <v>1.4355510907056779E-2</v>
      </c>
      <c r="H22" s="76" t="s">
        <v>104</v>
      </c>
      <c r="I22" s="112" t="e">
        <f>MODE(D:D)</f>
        <v>#N/A</v>
      </c>
      <c r="M22" s="75"/>
    </row>
    <row r="23" spans="2:13" x14ac:dyDescent="0.25">
      <c r="B23" s="12">
        <v>45250</v>
      </c>
      <c r="C23" s="18">
        <v>235.449997</v>
      </c>
      <c r="D23" s="114">
        <f t="shared" si="0"/>
        <v>4.9082116315635194E-3</v>
      </c>
      <c r="H23" s="76" t="s">
        <v>105</v>
      </c>
      <c r="I23" s="112">
        <f>_xlfn.STDEV.S(D:D)</f>
        <v>7.7285018801175928E-2</v>
      </c>
      <c r="M23" s="75"/>
    </row>
    <row r="24" spans="2:13" x14ac:dyDescent="0.25">
      <c r="B24" s="12">
        <v>45243</v>
      </c>
      <c r="C24" s="18">
        <v>234.300003</v>
      </c>
      <c r="D24" s="114">
        <f t="shared" si="0"/>
        <v>9.1544419050857417E-2</v>
      </c>
      <c r="H24" s="76" t="s">
        <v>106</v>
      </c>
      <c r="I24" s="112">
        <f>_xlfn.VAR.S(D:D)</f>
        <v>5.9729741310981174E-3</v>
      </c>
      <c r="M24" s="75"/>
    </row>
    <row r="25" spans="2:13" x14ac:dyDescent="0.25">
      <c r="B25" s="12">
        <v>45236</v>
      </c>
      <c r="C25" s="18">
        <v>214.64999399999999</v>
      </c>
      <c r="D25" s="114">
        <f t="shared" si="0"/>
        <v>-2.4140811197555512E-2</v>
      </c>
      <c r="H25" s="76" t="s">
        <v>107</v>
      </c>
      <c r="I25" s="113">
        <f>KURT(D:D)</f>
        <v>2.1395204450468843</v>
      </c>
      <c r="M25" s="75"/>
    </row>
    <row r="26" spans="2:13" x14ac:dyDescent="0.25">
      <c r="B26" s="12">
        <v>45229</v>
      </c>
      <c r="C26" s="18">
        <v>219.96000699999999</v>
      </c>
      <c r="D26" s="114">
        <f t="shared" si="0"/>
        <v>6.10709301340433E-2</v>
      </c>
      <c r="H26" s="76" t="s">
        <v>108</v>
      </c>
      <c r="I26" s="113">
        <f>SKEW(D:D)</f>
        <v>0.54049408479402217</v>
      </c>
      <c r="M26" s="75"/>
    </row>
    <row r="27" spans="2:13" x14ac:dyDescent="0.25">
      <c r="B27" s="12">
        <v>45222</v>
      </c>
      <c r="C27" s="18">
        <v>207.300003</v>
      </c>
      <c r="D27" s="114">
        <f t="shared" si="0"/>
        <v>-2.212369399208225E-2</v>
      </c>
      <c r="H27" s="76" t="s">
        <v>97</v>
      </c>
      <c r="I27" s="112">
        <f>I29-I28</f>
        <v>0.66576185570602664</v>
      </c>
      <c r="M27" s="75"/>
    </row>
    <row r="28" spans="2:13" x14ac:dyDescent="0.25">
      <c r="B28" s="12">
        <v>45215</v>
      </c>
      <c r="C28" s="18">
        <v>211.990005</v>
      </c>
      <c r="D28" s="114">
        <f t="shared" si="0"/>
        <v>-0.15582188108915818</v>
      </c>
      <c r="H28" s="76" t="s">
        <v>109</v>
      </c>
      <c r="I28" s="112">
        <f>MIN(D:D)</f>
        <v>-0.25861267212666672</v>
      </c>
      <c r="M28" s="75"/>
    </row>
    <row r="29" spans="2:13" x14ac:dyDescent="0.25">
      <c r="B29" s="12">
        <v>45208</v>
      </c>
      <c r="C29" s="18">
        <v>251.11999499999999</v>
      </c>
      <c r="D29" s="114">
        <f t="shared" si="0"/>
        <v>-3.6118696641917136E-2</v>
      </c>
      <c r="H29" s="76" t="s">
        <v>110</v>
      </c>
      <c r="I29" s="112">
        <f>MAX(D:D)</f>
        <v>0.40714918357935992</v>
      </c>
      <c r="M29" s="75"/>
    </row>
    <row r="30" spans="2:13" x14ac:dyDescent="0.25">
      <c r="B30" s="12">
        <v>45201</v>
      </c>
      <c r="C30" s="18">
        <v>260.52999899999998</v>
      </c>
      <c r="D30" s="114">
        <f t="shared" si="0"/>
        <v>4.1203732550540551E-2</v>
      </c>
      <c r="H30" s="76" t="s">
        <v>111</v>
      </c>
      <c r="I30" s="113">
        <f>SUM(D:D)</f>
        <v>6.8541446869256681</v>
      </c>
      <c r="M30" s="75"/>
    </row>
    <row r="31" spans="2:13" ht="15.75" thickBot="1" x14ac:dyDescent="0.3">
      <c r="B31" s="12">
        <v>45194</v>
      </c>
      <c r="C31" s="18">
        <v>250.220001</v>
      </c>
      <c r="D31" s="114">
        <f t="shared" si="0"/>
        <v>2.1806582370822669E-2</v>
      </c>
      <c r="H31" s="77" t="s">
        <v>112</v>
      </c>
      <c r="I31" s="54">
        <f>COUNT(D:D)</f>
        <v>720</v>
      </c>
      <c r="M31" s="75"/>
    </row>
    <row r="32" spans="2:13" ht="15.75" thickBot="1" x14ac:dyDescent="0.3">
      <c r="B32" s="12">
        <v>45187</v>
      </c>
      <c r="C32" s="18">
        <v>244.88000500000001</v>
      </c>
      <c r="D32" s="114">
        <f t="shared" si="0"/>
        <v>-0.10754768171866602</v>
      </c>
      <c r="H32" s="79"/>
      <c r="M32" s="75"/>
    </row>
    <row r="33" spans="2:13" x14ac:dyDescent="0.25">
      <c r="B33" s="12">
        <v>45180</v>
      </c>
      <c r="C33" s="18">
        <v>274.39001500000001</v>
      </c>
      <c r="D33" s="114">
        <f t="shared" si="0"/>
        <v>0.10418517102615699</v>
      </c>
      <c r="H33" s="80"/>
      <c r="I33" s="81" t="s">
        <v>113</v>
      </c>
      <c r="J33" s="81" t="s">
        <v>112</v>
      </c>
      <c r="K33" s="81" t="s">
        <v>114</v>
      </c>
      <c r="L33" s="82" t="s">
        <v>115</v>
      </c>
      <c r="M33" s="75"/>
    </row>
    <row r="34" spans="2:13" x14ac:dyDescent="0.25">
      <c r="B34" s="12">
        <v>45173</v>
      </c>
      <c r="C34" s="18">
        <v>248.5</v>
      </c>
      <c r="D34" s="114">
        <f t="shared" si="0"/>
        <v>1.4244337256527073E-2</v>
      </c>
      <c r="H34" s="83" t="s">
        <v>116</v>
      </c>
      <c r="I34" s="69">
        <f>AVERAGEIF(D:D,"&gt;0")</f>
        <v>6.1389222699740856E-2</v>
      </c>
      <c r="J34" s="67">
        <f>COUNTIF(D:D,"&gt;0")</f>
        <v>398</v>
      </c>
      <c r="K34" s="69">
        <f>J34/$I$31</f>
        <v>0.55277777777777781</v>
      </c>
      <c r="L34" s="70">
        <f>K34*I34</f>
        <v>3.3934598103467863E-2</v>
      </c>
      <c r="M34" s="75"/>
    </row>
    <row r="35" spans="2:13" x14ac:dyDescent="0.25">
      <c r="B35" s="12">
        <v>45166</v>
      </c>
      <c r="C35" s="18">
        <v>245.009995</v>
      </c>
      <c r="D35" s="114">
        <f t="shared" si="0"/>
        <v>2.6908081259199079E-2</v>
      </c>
      <c r="H35" s="83" t="s">
        <v>117</v>
      </c>
      <c r="I35" s="69">
        <f>AVERAGEIF(D:D,"&lt;0")</f>
        <v>-5.4592440830966454E-2</v>
      </c>
      <c r="J35" s="67">
        <f>COUNTIF(D:D,"&lt;0")</f>
        <v>322</v>
      </c>
      <c r="K35" s="69">
        <f>J35/$I$31</f>
        <v>0.44722222222222224</v>
      </c>
      <c r="L35" s="70">
        <f t="shared" ref="L35:L36" si="6">K35*I35</f>
        <v>-2.441495270496E-2</v>
      </c>
      <c r="M35" s="75"/>
    </row>
    <row r="36" spans="2:13" ht="15.75" thickBot="1" x14ac:dyDescent="0.3">
      <c r="B36" s="12">
        <v>45159</v>
      </c>
      <c r="C36" s="18">
        <v>238.58999600000001</v>
      </c>
      <c r="D36" s="114">
        <f t="shared" si="0"/>
        <v>0.10719750551771545</v>
      </c>
      <c r="H36" s="84" t="s">
        <v>118</v>
      </c>
      <c r="I36" s="72">
        <v>0</v>
      </c>
      <c r="J36" s="72">
        <f>COUNTIF(D:D,"0")</f>
        <v>0</v>
      </c>
      <c r="K36" s="85">
        <f>J36/$I$31</f>
        <v>0</v>
      </c>
      <c r="L36" s="73">
        <f t="shared" si="6"/>
        <v>0</v>
      </c>
      <c r="M36" s="75"/>
    </row>
    <row r="37" spans="2:13" ht="15.75" thickBot="1" x14ac:dyDescent="0.3">
      <c r="B37" s="12">
        <v>45152</v>
      </c>
      <c r="C37" s="18">
        <v>215.490005</v>
      </c>
      <c r="D37" s="114">
        <f t="shared" si="0"/>
        <v>-0.11193072191050624</v>
      </c>
      <c r="H37" s="79"/>
      <c r="I37" s="86"/>
      <c r="J37" s="86"/>
      <c r="K37" s="86"/>
      <c r="L37" s="86"/>
      <c r="M37" s="75"/>
    </row>
    <row r="38" spans="2:13" x14ac:dyDescent="0.25">
      <c r="B38" s="12">
        <v>45145</v>
      </c>
      <c r="C38" s="18">
        <v>242.64999399999999</v>
      </c>
      <c r="D38" s="114">
        <f t="shared" si="0"/>
        <v>-4.4158224831961634E-2</v>
      </c>
      <c r="H38" s="60" t="s">
        <v>119</v>
      </c>
      <c r="I38" s="81" t="s">
        <v>120</v>
      </c>
      <c r="J38" s="81" t="s">
        <v>121</v>
      </c>
      <c r="K38" s="81" t="s">
        <v>122</v>
      </c>
      <c r="L38" s="81" t="s">
        <v>123</v>
      </c>
      <c r="M38" s="82" t="s">
        <v>124</v>
      </c>
    </row>
    <row r="39" spans="2:13" x14ac:dyDescent="0.25">
      <c r="B39" s="12">
        <v>45138</v>
      </c>
      <c r="C39" s="18">
        <v>253.86000100000001</v>
      </c>
      <c r="D39" s="114">
        <f t="shared" si="0"/>
        <v>-4.7215136261708812E-2</v>
      </c>
      <c r="H39" s="87">
        <v>1</v>
      </c>
      <c r="I39" s="69">
        <f>$I$19+($H39*$I$23)</f>
        <v>8.6804664199683801E-2</v>
      </c>
      <c r="J39" s="69">
        <f>$I$19-($H39*$I$23)</f>
        <v>-6.7765373402668055E-2</v>
      </c>
      <c r="K39" s="67">
        <f>COUNTIFS(D:D,"&lt;"&amp;I39,D:D,"&gt;"&amp;J39)</f>
        <v>535</v>
      </c>
      <c r="L39" s="69">
        <f>K39/$I$31</f>
        <v>0.74305555555555558</v>
      </c>
      <c r="M39" s="70">
        <v>0.68269999999999997</v>
      </c>
    </row>
    <row r="40" spans="2:13" x14ac:dyDescent="0.25">
      <c r="B40" s="12">
        <v>45131</v>
      </c>
      <c r="C40" s="18">
        <v>266.44000199999999</v>
      </c>
      <c r="D40" s="114">
        <f t="shared" si="0"/>
        <v>2.4690459470790849E-2</v>
      </c>
      <c r="H40" s="87">
        <v>2</v>
      </c>
      <c r="I40" s="69">
        <f>$I$19+($H40*$I$23)</f>
        <v>0.16408968300085974</v>
      </c>
      <c r="J40" s="69">
        <f>$I$19-($H40*$I$23)</f>
        <v>-0.14505039220384397</v>
      </c>
      <c r="K40" s="67">
        <f>COUNTIFS(D:D,"&lt;"&amp;I40,D:D,"&gt;"&amp;J40)</f>
        <v>683</v>
      </c>
      <c r="L40" s="69">
        <f>K40/$I$31</f>
        <v>0.94861111111111107</v>
      </c>
      <c r="M40" s="70">
        <v>0.95450000000000002</v>
      </c>
    </row>
    <row r="41" spans="2:13" x14ac:dyDescent="0.25">
      <c r="B41" s="12">
        <v>45124</v>
      </c>
      <c r="C41" s="18">
        <v>260.01998900000001</v>
      </c>
      <c r="D41" s="114">
        <f t="shared" si="0"/>
        <v>-7.5911634161780484E-2</v>
      </c>
      <c r="H41" s="87">
        <v>3</v>
      </c>
      <c r="I41" s="69">
        <f>$I$19+($H41*$I$23)</f>
        <v>0.24137470180203563</v>
      </c>
      <c r="J41" s="69">
        <f>$I$19-($H41*$I$23)</f>
        <v>-0.22233541100501991</v>
      </c>
      <c r="K41" s="67">
        <f>COUNTIFS(D:D,"&lt;"&amp;I41,D:D,"&gt;"&amp;J41)</f>
        <v>709</v>
      </c>
      <c r="L41" s="69">
        <f>K41/$I$31</f>
        <v>0.98472222222222228</v>
      </c>
      <c r="M41" s="88">
        <v>0.99729999999999996</v>
      </c>
    </row>
    <row r="42" spans="2:13" ht="15.75" thickBot="1" x14ac:dyDescent="0.3">
      <c r="B42" s="12">
        <v>45117</v>
      </c>
      <c r="C42" s="18">
        <v>281.38000499999998</v>
      </c>
      <c r="D42" s="114">
        <f t="shared" si="0"/>
        <v>2.5325263918947627E-2</v>
      </c>
      <c r="H42" s="65"/>
      <c r="M42" s="88"/>
    </row>
    <row r="43" spans="2:13" ht="15.75" thickBot="1" x14ac:dyDescent="0.3">
      <c r="B43" s="12">
        <v>45110</v>
      </c>
      <c r="C43" s="18">
        <v>274.42999300000002</v>
      </c>
      <c r="D43" s="114">
        <f t="shared" si="0"/>
        <v>4.83630841272642E-2</v>
      </c>
      <c r="H43" s="159" t="s">
        <v>125</v>
      </c>
      <c r="I43" s="160"/>
      <c r="J43" s="160"/>
      <c r="K43" s="160"/>
      <c r="L43" s="160"/>
      <c r="M43" s="161"/>
    </row>
    <row r="44" spans="2:13" x14ac:dyDescent="0.25">
      <c r="B44" s="12">
        <v>45103</v>
      </c>
      <c r="C44" s="18">
        <v>261.76998900000001</v>
      </c>
      <c r="D44" s="114">
        <f t="shared" si="0"/>
        <v>2.014802369100499E-2</v>
      </c>
      <c r="H44" s="89">
        <v>0.01</v>
      </c>
      <c r="I44" s="90">
        <f t="shared" ref="I44:I58" si="7">_xlfn.PERCENTILE.INC(D:D,H44)</f>
        <v>-0.15413990097758198</v>
      </c>
      <c r="J44" s="91">
        <v>0.2</v>
      </c>
      <c r="K44" s="90">
        <f t="shared" ref="K44:K56" si="8">_xlfn.PERCENTILE.INC(D:D,J44)</f>
        <v>-5.0094583100830183E-2</v>
      </c>
      <c r="L44" s="91">
        <v>0.85</v>
      </c>
      <c r="M44" s="92">
        <f t="shared" ref="M44:M58" si="9">_xlfn.PERCENTILE.INC(D:D,L44)</f>
        <v>7.4114110142638925E-2</v>
      </c>
    </row>
    <row r="45" spans="2:13" x14ac:dyDescent="0.25">
      <c r="B45" s="12">
        <v>45096</v>
      </c>
      <c r="C45" s="18">
        <v>256.60000600000001</v>
      </c>
      <c r="D45" s="114">
        <f t="shared" si="0"/>
        <v>-1.5122449005519067E-2</v>
      </c>
      <c r="H45" s="93">
        <v>0.02</v>
      </c>
      <c r="I45" s="94">
        <f t="shared" si="7"/>
        <v>-0.14019996574509844</v>
      </c>
      <c r="J45" s="95">
        <v>0.25</v>
      </c>
      <c r="K45" s="94">
        <f t="shared" si="8"/>
        <v>-3.9838995203108046E-2</v>
      </c>
      <c r="L45" s="95">
        <v>0.86</v>
      </c>
      <c r="M45" s="96">
        <f t="shared" si="9"/>
        <v>7.7951673482388309E-2</v>
      </c>
    </row>
    <row r="46" spans="2:13" x14ac:dyDescent="0.25">
      <c r="B46" s="12">
        <v>45089</v>
      </c>
      <c r="C46" s="18">
        <v>260.540009</v>
      </c>
      <c r="D46" s="114">
        <f t="shared" si="0"/>
        <v>6.6039342865122919E-2</v>
      </c>
      <c r="H46" s="93">
        <v>0.03</v>
      </c>
      <c r="I46" s="94">
        <f t="shared" si="7"/>
        <v>-0.13420670574972118</v>
      </c>
      <c r="J46" s="95">
        <v>0.3</v>
      </c>
      <c r="K46" s="94">
        <f t="shared" si="8"/>
        <v>-2.8513917201966901E-2</v>
      </c>
      <c r="L46" s="95">
        <v>0.87</v>
      </c>
      <c r="M46" s="96">
        <f t="shared" si="9"/>
        <v>8.0958349928299145E-2</v>
      </c>
    </row>
    <row r="47" spans="2:13" x14ac:dyDescent="0.25">
      <c r="B47" s="12">
        <v>45082</v>
      </c>
      <c r="C47" s="18">
        <v>244.39999399999999</v>
      </c>
      <c r="D47" s="114">
        <f t="shared" si="0"/>
        <v>0.14221616515298319</v>
      </c>
      <c r="H47" s="93">
        <v>0.04</v>
      </c>
      <c r="I47" s="94">
        <f t="shared" si="7"/>
        <v>-0.12135568836494418</v>
      </c>
      <c r="J47" s="95">
        <v>0.35</v>
      </c>
      <c r="K47" s="94">
        <f t="shared" si="8"/>
        <v>-1.7635204673648885E-2</v>
      </c>
      <c r="L47" s="95">
        <v>0.88</v>
      </c>
      <c r="M47" s="96">
        <f t="shared" si="9"/>
        <v>8.5169779798342171E-2</v>
      </c>
    </row>
    <row r="48" spans="2:13" x14ac:dyDescent="0.25">
      <c r="B48" s="12">
        <v>45075</v>
      </c>
      <c r="C48" s="18">
        <v>213.970001</v>
      </c>
      <c r="D48" s="114">
        <f t="shared" si="0"/>
        <v>0.10767719219006255</v>
      </c>
      <c r="H48" s="93">
        <v>0.05</v>
      </c>
      <c r="I48" s="94">
        <f t="shared" si="7"/>
        <v>-0.11207307218715311</v>
      </c>
      <c r="J48" s="95">
        <v>0.4</v>
      </c>
      <c r="K48" s="94">
        <f t="shared" si="8"/>
        <v>-9.0618479071033122E-3</v>
      </c>
      <c r="L48" s="95">
        <v>0.89</v>
      </c>
      <c r="M48" s="96">
        <f t="shared" si="9"/>
        <v>9.1437817209788136E-2</v>
      </c>
    </row>
    <row r="49" spans="2:13" x14ac:dyDescent="0.25">
      <c r="B49" s="12">
        <v>45068</v>
      </c>
      <c r="C49" s="18">
        <v>193.16999799999999</v>
      </c>
      <c r="D49" s="114">
        <f t="shared" si="0"/>
        <v>7.2332625026827024E-2</v>
      </c>
      <c r="H49" s="93">
        <v>0.06</v>
      </c>
      <c r="I49" s="94">
        <f t="shared" si="7"/>
        <v>-0.10765774722439697</v>
      </c>
      <c r="J49" s="95">
        <v>0.45</v>
      </c>
      <c r="K49" s="94">
        <f t="shared" si="8"/>
        <v>2.589050842653154E-4</v>
      </c>
      <c r="L49" s="95">
        <v>0.9</v>
      </c>
      <c r="M49" s="96">
        <f t="shared" si="9"/>
        <v>9.7116824524815418E-2</v>
      </c>
    </row>
    <row r="50" spans="2:13" x14ac:dyDescent="0.25">
      <c r="B50" s="12">
        <v>45061</v>
      </c>
      <c r="C50" s="18">
        <v>180.13999899999999</v>
      </c>
      <c r="D50" s="114">
        <f t="shared" si="0"/>
        <v>7.2389589769962681E-2</v>
      </c>
      <c r="H50" s="93">
        <v>7.0000000000000007E-2</v>
      </c>
      <c r="I50" s="94">
        <f t="shared" si="7"/>
        <v>-0.10087812077358373</v>
      </c>
      <c r="J50" s="95">
        <v>0.5</v>
      </c>
      <c r="K50" s="94">
        <f t="shared" si="8"/>
        <v>6.9031396452409188E-3</v>
      </c>
      <c r="L50" s="95">
        <v>0.91</v>
      </c>
      <c r="M50" s="96">
        <f t="shared" si="9"/>
        <v>0.10426439419743351</v>
      </c>
    </row>
    <row r="51" spans="2:13" x14ac:dyDescent="0.25">
      <c r="B51" s="12">
        <v>45054</v>
      </c>
      <c r="C51" s="18">
        <v>167.979996</v>
      </c>
      <c r="D51" s="114">
        <f t="shared" si="0"/>
        <v>-1.2230989206526988E-2</v>
      </c>
      <c r="H51" s="93">
        <v>0.08</v>
      </c>
      <c r="I51" s="94">
        <f t="shared" si="7"/>
        <v>-9.2236467134788322E-2</v>
      </c>
      <c r="J51" s="95">
        <v>0.55000000000000004</v>
      </c>
      <c r="K51" s="94">
        <f t="shared" si="8"/>
        <v>1.6743438574558994E-2</v>
      </c>
      <c r="L51" s="95">
        <v>0.92</v>
      </c>
      <c r="M51" s="96">
        <f t="shared" si="9"/>
        <v>0.10775002322988005</v>
      </c>
    </row>
    <row r="52" spans="2:13" x14ac:dyDescent="0.25">
      <c r="B52" s="12">
        <v>45047</v>
      </c>
      <c r="C52" s="18">
        <v>170.05999800000001</v>
      </c>
      <c r="D52" s="114">
        <f t="shared" si="0"/>
        <v>3.4994827277643914E-2</v>
      </c>
      <c r="H52" s="93">
        <v>0.09</v>
      </c>
      <c r="I52" s="94">
        <f t="shared" si="7"/>
        <v>-8.1431266959432591E-2</v>
      </c>
      <c r="J52" s="95">
        <v>0.6</v>
      </c>
      <c r="K52" s="94">
        <f t="shared" si="8"/>
        <v>2.5055329448176022E-2</v>
      </c>
      <c r="L52" s="95">
        <v>0.93</v>
      </c>
      <c r="M52" s="96">
        <f t="shared" si="9"/>
        <v>0.11780589564370736</v>
      </c>
    </row>
    <row r="53" spans="2:13" x14ac:dyDescent="0.25">
      <c r="B53" s="12">
        <v>45040</v>
      </c>
      <c r="C53" s="18">
        <v>164.30999800000001</v>
      </c>
      <c r="D53" s="114">
        <f t="shared" si="0"/>
        <v>-4.6644293110682522E-3</v>
      </c>
      <c r="H53" s="93">
        <v>0.1</v>
      </c>
      <c r="I53" s="94">
        <f t="shared" si="7"/>
        <v>-7.8681172480015077E-2</v>
      </c>
      <c r="J53" s="95">
        <v>0.65</v>
      </c>
      <c r="K53" s="94">
        <f t="shared" si="8"/>
        <v>3.4942795830958495E-2</v>
      </c>
      <c r="L53" s="95">
        <v>0.94</v>
      </c>
      <c r="M53" s="96">
        <f t="shared" si="9"/>
        <v>0.12426471371572145</v>
      </c>
    </row>
    <row r="54" spans="2:13" x14ac:dyDescent="0.25">
      <c r="B54" s="12">
        <v>45033</v>
      </c>
      <c r="C54" s="18">
        <v>165.08000200000001</v>
      </c>
      <c r="D54" s="114">
        <f t="shared" si="0"/>
        <v>-0.1076756648648648</v>
      </c>
      <c r="H54" s="93">
        <v>0.11</v>
      </c>
      <c r="I54" s="94">
        <f t="shared" si="7"/>
        <v>-7.5427507585254308E-2</v>
      </c>
      <c r="J54" s="95">
        <v>0.7</v>
      </c>
      <c r="K54" s="94">
        <f t="shared" si="8"/>
        <v>4.428429273513778E-2</v>
      </c>
      <c r="L54" s="95">
        <v>0.95</v>
      </c>
      <c r="M54" s="96">
        <f t="shared" si="9"/>
        <v>0.13414550743606304</v>
      </c>
    </row>
    <row r="55" spans="2:13" x14ac:dyDescent="0.25">
      <c r="B55" s="12">
        <v>45026</v>
      </c>
      <c r="C55" s="18">
        <v>185</v>
      </c>
      <c r="D55" s="114">
        <f t="shared" si="0"/>
        <v>-3.2420836835844735E-4</v>
      </c>
      <c r="H55" s="93">
        <v>0.12</v>
      </c>
      <c r="I55" s="94">
        <f t="shared" si="7"/>
        <v>-7.3941424366429434E-2</v>
      </c>
      <c r="J55" s="95">
        <v>0.75</v>
      </c>
      <c r="K55" s="94">
        <f t="shared" si="8"/>
        <v>5.3398602594740996E-2</v>
      </c>
      <c r="L55" s="95">
        <v>0.96</v>
      </c>
      <c r="M55" s="96">
        <f t="shared" si="9"/>
        <v>0.14299797969339592</v>
      </c>
    </row>
    <row r="56" spans="2:13" x14ac:dyDescent="0.25">
      <c r="B56" s="12">
        <v>45019</v>
      </c>
      <c r="C56" s="18">
        <v>185.05999800000001</v>
      </c>
      <c r="D56" s="114">
        <f t="shared" si="0"/>
        <v>-0.10797266096689173</v>
      </c>
      <c r="H56" s="93">
        <v>0.13</v>
      </c>
      <c r="I56" s="94">
        <f t="shared" si="7"/>
        <v>-7.1152342131772586E-2</v>
      </c>
      <c r="J56" s="95">
        <v>0.8</v>
      </c>
      <c r="K56" s="94">
        <f t="shared" si="8"/>
        <v>6.204102272148386E-2</v>
      </c>
      <c r="L56" s="95">
        <v>0.97</v>
      </c>
      <c r="M56" s="96">
        <f t="shared" si="9"/>
        <v>0.16752609351687631</v>
      </c>
    </row>
    <row r="57" spans="2:13" x14ac:dyDescent="0.25">
      <c r="B57" s="12">
        <v>45012</v>
      </c>
      <c r="C57" s="18">
        <v>207.46000699999999</v>
      </c>
      <c r="D57" s="114">
        <f t="shared" si="0"/>
        <v>8.9543630281106568E-2</v>
      </c>
      <c r="H57" s="93">
        <v>0.14000000000000001</v>
      </c>
      <c r="I57" s="94">
        <f t="shared" si="7"/>
        <v>-6.6671785522942131E-2</v>
      </c>
      <c r="J57" s="95"/>
      <c r="K57" s="94"/>
      <c r="L57" s="95">
        <v>0.98</v>
      </c>
      <c r="M57" s="96">
        <f t="shared" si="9"/>
        <v>0.19307989612306103</v>
      </c>
    </row>
    <row r="58" spans="2:13" ht="15.75" thickBot="1" x14ac:dyDescent="0.3">
      <c r="B58" s="12">
        <v>45005</v>
      </c>
      <c r="C58" s="18">
        <v>190.41000399999999</v>
      </c>
      <c r="D58" s="114">
        <f t="shared" si="0"/>
        <v>5.7069886829792527E-2</v>
      </c>
      <c r="H58" s="97">
        <v>0.15</v>
      </c>
      <c r="I58" s="98">
        <f t="shared" si="7"/>
        <v>-6.341216718765029E-2</v>
      </c>
      <c r="J58" s="99"/>
      <c r="K58" s="78"/>
      <c r="L58" s="100">
        <v>0.99</v>
      </c>
      <c r="M58" s="101">
        <f t="shared" si="9"/>
        <v>0.24608360230044379</v>
      </c>
    </row>
    <row r="59" spans="2:13" ht="15.75" thickBot="1" x14ac:dyDescent="0.3">
      <c r="B59" s="12">
        <v>44998</v>
      </c>
      <c r="C59" s="18">
        <v>180.13000500000001</v>
      </c>
      <c r="D59" s="114">
        <f t="shared" si="0"/>
        <v>3.8572433826425057E-2</v>
      </c>
    </row>
    <row r="60" spans="2:13" x14ac:dyDescent="0.25">
      <c r="B60" s="12">
        <v>44991</v>
      </c>
      <c r="C60" s="18">
        <v>173.44000199999999</v>
      </c>
      <c r="D60" s="114">
        <f t="shared" si="0"/>
        <v>-0.12311032843810266</v>
      </c>
      <c r="H60" s="102" t="s">
        <v>126</v>
      </c>
      <c r="I60" s="103">
        <v>-0.1</v>
      </c>
    </row>
    <row r="61" spans="2:13" ht="15.75" thickBot="1" x14ac:dyDescent="0.3">
      <c r="B61" s="12">
        <v>44984</v>
      </c>
      <c r="C61" s="18">
        <v>197.78999300000001</v>
      </c>
      <c r="D61" s="114">
        <f t="shared" si="0"/>
        <v>4.6220437672175319E-3</v>
      </c>
      <c r="H61" s="104" t="s">
        <v>127</v>
      </c>
      <c r="I61" s="105">
        <v>-0.3</v>
      </c>
    </row>
    <row r="62" spans="2:13" ht="15.75" thickBot="1" x14ac:dyDescent="0.3">
      <c r="B62" s="12">
        <v>44977</v>
      </c>
      <c r="C62" s="18">
        <v>196.88000500000001</v>
      </c>
      <c r="D62" s="114">
        <f t="shared" si="0"/>
        <v>-5.4870112379339586E-2</v>
      </c>
      <c r="H62" s="106"/>
    </row>
    <row r="63" spans="2:13" x14ac:dyDescent="0.25">
      <c r="B63" s="12">
        <v>44970</v>
      </c>
      <c r="C63" s="18">
        <v>208.30999800000001</v>
      </c>
      <c r="D63" s="114">
        <f t="shared" si="0"/>
        <v>5.8001925227294082E-2</v>
      </c>
      <c r="H63" s="102" t="s">
        <v>128</v>
      </c>
      <c r="I63" s="107">
        <v>169.44</v>
      </c>
    </row>
    <row r="64" spans="2:13" x14ac:dyDescent="0.25">
      <c r="B64" s="12">
        <v>44963</v>
      </c>
      <c r="C64" s="18">
        <v>196.88999899999999</v>
      </c>
      <c r="D64" s="114">
        <f t="shared" si="0"/>
        <v>3.6372266267444164E-2</v>
      </c>
      <c r="H64" s="108" t="s">
        <v>129</v>
      </c>
      <c r="I64" s="109">
        <f>I63*(1-I60)</f>
        <v>186.38400000000001</v>
      </c>
    </row>
    <row r="65" spans="2:9" ht="15.75" thickBot="1" x14ac:dyDescent="0.3">
      <c r="B65" s="12">
        <v>44956</v>
      </c>
      <c r="C65" s="18">
        <v>189.979996</v>
      </c>
      <c r="D65" s="114">
        <f t="shared" si="0"/>
        <v>6.7903330002360818E-2</v>
      </c>
      <c r="H65" s="104" t="s">
        <v>130</v>
      </c>
      <c r="I65" s="110">
        <f>I63*(1+I61)</f>
        <v>118.60799999999999</v>
      </c>
    </row>
    <row r="66" spans="2:9" x14ac:dyDescent="0.25">
      <c r="B66" s="12">
        <v>44949</v>
      </c>
      <c r="C66" s="18">
        <v>177.89999399999999</v>
      </c>
      <c r="D66" s="114">
        <f t="shared" si="0"/>
        <v>0.33338327587143279</v>
      </c>
    </row>
    <row r="67" spans="2:9" x14ac:dyDescent="0.25">
      <c r="B67" s="12">
        <v>44942</v>
      </c>
      <c r="C67" s="18">
        <v>133.41999799999999</v>
      </c>
      <c r="D67" s="114">
        <f t="shared" ref="D67:D130" si="10">C67/C68-1</f>
        <v>9.0032645587701854E-2</v>
      </c>
    </row>
    <row r="68" spans="2:9" x14ac:dyDescent="0.25">
      <c r="B68" s="12">
        <v>44935</v>
      </c>
      <c r="C68" s="18">
        <v>122.400002</v>
      </c>
      <c r="D68" s="114">
        <f t="shared" si="10"/>
        <v>8.2611039848063728E-2</v>
      </c>
    </row>
    <row r="69" spans="2:9" x14ac:dyDescent="0.25">
      <c r="B69" s="12">
        <v>44928</v>
      </c>
      <c r="C69" s="18">
        <v>113.05999799999999</v>
      </c>
      <c r="D69" s="114">
        <f t="shared" si="10"/>
        <v>-8.2156210423770193E-2</v>
      </c>
    </row>
    <row r="70" spans="2:9" x14ac:dyDescent="0.25">
      <c r="B70" s="12">
        <v>44921</v>
      </c>
      <c r="C70" s="18">
        <v>123.18</v>
      </c>
      <c r="D70" s="114">
        <f t="shared" si="10"/>
        <v>2.4358911500477198E-4</v>
      </c>
    </row>
    <row r="71" spans="2:9" x14ac:dyDescent="0.25">
      <c r="B71" s="12">
        <v>44914</v>
      </c>
      <c r="C71" s="18">
        <v>123.150002</v>
      </c>
      <c r="D71" s="114">
        <f t="shared" si="10"/>
        <v>-0.18025690422037954</v>
      </c>
    </row>
    <row r="72" spans="2:9" x14ac:dyDescent="0.25">
      <c r="B72" s="12">
        <v>44907</v>
      </c>
      <c r="C72" s="18">
        <v>150.229996</v>
      </c>
      <c r="D72" s="114">
        <f t="shared" si="10"/>
        <v>-0.16096066192191016</v>
      </c>
    </row>
    <row r="73" spans="2:9" x14ac:dyDescent="0.25">
      <c r="B73" s="12">
        <v>44900</v>
      </c>
      <c r="C73" s="18">
        <v>179.050003</v>
      </c>
      <c r="D73" s="114">
        <f t="shared" si="10"/>
        <v>-8.1135163290900314E-2</v>
      </c>
    </row>
    <row r="74" spans="2:9" x14ac:dyDescent="0.25">
      <c r="B74" s="12">
        <v>44893</v>
      </c>
      <c r="C74" s="18">
        <v>194.86000100000001</v>
      </c>
      <c r="D74" s="114">
        <f t="shared" si="10"/>
        <v>6.5623974266521001E-2</v>
      </c>
    </row>
    <row r="75" spans="2:9" x14ac:dyDescent="0.25">
      <c r="B75" s="12">
        <v>44886</v>
      </c>
      <c r="C75" s="18">
        <v>182.86000100000001</v>
      </c>
      <c r="D75" s="114">
        <f t="shared" si="10"/>
        <v>1.4817686721597445E-2</v>
      </c>
    </row>
    <row r="76" spans="2:9" x14ac:dyDescent="0.25">
      <c r="B76" s="12">
        <v>44879</v>
      </c>
      <c r="C76" s="18">
        <v>180.19000199999999</v>
      </c>
      <c r="D76" s="114">
        <f t="shared" si="10"/>
        <v>-8.0522523444800154E-2</v>
      </c>
    </row>
    <row r="77" spans="2:9" x14ac:dyDescent="0.25">
      <c r="B77" s="12">
        <v>44872</v>
      </c>
      <c r="C77" s="18">
        <v>195.970001</v>
      </c>
      <c r="D77" s="114">
        <f t="shared" si="10"/>
        <v>-5.5429700412446659E-2</v>
      </c>
    </row>
    <row r="78" spans="2:9" x14ac:dyDescent="0.25">
      <c r="B78" s="12">
        <v>44865</v>
      </c>
      <c r="C78" s="18">
        <v>207.470001</v>
      </c>
      <c r="D78" s="114">
        <f t="shared" si="10"/>
        <v>-9.2114487272632828E-2</v>
      </c>
    </row>
    <row r="79" spans="2:9" x14ac:dyDescent="0.25">
      <c r="B79" s="12">
        <v>44858</v>
      </c>
      <c r="C79" s="18">
        <v>228.520004</v>
      </c>
      <c r="D79" s="114">
        <f t="shared" si="10"/>
        <v>6.5659400618733432E-2</v>
      </c>
    </row>
    <row r="80" spans="2:9" x14ac:dyDescent="0.25">
      <c r="B80" s="12">
        <v>44851</v>
      </c>
      <c r="C80" s="18">
        <v>214.44000199999999</v>
      </c>
      <c r="D80" s="114">
        <f t="shared" si="10"/>
        <v>4.6099793987516513E-2</v>
      </c>
    </row>
    <row r="81" spans="2:4" x14ac:dyDescent="0.25">
      <c r="B81" s="12">
        <v>44844</v>
      </c>
      <c r="C81" s="18">
        <v>204.990005</v>
      </c>
      <c r="D81" s="114">
        <f t="shared" si="10"/>
        <v>-8.1050797653850482E-2</v>
      </c>
    </row>
    <row r="82" spans="2:4" x14ac:dyDescent="0.25">
      <c r="B82" s="12">
        <v>44837</v>
      </c>
      <c r="C82" s="18">
        <v>223.070007</v>
      </c>
      <c r="D82" s="114">
        <f t="shared" si="10"/>
        <v>-0.15901976625824688</v>
      </c>
    </row>
    <row r="83" spans="2:4" x14ac:dyDescent="0.25">
      <c r="B83" s="12">
        <v>44830</v>
      </c>
      <c r="C83" s="18">
        <v>265.25</v>
      </c>
      <c r="D83" s="114">
        <f t="shared" si="10"/>
        <v>-3.6610567231821434E-2</v>
      </c>
    </row>
    <row r="84" spans="2:4" x14ac:dyDescent="0.25">
      <c r="B84" s="12">
        <v>44823</v>
      </c>
      <c r="C84" s="18">
        <v>275.32998700000002</v>
      </c>
      <c r="D84" s="114">
        <f t="shared" si="10"/>
        <v>-9.2368611985456761E-2</v>
      </c>
    </row>
    <row r="85" spans="2:4" x14ac:dyDescent="0.25">
      <c r="B85" s="12">
        <v>44816</v>
      </c>
      <c r="C85" s="18">
        <v>303.35000600000001</v>
      </c>
      <c r="D85" s="114">
        <f t="shared" si="10"/>
        <v>1.2246439821559818E-2</v>
      </c>
    </row>
    <row r="86" spans="2:4" x14ac:dyDescent="0.25">
      <c r="B86" s="12">
        <v>44809</v>
      </c>
      <c r="C86" s="18">
        <v>299.67999300000002</v>
      </c>
      <c r="D86" s="114">
        <f t="shared" si="10"/>
        <v>0.10906333215487951</v>
      </c>
    </row>
    <row r="87" spans="2:4" x14ac:dyDescent="0.25">
      <c r="B87" s="12">
        <v>44802</v>
      </c>
      <c r="C87" s="18">
        <v>270.209991</v>
      </c>
      <c r="D87" s="114">
        <f t="shared" si="10"/>
        <v>-6.2063956570015621E-2</v>
      </c>
    </row>
    <row r="88" spans="2:4" x14ac:dyDescent="0.25">
      <c r="B88" s="12">
        <v>44795</v>
      </c>
      <c r="C88" s="18">
        <v>288.08999599999999</v>
      </c>
      <c r="D88" s="114">
        <f t="shared" si="10"/>
        <v>-2.8910090927104393E-2</v>
      </c>
    </row>
    <row r="89" spans="2:4" x14ac:dyDescent="0.25">
      <c r="B89" s="12">
        <v>44788</v>
      </c>
      <c r="C89" s="18">
        <v>296.66665599999999</v>
      </c>
      <c r="D89" s="114">
        <f t="shared" si="10"/>
        <v>-1.1210022368463135E-2</v>
      </c>
    </row>
    <row r="90" spans="2:4" x14ac:dyDescent="0.25">
      <c r="B90" s="12">
        <v>44781</v>
      </c>
      <c r="C90" s="18">
        <v>300.02999899999998</v>
      </c>
      <c r="D90" s="114">
        <f t="shared" si="10"/>
        <v>4.1156211489638883E-2</v>
      </c>
    </row>
    <row r="91" spans="2:4" x14ac:dyDescent="0.25">
      <c r="B91" s="12">
        <v>44774</v>
      </c>
      <c r="C91" s="18">
        <v>288.17001299999998</v>
      </c>
      <c r="D91" s="114">
        <f t="shared" si="10"/>
        <v>-3.0220364063005878E-2</v>
      </c>
    </row>
    <row r="92" spans="2:4" x14ac:dyDescent="0.25">
      <c r="B92" s="12">
        <v>44767</v>
      </c>
      <c r="C92" s="18">
        <v>297.14999399999999</v>
      </c>
      <c r="D92" s="114">
        <f t="shared" si="10"/>
        <v>9.1486705825725601E-2</v>
      </c>
    </row>
    <row r="93" spans="2:4" x14ac:dyDescent="0.25">
      <c r="B93" s="12">
        <v>44760</v>
      </c>
      <c r="C93" s="18">
        <v>272.24334700000003</v>
      </c>
      <c r="D93" s="114">
        <f t="shared" si="10"/>
        <v>0.13403227335193657</v>
      </c>
    </row>
    <row r="94" spans="2:4" x14ac:dyDescent="0.25">
      <c r="B94" s="12">
        <v>44753</v>
      </c>
      <c r="C94" s="18">
        <v>240.066666</v>
      </c>
      <c r="D94" s="114">
        <f t="shared" si="10"/>
        <v>-4.2656435229430856E-2</v>
      </c>
    </row>
    <row r="95" spans="2:4" x14ac:dyDescent="0.25">
      <c r="B95" s="12">
        <v>44746</v>
      </c>
      <c r="C95" s="18">
        <v>250.76333600000001</v>
      </c>
      <c r="D95" s="114">
        <f t="shared" si="10"/>
        <v>0.1034042728300002</v>
      </c>
    </row>
    <row r="96" spans="2:4" x14ac:dyDescent="0.25">
      <c r="B96" s="12">
        <v>44739</v>
      </c>
      <c r="C96" s="18">
        <v>227.26333600000001</v>
      </c>
      <c r="D96" s="114">
        <f t="shared" si="10"/>
        <v>-7.5062387908769068E-2</v>
      </c>
    </row>
    <row r="97" spans="2:4" x14ac:dyDescent="0.25">
      <c r="B97" s="12">
        <v>44732</v>
      </c>
      <c r="C97" s="18">
        <v>245.70666499999999</v>
      </c>
      <c r="D97" s="114">
        <f t="shared" si="10"/>
        <v>0.13354249246960892</v>
      </c>
    </row>
    <row r="98" spans="2:4" x14ac:dyDescent="0.25">
      <c r="B98" s="12">
        <v>44725</v>
      </c>
      <c r="C98" s="18">
        <v>216.759995</v>
      </c>
      <c r="D98" s="114">
        <f t="shared" si="10"/>
        <v>-6.6614999209662851E-2</v>
      </c>
    </row>
    <row r="99" spans="2:4" x14ac:dyDescent="0.25">
      <c r="B99" s="12">
        <v>44718</v>
      </c>
      <c r="C99" s="18">
        <v>232.229996</v>
      </c>
      <c r="D99" s="114">
        <f t="shared" si="10"/>
        <v>-9.7505523520091675E-3</v>
      </c>
    </row>
    <row r="100" spans="2:4" x14ac:dyDescent="0.25">
      <c r="B100" s="12">
        <v>44711</v>
      </c>
      <c r="C100" s="18">
        <v>234.51666299999999</v>
      </c>
      <c r="D100" s="114">
        <f t="shared" si="10"/>
        <v>-7.3825455089537528E-2</v>
      </c>
    </row>
    <row r="101" spans="2:4" x14ac:dyDescent="0.25">
      <c r="B101" s="12">
        <v>44704</v>
      </c>
      <c r="C101" s="18">
        <v>253.21000699999999</v>
      </c>
      <c r="D101" s="114">
        <f t="shared" si="10"/>
        <v>0.14419341874116465</v>
      </c>
    </row>
    <row r="102" spans="2:4" x14ac:dyDescent="0.25">
      <c r="B102" s="12">
        <v>44697</v>
      </c>
      <c r="C102" s="18">
        <v>221.300003</v>
      </c>
      <c r="D102" s="114">
        <f t="shared" si="10"/>
        <v>-0.13733285049441712</v>
      </c>
    </row>
    <row r="103" spans="2:4" x14ac:dyDescent="0.25">
      <c r="B103" s="12">
        <v>44690</v>
      </c>
      <c r="C103" s="18">
        <v>256.52999899999998</v>
      </c>
      <c r="D103" s="114">
        <f t="shared" si="10"/>
        <v>-0.1109686027781086</v>
      </c>
    </row>
    <row r="104" spans="2:4" x14ac:dyDescent="0.25">
      <c r="B104" s="12">
        <v>44683</v>
      </c>
      <c r="C104" s="18">
        <v>288.54998799999998</v>
      </c>
      <c r="D104" s="114">
        <f t="shared" si="10"/>
        <v>-5.8684529940581376E-3</v>
      </c>
    </row>
    <row r="105" spans="2:4" x14ac:dyDescent="0.25">
      <c r="B105" s="12">
        <v>44676</v>
      </c>
      <c r="C105" s="18">
        <v>290.25332600000002</v>
      </c>
      <c r="D105" s="114">
        <f t="shared" si="10"/>
        <v>-0.13361525542984698</v>
      </c>
    </row>
    <row r="106" spans="2:4" x14ac:dyDescent="0.25">
      <c r="B106" s="12">
        <v>44669</v>
      </c>
      <c r="C106" s="18">
        <v>335.01666299999999</v>
      </c>
      <c r="D106" s="114">
        <f t="shared" si="10"/>
        <v>2.0355285633127718E-2</v>
      </c>
    </row>
    <row r="107" spans="2:4" x14ac:dyDescent="0.25">
      <c r="B107" s="12">
        <v>44662</v>
      </c>
      <c r="C107" s="18">
        <v>328.33334400000001</v>
      </c>
      <c r="D107" s="114">
        <f t="shared" si="10"/>
        <v>-3.9483496221178527E-2</v>
      </c>
    </row>
    <row r="108" spans="2:4" x14ac:dyDescent="0.25">
      <c r="B108" s="12">
        <v>44655</v>
      </c>
      <c r="C108" s="18">
        <v>341.82998700000002</v>
      </c>
      <c r="D108" s="114">
        <f t="shared" si="10"/>
        <v>-5.4490670357897342E-2</v>
      </c>
    </row>
    <row r="109" spans="2:4" x14ac:dyDescent="0.25">
      <c r="B109" s="12">
        <v>44648</v>
      </c>
      <c r="C109" s="18">
        <v>361.52999899999998</v>
      </c>
      <c r="D109" s="114">
        <f t="shared" si="10"/>
        <v>7.3171436814719826E-2</v>
      </c>
    </row>
    <row r="110" spans="2:4" x14ac:dyDescent="0.25">
      <c r="B110" s="12">
        <v>44641</v>
      </c>
      <c r="C110" s="18">
        <v>336.88000499999998</v>
      </c>
      <c r="D110" s="114">
        <f t="shared" si="10"/>
        <v>0.11624828413857102</v>
      </c>
    </row>
    <row r="111" spans="2:4" x14ac:dyDescent="0.25">
      <c r="B111" s="12">
        <v>44634</v>
      </c>
      <c r="C111" s="18">
        <v>301.79666099999997</v>
      </c>
      <c r="D111" s="114">
        <f t="shared" si="10"/>
        <v>0.13835415229964276</v>
      </c>
    </row>
    <row r="112" spans="2:4" x14ac:dyDescent="0.25">
      <c r="B112" s="12">
        <v>44627</v>
      </c>
      <c r="C112" s="18">
        <v>265.116669</v>
      </c>
      <c r="D112" s="114">
        <f t="shared" si="10"/>
        <v>-5.122329155267169E-2</v>
      </c>
    </row>
    <row r="113" spans="2:4" x14ac:dyDescent="0.25">
      <c r="B113" s="12">
        <v>44620</v>
      </c>
      <c r="C113" s="18">
        <v>279.42999300000002</v>
      </c>
      <c r="D113" s="114">
        <f t="shared" si="10"/>
        <v>3.509203227117963E-2</v>
      </c>
    </row>
    <row r="114" spans="2:4" x14ac:dyDescent="0.25">
      <c r="B114" s="12">
        <v>44613</v>
      </c>
      <c r="C114" s="18">
        <v>269.95666499999999</v>
      </c>
      <c r="D114" s="114">
        <f t="shared" si="10"/>
        <v>-5.4972130435172906E-2</v>
      </c>
    </row>
    <row r="115" spans="2:4" x14ac:dyDescent="0.25">
      <c r="B115" s="12">
        <v>44606</v>
      </c>
      <c r="C115" s="18">
        <v>285.66000400000001</v>
      </c>
      <c r="D115" s="114">
        <f t="shared" si="10"/>
        <v>-3.5115768748492648E-3</v>
      </c>
    </row>
    <row r="116" spans="2:4" x14ac:dyDescent="0.25">
      <c r="B116" s="12">
        <v>44599</v>
      </c>
      <c r="C116" s="18">
        <v>286.66665599999999</v>
      </c>
      <c r="D116" s="114">
        <f t="shared" si="10"/>
        <v>-6.8578680624279964E-2</v>
      </c>
    </row>
    <row r="117" spans="2:4" x14ac:dyDescent="0.25">
      <c r="B117" s="12">
        <v>44592</v>
      </c>
      <c r="C117" s="18">
        <v>307.773346</v>
      </c>
      <c r="D117" s="114">
        <f t="shared" si="10"/>
        <v>9.0943498981976179E-2</v>
      </c>
    </row>
    <row r="118" spans="2:4" x14ac:dyDescent="0.25">
      <c r="B118" s="12">
        <v>44585</v>
      </c>
      <c r="C118" s="18">
        <v>282.116669</v>
      </c>
      <c r="D118" s="114">
        <f t="shared" si="10"/>
        <v>-0.10334779820260043</v>
      </c>
    </row>
    <row r="119" spans="2:4" x14ac:dyDescent="0.25">
      <c r="B119" s="12">
        <v>44578</v>
      </c>
      <c r="C119" s="18">
        <v>314.633331</v>
      </c>
      <c r="D119" s="114">
        <f t="shared" si="10"/>
        <v>-0.10071359220158338</v>
      </c>
    </row>
    <row r="120" spans="2:4" x14ac:dyDescent="0.25">
      <c r="B120" s="12">
        <v>44571</v>
      </c>
      <c r="C120" s="18">
        <v>349.86999500000002</v>
      </c>
      <c r="D120" s="114">
        <f t="shared" si="10"/>
        <v>2.2055351266687895E-2</v>
      </c>
    </row>
    <row r="121" spans="2:4" x14ac:dyDescent="0.25">
      <c r="B121" s="12">
        <v>44564</v>
      </c>
      <c r="C121" s="18">
        <v>342.32000699999998</v>
      </c>
      <c r="D121" s="114">
        <f t="shared" si="10"/>
        <v>-2.8217801390512776E-2</v>
      </c>
    </row>
    <row r="122" spans="2:4" x14ac:dyDescent="0.25">
      <c r="B122" s="12">
        <v>44557</v>
      </c>
      <c r="C122" s="18">
        <v>352.26001000000002</v>
      </c>
      <c r="D122" s="114">
        <f t="shared" si="10"/>
        <v>-9.5781989751660968E-3</v>
      </c>
    </row>
    <row r="123" spans="2:4" x14ac:dyDescent="0.25">
      <c r="B123" s="12">
        <v>44550</v>
      </c>
      <c r="C123" s="18">
        <v>355.66665599999999</v>
      </c>
      <c r="D123" s="114">
        <f t="shared" si="10"/>
        <v>0.14415003089896827</v>
      </c>
    </row>
    <row r="124" spans="2:4" x14ac:dyDescent="0.25">
      <c r="B124" s="12">
        <v>44543</v>
      </c>
      <c r="C124" s="18">
        <v>310.85665899999998</v>
      </c>
      <c r="D124" s="114">
        <f t="shared" si="10"/>
        <v>-8.3045780860571128E-2</v>
      </c>
    </row>
    <row r="125" spans="2:4" x14ac:dyDescent="0.25">
      <c r="B125" s="12">
        <v>44536</v>
      </c>
      <c r="C125" s="18">
        <v>339.01001000000002</v>
      </c>
      <c r="D125" s="114">
        <f t="shared" si="10"/>
        <v>2.0296442219382982E-3</v>
      </c>
    </row>
    <row r="126" spans="2:4" x14ac:dyDescent="0.25">
      <c r="B126" s="12">
        <v>44529</v>
      </c>
      <c r="C126" s="18">
        <v>338.32333399999999</v>
      </c>
      <c r="D126" s="114">
        <f t="shared" si="10"/>
        <v>-6.188076772345974E-2</v>
      </c>
    </row>
    <row r="127" spans="2:4" x14ac:dyDescent="0.25">
      <c r="B127" s="12">
        <v>44522</v>
      </c>
      <c r="C127" s="18">
        <v>360.64001500000001</v>
      </c>
      <c r="D127" s="114">
        <f t="shared" si="10"/>
        <v>-4.8493416002922229E-2</v>
      </c>
    </row>
    <row r="128" spans="2:4" x14ac:dyDescent="0.25">
      <c r="B128" s="12">
        <v>44515</v>
      </c>
      <c r="C128" s="18">
        <v>379.01998900000001</v>
      </c>
      <c r="D128" s="114">
        <f t="shared" si="10"/>
        <v>0.10028834801398623</v>
      </c>
    </row>
    <row r="129" spans="2:4" x14ac:dyDescent="0.25">
      <c r="B129" s="12">
        <v>44508</v>
      </c>
      <c r="C129" s="18">
        <v>344.47332799999998</v>
      </c>
      <c r="D129" s="114">
        <f t="shared" si="10"/>
        <v>-0.15438309615988965</v>
      </c>
    </row>
    <row r="130" spans="2:4" x14ac:dyDescent="0.25">
      <c r="B130" s="12">
        <v>44501</v>
      </c>
      <c r="C130" s="18">
        <v>407.36334199999999</v>
      </c>
      <c r="D130" s="114">
        <f t="shared" si="10"/>
        <v>9.7028717141006249E-2</v>
      </c>
    </row>
    <row r="131" spans="2:4" x14ac:dyDescent="0.25">
      <c r="B131" s="12">
        <v>44494</v>
      </c>
      <c r="C131" s="18">
        <v>371.33334400000001</v>
      </c>
      <c r="D131" s="114">
        <f t="shared" ref="D131:D194" si="11">C131/C132-1</f>
        <v>0.22460654134975888</v>
      </c>
    </row>
    <row r="132" spans="2:4" x14ac:dyDescent="0.25">
      <c r="B132" s="12">
        <v>44487</v>
      </c>
      <c r="C132" s="18">
        <v>303.226654</v>
      </c>
      <c r="D132" s="114">
        <f t="shared" si="11"/>
        <v>7.9059973699869168E-2</v>
      </c>
    </row>
    <row r="133" spans="2:4" x14ac:dyDescent="0.25">
      <c r="B133" s="12">
        <v>44480</v>
      </c>
      <c r="C133" s="18">
        <v>281.01001000000002</v>
      </c>
      <c r="D133" s="114">
        <f t="shared" si="11"/>
        <v>7.3253729336968609E-2</v>
      </c>
    </row>
    <row r="134" spans="2:4" x14ac:dyDescent="0.25">
      <c r="B134" s="12">
        <v>44473</v>
      </c>
      <c r="C134" s="18">
        <v>261.82998700000002</v>
      </c>
      <c r="D134" s="114">
        <f t="shared" si="11"/>
        <v>1.3247761395886792E-2</v>
      </c>
    </row>
    <row r="135" spans="2:4" x14ac:dyDescent="0.25">
      <c r="B135" s="12">
        <v>44466</v>
      </c>
      <c r="C135" s="18">
        <v>258.406677</v>
      </c>
      <c r="D135" s="114">
        <f t="shared" si="11"/>
        <v>1.0718320018627825E-3</v>
      </c>
    </row>
    <row r="136" spans="2:4" x14ac:dyDescent="0.25">
      <c r="B136" s="12">
        <v>44459</v>
      </c>
      <c r="C136" s="18">
        <v>258.13000499999998</v>
      </c>
      <c r="D136" s="114">
        <f t="shared" si="11"/>
        <v>1.961846133087275E-2</v>
      </c>
    </row>
    <row r="137" spans="2:4" x14ac:dyDescent="0.25">
      <c r="B137" s="12">
        <v>44452</v>
      </c>
      <c r="C137" s="18">
        <v>253.16333</v>
      </c>
      <c r="D137" s="114">
        <f t="shared" si="11"/>
        <v>3.1537302034924553E-2</v>
      </c>
    </row>
    <row r="138" spans="2:4" x14ac:dyDescent="0.25">
      <c r="B138" s="12">
        <v>44445</v>
      </c>
      <c r="C138" s="18">
        <v>245.42334</v>
      </c>
      <c r="D138" s="114">
        <f t="shared" si="11"/>
        <v>3.6806671834517246E-3</v>
      </c>
    </row>
    <row r="139" spans="2:4" x14ac:dyDescent="0.25">
      <c r="B139" s="12">
        <v>44438</v>
      </c>
      <c r="C139" s="18">
        <v>244.52333100000001</v>
      </c>
      <c r="D139" s="114">
        <f t="shared" si="11"/>
        <v>3.0410691657294375E-2</v>
      </c>
    </row>
    <row r="140" spans="2:4" x14ac:dyDescent="0.25">
      <c r="B140" s="12">
        <v>44431</v>
      </c>
      <c r="C140" s="18">
        <v>237.30667099999999</v>
      </c>
      <c r="D140" s="114">
        <f t="shared" si="11"/>
        <v>4.6541081386387351E-2</v>
      </c>
    </row>
    <row r="141" spans="2:4" x14ac:dyDescent="0.25">
      <c r="B141" s="12">
        <v>44424</v>
      </c>
      <c r="C141" s="18">
        <v>226.75332599999999</v>
      </c>
      <c r="D141" s="114">
        <f t="shared" si="11"/>
        <v>-5.1466227436924417E-2</v>
      </c>
    </row>
    <row r="142" spans="2:4" x14ac:dyDescent="0.25">
      <c r="B142" s="12">
        <v>44417</v>
      </c>
      <c r="C142" s="18">
        <v>239.05667099999999</v>
      </c>
      <c r="D142" s="114">
        <f t="shared" si="11"/>
        <v>2.5847507485409427E-2</v>
      </c>
    </row>
    <row r="143" spans="2:4" x14ac:dyDescent="0.25">
      <c r="B143" s="12">
        <v>44410</v>
      </c>
      <c r="C143" s="18">
        <v>233.03334000000001</v>
      </c>
      <c r="D143" s="114">
        <f t="shared" si="11"/>
        <v>1.7316679328628348E-2</v>
      </c>
    </row>
    <row r="144" spans="2:4" x14ac:dyDescent="0.25">
      <c r="B144" s="12">
        <v>44403</v>
      </c>
      <c r="C144" s="18">
        <v>229.066666</v>
      </c>
      <c r="D144" s="114">
        <f t="shared" si="11"/>
        <v>6.8109011112734041E-2</v>
      </c>
    </row>
    <row r="145" spans="2:4" x14ac:dyDescent="0.25">
      <c r="B145" s="12">
        <v>44396</v>
      </c>
      <c r="C145" s="18">
        <v>214.46000699999999</v>
      </c>
      <c r="D145" s="114">
        <f t="shared" si="11"/>
        <v>-1.303893049643956E-3</v>
      </c>
    </row>
    <row r="146" spans="2:4" x14ac:dyDescent="0.25">
      <c r="B146" s="12">
        <v>44389</v>
      </c>
      <c r="C146" s="18">
        <v>214.740005</v>
      </c>
      <c r="D146" s="114">
        <f t="shared" si="11"/>
        <v>-1.9377419570512866E-2</v>
      </c>
    </row>
    <row r="147" spans="2:4" x14ac:dyDescent="0.25">
      <c r="B147" s="12">
        <v>44382</v>
      </c>
      <c r="C147" s="18">
        <v>218.98333700000001</v>
      </c>
      <c r="D147" s="114">
        <f t="shared" si="11"/>
        <v>-3.2331709690697652E-2</v>
      </c>
    </row>
    <row r="148" spans="2:4" x14ac:dyDescent="0.25">
      <c r="B148" s="12">
        <v>44375</v>
      </c>
      <c r="C148" s="18">
        <v>226.300003</v>
      </c>
      <c r="D148" s="114">
        <f t="shared" si="11"/>
        <v>1.0463354595854568E-2</v>
      </c>
    </row>
    <row r="149" spans="2:4" x14ac:dyDescent="0.25">
      <c r="B149" s="12">
        <v>44368</v>
      </c>
      <c r="C149" s="18">
        <v>223.95666499999999</v>
      </c>
      <c r="D149" s="114">
        <f t="shared" si="11"/>
        <v>7.790663083396776E-2</v>
      </c>
    </row>
    <row r="150" spans="2:4" x14ac:dyDescent="0.25">
      <c r="B150" s="12">
        <v>44361</v>
      </c>
      <c r="C150" s="18">
        <v>207.770004</v>
      </c>
      <c r="D150" s="114">
        <f t="shared" si="11"/>
        <v>2.2004016091538237E-2</v>
      </c>
    </row>
    <row r="151" spans="2:4" x14ac:dyDescent="0.25">
      <c r="B151" s="12">
        <v>44354</v>
      </c>
      <c r="C151" s="18">
        <v>203.296661</v>
      </c>
      <c r="D151" s="114">
        <f t="shared" si="11"/>
        <v>1.8095285808879868E-2</v>
      </c>
    </row>
    <row r="152" spans="2:4" x14ac:dyDescent="0.25">
      <c r="B152" s="12">
        <v>44347</v>
      </c>
      <c r="C152" s="18">
        <v>199.683334</v>
      </c>
      <c r="D152" s="114">
        <f t="shared" si="11"/>
        <v>-4.1857241588563077E-2</v>
      </c>
    </row>
    <row r="153" spans="2:4" x14ac:dyDescent="0.25">
      <c r="B153" s="12">
        <v>44340</v>
      </c>
      <c r="C153" s="18">
        <v>208.40666200000001</v>
      </c>
      <c r="D153" s="114">
        <f t="shared" si="11"/>
        <v>7.6332457374426843E-2</v>
      </c>
    </row>
    <row r="154" spans="2:4" x14ac:dyDescent="0.25">
      <c r="B154" s="12">
        <v>44333</v>
      </c>
      <c r="C154" s="18">
        <v>193.62666300000001</v>
      </c>
      <c r="D154" s="114">
        <f t="shared" si="11"/>
        <v>-1.502359838209788E-2</v>
      </c>
    </row>
    <row r="155" spans="2:4" x14ac:dyDescent="0.25">
      <c r="B155" s="12">
        <v>44326</v>
      </c>
      <c r="C155" s="18">
        <v>196.58000200000001</v>
      </c>
      <c r="D155" s="114">
        <f t="shared" si="11"/>
        <v>-0.12289365029398958</v>
      </c>
    </row>
    <row r="156" spans="2:4" x14ac:dyDescent="0.25">
      <c r="B156" s="12">
        <v>44319</v>
      </c>
      <c r="C156" s="18">
        <v>224.12333699999999</v>
      </c>
      <c r="D156" s="114">
        <f t="shared" si="11"/>
        <v>-5.2252449293850645E-2</v>
      </c>
    </row>
    <row r="157" spans="2:4" x14ac:dyDescent="0.25">
      <c r="B157" s="12">
        <v>44312</v>
      </c>
      <c r="C157" s="18">
        <v>236.479996</v>
      </c>
      <c r="D157" s="114">
        <f t="shared" si="11"/>
        <v>-2.7364964616883425E-2</v>
      </c>
    </row>
    <row r="158" spans="2:4" x14ac:dyDescent="0.25">
      <c r="B158" s="12">
        <v>44305</v>
      </c>
      <c r="C158" s="18">
        <v>243.133331</v>
      </c>
      <c r="D158" s="114">
        <f t="shared" si="11"/>
        <v>-1.4031226585691448E-2</v>
      </c>
    </row>
    <row r="159" spans="2:4" x14ac:dyDescent="0.25">
      <c r="B159" s="12">
        <v>44298</v>
      </c>
      <c r="C159" s="18">
        <v>246.59333799999999</v>
      </c>
      <c r="D159" s="114">
        <f t="shared" si="11"/>
        <v>9.2700351756215493E-2</v>
      </c>
    </row>
    <row r="160" spans="2:4" x14ac:dyDescent="0.25">
      <c r="B160" s="12">
        <v>44291</v>
      </c>
      <c r="C160" s="18">
        <v>225.67334</v>
      </c>
      <c r="D160" s="114">
        <f t="shared" si="11"/>
        <v>2.3075234407561318E-2</v>
      </c>
    </row>
    <row r="161" spans="2:4" x14ac:dyDescent="0.25">
      <c r="B161" s="12">
        <v>44284</v>
      </c>
      <c r="C161" s="18">
        <v>220.58332799999999</v>
      </c>
      <c r="D161" s="114">
        <f t="shared" si="11"/>
        <v>6.9564081001620481E-2</v>
      </c>
    </row>
    <row r="162" spans="2:4" x14ac:dyDescent="0.25">
      <c r="B162" s="12">
        <v>44277</v>
      </c>
      <c r="C162" s="18">
        <v>206.23666399999999</v>
      </c>
      <c r="D162" s="114">
        <f t="shared" si="11"/>
        <v>-5.5217047901962357E-2</v>
      </c>
    </row>
    <row r="163" spans="2:4" x14ac:dyDescent="0.25">
      <c r="B163" s="12">
        <v>44270</v>
      </c>
      <c r="C163" s="18">
        <v>218.28999300000001</v>
      </c>
      <c r="D163" s="114">
        <f t="shared" si="11"/>
        <v>-5.6016054119130243E-2</v>
      </c>
    </row>
    <row r="164" spans="2:4" x14ac:dyDescent="0.25">
      <c r="B164" s="12">
        <v>44263</v>
      </c>
      <c r="C164" s="18">
        <v>231.24333200000001</v>
      </c>
      <c r="D164" s="114">
        <f t="shared" si="11"/>
        <v>0.16018061429945862</v>
      </c>
    </row>
    <row r="165" spans="2:4" x14ac:dyDescent="0.25">
      <c r="B165" s="12">
        <v>44256</v>
      </c>
      <c r="C165" s="18">
        <v>199.316666</v>
      </c>
      <c r="D165" s="114">
        <f t="shared" si="11"/>
        <v>-0.11480387292840566</v>
      </c>
    </row>
    <row r="166" spans="2:4" x14ac:dyDescent="0.25">
      <c r="B166" s="12">
        <v>44249</v>
      </c>
      <c r="C166" s="18">
        <v>225.16667200000001</v>
      </c>
      <c r="D166" s="114">
        <f t="shared" si="11"/>
        <v>-0.13541526535627335</v>
      </c>
    </row>
    <row r="167" spans="2:4" x14ac:dyDescent="0.25">
      <c r="B167" s="12">
        <v>44242</v>
      </c>
      <c r="C167" s="18">
        <v>260.43331899999998</v>
      </c>
      <c r="D167" s="114">
        <f t="shared" si="11"/>
        <v>-4.2665378679648591E-2</v>
      </c>
    </row>
    <row r="168" spans="2:4" x14ac:dyDescent="0.25">
      <c r="B168" s="12">
        <v>44235</v>
      </c>
      <c r="C168" s="18">
        <v>272.040009</v>
      </c>
      <c r="D168" s="114">
        <f t="shared" si="11"/>
        <v>-4.2371136720630309E-2</v>
      </c>
    </row>
    <row r="169" spans="2:4" x14ac:dyDescent="0.25">
      <c r="B169" s="12">
        <v>44228</v>
      </c>
      <c r="C169" s="18">
        <v>284.07666</v>
      </c>
      <c r="D169" s="114">
        <f t="shared" si="11"/>
        <v>7.3973192923776132E-2</v>
      </c>
    </row>
    <row r="170" spans="2:4" x14ac:dyDescent="0.25">
      <c r="B170" s="12">
        <v>44221</v>
      </c>
      <c r="C170" s="18">
        <v>264.51001000000002</v>
      </c>
      <c r="D170" s="114">
        <f t="shared" si="11"/>
        <v>-6.2730235856551575E-2</v>
      </c>
    </row>
    <row r="171" spans="2:4" x14ac:dyDescent="0.25">
      <c r="B171" s="12">
        <v>44214</v>
      </c>
      <c r="C171" s="18">
        <v>282.21331800000002</v>
      </c>
      <c r="D171" s="114">
        <f t="shared" si="11"/>
        <v>2.4789363615429716E-2</v>
      </c>
    </row>
    <row r="172" spans="2:4" x14ac:dyDescent="0.25">
      <c r="B172" s="12">
        <v>44207</v>
      </c>
      <c r="C172" s="18">
        <v>275.38665800000001</v>
      </c>
      <c r="D172" s="114">
        <f t="shared" si="11"/>
        <v>-6.1203171217060981E-2</v>
      </c>
    </row>
    <row r="173" spans="2:4" x14ac:dyDescent="0.25">
      <c r="B173" s="12">
        <v>44200</v>
      </c>
      <c r="C173" s="18">
        <v>293.33999599999999</v>
      </c>
      <c r="D173" s="114">
        <f t="shared" si="11"/>
        <v>0.24707017154352973</v>
      </c>
    </row>
    <row r="174" spans="2:4" x14ac:dyDescent="0.25">
      <c r="B174" s="12">
        <v>44193</v>
      </c>
      <c r="C174" s="18">
        <v>235.22332800000001</v>
      </c>
      <c r="D174" s="114">
        <f t="shared" si="11"/>
        <v>6.6337242238310834E-2</v>
      </c>
    </row>
    <row r="175" spans="2:4" x14ac:dyDescent="0.25">
      <c r="B175" s="12">
        <v>44186</v>
      </c>
      <c r="C175" s="18">
        <v>220.58999600000001</v>
      </c>
      <c r="D175" s="114">
        <f t="shared" si="11"/>
        <v>-4.7812988827326874E-2</v>
      </c>
    </row>
    <row r="176" spans="2:4" x14ac:dyDescent="0.25">
      <c r="B176" s="12">
        <v>44179</v>
      </c>
      <c r="C176" s="18">
        <v>231.66667200000001</v>
      </c>
      <c r="D176" s="114">
        <f t="shared" si="11"/>
        <v>0.13936295539897747</v>
      </c>
    </row>
    <row r="177" spans="2:4" x14ac:dyDescent="0.25">
      <c r="B177" s="12">
        <v>44172</v>
      </c>
      <c r="C177" s="18">
        <v>203.33000200000001</v>
      </c>
      <c r="D177" s="114">
        <f t="shared" si="11"/>
        <v>1.8279292507787703E-2</v>
      </c>
    </row>
    <row r="178" spans="2:4" x14ac:dyDescent="0.25">
      <c r="B178" s="12">
        <v>44165</v>
      </c>
      <c r="C178" s="18">
        <v>199.679993</v>
      </c>
      <c r="D178" s="114">
        <f t="shared" si="11"/>
        <v>2.2671403815164748E-2</v>
      </c>
    </row>
    <row r="179" spans="2:4" x14ac:dyDescent="0.25">
      <c r="B179" s="12">
        <v>44158</v>
      </c>
      <c r="C179" s="18">
        <v>195.25332599999999</v>
      </c>
      <c r="D179" s="114">
        <f t="shared" si="11"/>
        <v>0.19638070640209127</v>
      </c>
    </row>
    <row r="180" spans="2:4" x14ac:dyDescent="0.25">
      <c r="B180" s="12">
        <v>44151</v>
      </c>
      <c r="C180" s="18">
        <v>163.203339</v>
      </c>
      <c r="D180" s="114">
        <f t="shared" si="11"/>
        <v>0.19855568622548092</v>
      </c>
    </row>
    <row r="181" spans="2:4" x14ac:dyDescent="0.25">
      <c r="B181" s="12">
        <v>44144</v>
      </c>
      <c r="C181" s="18">
        <v>136.16667200000001</v>
      </c>
      <c r="D181" s="114">
        <f t="shared" si="11"/>
        <v>-4.9889480404184061E-2</v>
      </c>
    </row>
    <row r="182" spans="2:4" x14ac:dyDescent="0.25">
      <c r="B182" s="12">
        <v>44137</v>
      </c>
      <c r="C182" s="18">
        <v>143.316666</v>
      </c>
      <c r="D182" s="114">
        <f t="shared" si="11"/>
        <v>0.10800434713955975</v>
      </c>
    </row>
    <row r="183" spans="2:4" x14ac:dyDescent="0.25">
      <c r="B183" s="12">
        <v>44130</v>
      </c>
      <c r="C183" s="18">
        <v>129.346664</v>
      </c>
      <c r="D183" s="114">
        <f t="shared" si="11"/>
        <v>-7.7479084641939866E-2</v>
      </c>
    </row>
    <row r="184" spans="2:4" x14ac:dyDescent="0.25">
      <c r="B184" s="12">
        <v>44123</v>
      </c>
      <c r="C184" s="18">
        <v>140.21000699999999</v>
      </c>
      <c r="D184" s="114">
        <f t="shared" si="11"/>
        <v>-4.3305186701463771E-2</v>
      </c>
    </row>
    <row r="185" spans="2:4" x14ac:dyDescent="0.25">
      <c r="B185" s="12">
        <v>44116</v>
      </c>
      <c r="C185" s="18">
        <v>146.55667099999999</v>
      </c>
      <c r="D185" s="114">
        <f t="shared" si="11"/>
        <v>1.3064508734948799E-2</v>
      </c>
    </row>
    <row r="186" spans="2:4" x14ac:dyDescent="0.25">
      <c r="B186" s="12">
        <v>44109</v>
      </c>
      <c r="C186" s="18">
        <v>144.66667200000001</v>
      </c>
      <c r="D186" s="114">
        <f t="shared" si="11"/>
        <v>4.5556471766539763E-2</v>
      </c>
    </row>
    <row r="187" spans="2:4" x14ac:dyDescent="0.25">
      <c r="B187" s="12">
        <v>44102</v>
      </c>
      <c r="C187" s="18">
        <v>138.363327</v>
      </c>
      <c r="D187" s="114">
        <f t="shared" si="11"/>
        <v>1.9025836051155043E-2</v>
      </c>
    </row>
    <row r="188" spans="2:4" x14ac:dyDescent="0.25">
      <c r="B188" s="12">
        <v>44095</v>
      </c>
      <c r="C188" s="18">
        <v>135.779999</v>
      </c>
      <c r="D188" s="114">
        <f t="shared" si="11"/>
        <v>-7.8728930342875758E-2</v>
      </c>
    </row>
    <row r="189" spans="2:4" x14ac:dyDescent="0.25">
      <c r="B189" s="12">
        <v>44088</v>
      </c>
      <c r="C189" s="18">
        <v>147.383331</v>
      </c>
      <c r="D189" s="114">
        <f t="shared" si="11"/>
        <v>0.18627924478878377</v>
      </c>
    </row>
    <row r="190" spans="2:4" x14ac:dyDescent="0.25">
      <c r="B190" s="12">
        <v>44081</v>
      </c>
      <c r="C190" s="18">
        <v>124.239998</v>
      </c>
      <c r="D190" s="114">
        <f t="shared" si="11"/>
        <v>-0.10900748552771822</v>
      </c>
    </row>
    <row r="191" spans="2:4" x14ac:dyDescent="0.25">
      <c r="B191" s="12">
        <v>44074</v>
      </c>
      <c r="C191" s="18">
        <v>139.44000199999999</v>
      </c>
      <c r="D191" s="114">
        <f t="shared" si="11"/>
        <v>-5.5028436636330169E-2</v>
      </c>
    </row>
    <row r="192" spans="2:4" x14ac:dyDescent="0.25">
      <c r="B192" s="12">
        <v>44067</v>
      </c>
      <c r="C192" s="18">
        <v>147.55999800000001</v>
      </c>
      <c r="D192" s="114">
        <f t="shared" si="11"/>
        <v>7.9717870506864186E-2</v>
      </c>
    </row>
    <row r="193" spans="2:4" x14ac:dyDescent="0.25">
      <c r="B193" s="12">
        <v>44060</v>
      </c>
      <c r="C193" s="18">
        <v>136.66532900000001</v>
      </c>
      <c r="D193" s="114">
        <f t="shared" si="11"/>
        <v>0.24187770184307888</v>
      </c>
    </row>
    <row r="194" spans="2:4" x14ac:dyDescent="0.25">
      <c r="B194" s="12">
        <v>44053</v>
      </c>
      <c r="C194" s="18">
        <v>110.04733299999999</v>
      </c>
      <c r="D194" s="114">
        <f t="shared" si="11"/>
        <v>0.13629695503446793</v>
      </c>
    </row>
    <row r="195" spans="2:4" x14ac:dyDescent="0.25">
      <c r="B195" s="12">
        <v>44046</v>
      </c>
      <c r="C195" s="18">
        <v>96.847335999999999</v>
      </c>
      <c r="D195" s="114">
        <f t="shared" ref="D195:D258" si="12">C195/C196-1</f>
        <v>1.5341492849697103E-2</v>
      </c>
    </row>
    <row r="196" spans="2:4" x14ac:dyDescent="0.25">
      <c r="B196" s="12">
        <v>44039</v>
      </c>
      <c r="C196" s="18">
        <v>95.384003000000007</v>
      </c>
      <c r="D196" s="114">
        <f t="shared" si="12"/>
        <v>9.7106845105481288E-3</v>
      </c>
    </row>
    <row r="197" spans="2:4" x14ac:dyDescent="0.25">
      <c r="B197" s="12">
        <v>44032</v>
      </c>
      <c r="C197" s="18">
        <v>94.466667000000001</v>
      </c>
      <c r="D197" s="114">
        <f t="shared" si="12"/>
        <v>-5.5862047253537939E-2</v>
      </c>
    </row>
    <row r="198" spans="2:4" x14ac:dyDescent="0.25">
      <c r="B198" s="12">
        <v>44025</v>
      </c>
      <c r="C198" s="18">
        <v>100.056</v>
      </c>
      <c r="D198" s="114">
        <f t="shared" si="12"/>
        <v>-2.8362434213132337E-2</v>
      </c>
    </row>
    <row r="199" spans="2:4" x14ac:dyDescent="0.25">
      <c r="B199" s="12">
        <v>44018</v>
      </c>
      <c r="C199" s="18">
        <v>102.976669</v>
      </c>
      <c r="D199" s="114">
        <f t="shared" si="12"/>
        <v>0.27798558780774729</v>
      </c>
    </row>
    <row r="200" spans="2:4" x14ac:dyDescent="0.25">
      <c r="B200" s="12">
        <v>44011</v>
      </c>
      <c r="C200" s="18">
        <v>80.577331999999998</v>
      </c>
      <c r="D200" s="114">
        <f t="shared" si="12"/>
        <v>0.25936190280036153</v>
      </c>
    </row>
    <row r="201" spans="2:4" x14ac:dyDescent="0.25">
      <c r="B201" s="12">
        <v>44004</v>
      </c>
      <c r="C201" s="18">
        <v>63.982666000000002</v>
      </c>
      <c r="D201" s="114">
        <f t="shared" si="12"/>
        <v>-4.1123032831145823E-2</v>
      </c>
    </row>
    <row r="202" spans="2:4" x14ac:dyDescent="0.25">
      <c r="B202" s="12">
        <v>43997</v>
      </c>
      <c r="C202" s="18">
        <v>66.726669000000001</v>
      </c>
      <c r="D202" s="114">
        <f t="shared" si="12"/>
        <v>7.0160827717461682E-2</v>
      </c>
    </row>
    <row r="203" spans="2:4" x14ac:dyDescent="0.25">
      <c r="B203" s="12">
        <v>43990</v>
      </c>
      <c r="C203" s="18">
        <v>62.352001000000001</v>
      </c>
      <c r="D203" s="114">
        <f t="shared" si="12"/>
        <v>5.6026049319592985E-2</v>
      </c>
    </row>
    <row r="204" spans="2:4" x14ac:dyDescent="0.25">
      <c r="B204" s="12">
        <v>43983</v>
      </c>
      <c r="C204" s="18">
        <v>59.043998999999999</v>
      </c>
      <c r="D204" s="114">
        <f t="shared" si="12"/>
        <v>6.0670615313278553E-2</v>
      </c>
    </row>
    <row r="205" spans="2:4" x14ac:dyDescent="0.25">
      <c r="B205" s="12">
        <v>43976</v>
      </c>
      <c r="C205" s="18">
        <v>55.666668000000001</v>
      </c>
      <c r="D205" s="114">
        <f t="shared" si="12"/>
        <v>2.2181960087602537E-2</v>
      </c>
    </row>
    <row r="206" spans="2:4" x14ac:dyDescent="0.25">
      <c r="B206" s="12">
        <v>43969</v>
      </c>
      <c r="C206" s="18">
        <v>54.458668000000003</v>
      </c>
      <c r="D206" s="114">
        <f t="shared" si="12"/>
        <v>2.2160516535906005E-2</v>
      </c>
    </row>
    <row r="207" spans="2:4" x14ac:dyDescent="0.25">
      <c r="B207" s="12">
        <v>43962</v>
      </c>
      <c r="C207" s="18">
        <v>53.277999999999999</v>
      </c>
      <c r="D207" s="114">
        <f t="shared" si="12"/>
        <v>-2.4712565889747573E-2</v>
      </c>
    </row>
    <row r="208" spans="2:4" x14ac:dyDescent="0.25">
      <c r="B208" s="12">
        <v>43955</v>
      </c>
      <c r="C208" s="18">
        <v>54.627997999999998</v>
      </c>
      <c r="D208" s="114">
        <f t="shared" si="12"/>
        <v>0.16839673645399866</v>
      </c>
    </row>
    <row r="209" spans="2:4" x14ac:dyDescent="0.25">
      <c r="B209" s="12">
        <v>43948</v>
      </c>
      <c r="C209" s="18">
        <v>46.754665000000003</v>
      </c>
      <c r="D209" s="114">
        <f t="shared" si="12"/>
        <v>-3.2862214261018874E-2</v>
      </c>
    </row>
    <row r="210" spans="2:4" x14ac:dyDescent="0.25">
      <c r="B210" s="12">
        <v>43941</v>
      </c>
      <c r="C210" s="18">
        <v>48.343333999999999</v>
      </c>
      <c r="D210" s="114">
        <f t="shared" si="12"/>
        <v>-3.8122291112685835E-2</v>
      </c>
    </row>
    <row r="211" spans="2:4" x14ac:dyDescent="0.25">
      <c r="B211" s="12">
        <v>43934</v>
      </c>
      <c r="C211" s="18">
        <v>50.259335</v>
      </c>
      <c r="D211" s="114">
        <f t="shared" si="12"/>
        <v>0.3156893634636293</v>
      </c>
    </row>
    <row r="212" spans="2:4" x14ac:dyDescent="0.25">
      <c r="B212" s="12">
        <v>43927</v>
      </c>
      <c r="C212" s="18">
        <v>38.200001</v>
      </c>
      <c r="D212" s="114">
        <f t="shared" si="12"/>
        <v>0.19372511223828215</v>
      </c>
    </row>
    <row r="213" spans="2:4" x14ac:dyDescent="0.25">
      <c r="B213" s="12">
        <v>43920</v>
      </c>
      <c r="C213" s="18">
        <v>32.000667999999997</v>
      </c>
      <c r="D213" s="114">
        <f t="shared" si="12"/>
        <v>-6.6782017778131308E-2</v>
      </c>
    </row>
    <row r="214" spans="2:4" x14ac:dyDescent="0.25">
      <c r="B214" s="12">
        <v>43913</v>
      </c>
      <c r="C214" s="18">
        <v>34.290667999999997</v>
      </c>
      <c r="D214" s="114">
        <f t="shared" si="12"/>
        <v>0.20309686326935417</v>
      </c>
    </row>
    <row r="215" spans="2:4" x14ac:dyDescent="0.25">
      <c r="B215" s="12">
        <v>43906</v>
      </c>
      <c r="C215" s="18">
        <v>28.502001</v>
      </c>
      <c r="D215" s="114">
        <f t="shared" si="12"/>
        <v>-0.21786614617346334</v>
      </c>
    </row>
    <row r="216" spans="2:4" x14ac:dyDescent="0.25">
      <c r="B216" s="12">
        <v>43899</v>
      </c>
      <c r="C216" s="18">
        <v>36.441333999999998</v>
      </c>
      <c r="D216" s="114">
        <f t="shared" si="12"/>
        <v>-0.2229771738070333</v>
      </c>
    </row>
    <row r="217" spans="2:4" x14ac:dyDescent="0.25">
      <c r="B217" s="12">
        <v>43892</v>
      </c>
      <c r="C217" s="18">
        <v>46.898665999999999</v>
      </c>
      <c r="D217" s="114">
        <f t="shared" si="12"/>
        <v>5.3129562311170941E-2</v>
      </c>
    </row>
    <row r="218" spans="2:4" x14ac:dyDescent="0.25">
      <c r="B218" s="12">
        <v>43885</v>
      </c>
      <c r="C218" s="18">
        <v>44.532665000000001</v>
      </c>
      <c r="D218" s="114">
        <f t="shared" si="12"/>
        <v>-0.25861267212666672</v>
      </c>
    </row>
    <row r="219" spans="2:4" x14ac:dyDescent="0.25">
      <c r="B219" s="12">
        <v>43878</v>
      </c>
      <c r="C219" s="18">
        <v>60.066665999999998</v>
      </c>
      <c r="D219" s="114">
        <f t="shared" si="12"/>
        <v>0.12620771951652676</v>
      </c>
    </row>
    <row r="220" spans="2:4" x14ac:dyDescent="0.25">
      <c r="B220" s="12">
        <v>43871</v>
      </c>
      <c r="C220" s="18">
        <v>53.335335000000001</v>
      </c>
      <c r="D220" s="114">
        <f t="shared" si="12"/>
        <v>6.9458759615293353E-2</v>
      </c>
    </row>
    <row r="221" spans="2:4" x14ac:dyDescent="0.25">
      <c r="B221" s="12">
        <v>43864</v>
      </c>
      <c r="C221" s="18">
        <v>49.871333999999997</v>
      </c>
      <c r="D221" s="114">
        <f t="shared" si="12"/>
        <v>0.14986857448286006</v>
      </c>
    </row>
    <row r="222" spans="2:4" x14ac:dyDescent="0.25">
      <c r="B222" s="12">
        <v>43857</v>
      </c>
      <c r="C222" s="18">
        <v>43.371333999999997</v>
      </c>
      <c r="D222" s="114">
        <f t="shared" si="12"/>
        <v>0.15181828589800017</v>
      </c>
    </row>
    <row r="223" spans="2:4" x14ac:dyDescent="0.25">
      <c r="B223" s="12">
        <v>43850</v>
      </c>
      <c r="C223" s="18">
        <v>37.654667000000003</v>
      </c>
      <c r="D223" s="114">
        <f t="shared" si="12"/>
        <v>0.10640550544961336</v>
      </c>
    </row>
    <row r="224" spans="2:4" x14ac:dyDescent="0.25">
      <c r="B224" s="12">
        <v>43843</v>
      </c>
      <c r="C224" s="18">
        <v>34.033332999999999</v>
      </c>
      <c r="D224" s="114">
        <f t="shared" si="12"/>
        <v>6.765657149789206E-2</v>
      </c>
    </row>
    <row r="225" spans="2:4" x14ac:dyDescent="0.25">
      <c r="B225" s="12">
        <v>43836</v>
      </c>
      <c r="C225" s="18">
        <v>31.876667000000001</v>
      </c>
      <c r="D225" s="114">
        <f t="shared" si="12"/>
        <v>7.9321019841538609E-2</v>
      </c>
    </row>
    <row r="226" spans="2:4" x14ac:dyDescent="0.25">
      <c r="B226" s="12">
        <v>43829</v>
      </c>
      <c r="C226" s="18">
        <v>29.533999999999999</v>
      </c>
      <c r="D226" s="114">
        <f t="shared" si="12"/>
        <v>2.9346195083862936E-2</v>
      </c>
    </row>
    <row r="227" spans="2:4" x14ac:dyDescent="0.25">
      <c r="B227" s="12">
        <v>43822</v>
      </c>
      <c r="C227" s="18">
        <v>28.691998999999999</v>
      </c>
      <c r="D227" s="114">
        <f t="shared" si="12"/>
        <v>6.1120812410572434E-2</v>
      </c>
    </row>
    <row r="228" spans="2:4" x14ac:dyDescent="0.25">
      <c r="B228" s="12">
        <v>43815</v>
      </c>
      <c r="C228" s="18">
        <v>27.039332999999999</v>
      </c>
      <c r="D228" s="114">
        <f t="shared" si="12"/>
        <v>0.13170002613354015</v>
      </c>
    </row>
    <row r="229" spans="2:4" x14ac:dyDescent="0.25">
      <c r="B229" s="12">
        <v>43808</v>
      </c>
      <c r="C229" s="18">
        <v>23.892668</v>
      </c>
      <c r="D229" s="114">
        <f t="shared" si="12"/>
        <v>6.6986211736806078E-2</v>
      </c>
    </row>
    <row r="230" spans="2:4" x14ac:dyDescent="0.25">
      <c r="B230" s="12">
        <v>43801</v>
      </c>
      <c r="C230" s="18">
        <v>22.392668</v>
      </c>
      <c r="D230" s="114">
        <f t="shared" si="12"/>
        <v>1.8033642480451029E-2</v>
      </c>
    </row>
    <row r="231" spans="2:4" x14ac:dyDescent="0.25">
      <c r="B231" s="12">
        <v>43794</v>
      </c>
      <c r="C231" s="18">
        <v>21.995999999999999</v>
      </c>
      <c r="D231" s="114">
        <f t="shared" si="12"/>
        <v>-9.308206081728998E-3</v>
      </c>
    </row>
    <row r="232" spans="2:4" x14ac:dyDescent="0.25">
      <c r="B232" s="12">
        <v>43787</v>
      </c>
      <c r="C232" s="18">
        <v>22.202667000000002</v>
      </c>
      <c r="D232" s="114">
        <f t="shared" si="12"/>
        <v>-5.4320382727643501E-2</v>
      </c>
    </row>
    <row r="233" spans="2:4" x14ac:dyDescent="0.25">
      <c r="B233" s="12">
        <v>43780</v>
      </c>
      <c r="C233" s="18">
        <v>23.478000999999999</v>
      </c>
      <c r="D233" s="114">
        <f t="shared" si="12"/>
        <v>4.4580930770599769E-2</v>
      </c>
    </row>
    <row r="234" spans="2:4" x14ac:dyDescent="0.25">
      <c r="B234" s="12">
        <v>43773</v>
      </c>
      <c r="C234" s="18">
        <v>22.475999999999999</v>
      </c>
      <c r="D234" s="114">
        <f t="shared" si="12"/>
        <v>7.6058872619113149E-2</v>
      </c>
    </row>
    <row r="235" spans="2:4" x14ac:dyDescent="0.25">
      <c r="B235" s="12">
        <v>43766</v>
      </c>
      <c r="C235" s="18">
        <v>20.887333000000002</v>
      </c>
      <c r="D235" s="114">
        <f t="shared" si="12"/>
        <v>-4.51650703938965E-2</v>
      </c>
    </row>
    <row r="236" spans="2:4" x14ac:dyDescent="0.25">
      <c r="B236" s="12">
        <v>43759</v>
      </c>
      <c r="C236" s="18">
        <v>21.875333999999999</v>
      </c>
      <c r="D236" s="114">
        <f t="shared" si="12"/>
        <v>0.27701898873432484</v>
      </c>
    </row>
    <row r="237" spans="2:4" x14ac:dyDescent="0.25">
      <c r="B237" s="12">
        <v>43752</v>
      </c>
      <c r="C237" s="18">
        <v>17.129999000000002</v>
      </c>
      <c r="D237" s="114">
        <f t="shared" si="12"/>
        <v>3.6548471290601015E-2</v>
      </c>
    </row>
    <row r="238" spans="2:4" x14ac:dyDescent="0.25">
      <c r="B238" s="12">
        <v>43745</v>
      </c>
      <c r="C238" s="18">
        <v>16.525998999999999</v>
      </c>
      <c r="D238" s="114">
        <f t="shared" si="12"/>
        <v>7.1122929803332902E-2</v>
      </c>
    </row>
    <row r="239" spans="2:4" x14ac:dyDescent="0.25">
      <c r="B239" s="12">
        <v>43738</v>
      </c>
      <c r="C239" s="18">
        <v>15.428667000000001</v>
      </c>
      <c r="D239" s="114">
        <f t="shared" si="12"/>
        <v>-4.4191116342460535E-2</v>
      </c>
    </row>
    <row r="240" spans="2:4" x14ac:dyDescent="0.25">
      <c r="B240" s="12">
        <v>43731</v>
      </c>
      <c r="C240" s="18">
        <v>16.141999999999999</v>
      </c>
      <c r="D240" s="114">
        <f t="shared" si="12"/>
        <v>6.2755387146153918E-3</v>
      </c>
    </row>
    <row r="241" spans="2:4" x14ac:dyDescent="0.25">
      <c r="B241" s="12">
        <v>43724</v>
      </c>
      <c r="C241" s="18">
        <v>16.041332000000001</v>
      </c>
      <c r="D241" s="114">
        <f t="shared" si="12"/>
        <v>-1.8678671234856004E-2</v>
      </c>
    </row>
    <row r="242" spans="2:4" x14ac:dyDescent="0.25">
      <c r="B242" s="12">
        <v>43717</v>
      </c>
      <c r="C242" s="18">
        <v>16.346665999999999</v>
      </c>
      <c r="D242" s="114">
        <f t="shared" si="12"/>
        <v>7.8039109211675228E-2</v>
      </c>
    </row>
    <row r="243" spans="2:4" x14ac:dyDescent="0.25">
      <c r="B243" s="12">
        <v>43710</v>
      </c>
      <c r="C243" s="18">
        <v>15.163333</v>
      </c>
      <c r="D243" s="114">
        <f t="shared" si="12"/>
        <v>8.1556223537160299E-3</v>
      </c>
    </row>
    <row r="244" spans="2:4" x14ac:dyDescent="0.25">
      <c r="B244" s="12">
        <v>43703</v>
      </c>
      <c r="C244" s="18">
        <v>15.040666999999999</v>
      </c>
      <c r="D244" s="114">
        <f t="shared" si="12"/>
        <v>6.7218591939890882E-2</v>
      </c>
    </row>
    <row r="245" spans="2:4" x14ac:dyDescent="0.25">
      <c r="B245" s="12">
        <v>43696</v>
      </c>
      <c r="C245" s="18">
        <v>14.093332999999999</v>
      </c>
      <c r="D245" s="114">
        <f t="shared" si="12"/>
        <v>-3.8828816067363547E-2</v>
      </c>
    </row>
    <row r="246" spans="2:4" x14ac:dyDescent="0.25">
      <c r="B246" s="12">
        <v>43689</v>
      </c>
      <c r="C246" s="18">
        <v>14.662667000000001</v>
      </c>
      <c r="D246" s="114">
        <f t="shared" si="12"/>
        <v>-6.4124889666926643E-2</v>
      </c>
    </row>
    <row r="247" spans="2:4" x14ac:dyDescent="0.25">
      <c r="B247" s="12">
        <v>43682</v>
      </c>
      <c r="C247" s="18">
        <v>15.667332999999999</v>
      </c>
      <c r="D247" s="114">
        <f t="shared" si="12"/>
        <v>2.8590508906065626E-3</v>
      </c>
    </row>
    <row r="248" spans="2:4" x14ac:dyDescent="0.25">
      <c r="B248" s="12">
        <v>43675</v>
      </c>
      <c r="C248" s="18">
        <v>15.622667</v>
      </c>
      <c r="D248" s="114">
        <f t="shared" si="12"/>
        <v>2.7626731546510852E-2</v>
      </c>
    </row>
    <row r="249" spans="2:4" x14ac:dyDescent="0.25">
      <c r="B249" s="12">
        <v>43668</v>
      </c>
      <c r="C249" s="18">
        <v>15.202667</v>
      </c>
      <c r="D249" s="114">
        <f t="shared" si="12"/>
        <v>-0.11674023936788291</v>
      </c>
    </row>
    <row r="250" spans="2:4" x14ac:dyDescent="0.25">
      <c r="B250" s="12">
        <v>43661</v>
      </c>
      <c r="C250" s="18">
        <v>17.212</v>
      </c>
      <c r="D250" s="114">
        <f t="shared" si="12"/>
        <v>5.3451912570346094E-2</v>
      </c>
    </row>
    <row r="251" spans="2:4" x14ac:dyDescent="0.25">
      <c r="B251" s="12">
        <v>43654</v>
      </c>
      <c r="C251" s="18">
        <v>16.338667000000001</v>
      </c>
      <c r="D251" s="114">
        <f t="shared" si="12"/>
        <v>5.1394272844272892E-2</v>
      </c>
    </row>
    <row r="252" spans="2:4" x14ac:dyDescent="0.25">
      <c r="B252" s="12">
        <v>43647</v>
      </c>
      <c r="C252" s="18">
        <v>15.54</v>
      </c>
      <c r="D252" s="114">
        <f t="shared" si="12"/>
        <v>4.3139735145881541E-2</v>
      </c>
    </row>
    <row r="253" spans="2:4" x14ac:dyDescent="0.25">
      <c r="B253" s="12">
        <v>43640</v>
      </c>
      <c r="C253" s="18">
        <v>14.897333</v>
      </c>
      <c r="D253" s="114">
        <f t="shared" si="12"/>
        <v>7.2117099249142669E-3</v>
      </c>
    </row>
    <row r="254" spans="2:4" x14ac:dyDescent="0.25">
      <c r="B254" s="12">
        <v>43633</v>
      </c>
      <c r="C254" s="18">
        <v>14.790666999999999</v>
      </c>
      <c r="D254" s="114">
        <f t="shared" si="12"/>
        <v>3.2291108319374651E-2</v>
      </c>
    </row>
    <row r="255" spans="2:4" x14ac:dyDescent="0.25">
      <c r="B255" s="12">
        <v>43626</v>
      </c>
      <c r="C255" s="18">
        <v>14.327999999999999</v>
      </c>
      <c r="D255" s="114">
        <f t="shared" si="12"/>
        <v>5.0953570927960046E-2</v>
      </c>
    </row>
    <row r="256" spans="2:4" x14ac:dyDescent="0.25">
      <c r="B256" s="12">
        <v>43619</v>
      </c>
      <c r="C256" s="18">
        <v>13.633333</v>
      </c>
      <c r="D256" s="114">
        <f t="shared" si="12"/>
        <v>0.10445017822423863</v>
      </c>
    </row>
    <row r="257" spans="2:4" x14ac:dyDescent="0.25">
      <c r="B257" s="12">
        <v>43612</v>
      </c>
      <c r="C257" s="18">
        <v>12.343999999999999</v>
      </c>
      <c r="D257" s="114">
        <f t="shared" si="12"/>
        <v>-2.8694354805267941E-2</v>
      </c>
    </row>
    <row r="258" spans="2:4" x14ac:dyDescent="0.25">
      <c r="B258" s="12">
        <v>43605</v>
      </c>
      <c r="C258" s="18">
        <v>12.708667</v>
      </c>
      <c r="D258" s="114">
        <f t="shared" si="12"/>
        <v>-9.6668717796789094E-2</v>
      </c>
    </row>
    <row r="259" spans="2:4" x14ac:dyDescent="0.25">
      <c r="B259" s="12">
        <v>43598</v>
      </c>
      <c r="C259" s="18">
        <v>14.068667</v>
      </c>
      <c r="D259" s="114">
        <f t="shared" ref="D259:D322" si="13">C259/C260-1</f>
        <v>-0.11894620490981966</v>
      </c>
    </row>
    <row r="260" spans="2:4" x14ac:dyDescent="0.25">
      <c r="B260" s="12">
        <v>43591</v>
      </c>
      <c r="C260" s="18">
        <v>15.968</v>
      </c>
      <c r="D260" s="114">
        <f t="shared" si="13"/>
        <v>-6.0816429783764892E-2</v>
      </c>
    </row>
    <row r="261" spans="2:4" x14ac:dyDescent="0.25">
      <c r="B261" s="12">
        <v>43584</v>
      </c>
      <c r="C261" s="18">
        <v>17.002001</v>
      </c>
      <c r="D261" s="114">
        <f t="shared" si="13"/>
        <v>8.458796886960962E-2</v>
      </c>
    </row>
    <row r="262" spans="2:4" x14ac:dyDescent="0.25">
      <c r="B262" s="12">
        <v>43577</v>
      </c>
      <c r="C262" s="18">
        <v>15.676</v>
      </c>
      <c r="D262" s="114">
        <f t="shared" si="13"/>
        <v>-0.1395008259441709</v>
      </c>
    </row>
    <row r="263" spans="2:4" x14ac:dyDescent="0.25">
      <c r="B263" s="12">
        <v>43570</v>
      </c>
      <c r="C263" s="18">
        <v>18.217333</v>
      </c>
      <c r="D263" s="114">
        <f t="shared" si="13"/>
        <v>2.0769537570771046E-2</v>
      </c>
    </row>
    <row r="264" spans="2:4" x14ac:dyDescent="0.25">
      <c r="B264" s="12">
        <v>43563</v>
      </c>
      <c r="C264" s="18">
        <v>17.846665999999999</v>
      </c>
      <c r="D264" s="114">
        <f t="shared" si="13"/>
        <v>-2.6403894631875646E-2</v>
      </c>
    </row>
    <row r="265" spans="2:4" x14ac:dyDescent="0.25">
      <c r="B265" s="12">
        <v>43556</v>
      </c>
      <c r="C265" s="18">
        <v>18.330666999999998</v>
      </c>
      <c r="D265" s="114">
        <f t="shared" si="13"/>
        <v>-1.7508718957849112E-2</v>
      </c>
    </row>
    <row r="266" spans="2:4" x14ac:dyDescent="0.25">
      <c r="B266" s="12">
        <v>43549</v>
      </c>
      <c r="C266" s="18">
        <v>18.657333000000001</v>
      </c>
      <c r="D266" s="114">
        <f t="shared" si="13"/>
        <v>5.7951900196718809E-2</v>
      </c>
    </row>
    <row r="267" spans="2:4" x14ac:dyDescent="0.25">
      <c r="B267" s="12">
        <v>43542</v>
      </c>
      <c r="C267" s="18">
        <v>17.635331999999998</v>
      </c>
      <c r="D267" s="114">
        <f t="shared" si="13"/>
        <v>-3.9574556148567752E-2</v>
      </c>
    </row>
    <row r="268" spans="2:4" x14ac:dyDescent="0.25">
      <c r="B268" s="12">
        <v>43535</v>
      </c>
      <c r="C268" s="18">
        <v>18.361999999999998</v>
      </c>
      <c r="D268" s="114">
        <f t="shared" si="13"/>
        <v>-3.065392006310419E-2</v>
      </c>
    </row>
    <row r="269" spans="2:4" x14ac:dyDescent="0.25">
      <c r="B269" s="12">
        <v>43528</v>
      </c>
      <c r="C269" s="18">
        <v>18.942667</v>
      </c>
      <c r="D269" s="114">
        <f t="shared" si="13"/>
        <v>-3.6127363076337793E-2</v>
      </c>
    </row>
    <row r="270" spans="2:4" x14ac:dyDescent="0.25">
      <c r="B270" s="12">
        <v>43521</v>
      </c>
      <c r="C270" s="18">
        <v>19.652666</v>
      </c>
      <c r="D270" s="114">
        <f t="shared" si="13"/>
        <v>2.7143633184212312E-4</v>
      </c>
    </row>
    <row r="271" spans="2:4" x14ac:dyDescent="0.25">
      <c r="B271" s="12">
        <v>43514</v>
      </c>
      <c r="C271" s="18">
        <v>19.647333</v>
      </c>
      <c r="D271" s="114">
        <f t="shared" si="13"/>
        <v>-4.2776407086793644E-2</v>
      </c>
    </row>
    <row r="272" spans="2:4" x14ac:dyDescent="0.25">
      <c r="B272" s="12">
        <v>43507</v>
      </c>
      <c r="C272" s="18">
        <v>20.525333</v>
      </c>
      <c r="D272" s="114">
        <f t="shared" si="13"/>
        <v>6.8017984499380013E-3</v>
      </c>
    </row>
    <row r="273" spans="2:4" x14ac:dyDescent="0.25">
      <c r="B273" s="12">
        <v>43500</v>
      </c>
      <c r="C273" s="18">
        <v>20.386666999999999</v>
      </c>
      <c r="D273" s="114">
        <f t="shared" si="13"/>
        <v>-2.0530989743969941E-2</v>
      </c>
    </row>
    <row r="274" spans="2:4" x14ac:dyDescent="0.25">
      <c r="B274" s="12">
        <v>43493</v>
      </c>
      <c r="C274" s="18">
        <v>20.813998999999999</v>
      </c>
      <c r="D274" s="114">
        <f t="shared" si="13"/>
        <v>5.1070441619280649E-2</v>
      </c>
    </row>
    <row r="275" spans="2:4" x14ac:dyDescent="0.25">
      <c r="B275" s="12">
        <v>43486</v>
      </c>
      <c r="C275" s="18">
        <v>19.802668000000001</v>
      </c>
      <c r="D275" s="114">
        <f t="shared" si="13"/>
        <v>-1.7269850174190138E-2</v>
      </c>
    </row>
    <row r="276" spans="2:4" x14ac:dyDescent="0.25">
      <c r="B276" s="12">
        <v>43479</v>
      </c>
      <c r="C276" s="18">
        <v>20.150666999999999</v>
      </c>
      <c r="D276" s="114">
        <f t="shared" si="13"/>
        <v>-0.12958589918813135</v>
      </c>
    </row>
    <row r="277" spans="2:4" x14ac:dyDescent="0.25">
      <c r="B277" s="12">
        <v>43472</v>
      </c>
      <c r="C277" s="18">
        <v>23.150666999999999</v>
      </c>
      <c r="D277" s="114">
        <f t="shared" si="13"/>
        <v>9.3078190894869017E-2</v>
      </c>
    </row>
    <row r="278" spans="2:4" x14ac:dyDescent="0.25">
      <c r="B278" s="12">
        <v>43465</v>
      </c>
      <c r="C278" s="18">
        <v>21.179333</v>
      </c>
      <c r="D278" s="114">
        <f t="shared" si="13"/>
        <v>-4.8461948443793257E-2</v>
      </c>
    </row>
    <row r="279" spans="2:4" x14ac:dyDescent="0.25">
      <c r="B279" s="12">
        <v>43458</v>
      </c>
      <c r="C279" s="18">
        <v>22.257999000000002</v>
      </c>
      <c r="D279" s="114">
        <f t="shared" si="13"/>
        <v>4.4094096815175288E-2</v>
      </c>
    </row>
    <row r="280" spans="2:4" x14ac:dyDescent="0.25">
      <c r="B280" s="12">
        <v>43451</v>
      </c>
      <c r="C280" s="18">
        <v>21.318000999999999</v>
      </c>
      <c r="D280" s="114">
        <f t="shared" si="13"/>
        <v>-0.12561863053213429</v>
      </c>
    </row>
    <row r="281" spans="2:4" x14ac:dyDescent="0.25">
      <c r="B281" s="12">
        <v>43444</v>
      </c>
      <c r="C281" s="18">
        <v>24.380666999999999</v>
      </c>
      <c r="D281" s="114">
        <f t="shared" si="13"/>
        <v>2.1621880513904346E-2</v>
      </c>
    </row>
    <row r="282" spans="2:4" x14ac:dyDescent="0.25">
      <c r="B282" s="12">
        <v>43437</v>
      </c>
      <c r="C282" s="18">
        <v>23.864668000000002</v>
      </c>
      <c r="D282" s="114">
        <f t="shared" si="13"/>
        <v>2.1370719545459993E-2</v>
      </c>
    </row>
    <row r="283" spans="2:4" x14ac:dyDescent="0.25">
      <c r="B283" s="12">
        <v>43430</v>
      </c>
      <c r="C283" s="18">
        <v>23.365334000000001</v>
      </c>
      <c r="D283" s="114">
        <f t="shared" si="13"/>
        <v>7.5652978547095184E-2</v>
      </c>
    </row>
    <row r="284" spans="2:4" x14ac:dyDescent="0.25">
      <c r="B284" s="12">
        <v>43423</v>
      </c>
      <c r="C284" s="18">
        <v>21.722000000000001</v>
      </c>
      <c r="D284" s="114">
        <f t="shared" si="13"/>
        <v>-8.0381599723665653E-2</v>
      </c>
    </row>
    <row r="285" spans="2:4" x14ac:dyDescent="0.25">
      <c r="B285" s="12">
        <v>43416</v>
      </c>
      <c r="C285" s="18">
        <v>23.620667000000001</v>
      </c>
      <c r="D285" s="114">
        <f t="shared" si="13"/>
        <v>1.084141741128164E-2</v>
      </c>
    </row>
    <row r="286" spans="2:4" x14ac:dyDescent="0.25">
      <c r="B286" s="12">
        <v>43409</v>
      </c>
      <c r="C286" s="18">
        <v>23.367332000000001</v>
      </c>
      <c r="D286" s="114">
        <f t="shared" si="13"/>
        <v>1.1835628301723355E-2</v>
      </c>
    </row>
    <row r="287" spans="2:4" x14ac:dyDescent="0.25">
      <c r="B287" s="12">
        <v>43402</v>
      </c>
      <c r="C287" s="18">
        <v>23.094000000000001</v>
      </c>
      <c r="D287" s="114">
        <f t="shared" si="13"/>
        <v>4.68722142734459E-2</v>
      </c>
    </row>
    <row r="288" spans="2:4" x14ac:dyDescent="0.25">
      <c r="B288" s="12">
        <v>43395</v>
      </c>
      <c r="C288" s="18">
        <v>22.059999000000001</v>
      </c>
      <c r="D288" s="114">
        <f t="shared" si="13"/>
        <v>0.27269234789941166</v>
      </c>
    </row>
    <row r="289" spans="2:4" x14ac:dyDescent="0.25">
      <c r="B289" s="12">
        <v>43388</v>
      </c>
      <c r="C289" s="18">
        <v>17.333331999999999</v>
      </c>
      <c r="D289" s="114">
        <f t="shared" si="13"/>
        <v>4.7142937216384517E-3</v>
      </c>
    </row>
    <row r="290" spans="2:4" x14ac:dyDescent="0.25">
      <c r="B290" s="12">
        <v>43381</v>
      </c>
      <c r="C290" s="18">
        <v>17.252001</v>
      </c>
      <c r="D290" s="114">
        <f t="shared" si="13"/>
        <v>-1.2101469977122803E-2</v>
      </c>
    </row>
    <row r="291" spans="2:4" x14ac:dyDescent="0.25">
      <c r="B291" s="12">
        <v>43374</v>
      </c>
      <c r="C291" s="18">
        <v>17.463332999999999</v>
      </c>
      <c r="D291" s="114">
        <f t="shared" si="13"/>
        <v>-1.0650753685288339E-2</v>
      </c>
    </row>
    <row r="292" spans="2:4" x14ac:dyDescent="0.25">
      <c r="B292" s="12">
        <v>43367</v>
      </c>
      <c r="C292" s="18">
        <v>17.651333000000001</v>
      </c>
      <c r="D292" s="114">
        <f t="shared" si="13"/>
        <v>-0.11477772744344383</v>
      </c>
    </row>
    <row r="293" spans="2:4" x14ac:dyDescent="0.25">
      <c r="B293" s="12">
        <v>43360</v>
      </c>
      <c r="C293" s="18">
        <v>19.940000999999999</v>
      </c>
      <c r="D293" s="114">
        <f t="shared" si="13"/>
        <v>1.3211432926829136E-2</v>
      </c>
    </row>
    <row r="294" spans="2:4" x14ac:dyDescent="0.25">
      <c r="B294" s="12">
        <v>43353</v>
      </c>
      <c r="C294" s="18">
        <v>19.68</v>
      </c>
      <c r="D294" s="114">
        <f t="shared" si="13"/>
        <v>0.12141007744225485</v>
      </c>
    </row>
    <row r="295" spans="2:4" x14ac:dyDescent="0.25">
      <c r="B295" s="12">
        <v>43346</v>
      </c>
      <c r="C295" s="18">
        <v>17.549334000000002</v>
      </c>
      <c r="D295" s="114">
        <f t="shared" si="13"/>
        <v>-0.12736186857262688</v>
      </c>
    </row>
    <row r="296" spans="2:4" x14ac:dyDescent="0.25">
      <c r="B296" s="12">
        <v>43339</v>
      </c>
      <c r="C296" s="18">
        <v>20.110665999999998</v>
      </c>
      <c r="D296" s="114">
        <f t="shared" si="13"/>
        <v>-6.5547423779585445E-2</v>
      </c>
    </row>
    <row r="297" spans="2:4" x14ac:dyDescent="0.25">
      <c r="B297" s="12">
        <v>43332</v>
      </c>
      <c r="C297" s="18">
        <v>21.521334</v>
      </c>
      <c r="D297" s="114">
        <f t="shared" si="13"/>
        <v>5.6693959792242898E-2</v>
      </c>
    </row>
    <row r="298" spans="2:4" x14ac:dyDescent="0.25">
      <c r="B298" s="12">
        <v>43325</v>
      </c>
      <c r="C298" s="18">
        <v>20.366667</v>
      </c>
      <c r="D298" s="114">
        <f t="shared" si="13"/>
        <v>-0.14062277617686536</v>
      </c>
    </row>
    <row r="299" spans="2:4" x14ac:dyDescent="0.25">
      <c r="B299" s="12">
        <v>43318</v>
      </c>
      <c r="C299" s="18">
        <v>23.699332999999999</v>
      </c>
      <c r="D299" s="114">
        <f t="shared" si="13"/>
        <v>2.1024256600181257E-2</v>
      </c>
    </row>
    <row r="300" spans="2:4" x14ac:dyDescent="0.25">
      <c r="B300" s="12">
        <v>43311</v>
      </c>
      <c r="C300" s="18">
        <v>23.211331999999999</v>
      </c>
      <c r="D300" s="114">
        <f t="shared" si="13"/>
        <v>0.17157944679991921</v>
      </c>
    </row>
    <row r="301" spans="2:4" x14ac:dyDescent="0.25">
      <c r="B301" s="12">
        <v>43304</v>
      </c>
      <c r="C301" s="18">
        <v>19.812000000000001</v>
      </c>
      <c r="D301" s="114">
        <f t="shared" si="13"/>
        <v>-5.2299238667951276E-2</v>
      </c>
    </row>
    <row r="302" spans="2:4" x14ac:dyDescent="0.25">
      <c r="B302" s="12">
        <v>43297</v>
      </c>
      <c r="C302" s="18">
        <v>20.905332999999999</v>
      </c>
      <c r="D302" s="114">
        <f t="shared" si="13"/>
        <v>-1.6589802266902098E-2</v>
      </c>
    </row>
    <row r="303" spans="2:4" x14ac:dyDescent="0.25">
      <c r="B303" s="12">
        <v>43290</v>
      </c>
      <c r="C303" s="18">
        <v>21.257999000000002</v>
      </c>
      <c r="D303" s="114">
        <f t="shared" si="13"/>
        <v>3.2275835692834987E-2</v>
      </c>
    </row>
    <row r="304" spans="2:4" x14ac:dyDescent="0.25">
      <c r="B304" s="12">
        <v>43283</v>
      </c>
      <c r="C304" s="18">
        <v>20.593332</v>
      </c>
      <c r="D304" s="114">
        <f t="shared" si="13"/>
        <v>-9.9285655332929879E-2</v>
      </c>
    </row>
    <row r="305" spans="2:4" x14ac:dyDescent="0.25">
      <c r="B305" s="12">
        <v>43276</v>
      </c>
      <c r="C305" s="18">
        <v>22.863333000000001</v>
      </c>
      <c r="D305" s="114">
        <f t="shared" si="13"/>
        <v>2.7935076524814528E-2</v>
      </c>
    </row>
    <row r="306" spans="2:4" x14ac:dyDescent="0.25">
      <c r="B306" s="12">
        <v>43269</v>
      </c>
      <c r="C306" s="18">
        <v>22.242000999999998</v>
      </c>
      <c r="D306" s="114">
        <f t="shared" si="13"/>
        <v>-6.851490912136704E-2</v>
      </c>
    </row>
    <row r="307" spans="2:4" x14ac:dyDescent="0.25">
      <c r="B307" s="12">
        <v>43262</v>
      </c>
      <c r="C307" s="18">
        <v>23.878</v>
      </c>
      <c r="D307" s="114">
        <f t="shared" si="13"/>
        <v>0.12752625047137678</v>
      </c>
    </row>
    <row r="308" spans="2:4" x14ac:dyDescent="0.25">
      <c r="B308" s="12">
        <v>43255</v>
      </c>
      <c r="C308" s="18">
        <v>21.177333999999998</v>
      </c>
      <c r="D308" s="114">
        <f t="shared" si="13"/>
        <v>8.8547806474806645E-2</v>
      </c>
    </row>
    <row r="309" spans="2:4" x14ac:dyDescent="0.25">
      <c r="B309" s="12">
        <v>43248</v>
      </c>
      <c r="C309" s="18">
        <v>19.454666</v>
      </c>
      <c r="D309" s="114">
        <f t="shared" si="13"/>
        <v>4.6512426035502985E-2</v>
      </c>
    </row>
    <row r="310" spans="2:4" x14ac:dyDescent="0.25">
      <c r="B310" s="12">
        <v>43241</v>
      </c>
      <c r="C310" s="18">
        <v>18.59</v>
      </c>
      <c r="D310" s="114">
        <f t="shared" si="13"/>
        <v>7.3333215567272791E-3</v>
      </c>
    </row>
    <row r="311" spans="2:4" x14ac:dyDescent="0.25">
      <c r="B311" s="12">
        <v>43234</v>
      </c>
      <c r="C311" s="18">
        <v>18.454666</v>
      </c>
      <c r="D311" s="114">
        <f t="shared" si="13"/>
        <v>-8.0515560344855519E-2</v>
      </c>
    </row>
    <row r="312" spans="2:4" x14ac:dyDescent="0.25">
      <c r="B312" s="12">
        <v>43227</v>
      </c>
      <c r="C312" s="18">
        <v>20.070667</v>
      </c>
      <c r="D312" s="114">
        <f t="shared" si="13"/>
        <v>2.3700192609395598E-2</v>
      </c>
    </row>
    <row r="313" spans="2:4" x14ac:dyDescent="0.25">
      <c r="B313" s="12">
        <v>43220</v>
      </c>
      <c r="C313" s="18">
        <v>19.606000999999999</v>
      </c>
      <c r="D313" s="114">
        <f t="shared" si="13"/>
        <v>3.4072361841497312E-5</v>
      </c>
    </row>
    <row r="314" spans="2:4" x14ac:dyDescent="0.25">
      <c r="B314" s="12">
        <v>43213</v>
      </c>
      <c r="C314" s="18">
        <v>19.605333000000002</v>
      </c>
      <c r="D314" s="114">
        <f t="shared" si="13"/>
        <v>1.3230430216896849E-2</v>
      </c>
    </row>
    <row r="315" spans="2:4" x14ac:dyDescent="0.25">
      <c r="B315" s="12">
        <v>43206</v>
      </c>
      <c r="C315" s="18">
        <v>19.349333000000001</v>
      </c>
      <c r="D315" s="114">
        <f t="shared" si="13"/>
        <v>-3.3628587040877123E-2</v>
      </c>
    </row>
    <row r="316" spans="2:4" x14ac:dyDescent="0.25">
      <c r="B316" s="12">
        <v>43199</v>
      </c>
      <c r="C316" s="18">
        <v>20.022666999999998</v>
      </c>
      <c r="D316" s="114">
        <f t="shared" si="13"/>
        <v>3.4748079431139445E-3</v>
      </c>
    </row>
    <row r="317" spans="2:4" x14ac:dyDescent="0.25">
      <c r="B317" s="12">
        <v>43192</v>
      </c>
      <c r="C317" s="18">
        <v>19.953333000000001</v>
      </c>
      <c r="D317" s="114">
        <f t="shared" si="13"/>
        <v>0.12463825247219873</v>
      </c>
    </row>
    <row r="318" spans="2:4" x14ac:dyDescent="0.25">
      <c r="B318" s="12">
        <v>43185</v>
      </c>
      <c r="C318" s="18">
        <v>17.742000999999998</v>
      </c>
      <c r="D318" s="114">
        <f t="shared" si="13"/>
        <v>-0.11743048820338131</v>
      </c>
    </row>
    <row r="319" spans="2:4" x14ac:dyDescent="0.25">
      <c r="B319" s="12">
        <v>43178</v>
      </c>
      <c r="C319" s="18">
        <v>20.102667</v>
      </c>
      <c r="D319" s="114">
        <f t="shared" si="13"/>
        <v>-6.1646106217277397E-2</v>
      </c>
    </row>
    <row r="320" spans="2:4" x14ac:dyDescent="0.25">
      <c r="B320" s="12">
        <v>43171</v>
      </c>
      <c r="C320" s="18">
        <v>21.423331999999998</v>
      </c>
      <c r="D320" s="114">
        <f t="shared" si="13"/>
        <v>-1.7788963196334828E-2</v>
      </c>
    </row>
    <row r="321" spans="2:4" x14ac:dyDescent="0.25">
      <c r="B321" s="12">
        <v>43164</v>
      </c>
      <c r="C321" s="18">
        <v>21.811333000000001</v>
      </c>
      <c r="D321" s="114">
        <f t="shared" si="13"/>
        <v>-2.3722845901808842E-2</v>
      </c>
    </row>
    <row r="322" spans="2:4" x14ac:dyDescent="0.25">
      <c r="B322" s="12">
        <v>43157</v>
      </c>
      <c r="C322" s="18">
        <v>22.341332999999999</v>
      </c>
      <c r="D322" s="114">
        <f t="shared" si="13"/>
        <v>-4.8089733621207387E-2</v>
      </c>
    </row>
    <row r="323" spans="2:4" x14ac:dyDescent="0.25">
      <c r="B323" s="12">
        <v>43150</v>
      </c>
      <c r="C323" s="18">
        <v>23.469999000000001</v>
      </c>
      <c r="D323" s="114">
        <f t="shared" ref="D323:D386" si="14">C323/C324-1</f>
        <v>4.9360638887625985E-2</v>
      </c>
    </row>
    <row r="324" spans="2:4" x14ac:dyDescent="0.25">
      <c r="B324" s="12">
        <v>43143</v>
      </c>
      <c r="C324" s="18">
        <v>22.365998999999999</v>
      </c>
      <c r="D324" s="114">
        <f t="shared" si="14"/>
        <v>8.0761430915441634E-2</v>
      </c>
    </row>
    <row r="325" spans="2:4" x14ac:dyDescent="0.25">
      <c r="B325" s="12">
        <v>43136</v>
      </c>
      <c r="C325" s="18">
        <v>20.694668</v>
      </c>
      <c r="D325" s="114">
        <f t="shared" si="14"/>
        <v>-9.6959994358691293E-2</v>
      </c>
    </row>
    <row r="326" spans="2:4" x14ac:dyDescent="0.25">
      <c r="B326" s="12">
        <v>43129</v>
      </c>
      <c r="C326" s="18">
        <v>22.916668000000001</v>
      </c>
      <c r="D326" s="114">
        <f t="shared" si="14"/>
        <v>2.625098401267234E-3</v>
      </c>
    </row>
    <row r="327" spans="2:4" x14ac:dyDescent="0.25">
      <c r="B327" s="12">
        <v>43122</v>
      </c>
      <c r="C327" s="18">
        <v>22.856667000000002</v>
      </c>
      <c r="D327" s="114">
        <f t="shared" si="14"/>
        <v>-2.048454344773798E-2</v>
      </c>
    </row>
    <row r="328" spans="2:4" x14ac:dyDescent="0.25">
      <c r="B328" s="12">
        <v>43115</v>
      </c>
      <c r="C328" s="18">
        <v>23.334667</v>
      </c>
      <c r="D328" s="114">
        <f t="shared" si="14"/>
        <v>4.1044553550583451E-2</v>
      </c>
    </row>
    <row r="329" spans="2:4" x14ac:dyDescent="0.25">
      <c r="B329" s="12">
        <v>43108</v>
      </c>
      <c r="C329" s="18">
        <v>22.414667000000001</v>
      </c>
      <c r="D329" s="114">
        <f t="shared" si="14"/>
        <v>6.2038064028650863E-2</v>
      </c>
    </row>
    <row r="330" spans="2:4" x14ac:dyDescent="0.25">
      <c r="B330" s="12">
        <v>43101</v>
      </c>
      <c r="C330" s="18">
        <v>21.105333000000002</v>
      </c>
      <c r="D330" s="114">
        <f t="shared" si="14"/>
        <v>1.6797832561356474E-2</v>
      </c>
    </row>
    <row r="331" spans="2:4" x14ac:dyDescent="0.25">
      <c r="B331" s="12">
        <v>43094</v>
      </c>
      <c r="C331" s="18">
        <v>20.756665999999999</v>
      </c>
      <c r="D331" s="114">
        <f t="shared" si="14"/>
        <v>-4.2589206642066446E-2</v>
      </c>
    </row>
    <row r="332" spans="2:4" x14ac:dyDescent="0.25">
      <c r="B332" s="12">
        <v>43087</v>
      </c>
      <c r="C332" s="18">
        <v>21.68</v>
      </c>
      <c r="D332" s="114">
        <f t="shared" si="14"/>
        <v>-5.3137297231950931E-2</v>
      </c>
    </row>
    <row r="333" spans="2:4" x14ac:dyDescent="0.25">
      <c r="B333" s="12">
        <v>43080</v>
      </c>
      <c r="C333" s="18">
        <v>22.896667000000001</v>
      </c>
      <c r="D333" s="114">
        <f t="shared" si="14"/>
        <v>8.986767223260772E-2</v>
      </c>
    </row>
    <row r="334" spans="2:4" x14ac:dyDescent="0.25">
      <c r="B334" s="12">
        <v>43073</v>
      </c>
      <c r="C334" s="18">
        <v>21.008666999999999</v>
      </c>
      <c r="D334" s="114">
        <f t="shared" si="14"/>
        <v>2.805601455087614E-2</v>
      </c>
    </row>
    <row r="335" spans="2:4" x14ac:dyDescent="0.25">
      <c r="B335" s="12">
        <v>43066</v>
      </c>
      <c r="C335" s="18">
        <v>20.435333</v>
      </c>
      <c r="D335" s="114">
        <f t="shared" si="14"/>
        <v>-2.8585041537235956E-2</v>
      </c>
    </row>
    <row r="336" spans="2:4" x14ac:dyDescent="0.25">
      <c r="B336" s="12">
        <v>43059</v>
      </c>
      <c r="C336" s="18">
        <v>21.036667000000001</v>
      </c>
      <c r="D336" s="114">
        <f t="shared" si="14"/>
        <v>1.5871291278926059E-3</v>
      </c>
    </row>
    <row r="337" spans="2:4" x14ac:dyDescent="0.25">
      <c r="B337" s="12">
        <v>43052</v>
      </c>
      <c r="C337" s="18">
        <v>21.003332</v>
      </c>
      <c r="D337" s="114">
        <f t="shared" si="14"/>
        <v>3.9803244988336983E-2</v>
      </c>
    </row>
    <row r="338" spans="2:4" x14ac:dyDescent="0.25">
      <c r="B338" s="12">
        <v>43045</v>
      </c>
      <c r="C338" s="18">
        <v>20.199332999999999</v>
      </c>
      <c r="D338" s="114">
        <f t="shared" si="14"/>
        <v>-1.0127756542193445E-2</v>
      </c>
    </row>
    <row r="339" spans="2:4" x14ac:dyDescent="0.25">
      <c r="B339" s="12">
        <v>43038</v>
      </c>
      <c r="C339" s="18">
        <v>20.405999999999999</v>
      </c>
      <c r="D339" s="114">
        <f t="shared" si="14"/>
        <v>-4.606225334344527E-2</v>
      </c>
    </row>
    <row r="340" spans="2:4" x14ac:dyDescent="0.25">
      <c r="B340" s="12">
        <v>43031</v>
      </c>
      <c r="C340" s="18">
        <v>21.391332999999999</v>
      </c>
      <c r="D340" s="114">
        <f t="shared" si="14"/>
        <v>-7.021152043499046E-2</v>
      </c>
    </row>
    <row r="341" spans="2:4" x14ac:dyDescent="0.25">
      <c r="B341" s="12">
        <v>43024</v>
      </c>
      <c r="C341" s="18">
        <v>23.006665999999999</v>
      </c>
      <c r="D341" s="114">
        <f t="shared" si="14"/>
        <v>-2.9445679597426055E-2</v>
      </c>
    </row>
    <row r="342" spans="2:4" x14ac:dyDescent="0.25">
      <c r="B342" s="12">
        <v>43017</v>
      </c>
      <c r="C342" s="18">
        <v>23.704666</v>
      </c>
      <c r="D342" s="114">
        <f t="shared" si="14"/>
        <v>-3.6707296570276382E-3</v>
      </c>
    </row>
    <row r="343" spans="2:4" x14ac:dyDescent="0.25">
      <c r="B343" s="12">
        <v>43010</v>
      </c>
      <c r="C343" s="18">
        <v>23.792000000000002</v>
      </c>
      <c r="D343" s="114">
        <f t="shared" si="14"/>
        <v>4.6262093227792622E-2</v>
      </c>
    </row>
    <row r="344" spans="2:4" x14ac:dyDescent="0.25">
      <c r="B344" s="12">
        <v>43003</v>
      </c>
      <c r="C344" s="18">
        <v>22.74</v>
      </c>
      <c r="D344" s="114">
        <f t="shared" si="14"/>
        <v>-2.8454242501922633E-2</v>
      </c>
    </row>
    <row r="345" spans="2:4" x14ac:dyDescent="0.25">
      <c r="B345" s="12">
        <v>42996</v>
      </c>
      <c r="C345" s="18">
        <v>23.405999999999999</v>
      </c>
      <c r="D345" s="114">
        <f t="shared" si="14"/>
        <v>-7.5616767915316019E-2</v>
      </c>
    </row>
    <row r="346" spans="2:4" x14ac:dyDescent="0.25">
      <c r="B346" s="12">
        <v>42989</v>
      </c>
      <c r="C346" s="18">
        <v>25.320667</v>
      </c>
      <c r="D346" s="114">
        <f t="shared" si="14"/>
        <v>0.10602798640110644</v>
      </c>
    </row>
    <row r="347" spans="2:4" x14ac:dyDescent="0.25">
      <c r="B347" s="12">
        <v>42982</v>
      </c>
      <c r="C347" s="18">
        <v>22.893332999999998</v>
      </c>
      <c r="D347" s="114">
        <f t="shared" si="14"/>
        <v>-3.3764772562813405E-2</v>
      </c>
    </row>
    <row r="348" spans="2:4" x14ac:dyDescent="0.25">
      <c r="B348" s="12">
        <v>42975</v>
      </c>
      <c r="C348" s="18">
        <v>23.693332999999999</v>
      </c>
      <c r="D348" s="114">
        <f t="shared" si="14"/>
        <v>2.1117655812636915E-2</v>
      </c>
    </row>
    <row r="349" spans="2:4" x14ac:dyDescent="0.25">
      <c r="B349" s="12">
        <v>42968</v>
      </c>
      <c r="C349" s="18">
        <v>23.203333000000001</v>
      </c>
      <c r="D349" s="114">
        <f t="shared" si="14"/>
        <v>1.6980227939906722E-3</v>
      </c>
    </row>
    <row r="350" spans="2:4" x14ac:dyDescent="0.25">
      <c r="B350" s="12">
        <v>42961</v>
      </c>
      <c r="C350" s="18">
        <v>23.164000000000001</v>
      </c>
      <c r="D350" s="114">
        <f t="shared" si="14"/>
        <v>-2.9088775253583665E-2</v>
      </c>
    </row>
    <row r="351" spans="2:4" x14ac:dyDescent="0.25">
      <c r="B351" s="12">
        <v>42954</v>
      </c>
      <c r="C351" s="18">
        <v>23.858000000000001</v>
      </c>
      <c r="D351" s="114">
        <f t="shared" si="14"/>
        <v>2.6897115789816795E-3</v>
      </c>
    </row>
    <row r="352" spans="2:4" x14ac:dyDescent="0.25">
      <c r="B352" s="12">
        <v>42947</v>
      </c>
      <c r="C352" s="18">
        <v>23.794001000000002</v>
      </c>
      <c r="D352" s="114">
        <f t="shared" si="14"/>
        <v>6.518050251501939E-2</v>
      </c>
    </row>
    <row r="353" spans="2:4" x14ac:dyDescent="0.25">
      <c r="B353" s="12">
        <v>42940</v>
      </c>
      <c r="C353" s="18">
        <v>22.337999</v>
      </c>
      <c r="D353" s="114">
        <f t="shared" si="14"/>
        <v>2.031056669169562E-2</v>
      </c>
    </row>
    <row r="354" spans="2:4" x14ac:dyDescent="0.25">
      <c r="B354" s="12">
        <v>42933</v>
      </c>
      <c r="C354" s="18">
        <v>21.893332999999998</v>
      </c>
      <c r="D354" s="114">
        <f t="shared" si="14"/>
        <v>1.8915431947439387E-3</v>
      </c>
    </row>
    <row r="355" spans="2:4" x14ac:dyDescent="0.25">
      <c r="B355" s="12">
        <v>42926</v>
      </c>
      <c r="C355" s="18">
        <v>21.851998999999999</v>
      </c>
      <c r="D355" s="114">
        <f t="shared" si="14"/>
        <v>4.6484917724597175E-2</v>
      </c>
    </row>
    <row r="356" spans="2:4" x14ac:dyDescent="0.25">
      <c r="B356" s="12">
        <v>42919</v>
      </c>
      <c r="C356" s="18">
        <v>20.881332</v>
      </c>
      <c r="D356" s="114">
        <f t="shared" si="14"/>
        <v>-0.13381820933150124</v>
      </c>
    </row>
    <row r="357" spans="2:4" x14ac:dyDescent="0.25">
      <c r="B357" s="12">
        <v>42912</v>
      </c>
      <c r="C357" s="18">
        <v>24.107332</v>
      </c>
      <c r="D357" s="114">
        <f t="shared" si="14"/>
        <v>-5.695665518433557E-2</v>
      </c>
    </row>
    <row r="358" spans="2:4" x14ac:dyDescent="0.25">
      <c r="B358" s="12">
        <v>42905</v>
      </c>
      <c r="C358" s="18">
        <v>25.563334000000001</v>
      </c>
      <c r="D358" s="114">
        <f t="shared" si="14"/>
        <v>3.2444830371566979E-2</v>
      </c>
    </row>
    <row r="359" spans="2:4" x14ac:dyDescent="0.25">
      <c r="B359" s="12">
        <v>42898</v>
      </c>
      <c r="C359" s="18">
        <v>24.76</v>
      </c>
      <c r="D359" s="114">
        <f t="shared" si="14"/>
        <v>3.9404469934575026E-2</v>
      </c>
    </row>
    <row r="360" spans="2:4" x14ac:dyDescent="0.25">
      <c r="B360" s="12">
        <v>42891</v>
      </c>
      <c r="C360" s="18">
        <v>23.821332999999999</v>
      </c>
      <c r="D360" s="114">
        <f t="shared" si="14"/>
        <v>5.1404955044581202E-2</v>
      </c>
    </row>
    <row r="361" spans="2:4" x14ac:dyDescent="0.25">
      <c r="B361" s="12">
        <v>42884</v>
      </c>
      <c r="C361" s="18">
        <v>22.656668</v>
      </c>
      <c r="D361" s="114">
        <f t="shared" si="14"/>
        <v>4.5242062869437882E-2</v>
      </c>
    </row>
    <row r="362" spans="2:4" x14ac:dyDescent="0.25">
      <c r="B362" s="12">
        <v>42877</v>
      </c>
      <c r="C362" s="18">
        <v>21.676000999999999</v>
      </c>
      <c r="D362" s="114">
        <f t="shared" si="14"/>
        <v>4.6038075475340223E-2</v>
      </c>
    </row>
    <row r="363" spans="2:4" x14ac:dyDescent="0.25">
      <c r="B363" s="12">
        <v>42870</v>
      </c>
      <c r="C363" s="18">
        <v>20.722000000000001</v>
      </c>
      <c r="D363" s="114">
        <f t="shared" si="14"/>
        <v>-4.3040502587997631E-2</v>
      </c>
    </row>
    <row r="364" spans="2:4" x14ac:dyDescent="0.25">
      <c r="B364" s="12">
        <v>42863</v>
      </c>
      <c r="C364" s="18">
        <v>21.653998999999999</v>
      </c>
      <c r="D364" s="114">
        <f t="shared" si="14"/>
        <v>5.338083260287263E-2</v>
      </c>
    </row>
    <row r="365" spans="2:4" x14ac:dyDescent="0.25">
      <c r="B365" s="12">
        <v>42856</v>
      </c>
      <c r="C365" s="18">
        <v>20.556667000000001</v>
      </c>
      <c r="D365" s="114">
        <f t="shared" si="14"/>
        <v>-1.8212484477982516E-2</v>
      </c>
    </row>
    <row r="366" spans="2:4" x14ac:dyDescent="0.25">
      <c r="B366" s="12">
        <v>42849</v>
      </c>
      <c r="C366" s="18">
        <v>20.937999999999999</v>
      </c>
      <c r="D366" s="114">
        <f t="shared" si="14"/>
        <v>2.771598540111242E-2</v>
      </c>
    </row>
    <row r="367" spans="2:4" x14ac:dyDescent="0.25">
      <c r="B367" s="12">
        <v>42842</v>
      </c>
      <c r="C367" s="18">
        <v>20.373332999999999</v>
      </c>
      <c r="D367" s="114">
        <f t="shared" si="14"/>
        <v>5.2631745152358356E-3</v>
      </c>
    </row>
    <row r="368" spans="2:4" x14ac:dyDescent="0.25">
      <c r="B368" s="12">
        <v>42835</v>
      </c>
      <c r="C368" s="18">
        <v>20.266666000000001</v>
      </c>
      <c r="D368" s="114">
        <f t="shared" si="14"/>
        <v>4.8257917106133696E-3</v>
      </c>
    </row>
    <row r="369" spans="2:4" x14ac:dyDescent="0.25">
      <c r="B369" s="12">
        <v>42828</v>
      </c>
      <c r="C369" s="18">
        <v>20.169333000000002</v>
      </c>
      <c r="D369" s="114">
        <f t="shared" si="14"/>
        <v>8.7100253091991764E-2</v>
      </c>
    </row>
    <row r="370" spans="2:4" x14ac:dyDescent="0.25">
      <c r="B370" s="12">
        <v>42821</v>
      </c>
      <c r="C370" s="18">
        <v>18.553332999999999</v>
      </c>
      <c r="D370" s="114">
        <f t="shared" si="14"/>
        <v>5.753146046902291E-2</v>
      </c>
    </row>
    <row r="371" spans="2:4" x14ac:dyDescent="0.25">
      <c r="B371" s="12">
        <v>42814</v>
      </c>
      <c r="C371" s="18">
        <v>17.544001000000002</v>
      </c>
      <c r="D371" s="114">
        <f t="shared" si="14"/>
        <v>6.3481266805451853E-3</v>
      </c>
    </row>
    <row r="372" spans="2:4" x14ac:dyDescent="0.25">
      <c r="B372" s="12">
        <v>42807</v>
      </c>
      <c r="C372" s="18">
        <v>17.433332</v>
      </c>
      <c r="D372" s="114">
        <f t="shared" si="14"/>
        <v>7.3084574664532997E-2</v>
      </c>
    </row>
    <row r="373" spans="2:4" x14ac:dyDescent="0.25">
      <c r="B373" s="12">
        <v>42800</v>
      </c>
      <c r="C373" s="18">
        <v>16.245999999999999</v>
      </c>
      <c r="D373" s="114">
        <f t="shared" si="14"/>
        <v>-3.1323328245684068E-2</v>
      </c>
    </row>
    <row r="374" spans="2:4" x14ac:dyDescent="0.25">
      <c r="B374" s="12">
        <v>42793</v>
      </c>
      <c r="C374" s="18">
        <v>16.771334</v>
      </c>
      <c r="D374" s="114">
        <f t="shared" si="14"/>
        <v>-2.1128346714559321E-2</v>
      </c>
    </row>
    <row r="375" spans="2:4" x14ac:dyDescent="0.25">
      <c r="B375" s="12">
        <v>42786</v>
      </c>
      <c r="C375" s="18">
        <v>17.133333</v>
      </c>
      <c r="D375" s="114">
        <f t="shared" si="14"/>
        <v>-5.5945324025468257E-2</v>
      </c>
    </row>
    <row r="376" spans="2:4" x14ac:dyDescent="0.25">
      <c r="B376" s="12">
        <v>42779</v>
      </c>
      <c r="C376" s="18">
        <v>18.148665999999999</v>
      </c>
      <c r="D376" s="114">
        <f t="shared" si="14"/>
        <v>1.1142776723041425E-2</v>
      </c>
    </row>
    <row r="377" spans="2:4" x14ac:dyDescent="0.25">
      <c r="B377" s="12">
        <v>42772</v>
      </c>
      <c r="C377" s="18">
        <v>17.948668000000001</v>
      </c>
      <c r="D377" s="114">
        <f t="shared" si="14"/>
        <v>7.1221204615867784E-2</v>
      </c>
    </row>
    <row r="378" spans="2:4" x14ac:dyDescent="0.25">
      <c r="B378" s="12">
        <v>42765</v>
      </c>
      <c r="C378" s="18">
        <v>16.755333</v>
      </c>
      <c r="D378" s="114">
        <f t="shared" si="14"/>
        <v>-6.4044278791149933E-3</v>
      </c>
    </row>
    <row r="379" spans="2:4" x14ac:dyDescent="0.25">
      <c r="B379" s="12">
        <v>42758</v>
      </c>
      <c r="C379" s="18">
        <v>16.863333000000001</v>
      </c>
      <c r="D379" s="114">
        <f t="shared" si="14"/>
        <v>3.358809983149591E-2</v>
      </c>
    </row>
    <row r="380" spans="2:4" x14ac:dyDescent="0.25">
      <c r="B380" s="12">
        <v>42751</v>
      </c>
      <c r="C380" s="18">
        <v>16.315332000000001</v>
      </c>
      <c r="D380" s="114">
        <f t="shared" si="14"/>
        <v>2.9358485804416468E-2</v>
      </c>
    </row>
    <row r="381" spans="2:4" x14ac:dyDescent="0.25">
      <c r="B381" s="12">
        <v>42744</v>
      </c>
      <c r="C381" s="18">
        <v>15.85</v>
      </c>
      <c r="D381" s="114">
        <f t="shared" si="14"/>
        <v>3.8164294968872303E-2</v>
      </c>
    </row>
    <row r="382" spans="2:4" x14ac:dyDescent="0.25">
      <c r="B382" s="12">
        <v>42737</v>
      </c>
      <c r="C382" s="18">
        <v>15.267333000000001</v>
      </c>
      <c r="D382" s="114">
        <f t="shared" si="14"/>
        <v>7.1692615471009358E-2</v>
      </c>
    </row>
    <row r="383" spans="2:4" x14ac:dyDescent="0.25">
      <c r="B383" s="12">
        <v>42730</v>
      </c>
      <c r="C383" s="18">
        <v>14.246</v>
      </c>
      <c r="D383" s="114">
        <f t="shared" si="14"/>
        <v>1.6405502568541674E-3</v>
      </c>
    </row>
    <row r="384" spans="2:4" x14ac:dyDescent="0.25">
      <c r="B384" s="12">
        <v>42723</v>
      </c>
      <c r="C384" s="18">
        <v>14.222667</v>
      </c>
      <c r="D384" s="114">
        <f t="shared" si="14"/>
        <v>5.3582943690625218E-2</v>
      </c>
    </row>
    <row r="385" spans="2:4" x14ac:dyDescent="0.25">
      <c r="B385" s="12">
        <v>42716</v>
      </c>
      <c r="C385" s="18">
        <v>13.499333</v>
      </c>
      <c r="D385" s="114">
        <f t="shared" si="14"/>
        <v>5.3647596003746578E-2</v>
      </c>
    </row>
    <row r="386" spans="2:4" x14ac:dyDescent="0.25">
      <c r="B386" s="12">
        <v>42709</v>
      </c>
      <c r="C386" s="18">
        <v>12.811999999999999</v>
      </c>
      <c r="D386" s="114">
        <f t="shared" si="14"/>
        <v>5.9018019507356412E-2</v>
      </c>
    </row>
    <row r="387" spans="2:4" x14ac:dyDescent="0.25">
      <c r="B387" s="12">
        <v>42702</v>
      </c>
      <c r="C387" s="18">
        <v>12.098000000000001</v>
      </c>
      <c r="D387" s="114">
        <f t="shared" ref="D387:D450" si="15">C387/C388-1</f>
        <v>-7.7192982456140258E-2</v>
      </c>
    </row>
    <row r="388" spans="2:4" x14ac:dyDescent="0.25">
      <c r="B388" s="12">
        <v>42695</v>
      </c>
      <c r="C388" s="18">
        <v>13.11</v>
      </c>
      <c r="D388" s="114">
        <f t="shared" si="15"/>
        <v>6.2858040675115134E-2</v>
      </c>
    </row>
    <row r="389" spans="2:4" x14ac:dyDescent="0.25">
      <c r="B389" s="12">
        <v>42688</v>
      </c>
      <c r="C389" s="18">
        <v>12.334667</v>
      </c>
      <c r="D389" s="114">
        <f t="shared" si="15"/>
        <v>-1.877386458491026E-2</v>
      </c>
    </row>
    <row r="390" spans="2:4" x14ac:dyDescent="0.25">
      <c r="B390" s="12">
        <v>42681</v>
      </c>
      <c r="C390" s="18">
        <v>12.570667</v>
      </c>
      <c r="D390" s="114">
        <f t="shared" si="15"/>
        <v>-1.0495355793450956E-2</v>
      </c>
    </row>
    <row r="391" spans="2:4" x14ac:dyDescent="0.25">
      <c r="B391" s="12">
        <v>42674</v>
      </c>
      <c r="C391" s="18">
        <v>12.704000000000001</v>
      </c>
      <c r="D391" s="114">
        <f t="shared" si="15"/>
        <v>-4.7057034731635583E-2</v>
      </c>
    </row>
    <row r="392" spans="2:4" x14ac:dyDescent="0.25">
      <c r="B392" s="12">
        <v>42667</v>
      </c>
      <c r="C392" s="18">
        <v>13.331333000000001</v>
      </c>
      <c r="D392" s="114">
        <f t="shared" si="15"/>
        <v>-5.9973013643177531E-4</v>
      </c>
    </row>
    <row r="393" spans="2:4" x14ac:dyDescent="0.25">
      <c r="B393" s="12">
        <v>42660</v>
      </c>
      <c r="C393" s="18">
        <v>13.339333</v>
      </c>
      <c r="D393" s="114">
        <f t="shared" si="15"/>
        <v>1.8217851045294164E-2</v>
      </c>
    </row>
    <row r="394" spans="2:4" x14ac:dyDescent="0.25">
      <c r="B394" s="12">
        <v>42653</v>
      </c>
      <c r="C394" s="18">
        <v>13.100667</v>
      </c>
      <c r="D394" s="114">
        <f t="shared" si="15"/>
        <v>-5.0857027894235518E-4</v>
      </c>
    </row>
    <row r="395" spans="2:4" x14ac:dyDescent="0.25">
      <c r="B395" s="12">
        <v>42646</v>
      </c>
      <c r="C395" s="18">
        <v>13.107333000000001</v>
      </c>
      <c r="D395" s="114">
        <f t="shared" si="15"/>
        <v>-3.636722540802817E-2</v>
      </c>
    </row>
    <row r="396" spans="2:4" x14ac:dyDescent="0.25">
      <c r="B396" s="12">
        <v>42639</v>
      </c>
      <c r="C396" s="18">
        <v>13.602</v>
      </c>
      <c r="D396" s="114">
        <f t="shared" si="15"/>
        <v>-1.6485900216919758E-2</v>
      </c>
    </row>
    <row r="397" spans="2:4" x14ac:dyDescent="0.25">
      <c r="B397" s="12">
        <v>42632</v>
      </c>
      <c r="C397" s="18">
        <v>13.83</v>
      </c>
      <c r="D397" s="114">
        <f t="shared" si="15"/>
        <v>9.9805503890104674E-3</v>
      </c>
    </row>
    <row r="398" spans="2:4" x14ac:dyDescent="0.25">
      <c r="B398" s="12">
        <v>42625</v>
      </c>
      <c r="C398" s="18">
        <v>13.693333000000001</v>
      </c>
      <c r="D398" s="114">
        <f t="shared" si="15"/>
        <v>5.6203988887643552E-2</v>
      </c>
    </row>
    <row r="399" spans="2:4" x14ac:dyDescent="0.25">
      <c r="B399" s="12">
        <v>42618</v>
      </c>
      <c r="C399" s="18">
        <v>12.964667</v>
      </c>
      <c r="D399" s="114">
        <f t="shared" si="15"/>
        <v>-1.6735716875713291E-2</v>
      </c>
    </row>
    <row r="400" spans="2:4" x14ac:dyDescent="0.25">
      <c r="B400" s="12">
        <v>42611</v>
      </c>
      <c r="C400" s="18">
        <v>13.185333</v>
      </c>
      <c r="D400" s="114">
        <f t="shared" si="15"/>
        <v>-0.10095915723441973</v>
      </c>
    </row>
    <row r="401" spans="2:4" x14ac:dyDescent="0.25">
      <c r="B401" s="12">
        <v>42604</v>
      </c>
      <c r="C401" s="18">
        <v>14.666</v>
      </c>
      <c r="D401" s="114">
        <f t="shared" si="15"/>
        <v>-2.2266666666666657E-2</v>
      </c>
    </row>
    <row r="402" spans="2:4" x14ac:dyDescent="0.25">
      <c r="B402" s="12">
        <v>42597</v>
      </c>
      <c r="C402" s="18">
        <v>15</v>
      </c>
      <c r="D402" s="114">
        <f t="shared" si="15"/>
        <v>-2.7038029629935512E-3</v>
      </c>
    </row>
    <row r="403" spans="2:4" x14ac:dyDescent="0.25">
      <c r="B403" s="12">
        <v>42590</v>
      </c>
      <c r="C403" s="18">
        <v>15.040666999999999</v>
      </c>
      <c r="D403" s="114">
        <f t="shared" si="15"/>
        <v>-1.9214841960067064E-2</v>
      </c>
    </row>
    <row r="404" spans="2:4" x14ac:dyDescent="0.25">
      <c r="B404" s="12">
        <v>42583</v>
      </c>
      <c r="C404" s="18">
        <v>15.335333</v>
      </c>
      <c r="D404" s="114">
        <f t="shared" si="15"/>
        <v>-2.0273477995794487E-2</v>
      </c>
    </row>
    <row r="405" spans="2:4" x14ac:dyDescent="0.25">
      <c r="B405" s="12">
        <v>42576</v>
      </c>
      <c r="C405" s="18">
        <v>15.652666999999999</v>
      </c>
      <c r="D405" s="114">
        <f t="shared" si="15"/>
        <v>5.6327911998920177E-2</v>
      </c>
    </row>
    <row r="406" spans="2:4" x14ac:dyDescent="0.25">
      <c r="B406" s="12">
        <v>42569</v>
      </c>
      <c r="C406" s="18">
        <v>14.818</v>
      </c>
      <c r="D406" s="114">
        <f t="shared" si="15"/>
        <v>8.4845963812294478E-3</v>
      </c>
    </row>
    <row r="407" spans="2:4" x14ac:dyDescent="0.25">
      <c r="B407" s="12">
        <v>42562</v>
      </c>
      <c r="C407" s="18">
        <v>14.693333000000001</v>
      </c>
      <c r="D407" s="114">
        <f t="shared" si="15"/>
        <v>1.6698934403542864E-2</v>
      </c>
    </row>
    <row r="408" spans="2:4" x14ac:dyDescent="0.25">
      <c r="B408" s="12">
        <v>42555</v>
      </c>
      <c r="C408" s="18">
        <v>14.452</v>
      </c>
      <c r="D408" s="114">
        <f t="shared" si="15"/>
        <v>1.2933256649729774E-3</v>
      </c>
    </row>
    <row r="409" spans="2:4" x14ac:dyDescent="0.25">
      <c r="B409" s="12">
        <v>42548</v>
      </c>
      <c r="C409" s="18">
        <v>14.433332999999999</v>
      </c>
      <c r="D409" s="114">
        <f t="shared" si="15"/>
        <v>0.12089044470902288</v>
      </c>
    </row>
    <row r="410" spans="2:4" x14ac:dyDescent="0.25">
      <c r="B410" s="12">
        <v>42541</v>
      </c>
      <c r="C410" s="18">
        <v>12.876666999999999</v>
      </c>
      <c r="D410" s="114">
        <f t="shared" si="15"/>
        <v>-0.10358750397764194</v>
      </c>
    </row>
    <row r="411" spans="2:4" x14ac:dyDescent="0.25">
      <c r="B411" s="12">
        <v>42534</v>
      </c>
      <c r="C411" s="18">
        <v>14.364667000000001</v>
      </c>
      <c r="D411" s="114">
        <f t="shared" si="15"/>
        <v>-1.5174345262580546E-2</v>
      </c>
    </row>
    <row r="412" spans="2:4" x14ac:dyDescent="0.25">
      <c r="B412" s="12">
        <v>42527</v>
      </c>
      <c r="C412" s="18">
        <v>14.586</v>
      </c>
      <c r="D412" s="114">
        <f t="shared" si="15"/>
        <v>-9.1326090034382634E-4</v>
      </c>
    </row>
    <row r="413" spans="2:4" x14ac:dyDescent="0.25">
      <c r="B413" s="12">
        <v>42520</v>
      </c>
      <c r="C413" s="18">
        <v>14.599333</v>
      </c>
      <c r="D413" s="114">
        <f t="shared" si="15"/>
        <v>-1.8158178312369433E-2</v>
      </c>
    </row>
    <row r="414" spans="2:4" x14ac:dyDescent="0.25">
      <c r="B414" s="12">
        <v>42513</v>
      </c>
      <c r="C414" s="18">
        <v>14.869332999999999</v>
      </c>
      <c r="D414" s="114">
        <f t="shared" si="15"/>
        <v>1.2529508183437121E-2</v>
      </c>
    </row>
    <row r="415" spans="2:4" x14ac:dyDescent="0.25">
      <c r="B415" s="12">
        <v>42506</v>
      </c>
      <c r="C415" s="18">
        <v>14.685333</v>
      </c>
      <c r="D415" s="114">
        <f t="shared" si="15"/>
        <v>6.1027839193009914E-2</v>
      </c>
    </row>
    <row r="416" spans="2:4" x14ac:dyDescent="0.25">
      <c r="B416" s="12">
        <v>42499</v>
      </c>
      <c r="C416" s="18">
        <v>13.840667</v>
      </c>
      <c r="D416" s="114">
        <f t="shared" si="15"/>
        <v>-3.4057599356590473E-2</v>
      </c>
    </row>
    <row r="417" spans="2:4" x14ac:dyDescent="0.25">
      <c r="B417" s="12">
        <v>42492</v>
      </c>
      <c r="C417" s="18">
        <v>14.328666999999999</v>
      </c>
      <c r="D417" s="114">
        <f t="shared" si="15"/>
        <v>-0.10728526110472547</v>
      </c>
    </row>
    <row r="418" spans="2:4" x14ac:dyDescent="0.25">
      <c r="B418" s="12">
        <v>42485</v>
      </c>
      <c r="C418" s="18">
        <v>16.050667000000001</v>
      </c>
      <c r="D418" s="114">
        <f t="shared" si="15"/>
        <v>-5.1192173305050437E-2</v>
      </c>
    </row>
    <row r="419" spans="2:4" x14ac:dyDescent="0.25">
      <c r="B419" s="12">
        <v>42478</v>
      </c>
      <c r="C419" s="18">
        <v>16.916668000000001</v>
      </c>
      <c r="D419" s="114">
        <f t="shared" si="15"/>
        <v>-2.9860320416884578E-3</v>
      </c>
    </row>
    <row r="420" spans="2:4" x14ac:dyDescent="0.25">
      <c r="B420" s="12">
        <v>42471</v>
      </c>
      <c r="C420" s="18">
        <v>16.967333</v>
      </c>
      <c r="D420" s="114">
        <f t="shared" si="15"/>
        <v>1.7755028946995433E-2</v>
      </c>
    </row>
    <row r="421" spans="2:4" x14ac:dyDescent="0.25">
      <c r="B421" s="12">
        <v>42464</v>
      </c>
      <c r="C421" s="18">
        <v>16.671333000000001</v>
      </c>
      <c r="D421" s="114">
        <f t="shared" si="15"/>
        <v>5.2527464382496447E-2</v>
      </c>
    </row>
    <row r="422" spans="2:4" x14ac:dyDescent="0.25">
      <c r="B422" s="12">
        <v>42457</v>
      </c>
      <c r="C422" s="18">
        <v>15.839333</v>
      </c>
      <c r="D422" s="114">
        <f t="shared" si="15"/>
        <v>4.3205269883760167E-2</v>
      </c>
    </row>
    <row r="423" spans="2:4" x14ac:dyDescent="0.25">
      <c r="B423" s="12">
        <v>42450</v>
      </c>
      <c r="C423" s="18">
        <v>15.183332999999999</v>
      </c>
      <c r="D423" s="114">
        <f t="shared" si="15"/>
        <v>-2.1440255220417703E-2</v>
      </c>
    </row>
    <row r="424" spans="2:4" x14ac:dyDescent="0.25">
      <c r="B424" s="12">
        <v>42443</v>
      </c>
      <c r="C424" s="18">
        <v>15.516</v>
      </c>
      <c r="D424" s="114">
        <f t="shared" si="15"/>
        <v>0.12163858124430327</v>
      </c>
    </row>
    <row r="425" spans="2:4" x14ac:dyDescent="0.25">
      <c r="B425" s="12">
        <v>42436</v>
      </c>
      <c r="C425" s="18">
        <v>13.833333</v>
      </c>
      <c r="D425" s="114">
        <f t="shared" si="15"/>
        <v>3.2132858333345116E-2</v>
      </c>
    </row>
    <row r="426" spans="2:4" x14ac:dyDescent="0.25">
      <c r="B426" s="12">
        <v>42429</v>
      </c>
      <c r="C426" s="18">
        <v>13.402666999999999</v>
      </c>
      <c r="D426" s="114">
        <f t="shared" si="15"/>
        <v>5.6215247877883012E-2</v>
      </c>
    </row>
    <row r="427" spans="2:4" x14ac:dyDescent="0.25">
      <c r="B427" s="12">
        <v>42422</v>
      </c>
      <c r="C427" s="18">
        <v>12.689333</v>
      </c>
      <c r="D427" s="114">
        <f t="shared" si="15"/>
        <v>0.14263417404953094</v>
      </c>
    </row>
    <row r="428" spans="2:4" x14ac:dyDescent="0.25">
      <c r="B428" s="12">
        <v>42415</v>
      </c>
      <c r="C428" s="18">
        <v>11.105333</v>
      </c>
      <c r="D428" s="114">
        <f t="shared" si="15"/>
        <v>0.10288665594831348</v>
      </c>
    </row>
    <row r="429" spans="2:4" x14ac:dyDescent="0.25">
      <c r="B429" s="12">
        <v>42408</v>
      </c>
      <c r="C429" s="18">
        <v>10.069333</v>
      </c>
      <c r="D429" s="114">
        <f t="shared" si="15"/>
        <v>-7.1094741697416919E-2</v>
      </c>
    </row>
    <row r="430" spans="2:4" x14ac:dyDescent="0.25">
      <c r="B430" s="12">
        <v>42401</v>
      </c>
      <c r="C430" s="18">
        <v>10.84</v>
      </c>
      <c r="D430" s="114">
        <f t="shared" si="15"/>
        <v>-0.14958161219713362</v>
      </c>
    </row>
    <row r="431" spans="2:4" x14ac:dyDescent="0.25">
      <c r="B431" s="12">
        <v>42394</v>
      </c>
      <c r="C431" s="18">
        <v>12.746667</v>
      </c>
      <c r="D431" s="114">
        <f t="shared" si="15"/>
        <v>-5.6035498791298322E-2</v>
      </c>
    </row>
    <row r="432" spans="2:4" x14ac:dyDescent="0.25">
      <c r="B432" s="12">
        <v>42387</v>
      </c>
      <c r="C432" s="18">
        <v>13.503333</v>
      </c>
      <c r="D432" s="114">
        <f t="shared" si="15"/>
        <v>-1.1903044050929346E-2</v>
      </c>
    </row>
    <row r="433" spans="2:4" x14ac:dyDescent="0.25">
      <c r="B433" s="12">
        <v>42380</v>
      </c>
      <c r="C433" s="18">
        <v>13.666</v>
      </c>
      <c r="D433" s="114">
        <f t="shared" si="15"/>
        <v>-2.8483435343994445E-2</v>
      </c>
    </row>
    <row r="434" spans="2:4" x14ac:dyDescent="0.25">
      <c r="B434" s="12">
        <v>42373</v>
      </c>
      <c r="C434" s="18">
        <v>14.066667000000001</v>
      </c>
      <c r="D434" s="114">
        <f t="shared" si="15"/>
        <v>-0.12087001617682458</v>
      </c>
    </row>
    <row r="435" spans="2:4" x14ac:dyDescent="0.25">
      <c r="B435" s="12">
        <v>42366</v>
      </c>
      <c r="C435" s="18">
        <v>16.000668000000001</v>
      </c>
      <c r="D435" s="114">
        <f t="shared" si="15"/>
        <v>4.0942122586245411E-2</v>
      </c>
    </row>
    <row r="436" spans="2:4" x14ac:dyDescent="0.25">
      <c r="B436" s="12">
        <v>42359</v>
      </c>
      <c r="C436" s="18">
        <v>15.371333</v>
      </c>
      <c r="D436" s="114">
        <f t="shared" si="15"/>
        <v>4.7728456131213015E-4</v>
      </c>
    </row>
    <row r="437" spans="2:4" x14ac:dyDescent="0.25">
      <c r="B437" s="12">
        <v>42352</v>
      </c>
      <c r="C437" s="18">
        <v>15.364000000000001</v>
      </c>
      <c r="D437" s="114">
        <f t="shared" si="15"/>
        <v>6.192977605750638E-2</v>
      </c>
    </row>
    <row r="438" spans="2:4" x14ac:dyDescent="0.25">
      <c r="B438" s="12">
        <v>42345</v>
      </c>
      <c r="C438" s="18">
        <v>14.468</v>
      </c>
      <c r="D438" s="114">
        <f t="shared" si="15"/>
        <v>-5.7991165509350573E-2</v>
      </c>
    </row>
    <row r="439" spans="2:4" x14ac:dyDescent="0.25">
      <c r="B439" s="12">
        <v>42338</v>
      </c>
      <c r="C439" s="18">
        <v>15.358667000000001</v>
      </c>
      <c r="D439" s="114">
        <f t="shared" si="15"/>
        <v>-5.3106514116261216E-3</v>
      </c>
    </row>
    <row r="440" spans="2:4" x14ac:dyDescent="0.25">
      <c r="B440" s="12">
        <v>42331</v>
      </c>
      <c r="C440" s="18">
        <v>15.440666999999999</v>
      </c>
      <c r="D440" s="114">
        <f t="shared" si="15"/>
        <v>5.2724922792712237E-2</v>
      </c>
    </row>
    <row r="441" spans="2:4" x14ac:dyDescent="0.25">
      <c r="B441" s="12">
        <v>42324</v>
      </c>
      <c r="C441" s="18">
        <v>14.667332999999999</v>
      </c>
      <c r="D441" s="114">
        <f t="shared" si="15"/>
        <v>6.187552338733715E-2</v>
      </c>
    </row>
    <row r="442" spans="2:4" x14ac:dyDescent="0.25">
      <c r="B442" s="12">
        <v>42317</v>
      </c>
      <c r="C442" s="18">
        <v>13.812666999999999</v>
      </c>
      <c r="D442" s="114">
        <f t="shared" si="15"/>
        <v>-0.10832328911337397</v>
      </c>
    </row>
    <row r="443" spans="2:4" x14ac:dyDescent="0.25">
      <c r="B443" s="12">
        <v>42310</v>
      </c>
      <c r="C443" s="18">
        <v>15.490667</v>
      </c>
      <c r="D443" s="114">
        <f t="shared" si="15"/>
        <v>0.12289185045406303</v>
      </c>
    </row>
    <row r="444" spans="2:4" x14ac:dyDescent="0.25">
      <c r="B444" s="12">
        <v>42303</v>
      </c>
      <c r="C444" s="18">
        <v>13.795332999999999</v>
      </c>
      <c r="D444" s="114">
        <f t="shared" si="15"/>
        <v>-1.0330479944772097E-2</v>
      </c>
    </row>
    <row r="445" spans="2:4" x14ac:dyDescent="0.25">
      <c r="B445" s="12">
        <v>42296</v>
      </c>
      <c r="C445" s="18">
        <v>13.939333</v>
      </c>
      <c r="D445" s="114">
        <f t="shared" si="15"/>
        <v>-7.8939275802828113E-2</v>
      </c>
    </row>
    <row r="446" spans="2:4" x14ac:dyDescent="0.25">
      <c r="B446" s="12">
        <v>42289</v>
      </c>
      <c r="C446" s="18">
        <v>15.134</v>
      </c>
      <c r="D446" s="114">
        <f t="shared" si="15"/>
        <v>2.8637431948945746E-2</v>
      </c>
    </row>
    <row r="447" spans="2:4" x14ac:dyDescent="0.25">
      <c r="B447" s="12">
        <v>42282</v>
      </c>
      <c r="C447" s="18">
        <v>14.712667</v>
      </c>
      <c r="D447" s="114">
        <f t="shared" si="15"/>
        <v>-0.10857535023275544</v>
      </c>
    </row>
    <row r="448" spans="2:4" x14ac:dyDescent="0.25">
      <c r="B448" s="12">
        <v>42275</v>
      </c>
      <c r="C448" s="18">
        <v>16.504667000000001</v>
      </c>
      <c r="D448" s="114">
        <f t="shared" si="15"/>
        <v>-3.6355105608094296E-2</v>
      </c>
    </row>
    <row r="449" spans="2:4" x14ac:dyDescent="0.25">
      <c r="B449" s="12">
        <v>42268</v>
      </c>
      <c r="C449" s="18">
        <v>17.127333</v>
      </c>
      <c r="D449" s="114">
        <f t="shared" si="15"/>
        <v>-1.4235266450589701E-2</v>
      </c>
    </row>
    <row r="450" spans="2:4" x14ac:dyDescent="0.25">
      <c r="B450" s="12">
        <v>42261</v>
      </c>
      <c r="C450" s="18">
        <v>17.374666000000001</v>
      </c>
      <c r="D450" s="114">
        <f t="shared" si="15"/>
        <v>4.1480118256871146E-2</v>
      </c>
    </row>
    <row r="451" spans="2:4" x14ac:dyDescent="0.25">
      <c r="B451" s="12">
        <v>42254</v>
      </c>
      <c r="C451" s="18">
        <v>16.682666999999999</v>
      </c>
      <c r="D451" s="114">
        <f t="shared" ref="D451:D514" si="16">C451/C452-1</f>
        <v>3.4348713731350733E-2</v>
      </c>
    </row>
    <row r="452" spans="2:4" x14ac:dyDescent="0.25">
      <c r="B452" s="12">
        <v>42247</v>
      </c>
      <c r="C452" s="18">
        <v>16.128668000000001</v>
      </c>
      <c r="D452" s="114">
        <f t="shared" si="16"/>
        <v>-2.6360111587259483E-2</v>
      </c>
    </row>
    <row r="453" spans="2:4" x14ac:dyDescent="0.25">
      <c r="B453" s="12">
        <v>42240</v>
      </c>
      <c r="C453" s="18">
        <v>16.565332000000001</v>
      </c>
      <c r="D453" s="114">
        <f t="shared" si="16"/>
        <v>7.6742967527344108E-2</v>
      </c>
    </row>
    <row r="454" spans="2:4" x14ac:dyDescent="0.25">
      <c r="B454" s="12">
        <v>42233</v>
      </c>
      <c r="C454" s="18">
        <v>15.384667</v>
      </c>
      <c r="D454" s="114">
        <f t="shared" si="16"/>
        <v>-5.0914993887414717E-2</v>
      </c>
    </row>
    <row r="455" spans="2:4" x14ac:dyDescent="0.25">
      <c r="B455" s="12">
        <v>42226</v>
      </c>
      <c r="C455" s="18">
        <v>16.209999</v>
      </c>
      <c r="D455" s="114">
        <f t="shared" si="16"/>
        <v>2.6389632328991386E-3</v>
      </c>
    </row>
    <row r="456" spans="2:4" x14ac:dyDescent="0.25">
      <c r="B456" s="12">
        <v>42219</v>
      </c>
      <c r="C456" s="18">
        <v>16.167334</v>
      </c>
      <c r="D456" s="114">
        <f t="shared" si="16"/>
        <v>-8.882208946751502E-2</v>
      </c>
    </row>
    <row r="457" spans="2:4" x14ac:dyDescent="0.25">
      <c r="B457" s="12">
        <v>42212</v>
      </c>
      <c r="C457" s="18">
        <v>17.743334000000001</v>
      </c>
      <c r="D457" s="114">
        <f t="shared" si="16"/>
        <v>2.7881767830904014E-3</v>
      </c>
    </row>
    <row r="458" spans="2:4" x14ac:dyDescent="0.25">
      <c r="B458" s="12">
        <v>42205</v>
      </c>
      <c r="C458" s="18">
        <v>17.693999999999999</v>
      </c>
      <c r="D458" s="114">
        <f t="shared" si="16"/>
        <v>-3.3678019484489563E-2</v>
      </c>
    </row>
    <row r="459" spans="2:4" x14ac:dyDescent="0.25">
      <c r="B459" s="12">
        <v>42198</v>
      </c>
      <c r="C459" s="18">
        <v>18.310666999999999</v>
      </c>
      <c r="D459" s="114">
        <f t="shared" si="16"/>
        <v>5.9849506852218681E-2</v>
      </c>
    </row>
    <row r="460" spans="2:4" x14ac:dyDescent="0.25">
      <c r="B460" s="12">
        <v>42191</v>
      </c>
      <c r="C460" s="18">
        <v>17.276667</v>
      </c>
      <c r="D460" s="114">
        <f t="shared" si="16"/>
        <v>-7.4530323255320385E-2</v>
      </c>
    </row>
    <row r="461" spans="2:4" x14ac:dyDescent="0.25">
      <c r="B461" s="12">
        <v>42184</v>
      </c>
      <c r="C461" s="18">
        <v>18.667998999999998</v>
      </c>
      <c r="D461" s="114">
        <f t="shared" si="16"/>
        <v>4.8410591935302616E-2</v>
      </c>
    </row>
    <row r="462" spans="2:4" x14ac:dyDescent="0.25">
      <c r="B462" s="12">
        <v>42177</v>
      </c>
      <c r="C462" s="18">
        <v>17.806000000000001</v>
      </c>
      <c r="D462" s="114">
        <f t="shared" si="16"/>
        <v>1.7446876884928075E-2</v>
      </c>
    </row>
    <row r="463" spans="2:4" x14ac:dyDescent="0.25">
      <c r="B463" s="12">
        <v>42170</v>
      </c>
      <c r="C463" s="18">
        <v>17.500668000000001</v>
      </c>
      <c r="D463" s="114">
        <f t="shared" si="16"/>
        <v>4.7149925263274994E-2</v>
      </c>
    </row>
    <row r="464" spans="2:4" x14ac:dyDescent="0.25">
      <c r="B464" s="12">
        <v>42163</v>
      </c>
      <c r="C464" s="18">
        <v>16.712667</v>
      </c>
      <c r="D464" s="114">
        <f t="shared" si="16"/>
        <v>6.2214418845116803E-3</v>
      </c>
    </row>
    <row r="465" spans="2:4" x14ac:dyDescent="0.25">
      <c r="B465" s="12">
        <v>42156</v>
      </c>
      <c r="C465" s="18">
        <v>16.609332999999999</v>
      </c>
      <c r="D465" s="114">
        <f t="shared" si="16"/>
        <v>-6.6187803001663825E-3</v>
      </c>
    </row>
    <row r="466" spans="2:4" x14ac:dyDescent="0.25">
      <c r="B466" s="12">
        <v>42149</v>
      </c>
      <c r="C466" s="18">
        <v>16.719999000000001</v>
      </c>
      <c r="D466" s="114">
        <f t="shared" si="16"/>
        <v>1.2392484002593518E-2</v>
      </c>
    </row>
    <row r="467" spans="2:4" x14ac:dyDescent="0.25">
      <c r="B467" s="12">
        <v>42142</v>
      </c>
      <c r="C467" s="18">
        <v>16.515332999999998</v>
      </c>
      <c r="D467" s="114">
        <f t="shared" si="16"/>
        <v>-4.4606977266657966E-3</v>
      </c>
    </row>
    <row r="468" spans="2:4" x14ac:dyDescent="0.25">
      <c r="B468" s="12">
        <v>42135</v>
      </c>
      <c r="C468" s="18">
        <v>16.589333</v>
      </c>
      <c r="D468" s="114">
        <f t="shared" si="16"/>
        <v>5.1688411309750215E-2</v>
      </c>
    </row>
    <row r="469" spans="2:4" x14ac:dyDescent="0.25">
      <c r="B469" s="12">
        <v>42128</v>
      </c>
      <c r="C469" s="18">
        <v>15.773999999999999</v>
      </c>
      <c r="D469" s="114">
        <f t="shared" si="16"/>
        <v>4.6807922691502801E-2</v>
      </c>
    </row>
    <row r="470" spans="2:4" x14ac:dyDescent="0.25">
      <c r="B470" s="12">
        <v>42121</v>
      </c>
      <c r="C470" s="18">
        <v>15.068667</v>
      </c>
      <c r="D470" s="114">
        <f t="shared" si="16"/>
        <v>3.4793778327152802E-2</v>
      </c>
    </row>
    <row r="471" spans="2:4" x14ac:dyDescent="0.25">
      <c r="B471" s="12">
        <v>42114</v>
      </c>
      <c r="C471" s="18">
        <v>14.561999999999999</v>
      </c>
      <c r="D471" s="114">
        <f t="shared" si="16"/>
        <v>5.6288988829247044E-2</v>
      </c>
    </row>
    <row r="472" spans="2:4" x14ac:dyDescent="0.25">
      <c r="B472" s="12">
        <v>42107</v>
      </c>
      <c r="C472" s="18">
        <v>13.786</v>
      </c>
      <c r="D472" s="114">
        <f t="shared" si="16"/>
        <v>-1.9487908961593248E-2</v>
      </c>
    </row>
    <row r="473" spans="2:4" x14ac:dyDescent="0.25">
      <c r="B473" s="12">
        <v>42100</v>
      </c>
      <c r="C473" s="18">
        <v>14.06</v>
      </c>
      <c r="D473" s="114">
        <f t="shared" si="16"/>
        <v>0.1041885105808511</v>
      </c>
    </row>
    <row r="474" spans="2:4" x14ac:dyDescent="0.25">
      <c r="B474" s="12">
        <v>42093</v>
      </c>
      <c r="C474" s="18">
        <v>12.733333</v>
      </c>
      <c r="D474" s="114">
        <f t="shared" si="16"/>
        <v>3.2432433308984709E-2</v>
      </c>
    </row>
    <row r="475" spans="2:4" x14ac:dyDescent="0.25">
      <c r="B475" s="12">
        <v>42086</v>
      </c>
      <c r="C475" s="18">
        <v>12.333333</v>
      </c>
      <c r="D475" s="114">
        <f t="shared" si="16"/>
        <v>-6.6033927353441269E-2</v>
      </c>
    </row>
    <row r="476" spans="2:4" x14ac:dyDescent="0.25">
      <c r="B476" s="12">
        <v>42079</v>
      </c>
      <c r="C476" s="18">
        <v>13.205333</v>
      </c>
      <c r="D476" s="114">
        <f t="shared" si="16"/>
        <v>4.9819746400791232E-2</v>
      </c>
    </row>
    <row r="477" spans="2:4" x14ac:dyDescent="0.25">
      <c r="B477" s="12">
        <v>42072</v>
      </c>
      <c r="C477" s="18">
        <v>12.578666999999999</v>
      </c>
      <c r="D477" s="114">
        <f t="shared" si="16"/>
        <v>-2.6820662957000807E-2</v>
      </c>
    </row>
    <row r="478" spans="2:4" x14ac:dyDescent="0.25">
      <c r="B478" s="12">
        <v>42065</v>
      </c>
      <c r="C478" s="18">
        <v>12.925333</v>
      </c>
      <c r="D478" s="114">
        <f t="shared" si="16"/>
        <v>-4.6523089406904639E-2</v>
      </c>
    </row>
    <row r="479" spans="2:4" x14ac:dyDescent="0.25">
      <c r="B479" s="12">
        <v>42058</v>
      </c>
      <c r="C479" s="18">
        <v>13.555999999999999</v>
      </c>
      <c r="D479" s="114">
        <f t="shared" si="16"/>
        <v>-6.3424070747547412E-2</v>
      </c>
    </row>
    <row r="480" spans="2:4" x14ac:dyDescent="0.25">
      <c r="B480" s="12">
        <v>42051</v>
      </c>
      <c r="C480" s="18">
        <v>14.474</v>
      </c>
      <c r="D480" s="114">
        <f t="shared" si="16"/>
        <v>6.5465940387055443E-2</v>
      </c>
    </row>
    <row r="481" spans="2:4" x14ac:dyDescent="0.25">
      <c r="B481" s="12">
        <v>42044</v>
      </c>
      <c r="C481" s="18">
        <v>13.584667</v>
      </c>
      <c r="D481" s="114">
        <f t="shared" si="16"/>
        <v>-6.2523001874240869E-2</v>
      </c>
    </row>
    <row r="482" spans="2:4" x14ac:dyDescent="0.25">
      <c r="B482" s="12">
        <v>42037</v>
      </c>
      <c r="C482" s="18">
        <v>14.490667</v>
      </c>
      <c r="D482" s="114">
        <f t="shared" si="16"/>
        <v>6.7583547828672597E-2</v>
      </c>
    </row>
    <row r="483" spans="2:4" x14ac:dyDescent="0.25">
      <c r="B483" s="12">
        <v>42030</v>
      </c>
      <c r="C483" s="18">
        <v>13.573333</v>
      </c>
      <c r="D483" s="114">
        <f t="shared" si="16"/>
        <v>1.1475980214515902E-2</v>
      </c>
    </row>
    <row r="484" spans="2:4" x14ac:dyDescent="0.25">
      <c r="B484" s="12">
        <v>42023</v>
      </c>
      <c r="C484" s="18">
        <v>13.419333</v>
      </c>
      <c r="D484" s="114">
        <f t="shared" si="16"/>
        <v>4.2575232883804714E-2</v>
      </c>
    </row>
    <row r="485" spans="2:4" x14ac:dyDescent="0.25">
      <c r="B485" s="12">
        <v>42016</v>
      </c>
      <c r="C485" s="18">
        <v>12.871333</v>
      </c>
      <c r="D485" s="114">
        <f t="shared" si="16"/>
        <v>-6.5760187403469228E-2</v>
      </c>
    </row>
    <row r="486" spans="2:4" x14ac:dyDescent="0.25">
      <c r="B486" s="12">
        <v>42009</v>
      </c>
      <c r="C486" s="18">
        <v>13.777333</v>
      </c>
      <c r="D486" s="114">
        <f t="shared" si="16"/>
        <v>-5.7680952585815626E-2</v>
      </c>
    </row>
    <row r="487" spans="2:4" x14ac:dyDescent="0.25">
      <c r="B487" s="12">
        <v>42002</v>
      </c>
      <c r="C487" s="18">
        <v>14.620666999999999</v>
      </c>
      <c r="D487" s="114">
        <f t="shared" si="16"/>
        <v>-3.7354029496971419E-2</v>
      </c>
    </row>
    <row r="488" spans="2:4" x14ac:dyDescent="0.25">
      <c r="B488" s="12">
        <v>41995</v>
      </c>
      <c r="C488" s="18">
        <v>15.188000000000001</v>
      </c>
      <c r="D488" s="114">
        <f t="shared" si="16"/>
        <v>3.8898286262444515E-2</v>
      </c>
    </row>
    <row r="489" spans="2:4" x14ac:dyDescent="0.25">
      <c r="B489" s="12">
        <v>41988</v>
      </c>
      <c r="C489" s="18">
        <v>14.619332999999999</v>
      </c>
      <c r="D489" s="114">
        <f t="shared" si="16"/>
        <v>5.9371956521738989E-2</v>
      </c>
    </row>
    <row r="490" spans="2:4" x14ac:dyDescent="0.25">
      <c r="B490" s="12">
        <v>41981</v>
      </c>
      <c r="C490" s="18">
        <v>13.8</v>
      </c>
      <c r="D490" s="114">
        <f t="shared" si="16"/>
        <v>-7.4694917527155624E-2</v>
      </c>
    </row>
    <row r="491" spans="2:4" x14ac:dyDescent="0.25">
      <c r="B491" s="12">
        <v>41974</v>
      </c>
      <c r="C491" s="18">
        <v>14.914</v>
      </c>
      <c r="D491" s="114">
        <f t="shared" si="16"/>
        <v>-8.5105438009605572E-2</v>
      </c>
    </row>
    <row r="492" spans="2:4" x14ac:dyDescent="0.25">
      <c r="B492" s="12">
        <v>41967</v>
      </c>
      <c r="C492" s="18">
        <v>16.301331999999999</v>
      </c>
      <c r="D492" s="114">
        <f t="shared" si="16"/>
        <v>7.1669208165194842E-3</v>
      </c>
    </row>
    <row r="493" spans="2:4" x14ac:dyDescent="0.25">
      <c r="B493" s="12">
        <v>41960</v>
      </c>
      <c r="C493" s="18">
        <v>16.185333</v>
      </c>
      <c r="D493" s="114">
        <f t="shared" si="16"/>
        <v>-6.1465905007459076E-2</v>
      </c>
    </row>
    <row r="494" spans="2:4" x14ac:dyDescent="0.25">
      <c r="B494" s="12">
        <v>41953</v>
      </c>
      <c r="C494" s="18">
        <v>17.245332999999999</v>
      </c>
      <c r="D494" s="114">
        <f t="shared" si="16"/>
        <v>7.6935955614983786E-2</v>
      </c>
    </row>
    <row r="495" spans="2:4" x14ac:dyDescent="0.25">
      <c r="B495" s="12">
        <v>41946</v>
      </c>
      <c r="C495" s="18">
        <v>16.013331999999998</v>
      </c>
      <c r="D495" s="114">
        <f t="shared" si="16"/>
        <v>-6.2061027349216147E-3</v>
      </c>
    </row>
    <row r="496" spans="2:4" x14ac:dyDescent="0.25">
      <c r="B496" s="12">
        <v>41939</v>
      </c>
      <c r="C496" s="18">
        <v>16.113333000000001</v>
      </c>
      <c r="D496" s="114">
        <f t="shared" si="16"/>
        <v>2.7461273009240061E-2</v>
      </c>
    </row>
    <row r="497" spans="2:4" x14ac:dyDescent="0.25">
      <c r="B497" s="12">
        <v>41932</v>
      </c>
      <c r="C497" s="18">
        <v>15.682667</v>
      </c>
      <c r="D497" s="114">
        <f t="shared" si="16"/>
        <v>3.4112933754899988E-2</v>
      </c>
    </row>
    <row r="498" spans="2:4" x14ac:dyDescent="0.25">
      <c r="B498" s="12">
        <v>41925</v>
      </c>
      <c r="C498" s="18">
        <v>15.165333</v>
      </c>
      <c r="D498" s="114">
        <f t="shared" si="16"/>
        <v>-3.9804166139040142E-2</v>
      </c>
    </row>
    <row r="499" spans="2:4" x14ac:dyDescent="0.25">
      <c r="B499" s="12">
        <v>41918</v>
      </c>
      <c r="C499" s="18">
        <v>15.794</v>
      </c>
      <c r="D499" s="114">
        <f t="shared" si="16"/>
        <v>-7.1705654167156352E-2</v>
      </c>
    </row>
    <row r="500" spans="2:4" x14ac:dyDescent="0.25">
      <c r="B500" s="12">
        <v>41911</v>
      </c>
      <c r="C500" s="18">
        <v>17.013999999999999</v>
      </c>
      <c r="D500" s="114">
        <f t="shared" si="16"/>
        <v>3.4914778898127885E-2</v>
      </c>
    </row>
    <row r="501" spans="2:4" x14ac:dyDescent="0.25">
      <c r="B501" s="12">
        <v>41904</v>
      </c>
      <c r="C501" s="18">
        <v>16.440000999999999</v>
      </c>
      <c r="D501" s="114">
        <f t="shared" si="16"/>
        <v>-4.9051307265155053E-2</v>
      </c>
    </row>
    <row r="502" spans="2:4" x14ac:dyDescent="0.25">
      <c r="B502" s="12">
        <v>41897</v>
      </c>
      <c r="C502" s="18">
        <v>17.288</v>
      </c>
      <c r="D502" s="114">
        <f t="shared" si="16"/>
        <v>-7.1203421762238928E-2</v>
      </c>
    </row>
    <row r="503" spans="2:4" x14ac:dyDescent="0.25">
      <c r="B503" s="12">
        <v>41890</v>
      </c>
      <c r="C503" s="18">
        <v>18.613333000000001</v>
      </c>
      <c r="D503" s="114">
        <f t="shared" si="16"/>
        <v>6.5251273126329945E-3</v>
      </c>
    </row>
    <row r="504" spans="2:4" x14ac:dyDescent="0.25">
      <c r="B504" s="12">
        <v>41883</v>
      </c>
      <c r="C504" s="18">
        <v>18.492666</v>
      </c>
      <c r="D504" s="114">
        <f t="shared" si="16"/>
        <v>2.8513125695216912E-2</v>
      </c>
    </row>
    <row r="505" spans="2:4" x14ac:dyDescent="0.25">
      <c r="B505" s="12">
        <v>41876</v>
      </c>
      <c r="C505" s="18">
        <v>17.98</v>
      </c>
      <c r="D505" s="114">
        <f t="shared" si="16"/>
        <v>5.0315363321492113E-2</v>
      </c>
    </row>
    <row r="506" spans="2:4" x14ac:dyDescent="0.25">
      <c r="B506" s="12">
        <v>41869</v>
      </c>
      <c r="C506" s="18">
        <v>17.118668</v>
      </c>
      <c r="D506" s="114">
        <f t="shared" si="16"/>
        <v>-1.9960975152875426E-2</v>
      </c>
    </row>
    <row r="507" spans="2:4" x14ac:dyDescent="0.25">
      <c r="B507" s="12">
        <v>41862</v>
      </c>
      <c r="C507" s="18">
        <v>17.467333</v>
      </c>
      <c r="D507" s="114">
        <f t="shared" si="16"/>
        <v>5.593839922621191E-2</v>
      </c>
    </row>
    <row r="508" spans="2:4" x14ac:dyDescent="0.25">
      <c r="B508" s="12">
        <v>41855</v>
      </c>
      <c r="C508" s="18">
        <v>16.542000000000002</v>
      </c>
      <c r="D508" s="114">
        <f t="shared" si="16"/>
        <v>6.370302790120963E-2</v>
      </c>
    </row>
    <row r="509" spans="2:4" x14ac:dyDescent="0.25">
      <c r="B509" s="12">
        <v>41848</v>
      </c>
      <c r="C509" s="18">
        <v>15.551333</v>
      </c>
      <c r="D509" s="114">
        <f t="shared" si="16"/>
        <v>4.3386813002933788E-2</v>
      </c>
    </row>
    <row r="510" spans="2:4" x14ac:dyDescent="0.25">
      <c r="B510" s="12">
        <v>41841</v>
      </c>
      <c r="C510" s="18">
        <v>14.904667</v>
      </c>
      <c r="D510" s="114">
        <f t="shared" si="16"/>
        <v>1.6134919552768023E-2</v>
      </c>
    </row>
    <row r="511" spans="2:4" x14ac:dyDescent="0.25">
      <c r="B511" s="12">
        <v>41834</v>
      </c>
      <c r="C511" s="18">
        <v>14.667999999999999</v>
      </c>
      <c r="D511" s="114">
        <f t="shared" si="16"/>
        <v>8.664557832485098E-3</v>
      </c>
    </row>
    <row r="512" spans="2:4" x14ac:dyDescent="0.25">
      <c r="B512" s="12">
        <v>41827</v>
      </c>
      <c r="C512" s="18">
        <v>14.542</v>
      </c>
      <c r="D512" s="114">
        <f t="shared" si="16"/>
        <v>-4.8505977066651718E-2</v>
      </c>
    </row>
    <row r="513" spans="2:4" x14ac:dyDescent="0.25">
      <c r="B513" s="12">
        <v>41820</v>
      </c>
      <c r="C513" s="18">
        <v>15.283333000000001</v>
      </c>
      <c r="D513" s="114">
        <f t="shared" si="16"/>
        <v>-4.1035724107665983E-2</v>
      </c>
    </row>
    <row r="514" spans="2:4" x14ac:dyDescent="0.25">
      <c r="B514" s="12">
        <v>41813</v>
      </c>
      <c r="C514" s="18">
        <v>15.937333000000001</v>
      </c>
      <c r="D514" s="114">
        <f t="shared" si="16"/>
        <v>4.1247419312687938E-2</v>
      </c>
    </row>
    <row r="515" spans="2:4" x14ac:dyDescent="0.25">
      <c r="B515" s="12">
        <v>41806</v>
      </c>
      <c r="C515" s="18">
        <v>15.305999999999999</v>
      </c>
      <c r="D515" s="114">
        <f t="shared" ref="D515:D578" si="17">C515/C516-1</f>
        <v>0.11224690224413569</v>
      </c>
    </row>
    <row r="516" spans="2:4" x14ac:dyDescent="0.25">
      <c r="B516" s="12">
        <v>41799</v>
      </c>
      <c r="C516" s="18">
        <v>13.761333</v>
      </c>
      <c r="D516" s="114">
        <f t="shared" si="17"/>
        <v>-8.4066147859921392E-3</v>
      </c>
    </row>
    <row r="517" spans="2:4" x14ac:dyDescent="0.25">
      <c r="B517" s="12">
        <v>41792</v>
      </c>
      <c r="C517" s="18">
        <v>13.878</v>
      </c>
      <c r="D517" s="114">
        <f t="shared" si="17"/>
        <v>1.9252298677678858E-3</v>
      </c>
    </row>
    <row r="518" spans="2:4" x14ac:dyDescent="0.25">
      <c r="B518" s="12">
        <v>41785</v>
      </c>
      <c r="C518" s="18">
        <v>13.851333</v>
      </c>
      <c r="D518" s="114">
        <f t="shared" si="17"/>
        <v>2.267221418234433E-3</v>
      </c>
    </row>
    <row r="519" spans="2:4" x14ac:dyDescent="0.25">
      <c r="B519" s="12">
        <v>41778</v>
      </c>
      <c r="C519" s="18">
        <v>13.82</v>
      </c>
      <c r="D519" s="114">
        <f t="shared" si="17"/>
        <v>8.2167438865957454E-2</v>
      </c>
    </row>
    <row r="520" spans="2:4" x14ac:dyDescent="0.25">
      <c r="B520" s="12">
        <v>41771</v>
      </c>
      <c r="C520" s="18">
        <v>12.770667</v>
      </c>
      <c r="D520" s="114">
        <f t="shared" si="17"/>
        <v>5.1026005403653985E-2</v>
      </c>
    </row>
    <row r="521" spans="2:4" x14ac:dyDescent="0.25">
      <c r="B521" s="12">
        <v>41764</v>
      </c>
      <c r="C521" s="18">
        <v>12.150667</v>
      </c>
      <c r="D521" s="114">
        <f t="shared" si="17"/>
        <v>-0.13583992850410298</v>
      </c>
    </row>
    <row r="522" spans="2:4" x14ac:dyDescent="0.25">
      <c r="B522" s="12">
        <v>41757</v>
      </c>
      <c r="C522" s="18">
        <v>14.060667</v>
      </c>
      <c r="D522" s="114">
        <f t="shared" si="17"/>
        <v>5.5341557551702669E-2</v>
      </c>
    </row>
    <row r="523" spans="2:4" x14ac:dyDescent="0.25">
      <c r="B523" s="12">
        <v>41750</v>
      </c>
      <c r="C523" s="18">
        <v>13.323333</v>
      </c>
      <c r="D523" s="114">
        <f t="shared" si="17"/>
        <v>8.7320563294972509E-3</v>
      </c>
    </row>
    <row r="524" spans="2:4" x14ac:dyDescent="0.25">
      <c r="B524" s="12">
        <v>41743</v>
      </c>
      <c r="C524" s="18">
        <v>13.208</v>
      </c>
      <c r="D524" s="114">
        <f t="shared" si="17"/>
        <v>-2.777502767138651E-2</v>
      </c>
    </row>
    <row r="525" spans="2:4" x14ac:dyDescent="0.25">
      <c r="B525" s="12">
        <v>41736</v>
      </c>
      <c r="C525" s="18">
        <v>13.585333</v>
      </c>
      <c r="D525" s="114">
        <f t="shared" si="17"/>
        <v>-3.9815340908086916E-2</v>
      </c>
    </row>
    <row r="526" spans="2:4" x14ac:dyDescent="0.25">
      <c r="B526" s="12">
        <v>41729</v>
      </c>
      <c r="C526" s="18">
        <v>14.148667</v>
      </c>
      <c r="D526" s="114">
        <f t="shared" si="17"/>
        <v>-6.5920327729906969E-4</v>
      </c>
    </row>
    <row r="527" spans="2:4" x14ac:dyDescent="0.25">
      <c r="B527" s="12">
        <v>41722</v>
      </c>
      <c r="C527" s="18">
        <v>14.157999999999999</v>
      </c>
      <c r="D527" s="114">
        <f t="shared" si="17"/>
        <v>-7.2174386652417932E-2</v>
      </c>
    </row>
    <row r="528" spans="2:4" x14ac:dyDescent="0.25">
      <c r="B528" s="12">
        <v>41715</v>
      </c>
      <c r="C528" s="18">
        <v>15.259333</v>
      </c>
      <c r="D528" s="114">
        <f t="shared" si="17"/>
        <v>-9.005520197428174E-3</v>
      </c>
    </row>
    <row r="529" spans="2:4" x14ac:dyDescent="0.25">
      <c r="B529" s="12">
        <v>41708</v>
      </c>
      <c r="C529" s="18">
        <v>15.398</v>
      </c>
      <c r="D529" s="114">
        <f t="shared" si="17"/>
        <v>-6.1898379432192119E-2</v>
      </c>
    </row>
    <row r="530" spans="2:4" x14ac:dyDescent="0.25">
      <c r="B530" s="12">
        <v>41701</v>
      </c>
      <c r="C530" s="18">
        <v>16.414000000000001</v>
      </c>
      <c r="D530" s="114">
        <f t="shared" si="17"/>
        <v>5.7187000996956616E-3</v>
      </c>
    </row>
    <row r="531" spans="2:4" x14ac:dyDescent="0.25">
      <c r="B531" s="12">
        <v>41694</v>
      </c>
      <c r="C531" s="18">
        <v>16.320667</v>
      </c>
      <c r="D531" s="114">
        <f t="shared" si="17"/>
        <v>0.16798669293861379</v>
      </c>
    </row>
    <row r="532" spans="2:4" x14ac:dyDescent="0.25">
      <c r="B532" s="12">
        <v>41687</v>
      </c>
      <c r="C532" s="18">
        <v>13.973333</v>
      </c>
      <c r="D532" s="114">
        <f t="shared" si="17"/>
        <v>5.7357616338536532E-2</v>
      </c>
    </row>
    <row r="533" spans="2:4" x14ac:dyDescent="0.25">
      <c r="B533" s="12">
        <v>41680</v>
      </c>
      <c r="C533" s="18">
        <v>13.215332999999999</v>
      </c>
      <c r="D533" s="114">
        <f t="shared" si="17"/>
        <v>6.2724496400699437E-2</v>
      </c>
    </row>
    <row r="534" spans="2:4" x14ac:dyDescent="0.25">
      <c r="B534" s="12">
        <v>41673</v>
      </c>
      <c r="C534" s="18">
        <v>12.435333</v>
      </c>
      <c r="D534" s="114">
        <f t="shared" si="17"/>
        <v>2.8223333884570989E-2</v>
      </c>
    </row>
    <row r="535" spans="2:4" x14ac:dyDescent="0.25">
      <c r="B535" s="12">
        <v>41666</v>
      </c>
      <c r="C535" s="18">
        <v>12.093999999999999</v>
      </c>
      <c r="D535" s="114">
        <f t="shared" si="17"/>
        <v>3.90034364261167E-2</v>
      </c>
    </row>
    <row r="536" spans="2:4" x14ac:dyDescent="0.25">
      <c r="B536" s="12">
        <v>41659</v>
      </c>
      <c r="C536" s="18">
        <v>11.64</v>
      </c>
      <c r="D536" s="114">
        <f t="shared" si="17"/>
        <v>2.6998411858126126E-2</v>
      </c>
    </row>
    <row r="537" spans="2:4" x14ac:dyDescent="0.25">
      <c r="B537" s="12">
        <v>41652</v>
      </c>
      <c r="C537" s="18">
        <v>11.334</v>
      </c>
      <c r="D537" s="114">
        <f t="shared" si="17"/>
        <v>0.16668950155471096</v>
      </c>
    </row>
    <row r="538" spans="2:4" x14ac:dyDescent="0.25">
      <c r="B538" s="12">
        <v>41645</v>
      </c>
      <c r="C538" s="18">
        <v>9.7146670000000004</v>
      </c>
      <c r="D538" s="114">
        <f t="shared" si="17"/>
        <v>-2.5675313396786859E-2</v>
      </c>
    </row>
    <row r="539" spans="2:4" x14ac:dyDescent="0.25">
      <c r="B539" s="12">
        <v>41638</v>
      </c>
      <c r="C539" s="18">
        <v>9.9706670000000006</v>
      </c>
      <c r="D539" s="114">
        <f t="shared" si="17"/>
        <v>-1.0322921839500898E-2</v>
      </c>
    </row>
    <row r="540" spans="2:4" x14ac:dyDescent="0.25">
      <c r="B540" s="12">
        <v>41631</v>
      </c>
      <c r="C540" s="18">
        <v>10.074667</v>
      </c>
      <c r="D540" s="114">
        <f t="shared" si="17"/>
        <v>5.5012638055453644E-2</v>
      </c>
    </row>
    <row r="541" spans="2:4" x14ac:dyDescent="0.25">
      <c r="B541" s="12">
        <v>41624</v>
      </c>
      <c r="C541" s="18">
        <v>9.5493330000000007</v>
      </c>
      <c r="D541" s="114">
        <f t="shared" si="17"/>
        <v>-2.9867931929154379E-2</v>
      </c>
    </row>
    <row r="542" spans="2:4" x14ac:dyDescent="0.25">
      <c r="B542" s="12">
        <v>41617</v>
      </c>
      <c r="C542" s="18">
        <v>9.8433329999999994</v>
      </c>
      <c r="D542" s="114">
        <f t="shared" si="17"/>
        <v>7.4912641049528217E-2</v>
      </c>
    </row>
    <row r="543" spans="2:4" x14ac:dyDescent="0.25">
      <c r="B543" s="12">
        <v>41610</v>
      </c>
      <c r="C543" s="18">
        <v>9.1573329999999995</v>
      </c>
      <c r="D543" s="114">
        <f t="shared" si="17"/>
        <v>7.9195477655384705E-2</v>
      </c>
    </row>
    <row r="544" spans="2:4" x14ac:dyDescent="0.25">
      <c r="B544" s="12">
        <v>41603</v>
      </c>
      <c r="C544" s="18">
        <v>8.4853330000000007</v>
      </c>
      <c r="D544" s="114">
        <f t="shared" si="17"/>
        <v>4.8607637172516149E-2</v>
      </c>
    </row>
    <row r="545" spans="2:4" x14ac:dyDescent="0.25">
      <c r="B545" s="12">
        <v>41596</v>
      </c>
      <c r="C545" s="18">
        <v>8.0920000000000005</v>
      </c>
      <c r="D545" s="114">
        <f t="shared" si="17"/>
        <v>-0.10387596899224794</v>
      </c>
    </row>
    <row r="546" spans="2:4" x14ac:dyDescent="0.25">
      <c r="B546" s="12">
        <v>41589</v>
      </c>
      <c r="C546" s="18">
        <v>9.0299999999999994</v>
      </c>
      <c r="D546" s="114">
        <f t="shared" si="17"/>
        <v>-1.812254374329314E-2</v>
      </c>
    </row>
    <row r="547" spans="2:4" x14ac:dyDescent="0.25">
      <c r="B547" s="12">
        <v>41582</v>
      </c>
      <c r="C547" s="18">
        <v>9.1966669999999997</v>
      </c>
      <c r="D547" s="114">
        <f t="shared" si="17"/>
        <v>-0.14934939105103873</v>
      </c>
    </row>
    <row r="548" spans="2:4" x14ac:dyDescent="0.25">
      <c r="B548" s="12">
        <v>41575</v>
      </c>
      <c r="C548" s="18">
        <v>10.811332999999999</v>
      </c>
      <c r="D548" s="114">
        <f t="shared" si="17"/>
        <v>-4.414717540530555E-2</v>
      </c>
    </row>
    <row r="549" spans="2:4" x14ac:dyDescent="0.25">
      <c r="B549" s="12">
        <v>41568</v>
      </c>
      <c r="C549" s="18">
        <v>11.310667</v>
      </c>
      <c r="D549" s="114">
        <f t="shared" si="17"/>
        <v>-7.4918209516951828E-2</v>
      </c>
    </row>
    <row r="550" spans="2:4" x14ac:dyDescent="0.25">
      <c r="B550" s="12">
        <v>41561</v>
      </c>
      <c r="C550" s="18">
        <v>12.226667000000001</v>
      </c>
      <c r="D550" s="114">
        <f t="shared" si="17"/>
        <v>2.6301119930081773E-2</v>
      </c>
    </row>
    <row r="551" spans="2:4" x14ac:dyDescent="0.25">
      <c r="B551" s="12">
        <v>41554</v>
      </c>
      <c r="C551" s="18">
        <v>11.913333</v>
      </c>
      <c r="D551" s="114">
        <f t="shared" si="17"/>
        <v>-1.259807748364683E-2</v>
      </c>
    </row>
    <row r="552" spans="2:4" x14ac:dyDescent="0.25">
      <c r="B552" s="12">
        <v>41547</v>
      </c>
      <c r="C552" s="18">
        <v>12.065333000000001</v>
      </c>
      <c r="D552" s="114">
        <f t="shared" si="17"/>
        <v>-5.19644302785639E-2</v>
      </c>
    </row>
    <row r="553" spans="2:4" x14ac:dyDescent="0.25">
      <c r="B553" s="12">
        <v>41540</v>
      </c>
      <c r="C553" s="18">
        <v>12.726667000000001</v>
      </c>
      <c r="D553" s="114">
        <f t="shared" si="17"/>
        <v>4.0951006052674543E-2</v>
      </c>
    </row>
    <row r="554" spans="2:4" x14ac:dyDescent="0.25">
      <c r="B554" s="12">
        <v>41533</v>
      </c>
      <c r="C554" s="18">
        <v>12.226000000000001</v>
      </c>
      <c r="D554" s="114">
        <f t="shared" si="17"/>
        <v>0.10782892352301565</v>
      </c>
    </row>
    <row r="555" spans="2:4" x14ac:dyDescent="0.25">
      <c r="B555" s="12">
        <v>41526</v>
      </c>
      <c r="C555" s="18">
        <v>11.036</v>
      </c>
      <c r="D555" s="114">
        <f t="shared" si="17"/>
        <v>-8.5643830797264009E-3</v>
      </c>
    </row>
    <row r="556" spans="2:4" x14ac:dyDescent="0.25">
      <c r="B556" s="12">
        <v>41519</v>
      </c>
      <c r="C556" s="18">
        <v>11.131333</v>
      </c>
      <c r="D556" s="114">
        <f t="shared" si="17"/>
        <v>-1.2011893135742802E-2</v>
      </c>
    </row>
    <row r="557" spans="2:4" x14ac:dyDescent="0.25">
      <c r="B557" s="12">
        <v>41512</v>
      </c>
      <c r="C557" s="18">
        <v>11.266667</v>
      </c>
      <c r="D557" s="114">
        <f t="shared" si="17"/>
        <v>4.4241289058369215E-2</v>
      </c>
    </row>
    <row r="558" spans="2:4" x14ac:dyDescent="0.25">
      <c r="B558" s="12">
        <v>41505</v>
      </c>
      <c r="C558" s="18">
        <v>10.789332999999999</v>
      </c>
      <c r="D558" s="114">
        <f t="shared" si="17"/>
        <v>0.13971823451696364</v>
      </c>
    </row>
    <row r="559" spans="2:4" x14ac:dyDescent="0.25">
      <c r="B559" s="12">
        <v>41498</v>
      </c>
      <c r="C559" s="18">
        <v>9.4666669999999993</v>
      </c>
      <c r="D559" s="114">
        <f t="shared" si="17"/>
        <v>-7.1895392156862803E-2</v>
      </c>
    </row>
    <row r="560" spans="2:4" x14ac:dyDescent="0.25">
      <c r="B560" s="12">
        <v>41491</v>
      </c>
      <c r="C560" s="18">
        <v>10.199999999999999</v>
      </c>
      <c r="D560" s="114">
        <f t="shared" si="17"/>
        <v>0.10869565217391308</v>
      </c>
    </row>
    <row r="561" spans="2:4" x14ac:dyDescent="0.25">
      <c r="B561" s="12">
        <v>41484</v>
      </c>
      <c r="C561" s="18">
        <v>9.1999999999999993</v>
      </c>
      <c r="D561" s="114">
        <f t="shared" si="17"/>
        <v>6.6543009506144113E-2</v>
      </c>
    </row>
    <row r="562" spans="2:4" x14ac:dyDescent="0.25">
      <c r="B562" s="12">
        <v>41477</v>
      </c>
      <c r="C562" s="18">
        <v>8.6259999999999994</v>
      </c>
      <c r="D562" s="114">
        <f t="shared" si="17"/>
        <v>8.1132976222719977E-2</v>
      </c>
    </row>
    <row r="563" spans="2:4" x14ac:dyDescent="0.25">
      <c r="B563" s="12">
        <v>41470</v>
      </c>
      <c r="C563" s="18">
        <v>7.9786669999999997</v>
      </c>
      <c r="D563" s="114">
        <f t="shared" si="17"/>
        <v>-7.8675866050808341E-2</v>
      </c>
    </row>
    <row r="564" spans="2:4" x14ac:dyDescent="0.25">
      <c r="B564" s="12">
        <v>41463</v>
      </c>
      <c r="C564" s="18">
        <v>8.66</v>
      </c>
      <c r="D564" s="114">
        <f t="shared" si="17"/>
        <v>8.1688733449912565E-2</v>
      </c>
    </row>
    <row r="565" spans="2:4" x14ac:dyDescent="0.25">
      <c r="B565" s="12">
        <v>41456</v>
      </c>
      <c r="C565" s="18">
        <v>8.0060000000000002</v>
      </c>
      <c r="D565" s="114">
        <f t="shared" si="17"/>
        <v>0.11857307742981904</v>
      </c>
    </row>
    <row r="566" spans="2:4" x14ac:dyDescent="0.25">
      <c r="B566" s="12">
        <v>41449</v>
      </c>
      <c r="C566" s="18">
        <v>7.1573330000000004</v>
      </c>
      <c r="D566" s="114">
        <f t="shared" si="17"/>
        <v>7.8452934281620701E-2</v>
      </c>
    </row>
    <row r="567" spans="2:4" x14ac:dyDescent="0.25">
      <c r="B567" s="12">
        <v>41442</v>
      </c>
      <c r="C567" s="18">
        <v>6.6366670000000001</v>
      </c>
      <c r="D567" s="114">
        <f t="shared" si="17"/>
        <v>-7.4775669253456245E-3</v>
      </c>
    </row>
    <row r="568" spans="2:4" x14ac:dyDescent="0.25">
      <c r="B568" s="12">
        <v>41435</v>
      </c>
      <c r="C568" s="18">
        <v>6.6866669999999999</v>
      </c>
      <c r="D568" s="114">
        <f t="shared" si="17"/>
        <v>-1.7052135581529959E-2</v>
      </c>
    </row>
    <row r="569" spans="2:4" x14ac:dyDescent="0.25">
      <c r="B569" s="12">
        <v>41428</v>
      </c>
      <c r="C569" s="18">
        <v>6.8026669999999996</v>
      </c>
      <c r="D569" s="114">
        <f t="shared" si="17"/>
        <v>4.3780791928232032E-2</v>
      </c>
    </row>
    <row r="570" spans="2:4" x14ac:dyDescent="0.25">
      <c r="B570" s="12">
        <v>41421</v>
      </c>
      <c r="C570" s="18">
        <v>6.5173329999999998</v>
      </c>
      <c r="D570" s="114">
        <f t="shared" si="17"/>
        <v>7.0044808405438364E-3</v>
      </c>
    </row>
    <row r="571" spans="2:4" x14ac:dyDescent="0.25">
      <c r="B571" s="12">
        <v>41414</v>
      </c>
      <c r="C571" s="18">
        <v>6.4720000000000004</v>
      </c>
      <c r="D571" s="114">
        <f t="shared" si="17"/>
        <v>6.0983606557377223E-2</v>
      </c>
    </row>
    <row r="572" spans="2:4" x14ac:dyDescent="0.25">
      <c r="B572" s="12">
        <v>41407</v>
      </c>
      <c r="C572" s="18">
        <v>6.1</v>
      </c>
      <c r="D572" s="114">
        <f t="shared" si="17"/>
        <v>0.19202717509296341</v>
      </c>
    </row>
    <row r="573" spans="2:4" x14ac:dyDescent="0.25">
      <c r="B573" s="12">
        <v>41400</v>
      </c>
      <c r="C573" s="18">
        <v>5.1173330000000004</v>
      </c>
      <c r="D573" s="114">
        <f t="shared" si="17"/>
        <v>0.40714918357935992</v>
      </c>
    </row>
    <row r="574" spans="2:4" x14ac:dyDescent="0.25">
      <c r="B574" s="12">
        <v>41393</v>
      </c>
      <c r="C574" s="18">
        <v>3.6366670000000001</v>
      </c>
      <c r="D574" s="114">
        <f t="shared" si="17"/>
        <v>6.5429889202137659E-2</v>
      </c>
    </row>
    <row r="575" spans="2:4" x14ac:dyDescent="0.25">
      <c r="B575" s="12">
        <v>41386</v>
      </c>
      <c r="C575" s="18">
        <v>3.4133330000000002</v>
      </c>
      <c r="D575" s="114">
        <f t="shared" si="17"/>
        <v>7.0457655189456903E-2</v>
      </c>
    </row>
    <row r="576" spans="2:4" x14ac:dyDescent="0.25">
      <c r="B576" s="12">
        <v>41379</v>
      </c>
      <c r="C576" s="18">
        <v>3.1886670000000001</v>
      </c>
      <c r="D576" s="114">
        <f t="shared" si="17"/>
        <v>9.3257132199185078E-2</v>
      </c>
    </row>
    <row r="577" spans="2:4" x14ac:dyDescent="0.25">
      <c r="B577" s="12">
        <v>41372</v>
      </c>
      <c r="C577" s="18">
        <v>2.9166669999999999</v>
      </c>
      <c r="D577" s="114">
        <f t="shared" si="17"/>
        <v>5.7529731689630159E-2</v>
      </c>
    </row>
    <row r="578" spans="2:4" x14ac:dyDescent="0.25">
      <c r="B578" s="12">
        <v>41365</v>
      </c>
      <c r="C578" s="18">
        <v>2.758</v>
      </c>
      <c r="D578" s="114">
        <f t="shared" si="17"/>
        <v>9.1844813935075376E-2</v>
      </c>
    </row>
    <row r="579" spans="2:4" x14ac:dyDescent="0.25">
      <c r="B579" s="12">
        <v>41358</v>
      </c>
      <c r="C579" s="18">
        <v>2.5259999999999998</v>
      </c>
      <c r="D579" s="114">
        <f t="shared" ref="D579:D642" si="18">C579/C580-1</f>
        <v>3.4680643730289784E-2</v>
      </c>
    </row>
    <row r="580" spans="2:4" x14ac:dyDescent="0.25">
      <c r="B580" s="12">
        <v>41351</v>
      </c>
      <c r="C580" s="18">
        <v>2.4413330000000002</v>
      </c>
      <c r="D580" s="114">
        <f t="shared" si="18"/>
        <v>3.7687441529124399E-2</v>
      </c>
    </row>
    <row r="581" spans="2:4" x14ac:dyDescent="0.25">
      <c r="B581" s="12">
        <v>41344</v>
      </c>
      <c r="C581" s="18">
        <v>2.3526669999999998</v>
      </c>
      <c r="D581" s="114">
        <f t="shared" si="18"/>
        <v>-8.2661803657161026E-2</v>
      </c>
    </row>
    <row r="582" spans="2:4" x14ac:dyDescent="0.25">
      <c r="B582" s="12">
        <v>41337</v>
      </c>
      <c r="C582" s="18">
        <v>2.564667</v>
      </c>
      <c r="D582" s="114">
        <f t="shared" si="18"/>
        <v>0.11024545454545454</v>
      </c>
    </row>
    <row r="583" spans="2:4" x14ac:dyDescent="0.25">
      <c r="B583" s="12">
        <v>41330</v>
      </c>
      <c r="C583" s="18">
        <v>2.31</v>
      </c>
      <c r="D583" s="114">
        <f t="shared" si="18"/>
        <v>-4.0431880425350286E-2</v>
      </c>
    </row>
    <row r="584" spans="2:4" x14ac:dyDescent="0.25">
      <c r="B584" s="12">
        <v>41323</v>
      </c>
      <c r="C584" s="18">
        <v>2.4073329999999999</v>
      </c>
      <c r="D584" s="114">
        <f t="shared" si="18"/>
        <v>-2.5107994749999252E-2</v>
      </c>
    </row>
    <row r="585" spans="2:4" x14ac:dyDescent="0.25">
      <c r="B585" s="12">
        <v>41316</v>
      </c>
      <c r="C585" s="18">
        <v>2.4693329999999998</v>
      </c>
      <c r="D585" s="114">
        <f t="shared" si="18"/>
        <v>-5.6065366972477215E-2</v>
      </c>
    </row>
    <row r="586" spans="2:4" x14ac:dyDescent="0.25">
      <c r="B586" s="12">
        <v>41309</v>
      </c>
      <c r="C586" s="18">
        <v>2.6160000000000001</v>
      </c>
      <c r="D586" s="114">
        <f t="shared" si="18"/>
        <v>2.4543214692325677E-2</v>
      </c>
    </row>
    <row r="587" spans="2:4" x14ac:dyDescent="0.25">
      <c r="B587" s="12">
        <v>41302</v>
      </c>
      <c r="C587" s="18">
        <v>2.5533329999999999</v>
      </c>
      <c r="D587" s="114">
        <f t="shared" si="18"/>
        <v>3.569497508044539E-2</v>
      </c>
    </row>
    <row r="588" spans="2:4" x14ac:dyDescent="0.25">
      <c r="B588" s="12">
        <v>41295</v>
      </c>
      <c r="C588" s="18">
        <v>2.4653330000000002</v>
      </c>
      <c r="D588" s="114">
        <f t="shared" si="18"/>
        <v>7.1263046243199124E-2</v>
      </c>
    </row>
    <row r="589" spans="2:4" x14ac:dyDescent="0.25">
      <c r="B589" s="12">
        <v>41288</v>
      </c>
      <c r="C589" s="18">
        <v>2.3013330000000001</v>
      </c>
      <c r="D589" s="114">
        <f t="shared" si="18"/>
        <v>4.8921148587055763E-2</v>
      </c>
    </row>
    <row r="590" spans="2:4" x14ac:dyDescent="0.25">
      <c r="B590" s="12">
        <v>41281</v>
      </c>
      <c r="C590" s="18">
        <v>2.194</v>
      </c>
      <c r="D590" s="114">
        <f t="shared" si="18"/>
        <v>-4.331381443514748E-2</v>
      </c>
    </row>
    <row r="591" spans="2:4" x14ac:dyDescent="0.25">
      <c r="B591" s="12">
        <v>41274</v>
      </c>
      <c r="C591" s="18">
        <v>2.2933330000000001</v>
      </c>
      <c r="D591" s="114">
        <f t="shared" si="18"/>
        <v>3.5520464250381689E-2</v>
      </c>
    </row>
    <row r="592" spans="2:4" x14ac:dyDescent="0.25">
      <c r="B592" s="12">
        <v>41267</v>
      </c>
      <c r="C592" s="18">
        <v>2.2146669999999999</v>
      </c>
      <c r="D592" s="114">
        <f t="shared" si="18"/>
        <v>-2.2941173096886369E-2</v>
      </c>
    </row>
    <row r="593" spans="2:4" x14ac:dyDescent="0.25">
      <c r="B593" s="12">
        <v>41260</v>
      </c>
      <c r="C593" s="18">
        <v>2.266667</v>
      </c>
      <c r="D593" s="114">
        <f t="shared" si="18"/>
        <v>5.6197870452527887E-3</v>
      </c>
    </row>
    <row r="594" spans="2:4" x14ac:dyDescent="0.25">
      <c r="B594" s="12">
        <v>41253</v>
      </c>
      <c r="C594" s="18">
        <v>2.254</v>
      </c>
      <c r="D594" s="114">
        <f t="shared" si="18"/>
        <v>-1.0535557506584747E-2</v>
      </c>
    </row>
    <row r="595" spans="2:4" x14ac:dyDescent="0.25">
      <c r="B595" s="12">
        <v>41246</v>
      </c>
      <c r="C595" s="18">
        <v>2.278</v>
      </c>
      <c r="D595" s="114">
        <f t="shared" si="18"/>
        <v>1.0348756601307407E-2</v>
      </c>
    </row>
    <row r="596" spans="2:4" x14ac:dyDescent="0.25">
      <c r="B596" s="12">
        <v>41239</v>
      </c>
      <c r="C596" s="18">
        <v>2.254667</v>
      </c>
      <c r="D596" s="114">
        <f t="shared" si="18"/>
        <v>5.2598972922502263E-2</v>
      </c>
    </row>
    <row r="597" spans="2:4" x14ac:dyDescent="0.25">
      <c r="B597" s="12">
        <v>41232</v>
      </c>
      <c r="C597" s="18">
        <v>2.1419999999999999</v>
      </c>
      <c r="D597" s="114">
        <f t="shared" si="18"/>
        <v>9.1078817355714214E-3</v>
      </c>
    </row>
    <row r="598" spans="2:4" x14ac:dyDescent="0.25">
      <c r="B598" s="12">
        <v>41225</v>
      </c>
      <c r="C598" s="18">
        <v>2.1226669999999999</v>
      </c>
      <c r="D598" s="114">
        <f t="shared" si="18"/>
        <v>5.0132264203869514E-2</v>
      </c>
    </row>
    <row r="599" spans="2:4" x14ac:dyDescent="0.25">
      <c r="B599" s="12">
        <v>41218</v>
      </c>
      <c r="C599" s="18">
        <v>2.0213329999999998</v>
      </c>
      <c r="D599" s="114">
        <f t="shared" si="18"/>
        <v>4.8409232365145272E-2</v>
      </c>
    </row>
    <row r="600" spans="2:4" x14ac:dyDescent="0.25">
      <c r="B600" s="12">
        <v>41211</v>
      </c>
      <c r="C600" s="18">
        <v>1.9279999999999999</v>
      </c>
      <c r="D600" s="114">
        <f t="shared" si="18"/>
        <v>5.624562751015838E-2</v>
      </c>
    </row>
    <row r="601" spans="2:4" x14ac:dyDescent="0.25">
      <c r="B601" s="12">
        <v>41204</v>
      </c>
      <c r="C601" s="18">
        <v>1.8253330000000001</v>
      </c>
      <c r="D601" s="114">
        <f t="shared" si="18"/>
        <v>-1.2977651942619239E-2</v>
      </c>
    </row>
    <row r="602" spans="2:4" x14ac:dyDescent="0.25">
      <c r="B602" s="12">
        <v>41197</v>
      </c>
      <c r="C602" s="18">
        <v>1.8493329999999999</v>
      </c>
      <c r="D602" s="114">
        <f t="shared" si="18"/>
        <v>3.6175825583244503E-3</v>
      </c>
    </row>
    <row r="603" spans="2:4" x14ac:dyDescent="0.25">
      <c r="B603" s="12">
        <v>41190</v>
      </c>
      <c r="C603" s="18">
        <v>1.8426670000000001</v>
      </c>
      <c r="D603" s="114">
        <f t="shared" si="18"/>
        <v>-4.3267393561785994E-2</v>
      </c>
    </row>
    <row r="604" spans="2:4" x14ac:dyDescent="0.25">
      <c r="B604" s="12">
        <v>41183</v>
      </c>
      <c r="C604" s="18">
        <v>1.9259999999999999</v>
      </c>
      <c r="D604" s="114">
        <f t="shared" si="18"/>
        <v>-1.3319672131147597E-2</v>
      </c>
    </row>
    <row r="605" spans="2:4" x14ac:dyDescent="0.25">
      <c r="B605" s="12">
        <v>41176</v>
      </c>
      <c r="C605" s="18">
        <v>1.952</v>
      </c>
      <c r="D605" s="114">
        <f t="shared" si="18"/>
        <v>-2.4650070727859852E-2</v>
      </c>
    </row>
    <row r="606" spans="2:4" x14ac:dyDescent="0.25">
      <c r="B606" s="12">
        <v>41169</v>
      </c>
      <c r="C606" s="18">
        <v>2.0013329999999998</v>
      </c>
      <c r="D606" s="114">
        <f t="shared" si="18"/>
        <v>-1.2175222112536965E-2</v>
      </c>
    </row>
    <row r="607" spans="2:4" x14ac:dyDescent="0.25">
      <c r="B607" s="12">
        <v>41162</v>
      </c>
      <c r="C607" s="18">
        <v>2.0259999999999998</v>
      </c>
      <c r="D607" s="114">
        <f t="shared" si="18"/>
        <v>3.5434235871510067E-2</v>
      </c>
    </row>
    <row r="608" spans="2:4" x14ac:dyDescent="0.25">
      <c r="B608" s="12">
        <v>41155</v>
      </c>
      <c r="C608" s="18">
        <v>1.9566669999999999</v>
      </c>
      <c r="D608" s="114">
        <f t="shared" si="18"/>
        <v>2.9102740025024554E-2</v>
      </c>
    </row>
    <row r="609" spans="2:4" x14ac:dyDescent="0.25">
      <c r="B609" s="12">
        <v>41148</v>
      </c>
      <c r="C609" s="18">
        <v>1.9013329999999999</v>
      </c>
      <c r="D609" s="114">
        <f t="shared" si="18"/>
        <v>-3.3220672335479318E-2</v>
      </c>
    </row>
    <row r="610" spans="2:4" x14ac:dyDescent="0.25">
      <c r="B610" s="12">
        <v>41141</v>
      </c>
      <c r="C610" s="18">
        <v>1.9666669999999999</v>
      </c>
      <c r="D610" s="114">
        <f t="shared" si="18"/>
        <v>-1.6994332390147915E-2</v>
      </c>
    </row>
    <row r="611" spans="2:4" x14ac:dyDescent="0.25">
      <c r="B611" s="12">
        <v>41134</v>
      </c>
      <c r="C611" s="18">
        <v>2.000667</v>
      </c>
      <c r="D611" s="114">
        <f t="shared" si="18"/>
        <v>2.3381763527055011E-3</v>
      </c>
    </row>
    <row r="612" spans="2:4" x14ac:dyDescent="0.25">
      <c r="B612" s="12">
        <v>41127</v>
      </c>
      <c r="C612" s="18">
        <v>1.996</v>
      </c>
      <c r="D612" s="114">
        <f t="shared" si="18"/>
        <v>9.7909790979097799E-2</v>
      </c>
    </row>
    <row r="613" spans="2:4" x14ac:dyDescent="0.25">
      <c r="B613" s="12">
        <v>41120</v>
      </c>
      <c r="C613" s="18">
        <v>1.8180000000000001</v>
      </c>
      <c r="D613" s="114">
        <f t="shared" si="18"/>
        <v>-7.5906315809270652E-2</v>
      </c>
    </row>
    <row r="614" spans="2:4" x14ac:dyDescent="0.25">
      <c r="B614" s="12">
        <v>41113</v>
      </c>
      <c r="C614" s="18">
        <v>1.967333</v>
      </c>
      <c r="D614" s="114">
        <f t="shared" si="18"/>
        <v>-7.1720678156759754E-2</v>
      </c>
    </row>
    <row r="615" spans="2:4" x14ac:dyDescent="0.25">
      <c r="B615" s="12">
        <v>41106</v>
      </c>
      <c r="C615" s="18">
        <v>2.1193330000000001</v>
      </c>
      <c r="D615" s="114">
        <f t="shared" si="18"/>
        <v>-7.1824828003624441E-2</v>
      </c>
    </row>
    <row r="616" spans="2:4" x14ac:dyDescent="0.25">
      <c r="B616" s="12">
        <v>41099</v>
      </c>
      <c r="C616" s="18">
        <v>2.2833329999999998</v>
      </c>
      <c r="D616" s="114">
        <f t="shared" si="18"/>
        <v>0.10519506292352365</v>
      </c>
    </row>
    <row r="617" spans="2:4" x14ac:dyDescent="0.25">
      <c r="B617" s="12">
        <v>41092</v>
      </c>
      <c r="C617" s="18">
        <v>2.0659999999999998</v>
      </c>
      <c r="D617" s="114">
        <f t="shared" si="18"/>
        <v>-9.5877277085331114E-3</v>
      </c>
    </row>
    <row r="618" spans="2:4" x14ac:dyDescent="0.25">
      <c r="B618" s="12">
        <v>41085</v>
      </c>
      <c r="C618" s="18">
        <v>2.0859999999999999</v>
      </c>
      <c r="D618" s="114">
        <f t="shared" si="18"/>
        <v>-7.3986523529665171E-2</v>
      </c>
    </row>
    <row r="619" spans="2:4" x14ac:dyDescent="0.25">
      <c r="B619" s="12">
        <v>41078</v>
      </c>
      <c r="C619" s="18">
        <v>2.2526670000000002</v>
      </c>
      <c r="D619" s="114">
        <f t="shared" si="18"/>
        <v>0.12972266800401222</v>
      </c>
    </row>
    <row r="620" spans="2:4" x14ac:dyDescent="0.25">
      <c r="B620" s="12">
        <v>41071</v>
      </c>
      <c r="C620" s="18">
        <v>1.994</v>
      </c>
      <c r="D620" s="114">
        <f t="shared" si="18"/>
        <v>-5.6514304606765098E-3</v>
      </c>
    </row>
    <row r="621" spans="2:4" x14ac:dyDescent="0.25">
      <c r="B621" s="12">
        <v>41064</v>
      </c>
      <c r="C621" s="18">
        <v>2.0053329999999998</v>
      </c>
      <c r="D621" s="114">
        <f t="shared" si="18"/>
        <v>6.8560911445663786E-2</v>
      </c>
    </row>
    <row r="622" spans="2:4" x14ac:dyDescent="0.25">
      <c r="B622" s="12">
        <v>41057</v>
      </c>
      <c r="C622" s="18">
        <v>1.8766670000000001</v>
      </c>
      <c r="D622" s="114">
        <f t="shared" si="18"/>
        <v>-5.568568528777007E-2</v>
      </c>
    </row>
    <row r="623" spans="2:4" x14ac:dyDescent="0.25">
      <c r="B623" s="12">
        <v>41050</v>
      </c>
      <c r="C623" s="18">
        <v>1.987333</v>
      </c>
      <c r="D623" s="114">
        <f t="shared" si="18"/>
        <v>8.1640072866486335E-2</v>
      </c>
    </row>
    <row r="624" spans="2:4" x14ac:dyDescent="0.25">
      <c r="B624" s="12">
        <v>41043</v>
      </c>
      <c r="C624" s="18">
        <v>1.8373330000000001</v>
      </c>
      <c r="D624" s="114">
        <f t="shared" si="18"/>
        <v>-0.14542651162790687</v>
      </c>
    </row>
    <row r="625" spans="2:4" x14ac:dyDescent="0.25">
      <c r="B625" s="12">
        <v>41036</v>
      </c>
      <c r="C625" s="18">
        <v>2.15</v>
      </c>
      <c r="D625" s="114">
        <f t="shared" si="18"/>
        <v>1.3195098963242335E-2</v>
      </c>
    </row>
    <row r="626" spans="2:4" x14ac:dyDescent="0.25">
      <c r="B626" s="12">
        <v>41029</v>
      </c>
      <c r="C626" s="18">
        <v>2.1219999999999999</v>
      </c>
      <c r="D626" s="114">
        <f t="shared" si="18"/>
        <v>-4.5291084989339425E-2</v>
      </c>
    </row>
    <row r="627" spans="2:4" x14ac:dyDescent="0.25">
      <c r="B627" s="12">
        <v>41022</v>
      </c>
      <c r="C627" s="18">
        <v>2.2226669999999999</v>
      </c>
      <c r="D627" s="114">
        <f t="shared" si="18"/>
        <v>5.4282259607620897E-3</v>
      </c>
    </row>
    <row r="628" spans="2:4" x14ac:dyDescent="0.25">
      <c r="B628" s="12">
        <v>41015</v>
      </c>
      <c r="C628" s="18">
        <v>2.2106669999999999</v>
      </c>
      <c r="D628" s="114">
        <f t="shared" si="18"/>
        <v>-1.2801133194571768E-2</v>
      </c>
    </row>
    <row r="629" spans="2:4" x14ac:dyDescent="0.25">
      <c r="B629" s="12">
        <v>41008</v>
      </c>
      <c r="C629" s="18">
        <v>2.2393329999999998</v>
      </c>
      <c r="D629" s="114">
        <f t="shared" si="18"/>
        <v>-2.5812351245308784E-2</v>
      </c>
    </row>
    <row r="630" spans="2:4" x14ac:dyDescent="0.25">
      <c r="B630" s="12">
        <v>41001</v>
      </c>
      <c r="C630" s="18">
        <v>2.298667</v>
      </c>
      <c r="D630" s="114">
        <f t="shared" si="18"/>
        <v>-7.4113846117904725E-2</v>
      </c>
    </row>
    <row r="631" spans="2:4" x14ac:dyDescent="0.25">
      <c r="B631" s="12">
        <v>40994</v>
      </c>
      <c r="C631" s="18">
        <v>2.4826670000000002</v>
      </c>
      <c r="D631" s="114">
        <f t="shared" si="18"/>
        <v>9.2723151408450777E-2</v>
      </c>
    </row>
    <row r="632" spans="2:4" x14ac:dyDescent="0.25">
      <c r="B632" s="12">
        <v>40987</v>
      </c>
      <c r="C632" s="18">
        <v>2.2719999999999998</v>
      </c>
      <c r="D632" s="114">
        <f t="shared" si="18"/>
        <v>-3.5107724361873816E-2</v>
      </c>
    </row>
    <row r="633" spans="2:4" x14ac:dyDescent="0.25">
      <c r="B633" s="12">
        <v>40980</v>
      </c>
      <c r="C633" s="18">
        <v>2.3546670000000001</v>
      </c>
      <c r="D633" s="114">
        <f t="shared" si="18"/>
        <v>1.6695595854922418E-2</v>
      </c>
    </row>
    <row r="634" spans="2:4" x14ac:dyDescent="0.25">
      <c r="B634" s="12">
        <v>40973</v>
      </c>
      <c r="C634" s="18">
        <v>2.3159999999999998</v>
      </c>
      <c r="D634" s="114">
        <f t="shared" si="18"/>
        <v>2.0564192209781451E-2</v>
      </c>
    </row>
    <row r="635" spans="2:4" x14ac:dyDescent="0.25">
      <c r="B635" s="12">
        <v>40966</v>
      </c>
      <c r="C635" s="18">
        <v>2.269333</v>
      </c>
      <c r="D635" s="114">
        <f t="shared" si="18"/>
        <v>8.5924444444445136E-3</v>
      </c>
    </row>
    <row r="636" spans="2:4" x14ac:dyDescent="0.25">
      <c r="B636" s="12">
        <v>40959</v>
      </c>
      <c r="C636" s="18">
        <v>2.25</v>
      </c>
      <c r="D636" s="114">
        <f t="shared" si="18"/>
        <v>-3.4886908047884968E-2</v>
      </c>
    </row>
    <row r="637" spans="2:4" x14ac:dyDescent="0.25">
      <c r="B637" s="12">
        <v>40952</v>
      </c>
      <c r="C637" s="18">
        <v>2.3313329999999999</v>
      </c>
      <c r="D637" s="114">
        <f t="shared" si="18"/>
        <v>0.12443731904136968</v>
      </c>
    </row>
    <row r="638" spans="2:4" x14ac:dyDescent="0.25">
      <c r="B638" s="12">
        <v>40945</v>
      </c>
      <c r="C638" s="18">
        <v>2.0733329999999999</v>
      </c>
      <c r="D638" s="114">
        <f t="shared" si="18"/>
        <v>-1.6054572061867667E-3</v>
      </c>
    </row>
    <row r="639" spans="2:4" x14ac:dyDescent="0.25">
      <c r="B639" s="12">
        <v>40938</v>
      </c>
      <c r="C639" s="18">
        <v>2.076667</v>
      </c>
      <c r="D639" s="114">
        <f t="shared" si="18"/>
        <v>6.205285749281586E-2</v>
      </c>
    </row>
    <row r="640" spans="2:4" x14ac:dyDescent="0.25">
      <c r="B640" s="12">
        <v>40931</v>
      </c>
      <c r="C640" s="18">
        <v>1.955333</v>
      </c>
      <c r="D640" s="114">
        <f t="shared" si="18"/>
        <v>0.10263159823902224</v>
      </c>
    </row>
    <row r="641" spans="2:4" x14ac:dyDescent="0.25">
      <c r="B641" s="12">
        <v>40924</v>
      </c>
      <c r="C641" s="18">
        <v>1.773333</v>
      </c>
      <c r="D641" s="114">
        <f t="shared" si="18"/>
        <v>0.1671786237776709</v>
      </c>
    </row>
    <row r="642" spans="2:4" x14ac:dyDescent="0.25">
      <c r="B642" s="12">
        <v>40917</v>
      </c>
      <c r="C642" s="18">
        <v>1.519333</v>
      </c>
      <c r="D642" s="114">
        <f t="shared" si="18"/>
        <v>-0.15310312151616501</v>
      </c>
    </row>
    <row r="643" spans="2:4" x14ac:dyDescent="0.25">
      <c r="B643" s="12">
        <v>40910</v>
      </c>
      <c r="C643" s="18">
        <v>1.794</v>
      </c>
      <c r="D643" s="114">
        <f t="shared" ref="D643:D706" si="19">C643/C644-1</f>
        <v>-5.7773109243697385E-2</v>
      </c>
    </row>
    <row r="644" spans="2:4" x14ac:dyDescent="0.25">
      <c r="B644" s="12">
        <v>40903</v>
      </c>
      <c r="C644" s="18">
        <v>1.9039999999999999</v>
      </c>
      <c r="D644" s="114">
        <f t="shared" si="19"/>
        <v>2.3655913978494425E-2</v>
      </c>
    </row>
    <row r="645" spans="2:4" x14ac:dyDescent="0.25">
      <c r="B645" s="12">
        <v>40896</v>
      </c>
      <c r="C645" s="18">
        <v>1.86</v>
      </c>
      <c r="D645" s="114">
        <f t="shared" si="19"/>
        <v>-3.5716065050702683E-3</v>
      </c>
    </row>
    <row r="646" spans="2:4" x14ac:dyDescent="0.25">
      <c r="B646" s="12">
        <v>40889</v>
      </c>
      <c r="C646" s="18">
        <v>1.8666670000000001</v>
      </c>
      <c r="D646" s="114">
        <f t="shared" si="19"/>
        <v>-9.7937837941017625E-2</v>
      </c>
    </row>
    <row r="647" spans="2:4" x14ac:dyDescent="0.25">
      <c r="B647" s="12">
        <v>40882</v>
      </c>
      <c r="C647" s="18">
        <v>2.0693329999999999</v>
      </c>
      <c r="D647" s="114">
        <f t="shared" si="19"/>
        <v>-6.7868018018018117E-2</v>
      </c>
    </row>
    <row r="648" spans="2:4" x14ac:dyDescent="0.25">
      <c r="B648" s="12">
        <v>40875</v>
      </c>
      <c r="C648" s="18">
        <v>2.2200000000000002</v>
      </c>
      <c r="D648" s="114">
        <f t="shared" si="19"/>
        <v>5.1800212918475808E-2</v>
      </c>
    </row>
    <row r="649" spans="2:4" x14ac:dyDescent="0.25">
      <c r="B649" s="12">
        <v>40868</v>
      </c>
      <c r="C649" s="18">
        <v>2.1106669999999998</v>
      </c>
      <c r="D649" s="114">
        <f t="shared" si="19"/>
        <v>-2.883405350215551E-2</v>
      </c>
    </row>
    <row r="650" spans="2:4" x14ac:dyDescent="0.25">
      <c r="B650" s="12">
        <v>40861</v>
      </c>
      <c r="C650" s="18">
        <v>2.173333</v>
      </c>
      <c r="D650" s="114">
        <f t="shared" si="19"/>
        <v>-3.0915869364466553E-2</v>
      </c>
    </row>
    <row r="651" spans="2:4" x14ac:dyDescent="0.25">
      <c r="B651" s="12">
        <v>40854</v>
      </c>
      <c r="C651" s="18">
        <v>2.242667</v>
      </c>
      <c r="D651" s="114">
        <f t="shared" si="19"/>
        <v>4.1163881151346393E-2</v>
      </c>
    </row>
    <row r="652" spans="2:4" x14ac:dyDescent="0.25">
      <c r="B652" s="12">
        <v>40847</v>
      </c>
      <c r="C652" s="18">
        <v>2.1539999999999999</v>
      </c>
      <c r="D652" s="114">
        <f t="shared" si="19"/>
        <v>8.1687492749831447E-2</v>
      </c>
    </row>
    <row r="653" spans="2:4" x14ac:dyDescent="0.25">
      <c r="B653" s="12">
        <v>40840</v>
      </c>
      <c r="C653" s="18">
        <v>1.991333</v>
      </c>
      <c r="D653" s="114">
        <f t="shared" si="19"/>
        <v>6.5643584437462543E-2</v>
      </c>
    </row>
    <row r="654" spans="2:4" x14ac:dyDescent="0.25">
      <c r="B654" s="12">
        <v>40833</v>
      </c>
      <c r="C654" s="18">
        <v>1.8686670000000001</v>
      </c>
      <c r="D654" s="114">
        <f t="shared" si="19"/>
        <v>-7.1283422459889056E-4</v>
      </c>
    </row>
    <row r="655" spans="2:4" x14ac:dyDescent="0.25">
      <c r="B655" s="12">
        <v>40826</v>
      </c>
      <c r="C655" s="18">
        <v>1.87</v>
      </c>
      <c r="D655" s="114">
        <f t="shared" si="19"/>
        <v>3.9273997642459646E-2</v>
      </c>
    </row>
    <row r="656" spans="2:4" x14ac:dyDescent="0.25">
      <c r="B656" s="12">
        <v>40819</v>
      </c>
      <c r="C656" s="18">
        <v>1.7993330000000001</v>
      </c>
      <c r="D656" s="114">
        <f t="shared" si="19"/>
        <v>0.10660086100861021</v>
      </c>
    </row>
    <row r="657" spans="2:4" x14ac:dyDescent="0.25">
      <c r="B657" s="12">
        <v>40812</v>
      </c>
      <c r="C657" s="18">
        <v>1.6259999999999999</v>
      </c>
      <c r="D657" s="114">
        <f t="shared" si="19"/>
        <v>-7.5436111554944785E-2</v>
      </c>
    </row>
    <row r="658" spans="2:4" x14ac:dyDescent="0.25">
      <c r="B658" s="12">
        <v>40805</v>
      </c>
      <c r="C658" s="18">
        <v>1.758667</v>
      </c>
      <c r="D658" s="114">
        <f t="shared" si="19"/>
        <v>2.2480813953488443E-2</v>
      </c>
    </row>
    <row r="659" spans="2:4" x14ac:dyDescent="0.25">
      <c r="B659" s="12">
        <v>40798</v>
      </c>
      <c r="C659" s="18">
        <v>1.72</v>
      </c>
      <c r="D659" s="114">
        <f t="shared" si="19"/>
        <v>0.12320442385816799</v>
      </c>
    </row>
    <row r="660" spans="2:4" x14ac:dyDescent="0.25">
      <c r="B660" s="12">
        <v>40791</v>
      </c>
      <c r="C660" s="18">
        <v>1.5313330000000001</v>
      </c>
      <c r="D660" s="114">
        <f t="shared" si="19"/>
        <v>-4.3348504551364853E-3</v>
      </c>
    </row>
    <row r="661" spans="2:4" x14ac:dyDescent="0.25">
      <c r="B661" s="12">
        <v>40784</v>
      </c>
      <c r="C661" s="18">
        <v>1.538</v>
      </c>
      <c r="D661" s="114">
        <f t="shared" si="19"/>
        <v>-2.7812895069532217E-2</v>
      </c>
    </row>
    <row r="662" spans="2:4" x14ac:dyDescent="0.25">
      <c r="B662" s="12">
        <v>40777</v>
      </c>
      <c r="C662" s="18">
        <v>1.5820000000000001</v>
      </c>
      <c r="D662" s="114">
        <f t="shared" si="19"/>
        <v>6.4125321944995095E-2</v>
      </c>
    </row>
    <row r="663" spans="2:4" x14ac:dyDescent="0.25">
      <c r="B663" s="12">
        <v>40770</v>
      </c>
      <c r="C663" s="18">
        <v>1.486667</v>
      </c>
      <c r="D663" s="114">
        <f t="shared" si="19"/>
        <v>-0.15241334093500569</v>
      </c>
    </row>
    <row r="664" spans="2:4" x14ac:dyDescent="0.25">
      <c r="B664" s="12">
        <v>40763</v>
      </c>
      <c r="C664" s="18">
        <v>1.754</v>
      </c>
      <c r="D664" s="114">
        <f t="shared" si="19"/>
        <v>8.5396039603960361E-2</v>
      </c>
    </row>
    <row r="665" spans="2:4" x14ac:dyDescent="0.25">
      <c r="B665" s="12">
        <v>40756</v>
      </c>
      <c r="C665" s="18">
        <v>1.6160000000000001</v>
      </c>
      <c r="D665" s="114">
        <f t="shared" si="19"/>
        <v>-0.13951011714589978</v>
      </c>
    </row>
    <row r="666" spans="2:4" x14ac:dyDescent="0.25">
      <c r="B666" s="12">
        <v>40749</v>
      </c>
      <c r="C666" s="18">
        <v>1.8779999999999999</v>
      </c>
      <c r="D666" s="114">
        <f t="shared" si="19"/>
        <v>-3.8238470768441335E-2</v>
      </c>
    </row>
    <row r="667" spans="2:4" x14ac:dyDescent="0.25">
      <c r="B667" s="12">
        <v>40742</v>
      </c>
      <c r="C667" s="18">
        <v>1.9526669999999999</v>
      </c>
      <c r="D667" s="114">
        <f t="shared" si="19"/>
        <v>6.2001439086033505E-2</v>
      </c>
    </row>
    <row r="668" spans="2:4" x14ac:dyDescent="0.25">
      <c r="B668" s="12">
        <v>40735</v>
      </c>
      <c r="C668" s="18">
        <v>1.8386670000000001</v>
      </c>
      <c r="D668" s="114">
        <f t="shared" si="19"/>
        <v>-4.269350178870146E-2</v>
      </c>
    </row>
    <row r="669" spans="2:4" x14ac:dyDescent="0.25">
      <c r="B669" s="12">
        <v>40728</v>
      </c>
      <c r="C669" s="18">
        <v>1.9206669999999999</v>
      </c>
      <c r="D669" s="114">
        <f t="shared" si="19"/>
        <v>-7.2363874506569115E-3</v>
      </c>
    </row>
    <row r="670" spans="2:4" x14ac:dyDescent="0.25">
      <c r="B670" s="12">
        <v>40721</v>
      </c>
      <c r="C670" s="18">
        <v>1.9346669999999999</v>
      </c>
      <c r="D670" s="114">
        <f t="shared" si="19"/>
        <v>5.2593579978237104E-2</v>
      </c>
    </row>
    <row r="671" spans="2:4" x14ac:dyDescent="0.25">
      <c r="B671" s="12">
        <v>40714</v>
      </c>
      <c r="C671" s="18">
        <v>1.8380000000000001</v>
      </c>
      <c r="D671" s="114">
        <f t="shared" si="19"/>
        <v>4.0377162192988258E-2</v>
      </c>
    </row>
    <row r="672" spans="2:4" x14ac:dyDescent="0.25">
      <c r="B672" s="12">
        <v>40707</v>
      </c>
      <c r="C672" s="18">
        <v>1.766667</v>
      </c>
      <c r="D672" s="114">
        <f t="shared" si="19"/>
        <v>-4.881515592518948E-2</v>
      </c>
    </row>
    <row r="673" spans="2:4" x14ac:dyDescent="0.25">
      <c r="B673" s="12">
        <v>40700</v>
      </c>
      <c r="C673" s="18">
        <v>1.8573329999999999</v>
      </c>
      <c r="D673" s="114">
        <f t="shared" si="19"/>
        <v>-7.534051189171731E-2</v>
      </c>
    </row>
    <row r="674" spans="2:4" x14ac:dyDescent="0.25">
      <c r="B674" s="12">
        <v>40693</v>
      </c>
      <c r="C674" s="18">
        <v>2.008667</v>
      </c>
      <c r="D674" s="114">
        <f t="shared" si="19"/>
        <v>1.9627918781725873E-2</v>
      </c>
    </row>
    <row r="675" spans="2:4" x14ac:dyDescent="0.25">
      <c r="B675" s="12">
        <v>40686</v>
      </c>
      <c r="C675" s="18">
        <v>1.97</v>
      </c>
      <c r="D675" s="114">
        <f t="shared" si="19"/>
        <v>5.6488906598336275E-2</v>
      </c>
    </row>
    <row r="676" spans="2:4" x14ac:dyDescent="0.25">
      <c r="B676" s="12">
        <v>40679</v>
      </c>
      <c r="C676" s="18">
        <v>1.8646670000000001</v>
      </c>
      <c r="D676" s="114">
        <f t="shared" si="19"/>
        <v>1.5245006307621267E-2</v>
      </c>
    </row>
    <row r="677" spans="2:4" x14ac:dyDescent="0.25">
      <c r="B677" s="12">
        <v>40672</v>
      </c>
      <c r="C677" s="18">
        <v>1.836667</v>
      </c>
      <c r="D677" s="114">
        <f t="shared" si="19"/>
        <v>1.58556415929203E-2</v>
      </c>
    </row>
    <row r="678" spans="2:4" x14ac:dyDescent="0.25">
      <c r="B678" s="12">
        <v>40665</v>
      </c>
      <c r="C678" s="18">
        <v>1.8080000000000001</v>
      </c>
      <c r="D678" s="114">
        <f t="shared" si="19"/>
        <v>-1.7391304347826098E-2</v>
      </c>
    </row>
    <row r="679" spans="2:4" x14ac:dyDescent="0.25">
      <c r="B679" s="12">
        <v>40658</v>
      </c>
      <c r="C679" s="18">
        <v>1.84</v>
      </c>
      <c r="D679" s="114">
        <f t="shared" si="19"/>
        <v>3.2161362722258335E-2</v>
      </c>
    </row>
    <row r="680" spans="2:4" x14ac:dyDescent="0.25">
      <c r="B680" s="12">
        <v>40651</v>
      </c>
      <c r="C680" s="18">
        <v>1.782667</v>
      </c>
      <c r="D680" s="114">
        <f t="shared" si="19"/>
        <v>4.5348327863238502E-2</v>
      </c>
    </row>
    <row r="681" spans="2:4" x14ac:dyDescent="0.25">
      <c r="B681" s="12">
        <v>40644</v>
      </c>
      <c r="C681" s="18">
        <v>1.705333</v>
      </c>
      <c r="D681" s="114">
        <f t="shared" si="19"/>
        <v>-3.4352774631936644E-2</v>
      </c>
    </row>
    <row r="682" spans="2:4" x14ac:dyDescent="0.25">
      <c r="B682" s="12">
        <v>40637</v>
      </c>
      <c r="C682" s="18">
        <v>1.766</v>
      </c>
      <c r="D682" s="114">
        <f t="shared" si="19"/>
        <v>-6.376407797525907E-3</v>
      </c>
    </row>
    <row r="683" spans="2:4" x14ac:dyDescent="0.25">
      <c r="B683" s="12">
        <v>40630</v>
      </c>
      <c r="C683" s="18">
        <v>1.7773330000000001</v>
      </c>
      <c r="D683" s="114">
        <f t="shared" si="19"/>
        <v>0.17186765453458142</v>
      </c>
    </row>
    <row r="684" spans="2:4" x14ac:dyDescent="0.25">
      <c r="B684" s="12">
        <v>40623</v>
      </c>
      <c r="C684" s="18">
        <v>1.516667</v>
      </c>
      <c r="D684" s="114">
        <f t="shared" si="19"/>
        <v>-9.1463394716160273E-3</v>
      </c>
    </row>
    <row r="685" spans="2:4" x14ac:dyDescent="0.25">
      <c r="B685" s="12">
        <v>40616</v>
      </c>
      <c r="C685" s="18">
        <v>1.530667</v>
      </c>
      <c r="D685" s="114">
        <f t="shared" si="19"/>
        <v>-4.6115486889180213E-2</v>
      </c>
    </row>
    <row r="686" spans="2:4" x14ac:dyDescent="0.25">
      <c r="B686" s="12">
        <v>40609</v>
      </c>
      <c r="C686" s="18">
        <v>1.6046670000000001</v>
      </c>
      <c r="D686" s="114">
        <f t="shared" si="19"/>
        <v>-3.527014734872691E-2</v>
      </c>
    </row>
    <row r="687" spans="2:4" x14ac:dyDescent="0.25">
      <c r="B687" s="12">
        <v>40602</v>
      </c>
      <c r="C687" s="18">
        <v>1.663333</v>
      </c>
      <c r="D687" s="114">
        <f t="shared" si="19"/>
        <v>5.6755400254129507E-2</v>
      </c>
    </row>
    <row r="688" spans="2:4" x14ac:dyDescent="0.25">
      <c r="B688" s="12">
        <v>40595</v>
      </c>
      <c r="C688" s="18">
        <v>1.5740000000000001</v>
      </c>
      <c r="D688" s="114">
        <f t="shared" si="19"/>
        <v>1.8550694251659783E-2</v>
      </c>
    </row>
    <row r="689" spans="2:4" x14ac:dyDescent="0.25">
      <c r="B689" s="12">
        <v>40588</v>
      </c>
      <c r="C689" s="18">
        <v>1.5453330000000001</v>
      </c>
      <c r="D689" s="114">
        <f t="shared" si="19"/>
        <v>-3.010967741935433E-3</v>
      </c>
    </row>
    <row r="690" spans="2:4" x14ac:dyDescent="0.25">
      <c r="B690" s="12">
        <v>40581</v>
      </c>
      <c r="C690" s="18">
        <v>1.55</v>
      </c>
      <c r="D690" s="114">
        <f t="shared" si="19"/>
        <v>-8.9514066496163558E-3</v>
      </c>
    </row>
    <row r="691" spans="2:4" x14ac:dyDescent="0.25">
      <c r="B691" s="12">
        <v>40574</v>
      </c>
      <c r="C691" s="18">
        <v>1.5640000000000001</v>
      </c>
      <c r="D691" s="114">
        <f t="shared" si="19"/>
        <v>-2.2907325508678578E-2</v>
      </c>
    </row>
    <row r="692" spans="2:4" x14ac:dyDescent="0.25">
      <c r="B692" s="12">
        <v>40567</v>
      </c>
      <c r="C692" s="18">
        <v>1.6006670000000001</v>
      </c>
      <c r="D692" s="114">
        <f t="shared" si="19"/>
        <v>4.2100911458333279E-2</v>
      </c>
    </row>
    <row r="693" spans="2:4" x14ac:dyDescent="0.25">
      <c r="B693" s="12">
        <v>40560</v>
      </c>
      <c r="C693" s="18">
        <v>1.536</v>
      </c>
      <c r="D693" s="114">
        <f t="shared" si="19"/>
        <v>-0.10524289218584615</v>
      </c>
    </row>
    <row r="694" spans="2:4" x14ac:dyDescent="0.25">
      <c r="B694" s="12">
        <v>40553</v>
      </c>
      <c r="C694" s="18">
        <v>1.7166669999999999</v>
      </c>
      <c r="D694" s="114">
        <f t="shared" si="19"/>
        <v>-8.8172788921248468E-2</v>
      </c>
    </row>
    <row r="695" spans="2:4" x14ac:dyDescent="0.25">
      <c r="B695" s="12">
        <v>40546</v>
      </c>
      <c r="C695" s="18">
        <v>1.8826670000000001</v>
      </c>
      <c r="D695" s="114">
        <f t="shared" si="19"/>
        <v>6.0458516796567219E-2</v>
      </c>
    </row>
    <row r="696" spans="2:4" x14ac:dyDescent="0.25">
      <c r="B696" s="12">
        <v>40539</v>
      </c>
      <c r="C696" s="18">
        <v>1.775333</v>
      </c>
      <c r="D696" s="114">
        <f t="shared" si="19"/>
        <v>-0.11498853439680945</v>
      </c>
    </row>
    <row r="697" spans="2:4" x14ac:dyDescent="0.25">
      <c r="B697" s="12">
        <v>40532</v>
      </c>
      <c r="C697" s="18">
        <v>2.0059999999999998</v>
      </c>
      <c r="D697" s="114">
        <f t="shared" si="19"/>
        <v>-4.0497601961479335E-2</v>
      </c>
    </row>
    <row r="698" spans="2:4" x14ac:dyDescent="0.25">
      <c r="B698" s="12">
        <v>40525</v>
      </c>
      <c r="C698" s="18">
        <v>2.0906669999999998</v>
      </c>
      <c r="D698" s="114">
        <f t="shared" si="19"/>
        <v>-5.0758256782719169E-3</v>
      </c>
    </row>
    <row r="699" spans="2:4" x14ac:dyDescent="0.25">
      <c r="B699" s="12">
        <v>40518</v>
      </c>
      <c r="C699" s="18">
        <v>2.1013329999999999</v>
      </c>
      <c r="D699" s="114">
        <f t="shared" si="19"/>
        <v>9.5268354282040946E-4</v>
      </c>
    </row>
    <row r="700" spans="2:4" x14ac:dyDescent="0.25">
      <c r="B700" s="12">
        <v>40511</v>
      </c>
      <c r="C700" s="18">
        <v>2.0993330000000001</v>
      </c>
      <c r="D700" s="114">
        <f t="shared" si="19"/>
        <v>-0.10843741386786321</v>
      </c>
    </row>
    <row r="701" spans="2:4" x14ac:dyDescent="0.25">
      <c r="B701" s="12">
        <v>40504</v>
      </c>
      <c r="C701" s="18">
        <v>2.3546670000000001</v>
      </c>
      <c r="D701" s="114">
        <f t="shared" si="19"/>
        <v>0.13972265246853843</v>
      </c>
    </row>
    <row r="702" spans="2:4" x14ac:dyDescent="0.25">
      <c r="B702" s="12">
        <v>40497</v>
      </c>
      <c r="C702" s="18">
        <v>2.0659999999999998</v>
      </c>
      <c r="D702" s="114">
        <f t="shared" si="19"/>
        <v>3.8539048012574906E-2</v>
      </c>
    </row>
    <row r="703" spans="2:4" x14ac:dyDescent="0.25">
      <c r="B703" s="12">
        <v>40490</v>
      </c>
      <c r="C703" s="18">
        <v>1.989333</v>
      </c>
      <c r="D703" s="114">
        <f t="shared" si="19"/>
        <v>0.22094930870485041</v>
      </c>
    </row>
    <row r="704" spans="2:4" x14ac:dyDescent="0.25">
      <c r="B704" s="12">
        <v>40483</v>
      </c>
      <c r="C704" s="18">
        <v>1.6293329999999999</v>
      </c>
      <c r="D704" s="114">
        <f t="shared" si="19"/>
        <v>0.11904739010989007</v>
      </c>
    </row>
    <row r="705" spans="2:4" x14ac:dyDescent="0.25">
      <c r="B705" s="12">
        <v>40476</v>
      </c>
      <c r="C705" s="18">
        <v>1.456</v>
      </c>
      <c r="D705" s="114">
        <f t="shared" si="19"/>
        <v>5.4054308410788732E-2</v>
      </c>
    </row>
    <row r="706" spans="2:4" x14ac:dyDescent="0.25">
      <c r="B706" s="12">
        <v>40469</v>
      </c>
      <c r="C706" s="18">
        <v>1.3813329999999999</v>
      </c>
      <c r="D706" s="114">
        <f t="shared" si="19"/>
        <v>8.7633906434738673E-3</v>
      </c>
    </row>
    <row r="707" spans="2:4" x14ac:dyDescent="0.25">
      <c r="B707" s="12">
        <v>40462</v>
      </c>
      <c r="C707" s="18">
        <v>1.3693329999999999</v>
      </c>
      <c r="D707" s="114">
        <f t="shared" ref="D707:D721" si="20">C707/C708-1</f>
        <v>5.3839941262847635E-3</v>
      </c>
    </row>
    <row r="708" spans="2:4" x14ac:dyDescent="0.25">
      <c r="B708" s="12">
        <v>40455</v>
      </c>
      <c r="C708" s="18">
        <v>1.3620000000000001</v>
      </c>
      <c r="D708" s="114">
        <f t="shared" si="20"/>
        <v>-8.2521864689771851E-3</v>
      </c>
    </row>
    <row r="709" spans="2:4" x14ac:dyDescent="0.25">
      <c r="B709" s="12">
        <v>40448</v>
      </c>
      <c r="C709" s="18">
        <v>1.3733329999999999</v>
      </c>
      <c r="D709" s="114">
        <f t="shared" si="20"/>
        <v>2.4875373134328305E-2</v>
      </c>
    </row>
    <row r="710" spans="2:4" x14ac:dyDescent="0.25">
      <c r="B710" s="12">
        <v>40441</v>
      </c>
      <c r="C710" s="18">
        <v>1.34</v>
      </c>
      <c r="D710" s="114">
        <f t="shared" si="20"/>
        <v>-6.4263454210713444E-3</v>
      </c>
    </row>
    <row r="711" spans="2:4" x14ac:dyDescent="0.25">
      <c r="B711" s="12">
        <v>40434</v>
      </c>
      <c r="C711" s="18">
        <v>1.3486670000000001</v>
      </c>
      <c r="D711" s="114">
        <f t="shared" si="20"/>
        <v>2.9747141857425774E-3</v>
      </c>
    </row>
    <row r="712" spans="2:4" x14ac:dyDescent="0.25">
      <c r="B712" s="12">
        <v>40427</v>
      </c>
      <c r="C712" s="18">
        <v>1.3446670000000001</v>
      </c>
      <c r="D712" s="114">
        <f t="shared" si="20"/>
        <v>-4.1804760523695972E-2</v>
      </c>
    </row>
    <row r="713" spans="2:4" x14ac:dyDescent="0.25">
      <c r="B713" s="12">
        <v>40420</v>
      </c>
      <c r="C713" s="18">
        <v>1.4033329999999999</v>
      </c>
      <c r="D713" s="114">
        <f t="shared" si="20"/>
        <v>6.8527936174602955E-2</v>
      </c>
    </row>
    <row r="714" spans="2:4" x14ac:dyDescent="0.25">
      <c r="B714" s="12">
        <v>40413</v>
      </c>
      <c r="C714" s="18">
        <v>1.3133330000000001</v>
      </c>
      <c r="D714" s="114">
        <f t="shared" si="20"/>
        <v>3.1413620788905972E-2</v>
      </c>
    </row>
    <row r="715" spans="2:4" x14ac:dyDescent="0.25">
      <c r="B715" s="12">
        <v>40406</v>
      </c>
      <c r="C715" s="18">
        <v>1.273333</v>
      </c>
      <c r="D715" s="114">
        <f t="shared" si="20"/>
        <v>4.2576430834178725E-2</v>
      </c>
    </row>
    <row r="716" spans="2:4" x14ac:dyDescent="0.25">
      <c r="B716" s="12">
        <v>40399</v>
      </c>
      <c r="C716" s="18">
        <v>1.221333</v>
      </c>
      <c r="D716" s="114">
        <f t="shared" si="20"/>
        <v>-6.4829249617151641E-2</v>
      </c>
    </row>
    <row r="717" spans="2:4" x14ac:dyDescent="0.25">
      <c r="B717" s="12">
        <v>40392</v>
      </c>
      <c r="C717" s="18">
        <v>1.306</v>
      </c>
      <c r="D717" s="114">
        <f t="shared" si="20"/>
        <v>-1.7552411622971831E-2</v>
      </c>
    </row>
    <row r="718" spans="2:4" x14ac:dyDescent="0.25">
      <c r="B718" s="12">
        <v>40385</v>
      </c>
      <c r="C718" s="18">
        <v>1.3293330000000001</v>
      </c>
      <c r="D718" s="114">
        <f t="shared" si="20"/>
        <v>-6.3410066559433154E-2</v>
      </c>
    </row>
    <row r="719" spans="2:4" x14ac:dyDescent="0.25">
      <c r="B719" s="12">
        <v>40378</v>
      </c>
      <c r="C719" s="18">
        <v>1.419333</v>
      </c>
      <c r="D719" s="114">
        <f t="shared" si="20"/>
        <v>3.1492005813953616E-2</v>
      </c>
    </row>
    <row r="720" spans="2:4" x14ac:dyDescent="0.25">
      <c r="B720" s="12">
        <v>40371</v>
      </c>
      <c r="C720" s="18">
        <v>1.3759999999999999</v>
      </c>
      <c r="D720" s="114">
        <f t="shared" si="20"/>
        <v>0.18620689655172407</v>
      </c>
    </row>
    <row r="721" spans="2:4" x14ac:dyDescent="0.25">
      <c r="B721" s="12">
        <v>40364</v>
      </c>
      <c r="C721" s="18">
        <v>1.1599999999999999</v>
      </c>
      <c r="D721" s="114">
        <f t="shared" si="20"/>
        <v>-9.3750000000000111E-2</v>
      </c>
    </row>
    <row r="722" spans="2:4" x14ac:dyDescent="0.25">
      <c r="B722" s="12">
        <v>40357</v>
      </c>
      <c r="C722" s="18">
        <v>1.28</v>
      </c>
    </row>
    <row r="723" spans="2:4" x14ac:dyDescent="0.25">
      <c r="B723" s="12"/>
      <c r="C723" s="18"/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2025-02-07T04:58:11Z</dcterms:modified>
</cp:coreProperties>
</file>