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465E7D9D-E432-4C22-96B4-654B8FEF3DD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definedNames>
    <definedName name="_xlnm._FilterDatabase" localSheetId="5" hidden="1">DoR!$A$1:$C$1</definedName>
    <definedName name="_xlchart.v1.0" hidden="1">Model!$A$3</definedName>
    <definedName name="_xlchart.v1.1" hidden="1">Model!$A$4</definedName>
    <definedName name="_xlchart.v1.2" hidden="1">Model!$L$2:$X$2</definedName>
    <definedName name="_xlchart.v1.3" hidden="1">Model!$L$3:$X$3</definedName>
    <definedName name="_xlchart.v1.4" hidden="1">Model!$L$4:$X$4</definedName>
    <definedName name="_xlchart.v1.5" hidden="1">Model!$A$17</definedName>
    <definedName name="_xlchart.v1.6" hidden="1">Model!$A$18</definedName>
    <definedName name="_xlchart.v1.7" hidden="1">Model!$L$17:$X$17</definedName>
    <definedName name="_xlchart.v1.8" hidden="1">Model!$L$18:$X$18</definedName>
    <definedName name="_xlchart.v1.9" hidden="1">Model!$L$2:$X$2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6" i="2" l="1"/>
  <c r="AB26" i="2"/>
  <c r="AB22" i="2"/>
  <c r="AC22" i="2"/>
  <c r="G51" i="2"/>
  <c r="G50" i="2"/>
  <c r="G49" i="2"/>
  <c r="G48" i="2"/>
  <c r="G47" i="2"/>
  <c r="G45" i="2"/>
  <c r="G44" i="2"/>
  <c r="G43" i="2"/>
  <c r="G42" i="2"/>
  <c r="G41" i="2"/>
  <c r="G46" i="2" s="1"/>
  <c r="G39" i="2"/>
  <c r="G38" i="2"/>
  <c r="G37" i="2"/>
  <c r="G35" i="2"/>
  <c r="G34" i="2"/>
  <c r="G33" i="2"/>
  <c r="G32" i="2"/>
  <c r="G31" i="2" s="1"/>
  <c r="H26" i="2"/>
  <c r="I26" i="2"/>
  <c r="I22" i="2"/>
  <c r="G27" i="2"/>
  <c r="G24" i="2"/>
  <c r="G23" i="2"/>
  <c r="G20" i="2"/>
  <c r="G17" i="2"/>
  <c r="G15" i="2"/>
  <c r="G16" i="2"/>
  <c r="G14" i="2"/>
  <c r="G13" i="2"/>
  <c r="G11" i="2"/>
  <c r="G10" i="2"/>
  <c r="G3" i="2"/>
  <c r="G9" i="2" s="1"/>
  <c r="G8" i="2"/>
  <c r="G7" i="2"/>
  <c r="G6" i="2"/>
  <c r="G5" i="2"/>
  <c r="C9" i="1"/>
  <c r="C11" i="1" s="1"/>
  <c r="C7" i="1"/>
  <c r="C30" i="1"/>
  <c r="S3" i="6"/>
  <c r="X55" i="2"/>
  <c r="Y55" i="2"/>
  <c r="Z55" i="2"/>
  <c r="AB9" i="2"/>
  <c r="AB12" i="2" s="1"/>
  <c r="AB15" i="2" s="1"/>
  <c r="AB17" i="2" s="1"/>
  <c r="AA9" i="2"/>
  <c r="AA12" i="2" s="1"/>
  <c r="AA15" i="2" s="1"/>
  <c r="AA17" i="2" s="1"/>
  <c r="G3" i="6"/>
  <c r="H3" i="6"/>
  <c r="I3" i="6"/>
  <c r="J3" i="6"/>
  <c r="K3" i="6"/>
  <c r="L3" i="6"/>
  <c r="M3" i="6"/>
  <c r="N3" i="6"/>
  <c r="O3" i="6"/>
  <c r="P3" i="6"/>
  <c r="Q3" i="6"/>
  <c r="R3" i="6"/>
  <c r="F3" i="6"/>
  <c r="AA20" i="2"/>
  <c r="AA23" i="2"/>
  <c r="AA24" i="2"/>
  <c r="AA25" i="2"/>
  <c r="Y22" i="2"/>
  <c r="Y21" i="2"/>
  <c r="M31" i="2"/>
  <c r="N31" i="2"/>
  <c r="R31" i="2"/>
  <c r="T31" i="2"/>
  <c r="U31" i="2"/>
  <c r="V31" i="2"/>
  <c r="X31" i="2"/>
  <c r="Y31" i="2"/>
  <c r="Z31" i="2"/>
  <c r="AA31" i="2"/>
  <c r="L31" i="2"/>
  <c r="F31" i="2"/>
  <c r="E31" i="2"/>
  <c r="B31" i="2"/>
  <c r="J3" i="1"/>
  <c r="AA36" i="2"/>
  <c r="AA40" i="2" s="1"/>
  <c r="AA46" i="2"/>
  <c r="AA52" i="2" s="1"/>
  <c r="AA55" i="2"/>
  <c r="Q55" i="2"/>
  <c r="F55" i="2"/>
  <c r="Y23" i="2"/>
  <c r="Z23" i="2"/>
  <c r="Y24" i="2"/>
  <c r="Z24" i="2"/>
  <c r="Y25" i="2"/>
  <c r="Z25" i="2"/>
  <c r="Y20" i="2"/>
  <c r="Z20" i="2"/>
  <c r="C24" i="1" s="1"/>
  <c r="Z9" i="2"/>
  <c r="Z12" i="2" s="1"/>
  <c r="Z15" i="2" s="1"/>
  <c r="Y46" i="2"/>
  <c r="Y52" i="2" s="1"/>
  <c r="Z46" i="2"/>
  <c r="Z52" i="2" s="1"/>
  <c r="Z36" i="2"/>
  <c r="Z40" i="2" s="1"/>
  <c r="Y36" i="2"/>
  <c r="Y40" i="2" s="1"/>
  <c r="X25" i="2"/>
  <c r="Z22" i="2"/>
  <c r="J4" i="1"/>
  <c r="X46" i="2"/>
  <c r="X52" i="2" s="1"/>
  <c r="X36" i="2"/>
  <c r="X40" i="2" s="1"/>
  <c r="X24" i="2"/>
  <c r="X23" i="2"/>
  <c r="X22" i="2"/>
  <c r="X20" i="2"/>
  <c r="X9" i="2"/>
  <c r="X12" i="2" s="1"/>
  <c r="X15" i="2" s="1"/>
  <c r="X27" i="2" s="1"/>
  <c r="C183" i="5"/>
  <c r="C184" i="5"/>
  <c r="C185" i="5"/>
  <c r="C186" i="5"/>
  <c r="C187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3" i="5"/>
  <c r="C2" i="5"/>
  <c r="C21" i="1"/>
  <c r="C20" i="1"/>
  <c r="C17" i="1"/>
  <c r="C15" i="1"/>
  <c r="C14" i="1"/>
  <c r="J9" i="1"/>
  <c r="J5" i="1"/>
  <c r="C10" i="1"/>
  <c r="M25" i="2"/>
  <c r="N25" i="2"/>
  <c r="P25" i="2"/>
  <c r="Q25" i="2"/>
  <c r="R25" i="2"/>
  <c r="T25" i="2"/>
  <c r="U25" i="2"/>
  <c r="V25" i="2"/>
  <c r="L25" i="2"/>
  <c r="E23" i="2"/>
  <c r="D23" i="2"/>
  <c r="C23" i="2"/>
  <c r="B23" i="2"/>
  <c r="F23" i="2"/>
  <c r="U23" i="2"/>
  <c r="T23" i="2"/>
  <c r="R23" i="2"/>
  <c r="Q23" i="2"/>
  <c r="P23" i="2"/>
  <c r="N23" i="2"/>
  <c r="M23" i="2"/>
  <c r="L23" i="2"/>
  <c r="V23" i="2"/>
  <c r="V24" i="2"/>
  <c r="O16" i="2"/>
  <c r="O14" i="2"/>
  <c r="O13" i="2"/>
  <c r="O11" i="2"/>
  <c r="O8" i="2"/>
  <c r="O25" i="2" s="1"/>
  <c r="O7" i="2"/>
  <c r="O6" i="2"/>
  <c r="O5" i="2"/>
  <c r="O3" i="2"/>
  <c r="L10" i="2"/>
  <c r="P39" i="2"/>
  <c r="P32" i="2"/>
  <c r="P31" i="2" s="1"/>
  <c r="M10" i="2"/>
  <c r="Q39" i="2"/>
  <c r="Q32" i="2"/>
  <c r="Q31" i="2" s="1"/>
  <c r="N10" i="2"/>
  <c r="R39" i="2"/>
  <c r="R32" i="2"/>
  <c r="S14" i="2"/>
  <c r="S13" i="2"/>
  <c r="S11" i="2"/>
  <c r="S8" i="2"/>
  <c r="S7" i="2"/>
  <c r="S6" i="2"/>
  <c r="S5" i="2"/>
  <c r="S3" i="2"/>
  <c r="S16" i="2"/>
  <c r="W16" i="2"/>
  <c r="W14" i="2"/>
  <c r="W13" i="2"/>
  <c r="W11" i="2"/>
  <c r="W8" i="2"/>
  <c r="W7" i="2"/>
  <c r="W6" i="2"/>
  <c r="W5" i="2"/>
  <c r="W3" i="2"/>
  <c r="AA22" i="2" s="1"/>
  <c r="P10" i="2"/>
  <c r="T10" i="2"/>
  <c r="T55" i="2" s="1"/>
  <c r="T39" i="2"/>
  <c r="T32" i="2"/>
  <c r="Q10" i="2"/>
  <c r="U10" i="2"/>
  <c r="U55" i="2" s="1"/>
  <c r="R22" i="2"/>
  <c r="R10" i="2"/>
  <c r="R55" i="2" s="1"/>
  <c r="V10" i="2"/>
  <c r="V55" i="2" s="1"/>
  <c r="O51" i="2"/>
  <c r="O50" i="2"/>
  <c r="O49" i="2"/>
  <c r="O48" i="2"/>
  <c r="O47" i="2"/>
  <c r="O45" i="2"/>
  <c r="O44" i="2"/>
  <c r="O43" i="2"/>
  <c r="O42" i="2"/>
  <c r="O41" i="2"/>
  <c r="O38" i="2"/>
  <c r="O37" i="2"/>
  <c r="O35" i="2"/>
  <c r="O34" i="2"/>
  <c r="O33" i="2"/>
  <c r="S51" i="2"/>
  <c r="S50" i="2"/>
  <c r="S49" i="2"/>
  <c r="S48" i="2"/>
  <c r="S47" i="2"/>
  <c r="S45" i="2"/>
  <c r="S44" i="2"/>
  <c r="S43" i="2"/>
  <c r="S42" i="2"/>
  <c r="S41" i="2"/>
  <c r="S39" i="2"/>
  <c r="S38" i="2"/>
  <c r="S37" i="2"/>
  <c r="S35" i="2"/>
  <c r="S34" i="2"/>
  <c r="S33" i="2"/>
  <c r="S32" i="2"/>
  <c r="S31" i="2" s="1"/>
  <c r="W51" i="2"/>
  <c r="W50" i="2"/>
  <c r="W49" i="2"/>
  <c r="W48" i="2"/>
  <c r="W47" i="2"/>
  <c r="W45" i="2"/>
  <c r="W44" i="2"/>
  <c r="W43" i="2"/>
  <c r="W42" i="2"/>
  <c r="W41" i="2"/>
  <c r="W39" i="2"/>
  <c r="W38" i="2"/>
  <c r="W37" i="2"/>
  <c r="W35" i="2"/>
  <c r="W34" i="2"/>
  <c r="W33" i="2"/>
  <c r="W32" i="2"/>
  <c r="W31" i="2" s="1"/>
  <c r="B37" i="2"/>
  <c r="B32" i="2"/>
  <c r="C39" i="2"/>
  <c r="C32" i="2"/>
  <c r="C31" i="2" s="1"/>
  <c r="D39" i="2"/>
  <c r="O39" i="2" s="1"/>
  <c r="D32" i="2"/>
  <c r="D31" i="2" s="1"/>
  <c r="M9" i="2"/>
  <c r="N9" i="2"/>
  <c r="P9" i="2"/>
  <c r="Q9" i="2"/>
  <c r="R9" i="2"/>
  <c r="T9" i="2"/>
  <c r="U9" i="2"/>
  <c r="V9" i="2"/>
  <c r="Y9" i="2"/>
  <c r="Y12" i="2" s="1"/>
  <c r="Y15" i="2" s="1"/>
  <c r="L9" i="2"/>
  <c r="B11" i="2"/>
  <c r="B10" i="2"/>
  <c r="C11" i="2"/>
  <c r="C10" i="2"/>
  <c r="D10" i="2"/>
  <c r="E10" i="2"/>
  <c r="E55" i="2" s="1"/>
  <c r="F10" i="2"/>
  <c r="C9" i="2"/>
  <c r="D9" i="2"/>
  <c r="E9" i="2"/>
  <c r="F9" i="2"/>
  <c r="H9" i="2"/>
  <c r="H12" i="2" s="1"/>
  <c r="B9" i="2"/>
  <c r="G52" i="2" l="1"/>
  <c r="G36" i="2"/>
  <c r="G40" i="2" s="1"/>
  <c r="G53" i="2" s="1"/>
  <c r="G12" i="2"/>
  <c r="C29" i="1"/>
  <c r="W25" i="2"/>
  <c r="Z53" i="2"/>
  <c r="C19" i="1"/>
  <c r="AA27" i="2"/>
  <c r="AA21" i="2"/>
  <c r="AA53" i="2"/>
  <c r="Y27" i="2"/>
  <c r="Y17" i="2"/>
  <c r="Z27" i="2"/>
  <c r="Z17" i="2"/>
  <c r="Z21" i="2"/>
  <c r="C25" i="1" s="1"/>
  <c r="Y53" i="2"/>
  <c r="S25" i="2"/>
  <c r="S23" i="2"/>
  <c r="J6" i="1"/>
  <c r="J7" i="1"/>
  <c r="W10" i="2"/>
  <c r="W55" i="2" s="1"/>
  <c r="J8" i="1"/>
  <c r="C8" i="1"/>
  <c r="C12" i="1" s="1"/>
  <c r="J10" i="1"/>
  <c r="W23" i="2"/>
  <c r="X53" i="2"/>
  <c r="X17" i="2"/>
  <c r="X21" i="2"/>
  <c r="O10" i="2"/>
  <c r="O23" i="2"/>
  <c r="S10" i="2"/>
  <c r="S55" i="2" s="1"/>
  <c r="O32" i="2"/>
  <c r="O31" i="2" s="1"/>
  <c r="F12" i="2"/>
  <c r="C22" i="1" s="1"/>
  <c r="O9" i="2"/>
  <c r="S9" i="2"/>
  <c r="W9" i="2"/>
  <c r="B12" i="2"/>
  <c r="B15" i="2" s="1"/>
  <c r="B17" i="2" s="1"/>
  <c r="D12" i="2"/>
  <c r="D15" i="2" s="1"/>
  <c r="D27" i="2" s="1"/>
  <c r="C12" i="2"/>
  <c r="C15" i="2" s="1"/>
  <c r="C27" i="2" s="1"/>
  <c r="E12" i="2"/>
  <c r="E15" i="2" s="1"/>
  <c r="E27" i="2" s="1"/>
  <c r="H65" i="5"/>
  <c r="H64" i="5"/>
  <c r="C26" i="1" l="1"/>
  <c r="F15" i="2"/>
  <c r="C23" i="1"/>
  <c r="I41" i="5"/>
  <c r="H41" i="5"/>
  <c r="I40" i="5"/>
  <c r="H40" i="5"/>
  <c r="I39" i="5"/>
  <c r="H39" i="5"/>
  <c r="I34" i="5"/>
  <c r="J34" i="5" s="1"/>
  <c r="G4" i="5"/>
  <c r="H4" i="5"/>
  <c r="J12" i="5"/>
  <c r="J11" i="5"/>
  <c r="J10" i="5"/>
  <c r="J5" i="5"/>
  <c r="J4" i="5"/>
  <c r="G14" i="5"/>
  <c r="H14" i="5" s="1"/>
  <c r="G13" i="5"/>
  <c r="J13" i="5" s="1"/>
  <c r="G12" i="5"/>
  <c r="G11" i="5"/>
  <c r="G10" i="5"/>
  <c r="G9" i="5"/>
  <c r="G8" i="5"/>
  <c r="G7" i="5"/>
  <c r="G6" i="5"/>
  <c r="J7" i="5" s="1"/>
  <c r="G5" i="5"/>
  <c r="H35" i="5"/>
  <c r="I36" i="5"/>
  <c r="L58" i="5"/>
  <c r="F27" i="2" l="1"/>
  <c r="L51" i="5"/>
  <c r="I10" i="5"/>
  <c r="K10" i="5" s="1"/>
  <c r="H47" i="5"/>
  <c r="H55" i="5"/>
  <c r="J48" i="5"/>
  <c r="J56" i="5"/>
  <c r="I11" i="5"/>
  <c r="K11" i="5" s="1"/>
  <c r="H48" i="5"/>
  <c r="H56" i="5"/>
  <c r="J49" i="5"/>
  <c r="L44" i="5"/>
  <c r="L52" i="5"/>
  <c r="H49" i="5"/>
  <c r="H57" i="5"/>
  <c r="J50" i="5"/>
  <c r="L45" i="5"/>
  <c r="L53" i="5"/>
  <c r="J41" i="5"/>
  <c r="K41" i="5" s="1"/>
  <c r="H50" i="5"/>
  <c r="H58" i="5"/>
  <c r="J51" i="5"/>
  <c r="L46" i="5"/>
  <c r="L54" i="5"/>
  <c r="I5" i="5"/>
  <c r="K5" i="5" s="1"/>
  <c r="H51" i="5"/>
  <c r="J44" i="5"/>
  <c r="J52" i="5"/>
  <c r="L47" i="5"/>
  <c r="L55" i="5"/>
  <c r="I12" i="5"/>
  <c r="K12" i="5" s="1"/>
  <c r="I7" i="5"/>
  <c r="K7" i="5" s="1"/>
  <c r="H44" i="5"/>
  <c r="H52" i="5"/>
  <c r="J45" i="5"/>
  <c r="J53" i="5"/>
  <c r="L48" i="5"/>
  <c r="L56" i="5"/>
  <c r="H45" i="5"/>
  <c r="H53" i="5"/>
  <c r="J46" i="5"/>
  <c r="J54" i="5"/>
  <c r="L49" i="5"/>
  <c r="L57" i="5"/>
  <c r="I8" i="5"/>
  <c r="K8" i="5" s="1"/>
  <c r="I9" i="5"/>
  <c r="K9" i="5" s="1"/>
  <c r="H46" i="5"/>
  <c r="H54" i="5"/>
  <c r="J47" i="5"/>
  <c r="J55" i="5"/>
  <c r="L50" i="5"/>
  <c r="J40" i="5"/>
  <c r="K40" i="5" s="1"/>
  <c r="J36" i="5"/>
  <c r="K36" i="5" s="1"/>
  <c r="I14" i="5"/>
  <c r="K14" i="5" s="1"/>
  <c r="I13" i="5"/>
  <c r="K13" i="5" s="1"/>
  <c r="I35" i="5"/>
  <c r="J35" i="5" s="1"/>
  <c r="K35" i="5" s="1"/>
  <c r="J6" i="5"/>
  <c r="J14" i="5"/>
  <c r="I15" i="5"/>
  <c r="K15" i="5" s="1"/>
  <c r="I6" i="5"/>
  <c r="K6" i="5" s="1"/>
  <c r="J15" i="5"/>
  <c r="J8" i="5"/>
  <c r="J9" i="5"/>
  <c r="I4" i="5"/>
  <c r="K4" i="5" s="1"/>
  <c r="L4" i="5" s="1"/>
  <c r="H34" i="5"/>
  <c r="K34" i="5" s="1"/>
  <c r="H5" i="5"/>
  <c r="H9" i="5"/>
  <c r="H13" i="5"/>
  <c r="H8" i="5"/>
  <c r="H12" i="5"/>
  <c r="H7" i="5"/>
  <c r="H11" i="5"/>
  <c r="H6" i="5"/>
  <c r="H10" i="5"/>
  <c r="L5" i="5" l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B24" i="2" l="1"/>
  <c r="C24" i="2"/>
  <c r="D24" i="2"/>
  <c r="F24" i="2"/>
  <c r="L12" i="2"/>
  <c r="L15" i="2" s="1"/>
  <c r="M12" i="2"/>
  <c r="M15" i="2" s="1"/>
  <c r="M27" i="2" s="1"/>
  <c r="N12" i="2"/>
  <c r="N15" i="2" s="1"/>
  <c r="N27" i="2" s="1"/>
  <c r="O12" i="2"/>
  <c r="O15" i="2" s="1"/>
  <c r="O27" i="2" s="1"/>
  <c r="P12" i="2"/>
  <c r="P15" i="2" s="1"/>
  <c r="Q12" i="2"/>
  <c r="Q15" i="2" s="1"/>
  <c r="R12" i="2"/>
  <c r="R15" i="2" s="1"/>
  <c r="S12" i="2"/>
  <c r="S15" i="2" s="1"/>
  <c r="T12" i="2"/>
  <c r="T15" i="2" s="1"/>
  <c r="X26" i="2" s="1"/>
  <c r="U12" i="2"/>
  <c r="U15" i="2" s="1"/>
  <c r="V12" i="2"/>
  <c r="V15" i="2" s="1"/>
  <c r="V27" i="2" s="1"/>
  <c r="W12" i="2"/>
  <c r="W15" i="2" s="1"/>
  <c r="L20" i="2"/>
  <c r="M20" i="2"/>
  <c r="N20" i="2"/>
  <c r="O20" i="2"/>
  <c r="P20" i="2"/>
  <c r="Q20" i="2"/>
  <c r="R20" i="2"/>
  <c r="S20" i="2"/>
  <c r="T20" i="2"/>
  <c r="U20" i="2"/>
  <c r="V20" i="2"/>
  <c r="W20" i="2"/>
  <c r="P22" i="2"/>
  <c r="Q22" i="2"/>
  <c r="S22" i="2"/>
  <c r="T22" i="2"/>
  <c r="U22" i="2"/>
  <c r="V22" i="2"/>
  <c r="W22" i="2"/>
  <c r="L24" i="2"/>
  <c r="M24" i="2"/>
  <c r="N24" i="2"/>
  <c r="O24" i="2"/>
  <c r="P24" i="2"/>
  <c r="Q24" i="2"/>
  <c r="R24" i="2"/>
  <c r="S24" i="2"/>
  <c r="T24" i="2"/>
  <c r="U24" i="2"/>
  <c r="W24" i="2"/>
  <c r="L36" i="2"/>
  <c r="L40" i="2" s="1"/>
  <c r="M36" i="2"/>
  <c r="M40" i="2" s="1"/>
  <c r="N36" i="2"/>
  <c r="N40" i="2" s="1"/>
  <c r="O36" i="2"/>
  <c r="O40" i="2" s="1"/>
  <c r="P36" i="2"/>
  <c r="P40" i="2" s="1"/>
  <c r="Q36" i="2"/>
  <c r="Q40" i="2" s="1"/>
  <c r="R36" i="2"/>
  <c r="R40" i="2" s="1"/>
  <c r="S36" i="2"/>
  <c r="S40" i="2" s="1"/>
  <c r="T36" i="2"/>
  <c r="T40" i="2" s="1"/>
  <c r="U36" i="2"/>
  <c r="U40" i="2" s="1"/>
  <c r="V36" i="2"/>
  <c r="V40" i="2" s="1"/>
  <c r="W36" i="2"/>
  <c r="L46" i="2"/>
  <c r="L52" i="2" s="1"/>
  <c r="M46" i="2"/>
  <c r="M52" i="2" s="1"/>
  <c r="N46" i="2"/>
  <c r="N52" i="2" s="1"/>
  <c r="O46" i="2"/>
  <c r="O52" i="2" s="1"/>
  <c r="P46" i="2"/>
  <c r="P52" i="2" s="1"/>
  <c r="Q46" i="2"/>
  <c r="Q52" i="2" s="1"/>
  <c r="R46" i="2"/>
  <c r="R52" i="2" s="1"/>
  <c r="S46" i="2"/>
  <c r="S52" i="2" s="1"/>
  <c r="T46" i="2"/>
  <c r="T52" i="2" s="1"/>
  <c r="U46" i="2"/>
  <c r="U52" i="2" s="1"/>
  <c r="V46" i="2"/>
  <c r="V52" i="2" s="1"/>
  <c r="W46" i="2"/>
  <c r="W52" i="2" s="1"/>
  <c r="B36" i="2"/>
  <c r="B40" i="2" s="1"/>
  <c r="C36" i="2"/>
  <c r="C40" i="2" s="1"/>
  <c r="D36" i="2"/>
  <c r="D40" i="2" s="1"/>
  <c r="H21" i="2"/>
  <c r="G21" i="2"/>
  <c r="H22" i="2"/>
  <c r="R53" i="2" l="1"/>
  <c r="Q53" i="2"/>
  <c r="O53" i="2"/>
  <c r="W40" i="2"/>
  <c r="W53" i="2" s="1"/>
  <c r="U17" i="2"/>
  <c r="Y26" i="2" s="1"/>
  <c r="U27" i="2"/>
  <c r="T17" i="2"/>
  <c r="T27" i="2"/>
  <c r="S17" i="2"/>
  <c r="S27" i="2"/>
  <c r="R17" i="2"/>
  <c r="R27" i="2"/>
  <c r="W17" i="2"/>
  <c r="AA26" i="2" s="1"/>
  <c r="W27" i="2"/>
  <c r="L17" i="2"/>
  <c r="L27" i="2"/>
  <c r="Q17" i="2"/>
  <c r="Q27" i="2"/>
  <c r="P17" i="2"/>
  <c r="P27" i="2"/>
  <c r="V26" i="2"/>
  <c r="V17" i="2"/>
  <c r="Z26" i="2" s="1"/>
  <c r="V53" i="2"/>
  <c r="U53" i="2"/>
  <c r="T53" i="2"/>
  <c r="O21" i="2"/>
  <c r="O17" i="2"/>
  <c r="P53" i="2"/>
  <c r="M21" i="2"/>
  <c r="M17" i="2"/>
  <c r="N21" i="2"/>
  <c r="N17" i="2"/>
  <c r="S53" i="2"/>
  <c r="L21" i="2"/>
  <c r="P26" i="2"/>
  <c r="T21" i="2"/>
  <c r="T26" i="2"/>
  <c r="P21" i="2"/>
  <c r="S21" i="2"/>
  <c r="S26" i="2"/>
  <c r="W26" i="2"/>
  <c r="W21" i="2"/>
  <c r="V21" i="2"/>
  <c r="U21" i="2"/>
  <c r="U26" i="2"/>
  <c r="R26" i="2"/>
  <c r="R21" i="2"/>
  <c r="Q26" i="2"/>
  <c r="Q21" i="2"/>
  <c r="B20" i="2"/>
  <c r="G22" i="2"/>
  <c r="E20" i="2"/>
  <c r="E24" i="2"/>
  <c r="D20" i="2"/>
  <c r="C20" i="2"/>
  <c r="F20" i="2"/>
  <c r="F22" i="2"/>
  <c r="F46" i="2"/>
  <c r="F52" i="2" s="1"/>
  <c r="F36" i="2"/>
  <c r="F40" i="2" s="1"/>
  <c r="C34" i="1" s="1"/>
  <c r="D22" i="2"/>
  <c r="E22" i="2"/>
  <c r="C22" i="2"/>
  <c r="C46" i="2"/>
  <c r="C52" i="2" s="1"/>
  <c r="C53" i="2" s="1"/>
  <c r="D46" i="2"/>
  <c r="E36" i="2"/>
  <c r="E40" i="2" s="1"/>
  <c r="F53" i="2" l="1"/>
  <c r="C35" i="1" s="1"/>
  <c r="C17" i="2"/>
  <c r="E17" i="2"/>
  <c r="D17" i="2"/>
  <c r="E46" i="2"/>
  <c r="E52" i="2" s="1"/>
  <c r="E53" i="2" s="1"/>
  <c r="D52" i="2"/>
  <c r="D53" i="2" s="1"/>
  <c r="B46" i="2"/>
  <c r="B52" i="2" s="1"/>
  <c r="B53" i="2" s="1"/>
  <c r="F26" i="2" l="1"/>
  <c r="F17" i="2"/>
  <c r="C13" i="1" s="1"/>
  <c r="E26" i="2"/>
  <c r="F21" i="2"/>
  <c r="E21" i="2"/>
  <c r="D26" i="2"/>
  <c r="D21" i="2"/>
  <c r="B21" i="2"/>
  <c r="C26" i="2"/>
  <c r="C21" i="2"/>
  <c r="G26" i="2" l="1"/>
  <c r="C16" i="1"/>
  <c r="C18" i="1" s="1"/>
  <c r="J39" i="5"/>
  <c r="K39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<sst xmlns="http://schemas.openxmlformats.org/spreadsheetml/2006/main" count="244" uniqueCount="213">
  <si>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</si>
  <si>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</si>
  <si>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</si>
  <si>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</si>
  <si>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</si>
  <si>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</si>
  <si>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</si>
  <si>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</si>
  <si>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</si>
  <si>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</si>
  <si>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</si>
  <si>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</si>
  <si>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</si>
  <si>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</si>
  <si>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</si>
  <si>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</si>
  <si>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</si>
  <si>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</si>
  <si>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</si>
  <si>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</si>
  <si>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Net Income</t>
  </si>
  <si>
    <t>EPS</t>
  </si>
  <si>
    <t>Operational Income</t>
  </si>
  <si>
    <t>Cash</t>
  </si>
  <si>
    <t>AR</t>
  </si>
  <si>
    <t>Other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</si>
  <si>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</si>
  <si>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</si>
  <si>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</si>
  <si>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</si>
  <si>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</si>
  <si>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</si>
  <si>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</si>
  <si>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</si>
  <si>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</si>
  <si>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</si>
  <si>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</si>
  <si>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</si>
  <si>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</si>
  <si>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</si>
  <si>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</si>
  <si>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</si>
  <si>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</si>
  <si>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</si>
  <si>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</si>
  <si>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</si>
  <si>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</si>
  <si>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</si>
  <si>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</si>
  <si>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</si>
  <si>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</si>
  <si>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</si>
  <si>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</si>
  <si>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</si>
  <si>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</si>
  <si>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</si>
  <si>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</si>
  <si>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</si>
  <si>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</si>
  <si>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</si>
  <si>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</si>
  <si>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</si>
  <si>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</si>
  <si>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</si>
  <si>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Operating Lease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</si>
  <si>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</si>
  <si>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</si>
  <si>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</si>
  <si>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</si>
  <si>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</si>
  <si>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</si>
  <si>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</si>
  <si>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</si>
  <si>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</si>
  <si>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</si>
  <si>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</si>
  <si>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NI Noncontrolling Interest</t>
  </si>
  <si>
    <t>Notes</t>
  </si>
  <si>
    <t>Prepaid Expense</t>
  </si>
  <si>
    <t>PP&amp;E</t>
  </si>
  <si>
    <t>Equity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</si>
  <si>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</si>
  <si>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</si>
  <si>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</si>
  <si>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</si>
  <si>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</si>
  <si>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</si>
  <si>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</si>
  <si>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</si>
  <si>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</si>
  <si>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</si>
  <si>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</si>
  <si>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</si>
  <si>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PLTR</t>
  </si>
  <si>
    <t>w/w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</si>
  <si>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</si>
  <si>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</si>
  <si>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</si>
  <si>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</si>
  <si>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</si>
  <si>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</si>
  <si>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</si>
  <si>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</si>
  <si>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</si>
  <si>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</si>
  <si>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</si>
  <si>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</si>
  <si>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</si>
  <si>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</si>
  <si>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Intervals</t>
  </si>
  <si>
    <t>Bin</t>
  </si>
  <si>
    <t>Frequency</t>
  </si>
  <si>
    <t>Probability</t>
  </si>
  <si>
    <t>Cumulative Percentage</t>
  </si>
  <si>
    <t>More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</si>
  <si>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</si>
  <si>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</si>
  <si>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</si>
  <si>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</si>
  <si>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</si>
  <si>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</si>
  <si>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</si>
  <si>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</si>
  <si>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</si>
  <si>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</si>
  <si>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</si>
  <si>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</si>
  <si>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</si>
  <si>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</si>
  <si>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</si>
  <si>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</si>
  <si>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</si>
  <si>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</si>
  <si>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(should use monthly)</t>
  </si>
  <si>
    <t>Close to Close Weekly returns</t>
  </si>
  <si>
    <t>Vanguard Group Inc</t>
  </si>
  <si>
    <t>9.18%</t>
  </si>
  <si>
    <t>Blackrock Inc.</t>
  </si>
  <si>
    <t>5.33%</t>
  </si>
  <si>
    <t>Renaissance Technologies, LLC</t>
  </si>
  <si>
    <t>2.07%</t>
  </si>
  <si>
    <t>State Street Corporation</t>
  </si>
  <si>
    <t>1.89%</t>
  </si>
  <si>
    <t>Geode Capital Management, LLC</t>
  </si>
  <si>
    <t>1.33%</t>
  </si>
  <si>
    <t>Jane Street Group, LLC</t>
  </si>
  <si>
    <t>1.04%</t>
  </si>
  <si>
    <t>Morgan Stanley</t>
  </si>
  <si>
    <t>1.03%</t>
  </si>
  <si>
    <t>Shaw D.E. &amp; Co., Inc.</t>
  </si>
  <si>
    <t>0.98%</t>
  </si>
  <si>
    <t>Sumitomo Mitsui Trust Holdings, Inc.</t>
  </si>
  <si>
    <t>0.60%</t>
  </si>
  <si>
    <t>Legal &amp; General Group PLC</t>
  </si>
  <si>
    <t>0.56%</t>
  </si>
  <si>
    <t>COHEN STEPHEN ANDREW</t>
  </si>
  <si>
    <t>GLAZER DAVID ALAN</t>
  </si>
  <si>
    <t>KARP ALEXANDER C.</t>
  </si>
  <si>
    <t>MOORE ALEXANDER D</t>
  </si>
  <si>
    <t>PLANISHEK HEATHER A</t>
  </si>
  <si>
    <t>SANKAR SHYAM</t>
  </si>
  <si>
    <t>SCHIFF ALEXANDRA W</t>
  </si>
  <si>
    <t>TAYLOR RYAN DOUGLAS J.D.</t>
  </si>
  <si>
    <t>Mr. Peter Andreas Thiel</t>
  </si>
  <si>
    <t>Co-Founder &amp; Chairman</t>
  </si>
  <si>
    <t>Dr. Alexander C. Karp</t>
  </si>
  <si>
    <t>Co-Founder, CEO &amp; Director</t>
  </si>
  <si>
    <t>Mr. Stephen Andrew Cohen</t>
  </si>
  <si>
    <t>Co-Founder, President, Secretary &amp; Director</t>
  </si>
  <si>
    <t>Mr. David A. Glazer</t>
  </si>
  <si>
    <t>CFO &amp; Treasurer</t>
  </si>
  <si>
    <t>Mr. Shyam Sankar</t>
  </si>
  <si>
    <t>CTO &amp; Executive VP</t>
  </si>
  <si>
    <t>Mr. Ryan D. Taylor</t>
  </si>
  <si>
    <t>Chief Revenue Officer &amp; Chief Legal Officer</t>
  </si>
  <si>
    <t>Mr. Joseph Lonsdale</t>
  </si>
  <si>
    <t>Co-Founder</t>
  </si>
  <si>
    <t>Ms. Heather Planishek</t>
  </si>
  <si>
    <t>Chief Accounting Officer</t>
  </si>
  <si>
    <t>Mr. Rodney Nelson</t>
  </si>
  <si>
    <t>Head of Investor Relations</t>
  </si>
  <si>
    <t>Mr. David B. MacNaughton</t>
  </si>
  <si>
    <t>President of Palantir Canada</t>
  </si>
  <si>
    <t>Peter Thiel</t>
  </si>
  <si>
    <t>Products: Gotham (CIA), Metropolis (Finance), Apollo (SaaS continous delivery), Froundry (health)</t>
  </si>
  <si>
    <t>G&amp;A</t>
  </si>
  <si>
    <t>Interest net</t>
  </si>
  <si>
    <t>Provisions</t>
  </si>
  <si>
    <t>Marketable Securities</t>
  </si>
  <si>
    <t>Operating Lease right of use</t>
  </si>
  <si>
    <t>AL</t>
  </si>
  <si>
    <t>Deffered Revenue</t>
  </si>
  <si>
    <t>Customer deposits</t>
  </si>
  <si>
    <t>Operating lease</t>
  </si>
  <si>
    <t>Debt</t>
  </si>
  <si>
    <t>Interest Rate MS</t>
  </si>
  <si>
    <t>R&amp;D / REV</t>
  </si>
  <si>
    <t>Net Margin + R&amp;D</t>
  </si>
  <si>
    <t>G&amp;A / REV</t>
  </si>
  <si>
    <t>Q324</t>
  </si>
  <si>
    <t>Q424</t>
  </si>
  <si>
    <t>Number of US Commercial Customers</t>
  </si>
  <si>
    <t>Q220</t>
  </si>
  <si>
    <t>Q320</t>
  </si>
  <si>
    <t>Q420</t>
  </si>
  <si>
    <t>NOCC y/y</t>
  </si>
  <si>
    <t>Customer Count</t>
  </si>
  <si>
    <t>Commercial Customer Count</t>
  </si>
  <si>
    <t>Q125</t>
  </si>
  <si>
    <t>Shares (basic)</t>
  </si>
  <si>
    <t>Q225</t>
  </si>
  <si>
    <t>Q325</t>
  </si>
  <si>
    <t>FY26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</si>
</sst>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65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0" fontId="6" fillId="6" borderId="0" xfId="0" applyFont="1" applyFill="1"/>
    <xf numFmtId="166" fontId="0" fillId="0" borderId="2" xfId="0" applyNumberFormat="1" applyBorder="1"/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10" fontId="2" fillId="0" borderId="2" xfId="1" applyNumberFormat="1" applyFont="1" applyBorder="1"/>
    <xf numFmtId="2" fontId="2" fillId="3" borderId="2" xfId="0" applyNumberFormat="1" applyFont="1" applyFill="1" applyBorder="1"/>
    <xf numFmtId="0" fontId="6" fillId="3" borderId="0" xfId="0" applyFont="1" applyFill="1"/>
    <xf numFmtId="9" fontId="5" fillId="0" borderId="0" xfId="1" applyFont="1" applyBorder="1"/>
    <xf numFmtId="3" fontId="6" fillId="6" borderId="0" xfId="0" applyNumberFormat="1" applyFont="1" applyFill="1"/>
    <xf numFmtId="0" fontId="0" fillId="3" borderId="7" xfId="0" applyFill="1" applyBorder="1" applyAlignment="1">
      <alignment horizontal="right"/>
    </xf>
    <xf numFmtId="0" fontId="11" fillId="10" borderId="15" xfId="0" applyFont="1" applyFill="1" applyBorder="1"/>
    <xf numFmtId="0" fontId="11" fillId="10" borderId="11" xfId="0" applyFont="1" applyFill="1" applyBorder="1"/>
    <xf numFmtId="0" fontId="11" fillId="10" borderId="16" xfId="0" applyFont="1" applyFill="1" applyBorder="1"/>
    <xf numFmtId="0" fontId="11" fillId="10" borderId="17" xfId="0" applyFont="1" applyFill="1" applyBorder="1"/>
    <xf numFmtId="0" fontId="12" fillId="10" borderId="10" xfId="0" applyFont="1" applyFill="1" applyBorder="1" applyAlignment="1">
      <alignment horizontal="center"/>
    </xf>
    <xf numFmtId="0" fontId="11" fillId="10" borderId="18" xfId="0" applyFont="1" applyFill="1" applyBorder="1"/>
    <xf numFmtId="0" fontId="11" fillId="10" borderId="19" xfId="0" applyFont="1" applyFill="1" applyBorder="1"/>
    <xf numFmtId="167" fontId="11" fillId="10" borderId="20" xfId="0" applyNumberFormat="1" applyFont="1" applyFill="1" applyBorder="1"/>
    <xf numFmtId="167" fontId="11" fillId="10" borderId="21" xfId="0" applyNumberFormat="1" applyFont="1" applyFill="1" applyBorder="1"/>
    <xf numFmtId="0" fontId="11" fillId="10" borderId="21" xfId="0" applyFont="1" applyFill="1" applyBorder="1"/>
    <xf numFmtId="10" fontId="11" fillId="10" borderId="21" xfId="0" applyNumberFormat="1" applyFont="1" applyFill="1" applyBorder="1"/>
    <xf numFmtId="10" fontId="11" fillId="10" borderId="22" xfId="0" applyNumberFormat="1" applyFont="1" applyFill="1" applyBorder="1"/>
    <xf numFmtId="167" fontId="11" fillId="10" borderId="23" xfId="0" applyNumberFormat="1" applyFont="1" applyFill="1" applyBorder="1"/>
    <xf numFmtId="167" fontId="11" fillId="10" borderId="24" xfId="0" applyNumberFormat="1" applyFont="1" applyFill="1" applyBorder="1"/>
    <xf numFmtId="0" fontId="11" fillId="10" borderId="24" xfId="0" applyFont="1" applyFill="1" applyBorder="1"/>
    <xf numFmtId="0" fontId="11" fillId="10" borderId="24" xfId="0" quotePrefix="1" applyFont="1" applyFill="1" applyBorder="1"/>
    <xf numFmtId="10" fontId="11" fillId="10" borderId="24" xfId="0" applyNumberFormat="1" applyFont="1" applyFill="1" applyBorder="1"/>
    <xf numFmtId="10" fontId="11" fillId="10" borderId="25" xfId="0" applyNumberFormat="1" applyFont="1" applyFill="1" applyBorder="1"/>
    <xf numFmtId="0" fontId="11" fillId="10" borderId="26" xfId="0" applyFont="1" applyFill="1" applyBorder="1"/>
    <xf numFmtId="0" fontId="11" fillId="10" borderId="27" xfId="0" applyFont="1" applyFill="1" applyBorder="1"/>
    <xf numFmtId="10" fontId="11" fillId="10" borderId="27" xfId="0" applyNumberFormat="1" applyFont="1" applyFill="1" applyBorder="1"/>
    <xf numFmtId="10" fontId="11" fillId="10" borderId="28" xfId="0" applyNumberFormat="1" applyFont="1" applyFill="1" applyBorder="1"/>
    <xf numFmtId="0" fontId="12" fillId="10" borderId="29" xfId="0" applyFont="1" applyFill="1" applyBorder="1" applyAlignment="1">
      <alignment horizontal="center"/>
    </xf>
    <xf numFmtId="0" fontId="13" fillId="10" borderId="21" xfId="0" applyFont="1" applyFill="1" applyBorder="1"/>
    <xf numFmtId="0" fontId="13" fillId="10" borderId="22" xfId="0" applyFont="1" applyFill="1" applyBorder="1"/>
    <xf numFmtId="0" fontId="11" fillId="10" borderId="30" xfId="0" applyFont="1" applyFill="1" applyBorder="1"/>
    <xf numFmtId="0" fontId="11" fillId="10" borderId="0" xfId="0" applyFont="1" applyFill="1"/>
    <xf numFmtId="10" fontId="11" fillId="10" borderId="33" xfId="0" applyNumberFormat="1" applyFont="1" applyFill="1" applyBorder="1"/>
    <xf numFmtId="9" fontId="13" fillId="10" borderId="34" xfId="0" applyNumberFormat="1" applyFont="1" applyFill="1" applyBorder="1"/>
    <xf numFmtId="10" fontId="0" fillId="10" borderId="36" xfId="0" applyNumberFormat="1" applyFill="1" applyBorder="1" applyAlignment="1">
      <alignment horizontal="centerContinuous"/>
    </xf>
    <xf numFmtId="9" fontId="13" fillId="10" borderId="37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9" fontId="13" fillId="10" borderId="31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0" xfId="0" applyNumberFormat="1" applyFill="1" applyBorder="1" applyAlignment="1">
      <alignment horizontal="centerContinuous"/>
    </xf>
    <xf numFmtId="9" fontId="13" fillId="10" borderId="15" xfId="0" applyNumberFormat="1" applyFont="1" applyFill="1" applyBorder="1"/>
    <xf numFmtId="10" fontId="0" fillId="10" borderId="38" xfId="0" applyNumberFormat="1" applyFill="1" applyBorder="1" applyAlignment="1">
      <alignment horizontal="centerContinuous"/>
    </xf>
    <xf numFmtId="0" fontId="11" fillId="10" borderId="39" xfId="0" applyFont="1" applyFill="1" applyBorder="1"/>
    <xf numFmtId="0" fontId="0" fillId="10" borderId="38" xfId="0" applyFill="1" applyBorder="1"/>
    <xf numFmtId="9" fontId="13" fillId="10" borderId="39" xfId="0" applyNumberFormat="1" applyFont="1" applyFill="1" applyBorder="1"/>
    <xf numFmtId="10" fontId="0" fillId="10" borderId="16" xfId="0" applyNumberFormat="1" applyFill="1" applyBorder="1" applyAlignment="1">
      <alignment horizontal="centerContinuous"/>
    </xf>
    <xf numFmtId="0" fontId="13" fillId="0" borderId="20" xfId="0" applyFont="1" applyBorder="1"/>
    <xf numFmtId="9" fontId="9" fillId="8" borderId="22" xfId="3" applyNumberFormat="1" applyBorder="1"/>
    <xf numFmtId="0" fontId="13" fillId="0" borderId="26" xfId="0" applyFont="1" applyBorder="1"/>
    <xf numFmtId="9" fontId="9" fillId="8" borderId="28" xfId="3" applyNumberFormat="1" applyBorder="1"/>
    <xf numFmtId="0" fontId="11" fillId="0" borderId="0" xfId="0" applyFont="1"/>
    <xf numFmtId="2" fontId="9" fillId="8" borderId="22" xfId="3" applyNumberFormat="1" applyBorder="1"/>
    <xf numFmtId="0" fontId="13" fillId="0" borderId="23" xfId="0" applyFont="1" applyBorder="1"/>
    <xf numFmtId="2" fontId="0" fillId="0" borderId="25" xfId="0" applyNumberFormat="1" applyBorder="1"/>
    <xf numFmtId="2" fontId="0" fillId="0" borderId="28" xfId="0" applyNumberFormat="1" applyBorder="1"/>
    <xf numFmtId="167" fontId="13" fillId="10" borderId="23" xfId="0" applyNumberFormat="1" applyFont="1" applyFill="1" applyBorder="1"/>
    <xf numFmtId="1" fontId="11" fillId="10" borderId="23" xfId="0" applyNumberFormat="1" applyFont="1" applyFill="1" applyBorder="1"/>
    <xf numFmtId="167" fontId="11" fillId="10" borderId="32" xfId="0" applyNumberFormat="1" applyFont="1" applyFill="1" applyBorder="1"/>
    <xf numFmtId="167" fontId="11" fillId="10" borderId="40" xfId="0" applyNumberFormat="1" applyFont="1" applyFill="1" applyBorder="1"/>
    <xf numFmtId="167" fontId="13" fillId="10" borderId="32" xfId="0" applyNumberFormat="1" applyFont="1" applyFill="1" applyBorder="1"/>
    <xf numFmtId="167" fontId="11" fillId="10" borderId="41" xfId="0" applyNumberFormat="1" applyFont="1" applyFill="1" applyBorder="1"/>
    <xf numFmtId="167" fontId="11" fillId="10" borderId="15" xfId="0" applyNumberFormat="1" applyFont="1" applyFill="1" applyBorder="1"/>
    <xf numFmtId="167" fontId="11" fillId="10" borderId="31" xfId="0" applyNumberFormat="1" applyFont="1" applyFill="1" applyBorder="1"/>
    <xf numFmtId="165" fontId="0" fillId="10" borderId="2" xfId="1" applyNumberFormat="1" applyFont="1" applyFill="1" applyBorder="1" applyAlignment="1"/>
    <xf numFmtId="164" fontId="0" fillId="10" borderId="2" xfId="0" applyNumberFormat="1" applyFill="1" applyBorder="1"/>
    <xf numFmtId="10" fontId="2" fillId="0" borderId="0" xfId="1" applyNumberFormat="1" applyFont="1" applyBorder="1"/>
    <xf numFmtId="10" fontId="0" fillId="0" borderId="2" xfId="1" applyNumberFormat="1" applyFont="1" applyBorder="1"/>
    <xf numFmtId="165" fontId="0" fillId="0" borderId="0" xfId="1" applyNumberFormat="1" applyFont="1"/>
    <xf numFmtId="9" fontId="5" fillId="0" borderId="0" xfId="1" applyFont="1" applyFill="1"/>
    <xf numFmtId="9" fontId="5" fillId="0" borderId="0" xfId="0" applyNumberFormat="1" applyFont="1"/>
    <xf numFmtId="9" fontId="5" fillId="0" borderId="0" xfId="1" applyFont="1" applyFill="1" applyBorder="1"/>
    <xf numFmtId="2" fontId="5" fillId="0" borderId="2" xfId="0" applyNumberFormat="1" applyFont="1" applyBorder="1"/>
    <xf numFmtId="3" fontId="5" fillId="3" borderId="0" xfId="0" applyNumberFormat="1" applyFont="1" applyFill="1"/>
    <xf numFmtId="3" fontId="0" fillId="3" borderId="0" xfId="0" applyNumberFormat="1" applyFill="1"/>
    <xf numFmtId="3" fontId="5" fillId="3" borderId="2" xfId="0" applyNumberFormat="1" applyFont="1" applyFill="1" applyBorder="1"/>
    <xf numFmtId="2" fontId="0" fillId="0" borderId="0" xfId="0" applyNumberFormat="1" applyAlignment="1">
      <alignment horizontal="right"/>
    </xf>
    <xf numFmtId="9" fontId="0" fillId="6" borderId="2" xfId="0" applyNumberFormat="1" applyFill="1" applyBorder="1"/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7" fontId="11" fillId="10" borderId="42" xfId="0" applyNumberFormat="1" applyFont="1" applyFill="1" applyBorder="1" applyAlignment="1">
      <alignment horizontal="center"/>
    </xf>
    <xf numFmtId="167" fontId="11" fillId="10" borderId="44" xfId="0" applyNumberFormat="1" applyFont="1" applyFill="1" applyBorder="1" applyAlignment="1">
      <alignment horizontal="center"/>
    </xf>
    <xf numFmtId="167" fontId="11" fillId="10" borderId="43" xfId="0" applyNumberFormat="1" applyFont="1" applyFill="1" applyBorder="1" applyAlignment="1">
      <alignment horizontal="center"/>
    </xf>
    <xf numFmtId="167" fontId="11" fillId="10" borderId="4" xfId="0" applyNumberFormat="1" applyFont="1" applyFill="1" applyBorder="1" applyAlignment="1">
      <alignment horizontal="center"/>
    </xf>
    <xf numFmtId="20" fontId="0" fillId="0" borderId="2" xfId="0" applyNumberFormat="1" applyBorder="1"/>
    <xf numFmtId="0" fontId="0" fillId="0" borderId="0" xfId="0" applyBorder="1"/>
    <xf numFmtId="3" fontId="0" fillId="0" borderId="0" xfId="0" applyNumberFormat="1" applyBorder="1"/>
    <xf numFmtId="3" fontId="5" fillId="3" borderId="0" xfId="0" applyNumberFormat="1" applyFont="1" applyFill="1" applyBorder="1"/>
    <xf numFmtId="3" fontId="2" fillId="0" borderId="0" xfId="0" applyNumberFormat="1" applyFont="1" applyBorder="1"/>
    <xf numFmtId="2" fontId="2" fillId="0" borderId="0" xfId="0" applyNumberFormat="1" applyFont="1" applyBorder="1"/>
    <xf numFmtId="2" fontId="5" fillId="0" borderId="0" xfId="0" applyNumberFormat="1" applyFont="1" applyBorder="1"/>
    <xf numFmtId="9" fontId="0" fillId="0" borderId="0" xfId="0" applyNumberFormat="1" applyBorder="1"/>
    <xf numFmtId="9" fontId="0" fillId="6" borderId="0" xfId="0" applyNumberFormat="1" applyFill="1" applyBorder="1"/>
    <xf numFmtId="0" fontId="5" fillId="0" borderId="0" xfId="0" applyFont="1" applyBorder="1"/>
    <xf numFmtId="0" fontId="2" fillId="0" borderId="0" xfId="0" applyFont="1" applyBorder="1"/>
    <xf numFmtId="2" fontId="2" fillId="3" borderId="0" xfId="0" applyNumberFormat="1" applyFont="1" applyFill="1" applyBorder="1"/>
    <xf numFmtId="9" fontId="5" fillId="0" borderId="2" xfId="1" applyFont="1" applyFill="1" applyBorder="1"/>
    <xf numFmtId="9" fontId="5" fillId="0" borderId="2" xfId="0" applyNumberFormat="1" applyFont="1" applyBorder="1"/>
    <xf numFmtId="9" fontId="5" fillId="0" borderId="2" xfId="1" applyFont="1" applyBorder="1"/>
    <xf numFmtId="3" fontId="0" fillId="0" borderId="2" xfId="0" applyNumberFormat="1" applyFont="1" applyBorder="1"/>
    <xf numFmtId="2" fontId="6" fillId="11" borderId="2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3" fontId="5" fillId="0" borderId="0" xfId="0" applyNumberFormat="1" applyFont="1" applyFill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Model!$L$3:$X$3</c:f>
              <c:numCache>
                <c:formatCode>#,##0</c:formatCode>
                <c:ptCount val="13"/>
                <c:pt idx="0">
                  <c:v>341.23399999999998</c:v>
                </c:pt>
                <c:pt idx="1">
                  <c:v>375.642</c:v>
                </c:pt>
                <c:pt idx="2">
                  <c:v>392.14600000000002</c:v>
                </c:pt>
                <c:pt idx="3">
                  <c:v>432.8669999999999</c:v>
                </c:pt>
                <c:pt idx="4">
                  <c:v>446.35700000000003</c:v>
                </c:pt>
                <c:pt idx="5">
                  <c:v>473.01</c:v>
                </c:pt>
                <c:pt idx="6">
                  <c:v>477.88</c:v>
                </c:pt>
                <c:pt idx="7">
                  <c:v>508.62399999999997</c:v>
                </c:pt>
                <c:pt idx="8">
                  <c:v>525.18600000000004</c:v>
                </c:pt>
                <c:pt idx="9">
                  <c:v>533.31700000000001</c:v>
                </c:pt>
                <c:pt idx="10">
                  <c:v>558.15899999999999</c:v>
                </c:pt>
                <c:pt idx="11">
                  <c:v>608.35</c:v>
                </c:pt>
                <c:pt idx="12">
                  <c:v>634.33799999999997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Model!$L$22:$X$22</c:f>
              <c:numCache>
                <c:formatCode>0%</c:formatCode>
                <c:ptCount val="13"/>
                <c:pt idx="4">
                  <c:v>0.30806719142875583</c:v>
                </c:pt>
                <c:pt idx="5">
                  <c:v>0.25920424233711881</c:v>
                </c:pt>
                <c:pt idx="6">
                  <c:v>0.21862775598884077</c:v>
                </c:pt>
                <c:pt idx="7">
                  <c:v>0.17501218619113978</c:v>
                </c:pt>
                <c:pt idx="8">
                  <c:v>0.1766052733574246</c:v>
                </c:pt>
                <c:pt idx="9">
                  <c:v>0.12749624743662924</c:v>
                </c:pt>
                <c:pt idx="10">
                  <c:v>0.16798987193437687</c:v>
                </c:pt>
                <c:pt idx="11">
                  <c:v>0.19607018150932731</c:v>
                </c:pt>
                <c:pt idx="12">
                  <c:v>0.20783493847893864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Model!$B$3:$G$3</c:f>
              <c:numCache>
                <c:formatCode>#,##0</c:formatCode>
                <c:ptCount val="6"/>
                <c:pt idx="0">
                  <c:v>742.55499999999995</c:v>
                </c:pt>
                <c:pt idx="1">
                  <c:v>1092.673</c:v>
                </c:pt>
                <c:pt idx="2">
                  <c:v>1541.8889999999999</c:v>
                </c:pt>
                <c:pt idx="3">
                  <c:v>1905.8710000000001</c:v>
                </c:pt>
                <c:pt idx="4">
                  <c:v>2225.0120000000002</c:v>
                </c:pt>
                <c:pt idx="5">
                  <c:v>2865.5069999999996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Model!$A$22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Model!$B$22:$G$22</c:f>
              <c:numCache>
                <c:formatCode>0%</c:formatCode>
                <c:ptCount val="6"/>
                <c:pt idx="1">
                  <c:v>0.47150446768252863</c:v>
                </c:pt>
                <c:pt idx="2">
                  <c:v>0.41111659206368234</c:v>
                </c:pt>
                <c:pt idx="3">
                  <c:v>0.23606238840798532</c:v>
                </c:pt>
                <c:pt idx="4">
                  <c:v>0.16745152216493153</c:v>
                </c:pt>
                <c:pt idx="5">
                  <c:v>0.25842017930689809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Model!$L$2:$X$2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Model!$L$15:$X$15</c:f>
              <c:numCache>
                <c:formatCode>#,##0</c:formatCode>
                <c:ptCount val="13"/>
                <c:pt idx="0">
                  <c:v>-123.47400000000002</c:v>
                </c:pt>
                <c:pt idx="1">
                  <c:v>-138.57999999999998</c:v>
                </c:pt>
                <c:pt idx="2">
                  <c:v>-102.13700000000004</c:v>
                </c:pt>
                <c:pt idx="3">
                  <c:v>-90.176000000000101</c:v>
                </c:pt>
                <c:pt idx="4">
                  <c:v>-97.332999999999998</c:v>
                </c:pt>
                <c:pt idx="5">
                  <c:v>-179.32900000000001</c:v>
                </c:pt>
                <c:pt idx="6">
                  <c:v>-123.87500000000001</c:v>
                </c:pt>
                <c:pt idx="7">
                  <c:v>44.820000000000057</c:v>
                </c:pt>
                <c:pt idx="8">
                  <c:v>16.802000000000067</c:v>
                </c:pt>
                <c:pt idx="9">
                  <c:v>28.126999999999978</c:v>
                </c:pt>
                <c:pt idx="10">
                  <c:v>71.504999999999981</c:v>
                </c:pt>
                <c:pt idx="11">
                  <c:v>108.49100000000001</c:v>
                </c:pt>
                <c:pt idx="12">
                  <c:v>105.52999999999994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Model!$A$20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Model!$L$20:$X$20</c:f>
              <c:numCache>
                <c:formatCode>0%</c:formatCode>
                <c:ptCount val="13"/>
                <c:pt idx="0">
                  <c:v>0.78281472537906538</c:v>
                </c:pt>
                <c:pt idx="1">
                  <c:v>0.75794506471587308</c:v>
                </c:pt>
                <c:pt idx="2">
                  <c:v>0.77864366842961552</c:v>
                </c:pt>
                <c:pt idx="3">
                  <c:v>0.79771384744043783</c:v>
                </c:pt>
                <c:pt idx="4">
                  <c:v>0.78850337286073702</c:v>
                </c:pt>
                <c:pt idx="5">
                  <c:v>0.78388617576795416</c:v>
                </c:pt>
                <c:pt idx="6">
                  <c:v>0.77481585335230596</c:v>
                </c:pt>
                <c:pt idx="7">
                  <c:v>0.79491530089024509</c:v>
                </c:pt>
                <c:pt idx="8">
                  <c:v>0.79503452110299966</c:v>
                </c:pt>
                <c:pt idx="9">
                  <c:v>0.79955823647099189</c:v>
                </c:pt>
                <c:pt idx="10">
                  <c:v>0.80664649320354953</c:v>
                </c:pt>
                <c:pt idx="11">
                  <c:v>0.82142023506205308</c:v>
                </c:pt>
                <c:pt idx="12">
                  <c:v>0.81672862101907817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Model!$A$15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Model!$B$15:$G$15</c:f>
              <c:numCache>
                <c:formatCode>#,##0</c:formatCode>
                <c:ptCount val="6"/>
                <c:pt idx="0">
                  <c:v>-579.64599999999996</c:v>
                </c:pt>
                <c:pt idx="1">
                  <c:v>-1166.3910000000001</c:v>
                </c:pt>
                <c:pt idx="2">
                  <c:v>-520.37900000000013</c:v>
                </c:pt>
                <c:pt idx="3">
                  <c:v>-368.48299999999983</c:v>
                </c:pt>
                <c:pt idx="4">
                  <c:v>209.8250000000001</c:v>
                </c:pt>
                <c:pt idx="5">
                  <c:v>473.64599999999973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Model!$A$26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Model!$B$26:$G$26</c:f>
              <c:numCache>
                <c:formatCode>0%</c:formatCode>
                <c:ptCount val="6"/>
                <c:pt idx="1">
                  <c:v>-1.0122471301449507</c:v>
                </c:pt>
                <c:pt idx="2">
                  <c:v>0.55385543955671801</c:v>
                </c:pt>
                <c:pt idx="3">
                  <c:v>-0.29189494579912001</c:v>
                </c:pt>
                <c:pt idx="4">
                  <c:v>-1.5694292545382016</c:v>
                </c:pt>
                <c:pt idx="5">
                  <c:v>2.7867509591326085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Model!$A$6</c:f>
              <c:strCache>
                <c:ptCount val="1"/>
                <c:pt idx="0">
                  <c:v>Sales &amp; Marketing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Model!$L$2:$V$2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Model!$L$24:$V$24</c:f>
              <c:numCache>
                <c:formatCode>0%</c:formatCode>
                <c:ptCount val="11"/>
                <c:pt idx="0">
                  <c:v>0.39883774770392172</c:v>
                </c:pt>
                <c:pt idx="1">
                  <c:v>0.4322706193663115</c:v>
                </c:pt>
                <c:pt idx="2">
                  <c:v>0.39129048874653827</c:v>
                </c:pt>
                <c:pt idx="3">
                  <c:v>0.37561883904293919</c:v>
                </c:pt>
                <c:pt idx="4">
                  <c:v>0.35954404210082963</c:v>
                </c:pt>
                <c:pt idx="5">
                  <c:v>0.35702205027377859</c:v>
                </c:pt>
                <c:pt idx="6">
                  <c:v>0.38276973298736083</c:v>
                </c:pt>
                <c:pt idx="7">
                  <c:v>0.37401498946176343</c:v>
                </c:pt>
                <c:pt idx="8">
                  <c:v>0.35624140780599628</c:v>
                </c:pt>
                <c:pt idx="9">
                  <c:v>0.34531620030863447</c:v>
                </c:pt>
                <c:pt idx="10">
                  <c:v>0.31599060482765662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Model!$A$7</c:f>
              <c:strCache>
                <c:ptCount val="1"/>
                <c:pt idx="0">
                  <c:v>R&amp;D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Model!$L$23:$W$23</c:f>
              <c:numCache>
                <c:formatCode>0%</c:formatCode>
                <c:ptCount val="12"/>
                <c:pt idx="0">
                  <c:v>0.28857323713346267</c:v>
                </c:pt>
                <c:pt idx="1">
                  <c:v>0.29422695012804745</c:v>
                </c:pt>
                <c:pt idx="2">
                  <c:v>0.24051246219520281</c:v>
                </c:pt>
                <c:pt idx="3">
                  <c:v>0.19446157826768976</c:v>
                </c:pt>
                <c:pt idx="4">
                  <c:v>0.19849806320949373</c:v>
                </c:pt>
                <c:pt idx="5">
                  <c:v>0.18640409293672439</c:v>
                </c:pt>
                <c:pt idx="6">
                  <c:v>0.21106344689043274</c:v>
                </c:pt>
                <c:pt idx="7">
                  <c:v>0.16130579760294439</c:v>
                </c:pt>
                <c:pt idx="8">
                  <c:v>0.17155826697589041</c:v>
                </c:pt>
                <c:pt idx="9">
                  <c:v>0.18663009054652299</c:v>
                </c:pt>
                <c:pt idx="10">
                  <c:v>0.18938689513203227</c:v>
                </c:pt>
                <c:pt idx="11">
                  <c:v>0.17963836607216246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3-4811-8BF8-34DBAE979F8A}"/>
            </c:ext>
          </c:extLst>
        </c:ser>
        <c:ser>
          <c:idx val="2"/>
          <c:order val="2"/>
          <c:tx>
            <c:strRef>
              <c:f>Model!$A$8</c:f>
              <c:strCache>
                <c:ptCount val="1"/>
                <c:pt idx="0">
                  <c:v>G&amp;A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Model!$L$25:$W$25</c:f>
              <c:numCache>
                <c:formatCode>0%</c:formatCode>
                <c:ptCount val="12"/>
                <c:pt idx="0">
                  <c:v>0.42952636607137623</c:v>
                </c:pt>
                <c:pt idx="1">
                  <c:v>0.42050942120423174</c:v>
                </c:pt>
                <c:pt idx="2">
                  <c:v>0.3812967619203052</c:v>
                </c:pt>
                <c:pt idx="3">
                  <c:v>0.36380227644981039</c:v>
                </c:pt>
                <c:pt idx="4">
                  <c:v>0.31881879302889837</c:v>
                </c:pt>
                <c:pt idx="5">
                  <c:v>0.32871398067694135</c:v>
                </c:pt>
                <c:pt idx="6">
                  <c:v>0.31112203900560809</c:v>
                </c:pt>
                <c:pt idx="7">
                  <c:v>0.29464201453332917</c:v>
                </c:pt>
                <c:pt idx="8">
                  <c:v>0.25939952702471125</c:v>
                </c:pt>
                <c:pt idx="9">
                  <c:v>0.24872261713014959</c:v>
                </c:pt>
                <c:pt idx="10">
                  <c:v>0.2296352831361673</c:v>
                </c:pt>
                <c:pt idx="11">
                  <c:v>0.20920687104462893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3-4811-8BF8-34DBAE979F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LNW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E-4DBD-9840-358B77AFB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PLTR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44102</c:v>
                </c:pt>
                <c:pt idx="1">
                  <c:v>44109</c:v>
                </c:pt>
                <c:pt idx="2">
                  <c:v>44116</c:v>
                </c:pt>
                <c:pt idx="3">
                  <c:v>44123</c:v>
                </c:pt>
                <c:pt idx="4">
                  <c:v>44130</c:v>
                </c:pt>
                <c:pt idx="5">
                  <c:v>44137</c:v>
                </c:pt>
                <c:pt idx="6">
                  <c:v>44144</c:v>
                </c:pt>
                <c:pt idx="7">
                  <c:v>44151</c:v>
                </c:pt>
                <c:pt idx="8">
                  <c:v>44158</c:v>
                </c:pt>
                <c:pt idx="9">
                  <c:v>44165</c:v>
                </c:pt>
                <c:pt idx="10">
                  <c:v>44172</c:v>
                </c:pt>
                <c:pt idx="11">
                  <c:v>44179</c:v>
                </c:pt>
                <c:pt idx="12">
                  <c:v>44186</c:v>
                </c:pt>
                <c:pt idx="13">
                  <c:v>44193</c:v>
                </c:pt>
                <c:pt idx="14">
                  <c:v>44200</c:v>
                </c:pt>
                <c:pt idx="15">
                  <c:v>44207</c:v>
                </c:pt>
                <c:pt idx="16">
                  <c:v>44214</c:v>
                </c:pt>
                <c:pt idx="17">
                  <c:v>44221</c:v>
                </c:pt>
                <c:pt idx="18">
                  <c:v>44228</c:v>
                </c:pt>
                <c:pt idx="19">
                  <c:v>44235</c:v>
                </c:pt>
                <c:pt idx="20">
                  <c:v>44242</c:v>
                </c:pt>
                <c:pt idx="21">
                  <c:v>44249</c:v>
                </c:pt>
                <c:pt idx="22">
                  <c:v>44256</c:v>
                </c:pt>
                <c:pt idx="23">
                  <c:v>44263</c:v>
                </c:pt>
                <c:pt idx="24">
                  <c:v>44270</c:v>
                </c:pt>
                <c:pt idx="25">
                  <c:v>44277</c:v>
                </c:pt>
                <c:pt idx="26">
                  <c:v>44284</c:v>
                </c:pt>
                <c:pt idx="27">
                  <c:v>44291</c:v>
                </c:pt>
                <c:pt idx="28">
                  <c:v>44298</c:v>
                </c:pt>
                <c:pt idx="29">
                  <c:v>44305</c:v>
                </c:pt>
                <c:pt idx="30">
                  <c:v>44312</c:v>
                </c:pt>
                <c:pt idx="31">
                  <c:v>44319</c:v>
                </c:pt>
                <c:pt idx="32">
                  <c:v>44326</c:v>
                </c:pt>
                <c:pt idx="33">
                  <c:v>44333</c:v>
                </c:pt>
                <c:pt idx="34">
                  <c:v>44340</c:v>
                </c:pt>
                <c:pt idx="35">
                  <c:v>44347</c:v>
                </c:pt>
                <c:pt idx="36">
                  <c:v>44354</c:v>
                </c:pt>
                <c:pt idx="37">
                  <c:v>44361</c:v>
                </c:pt>
                <c:pt idx="38">
                  <c:v>44368</c:v>
                </c:pt>
                <c:pt idx="39">
                  <c:v>44375</c:v>
                </c:pt>
                <c:pt idx="40">
                  <c:v>44382</c:v>
                </c:pt>
                <c:pt idx="41">
                  <c:v>44389</c:v>
                </c:pt>
                <c:pt idx="42">
                  <c:v>44396</c:v>
                </c:pt>
                <c:pt idx="43">
                  <c:v>44403</c:v>
                </c:pt>
                <c:pt idx="44">
                  <c:v>44410</c:v>
                </c:pt>
                <c:pt idx="45">
                  <c:v>44417</c:v>
                </c:pt>
                <c:pt idx="46">
                  <c:v>44424</c:v>
                </c:pt>
                <c:pt idx="47">
                  <c:v>44431</c:v>
                </c:pt>
                <c:pt idx="48">
                  <c:v>44438</c:v>
                </c:pt>
                <c:pt idx="49">
                  <c:v>44445</c:v>
                </c:pt>
                <c:pt idx="50">
                  <c:v>44452</c:v>
                </c:pt>
                <c:pt idx="51">
                  <c:v>44459</c:v>
                </c:pt>
                <c:pt idx="52">
                  <c:v>44466</c:v>
                </c:pt>
                <c:pt idx="53">
                  <c:v>44473</c:v>
                </c:pt>
                <c:pt idx="54">
                  <c:v>44480</c:v>
                </c:pt>
                <c:pt idx="55">
                  <c:v>44487</c:v>
                </c:pt>
                <c:pt idx="56">
                  <c:v>44494</c:v>
                </c:pt>
                <c:pt idx="57">
                  <c:v>44501</c:v>
                </c:pt>
                <c:pt idx="58">
                  <c:v>44508</c:v>
                </c:pt>
                <c:pt idx="59">
                  <c:v>44515</c:v>
                </c:pt>
                <c:pt idx="60">
                  <c:v>44522</c:v>
                </c:pt>
                <c:pt idx="61">
                  <c:v>44529</c:v>
                </c:pt>
                <c:pt idx="62">
                  <c:v>44536</c:v>
                </c:pt>
                <c:pt idx="63">
                  <c:v>44543</c:v>
                </c:pt>
                <c:pt idx="64">
                  <c:v>44550</c:v>
                </c:pt>
                <c:pt idx="65">
                  <c:v>44557</c:v>
                </c:pt>
                <c:pt idx="66">
                  <c:v>44564</c:v>
                </c:pt>
                <c:pt idx="67">
                  <c:v>44571</c:v>
                </c:pt>
                <c:pt idx="68">
                  <c:v>44578</c:v>
                </c:pt>
                <c:pt idx="69">
                  <c:v>44585</c:v>
                </c:pt>
                <c:pt idx="70">
                  <c:v>44592</c:v>
                </c:pt>
                <c:pt idx="71">
                  <c:v>44599</c:v>
                </c:pt>
                <c:pt idx="72">
                  <c:v>44606</c:v>
                </c:pt>
                <c:pt idx="73">
                  <c:v>44613</c:v>
                </c:pt>
                <c:pt idx="74">
                  <c:v>44620</c:v>
                </c:pt>
                <c:pt idx="75">
                  <c:v>44627</c:v>
                </c:pt>
                <c:pt idx="76">
                  <c:v>44634</c:v>
                </c:pt>
                <c:pt idx="77">
                  <c:v>44641</c:v>
                </c:pt>
                <c:pt idx="78">
                  <c:v>44648</c:v>
                </c:pt>
                <c:pt idx="79">
                  <c:v>44655</c:v>
                </c:pt>
                <c:pt idx="80">
                  <c:v>44662</c:v>
                </c:pt>
                <c:pt idx="81">
                  <c:v>44669</c:v>
                </c:pt>
                <c:pt idx="82">
                  <c:v>44676</c:v>
                </c:pt>
                <c:pt idx="83">
                  <c:v>44683</c:v>
                </c:pt>
                <c:pt idx="84">
                  <c:v>44690</c:v>
                </c:pt>
                <c:pt idx="85">
                  <c:v>44697</c:v>
                </c:pt>
                <c:pt idx="86">
                  <c:v>44704</c:v>
                </c:pt>
                <c:pt idx="87">
                  <c:v>44711</c:v>
                </c:pt>
                <c:pt idx="88">
                  <c:v>44718</c:v>
                </c:pt>
                <c:pt idx="89">
                  <c:v>44725</c:v>
                </c:pt>
                <c:pt idx="90">
                  <c:v>44732</c:v>
                </c:pt>
                <c:pt idx="91">
                  <c:v>44739</c:v>
                </c:pt>
                <c:pt idx="92">
                  <c:v>44746</c:v>
                </c:pt>
                <c:pt idx="93">
                  <c:v>44753</c:v>
                </c:pt>
                <c:pt idx="94">
                  <c:v>44760</c:v>
                </c:pt>
                <c:pt idx="95">
                  <c:v>44767</c:v>
                </c:pt>
                <c:pt idx="96">
                  <c:v>44774</c:v>
                </c:pt>
                <c:pt idx="97">
                  <c:v>44781</c:v>
                </c:pt>
                <c:pt idx="98">
                  <c:v>44788</c:v>
                </c:pt>
                <c:pt idx="99">
                  <c:v>44795</c:v>
                </c:pt>
                <c:pt idx="100">
                  <c:v>44802</c:v>
                </c:pt>
                <c:pt idx="101">
                  <c:v>44809</c:v>
                </c:pt>
                <c:pt idx="102">
                  <c:v>44816</c:v>
                </c:pt>
                <c:pt idx="103">
                  <c:v>44823</c:v>
                </c:pt>
                <c:pt idx="104">
                  <c:v>44830</c:v>
                </c:pt>
                <c:pt idx="105">
                  <c:v>44837</c:v>
                </c:pt>
                <c:pt idx="106">
                  <c:v>44844</c:v>
                </c:pt>
                <c:pt idx="107">
                  <c:v>44851</c:v>
                </c:pt>
                <c:pt idx="108">
                  <c:v>44858</c:v>
                </c:pt>
                <c:pt idx="109">
                  <c:v>44865</c:v>
                </c:pt>
                <c:pt idx="110">
                  <c:v>44872</c:v>
                </c:pt>
                <c:pt idx="111">
                  <c:v>44879</c:v>
                </c:pt>
                <c:pt idx="112">
                  <c:v>44886</c:v>
                </c:pt>
                <c:pt idx="113">
                  <c:v>44893</c:v>
                </c:pt>
                <c:pt idx="114">
                  <c:v>44900</c:v>
                </c:pt>
                <c:pt idx="115">
                  <c:v>44907</c:v>
                </c:pt>
                <c:pt idx="116">
                  <c:v>44914</c:v>
                </c:pt>
                <c:pt idx="117">
                  <c:v>44921</c:v>
                </c:pt>
                <c:pt idx="118">
                  <c:v>44928</c:v>
                </c:pt>
                <c:pt idx="119">
                  <c:v>44935</c:v>
                </c:pt>
                <c:pt idx="120">
                  <c:v>44942</c:v>
                </c:pt>
                <c:pt idx="121">
                  <c:v>44949</c:v>
                </c:pt>
                <c:pt idx="122">
                  <c:v>44956</c:v>
                </c:pt>
                <c:pt idx="123">
                  <c:v>44963</c:v>
                </c:pt>
                <c:pt idx="124">
                  <c:v>44970</c:v>
                </c:pt>
                <c:pt idx="125">
                  <c:v>44977</c:v>
                </c:pt>
                <c:pt idx="126">
                  <c:v>44984</c:v>
                </c:pt>
                <c:pt idx="127">
                  <c:v>44991</c:v>
                </c:pt>
                <c:pt idx="128">
                  <c:v>44998</c:v>
                </c:pt>
                <c:pt idx="129">
                  <c:v>45005</c:v>
                </c:pt>
                <c:pt idx="130">
                  <c:v>45012</c:v>
                </c:pt>
                <c:pt idx="131">
                  <c:v>45019</c:v>
                </c:pt>
                <c:pt idx="132">
                  <c:v>45026</c:v>
                </c:pt>
                <c:pt idx="133">
                  <c:v>45033</c:v>
                </c:pt>
                <c:pt idx="134">
                  <c:v>45040</c:v>
                </c:pt>
                <c:pt idx="135">
                  <c:v>45047</c:v>
                </c:pt>
                <c:pt idx="136">
                  <c:v>45054</c:v>
                </c:pt>
                <c:pt idx="137">
                  <c:v>45061</c:v>
                </c:pt>
                <c:pt idx="138">
                  <c:v>45068</c:v>
                </c:pt>
                <c:pt idx="139">
                  <c:v>45075</c:v>
                </c:pt>
                <c:pt idx="140">
                  <c:v>45082</c:v>
                </c:pt>
                <c:pt idx="141">
                  <c:v>45089</c:v>
                </c:pt>
                <c:pt idx="142">
                  <c:v>45096</c:v>
                </c:pt>
                <c:pt idx="143">
                  <c:v>45103</c:v>
                </c:pt>
                <c:pt idx="144">
                  <c:v>45110</c:v>
                </c:pt>
                <c:pt idx="145">
                  <c:v>45117</c:v>
                </c:pt>
                <c:pt idx="146">
                  <c:v>45124</c:v>
                </c:pt>
                <c:pt idx="147">
                  <c:v>45131</c:v>
                </c:pt>
                <c:pt idx="148">
                  <c:v>45138</c:v>
                </c:pt>
                <c:pt idx="149">
                  <c:v>45145</c:v>
                </c:pt>
                <c:pt idx="150">
                  <c:v>45152</c:v>
                </c:pt>
                <c:pt idx="151">
                  <c:v>45159</c:v>
                </c:pt>
                <c:pt idx="152">
                  <c:v>45166</c:v>
                </c:pt>
                <c:pt idx="153">
                  <c:v>45173</c:v>
                </c:pt>
                <c:pt idx="154">
                  <c:v>45180</c:v>
                </c:pt>
                <c:pt idx="155">
                  <c:v>45187</c:v>
                </c:pt>
                <c:pt idx="156">
                  <c:v>45194</c:v>
                </c:pt>
                <c:pt idx="157">
                  <c:v>45201</c:v>
                </c:pt>
                <c:pt idx="158">
                  <c:v>45208</c:v>
                </c:pt>
                <c:pt idx="159">
                  <c:v>45215</c:v>
                </c:pt>
                <c:pt idx="160">
                  <c:v>45222</c:v>
                </c:pt>
                <c:pt idx="161">
                  <c:v>45229</c:v>
                </c:pt>
                <c:pt idx="162">
                  <c:v>45236</c:v>
                </c:pt>
                <c:pt idx="163">
                  <c:v>45243</c:v>
                </c:pt>
                <c:pt idx="164">
                  <c:v>45250</c:v>
                </c:pt>
                <c:pt idx="165">
                  <c:v>45257</c:v>
                </c:pt>
                <c:pt idx="166">
                  <c:v>45264</c:v>
                </c:pt>
                <c:pt idx="167">
                  <c:v>45271</c:v>
                </c:pt>
                <c:pt idx="168">
                  <c:v>45278</c:v>
                </c:pt>
                <c:pt idx="169">
                  <c:v>45285</c:v>
                </c:pt>
                <c:pt idx="170">
                  <c:v>45292</c:v>
                </c:pt>
                <c:pt idx="171">
                  <c:v>45299</c:v>
                </c:pt>
                <c:pt idx="172">
                  <c:v>45306</c:v>
                </c:pt>
                <c:pt idx="173">
                  <c:v>45313</c:v>
                </c:pt>
                <c:pt idx="174">
                  <c:v>45320</c:v>
                </c:pt>
                <c:pt idx="175">
                  <c:v>45327</c:v>
                </c:pt>
                <c:pt idx="176">
                  <c:v>45334</c:v>
                </c:pt>
                <c:pt idx="177">
                  <c:v>45341</c:v>
                </c:pt>
                <c:pt idx="178">
                  <c:v>45348</c:v>
                </c:pt>
                <c:pt idx="179">
                  <c:v>45355</c:v>
                </c:pt>
                <c:pt idx="180">
                  <c:v>45362</c:v>
                </c:pt>
                <c:pt idx="181">
                  <c:v>45369</c:v>
                </c:pt>
                <c:pt idx="182">
                  <c:v>45376</c:v>
                </c:pt>
              </c:numCache>
            </c:numRef>
          </c:cat>
          <c:val>
            <c:numRef>
              <c:f>Catalysts!$B$2:$B$10000</c:f>
              <c:numCache>
                <c:formatCode>0.00</c:formatCode>
                <c:ptCount val="9999"/>
                <c:pt idx="0">
                  <c:v>9.1999999999999993</c:v>
                </c:pt>
                <c:pt idx="1">
                  <c:v>9.9499999999999993</c:v>
                </c:pt>
                <c:pt idx="2">
                  <c:v>9.7100000000000009</c:v>
                </c:pt>
                <c:pt idx="3">
                  <c:v>9.49</c:v>
                </c:pt>
                <c:pt idx="4">
                  <c:v>10.130000000000001</c:v>
                </c:pt>
                <c:pt idx="5">
                  <c:v>13.83</c:v>
                </c:pt>
                <c:pt idx="6">
                  <c:v>15.8</c:v>
                </c:pt>
                <c:pt idx="7">
                  <c:v>18.149999999999999</c:v>
                </c:pt>
                <c:pt idx="8">
                  <c:v>27.66</c:v>
                </c:pt>
                <c:pt idx="9">
                  <c:v>23.85</c:v>
                </c:pt>
                <c:pt idx="10">
                  <c:v>27.200001</c:v>
                </c:pt>
                <c:pt idx="11">
                  <c:v>25.969999000000001</c:v>
                </c:pt>
                <c:pt idx="12">
                  <c:v>27.75</c:v>
                </c:pt>
                <c:pt idx="13">
                  <c:v>23.549999</c:v>
                </c:pt>
                <c:pt idx="14">
                  <c:v>25.200001</c:v>
                </c:pt>
                <c:pt idx="15">
                  <c:v>25.639999</c:v>
                </c:pt>
                <c:pt idx="16">
                  <c:v>32.580002</c:v>
                </c:pt>
                <c:pt idx="17">
                  <c:v>35.18</c:v>
                </c:pt>
                <c:pt idx="18">
                  <c:v>34.049999</c:v>
                </c:pt>
                <c:pt idx="19">
                  <c:v>31.91</c:v>
                </c:pt>
                <c:pt idx="20">
                  <c:v>29</c:v>
                </c:pt>
                <c:pt idx="21">
                  <c:v>23.9</c:v>
                </c:pt>
                <c:pt idx="22">
                  <c:v>23.950001</c:v>
                </c:pt>
                <c:pt idx="23">
                  <c:v>26.92</c:v>
                </c:pt>
                <c:pt idx="24">
                  <c:v>24.32</c:v>
                </c:pt>
                <c:pt idx="25">
                  <c:v>22.58</c:v>
                </c:pt>
                <c:pt idx="26">
                  <c:v>23.07</c:v>
                </c:pt>
                <c:pt idx="27">
                  <c:v>24.040001</c:v>
                </c:pt>
                <c:pt idx="28">
                  <c:v>22.469999000000001</c:v>
                </c:pt>
                <c:pt idx="29">
                  <c:v>23.41</c:v>
                </c:pt>
                <c:pt idx="30">
                  <c:v>23.040001</c:v>
                </c:pt>
                <c:pt idx="31">
                  <c:v>19.75</c:v>
                </c:pt>
                <c:pt idx="32">
                  <c:v>20.079999999999998</c:v>
                </c:pt>
                <c:pt idx="33">
                  <c:v>20.75</c:v>
                </c:pt>
                <c:pt idx="34">
                  <c:v>22.950001</c:v>
                </c:pt>
                <c:pt idx="35">
                  <c:v>24.030000999999999</c:v>
                </c:pt>
                <c:pt idx="36">
                  <c:v>24.67</c:v>
                </c:pt>
                <c:pt idx="37">
                  <c:v>25.370000999999998</c:v>
                </c:pt>
                <c:pt idx="38">
                  <c:v>26.780000999999999</c:v>
                </c:pt>
                <c:pt idx="39">
                  <c:v>24.440000999999999</c:v>
                </c:pt>
                <c:pt idx="40">
                  <c:v>23.290001</c:v>
                </c:pt>
                <c:pt idx="41">
                  <c:v>21.370000999999998</c:v>
                </c:pt>
                <c:pt idx="42">
                  <c:v>21.809999000000001</c:v>
                </c:pt>
                <c:pt idx="43">
                  <c:v>21.709999</c:v>
                </c:pt>
                <c:pt idx="44">
                  <c:v>21.82</c:v>
                </c:pt>
                <c:pt idx="45">
                  <c:v>24.9</c:v>
                </c:pt>
                <c:pt idx="46">
                  <c:v>24.01</c:v>
                </c:pt>
                <c:pt idx="47">
                  <c:v>25.709999</c:v>
                </c:pt>
                <c:pt idx="48">
                  <c:v>26.639999</c:v>
                </c:pt>
                <c:pt idx="49">
                  <c:v>26.280000999999999</c:v>
                </c:pt>
                <c:pt idx="50">
                  <c:v>28.709999</c:v>
                </c:pt>
                <c:pt idx="51">
                  <c:v>28.559999000000001</c:v>
                </c:pt>
                <c:pt idx="52">
                  <c:v>24.33</c:v>
                </c:pt>
                <c:pt idx="53">
                  <c:v>23.5</c:v>
                </c:pt>
                <c:pt idx="54">
                  <c:v>24</c:v>
                </c:pt>
                <c:pt idx="55">
                  <c:v>24.43</c:v>
                </c:pt>
                <c:pt idx="56">
                  <c:v>25.879999000000002</c:v>
                </c:pt>
                <c:pt idx="57">
                  <c:v>26</c:v>
                </c:pt>
                <c:pt idx="58">
                  <c:v>22.83</c:v>
                </c:pt>
                <c:pt idx="59">
                  <c:v>21.41</c:v>
                </c:pt>
                <c:pt idx="60">
                  <c:v>21.030000999999999</c:v>
                </c:pt>
                <c:pt idx="61">
                  <c:v>18.98</c:v>
                </c:pt>
                <c:pt idx="62">
                  <c:v>18.940000999999999</c:v>
                </c:pt>
                <c:pt idx="63">
                  <c:v>19.059999000000001</c:v>
                </c:pt>
                <c:pt idx="64">
                  <c:v>18.93</c:v>
                </c:pt>
                <c:pt idx="65">
                  <c:v>18.209999</c:v>
                </c:pt>
                <c:pt idx="66">
                  <c:v>16.559999000000001</c:v>
                </c:pt>
                <c:pt idx="67">
                  <c:v>16.010000000000002</c:v>
                </c:pt>
                <c:pt idx="68">
                  <c:v>13.53</c:v>
                </c:pt>
                <c:pt idx="69">
                  <c:v>12.71</c:v>
                </c:pt>
                <c:pt idx="70">
                  <c:v>12.94</c:v>
                </c:pt>
                <c:pt idx="71">
                  <c:v>13.13</c:v>
                </c:pt>
                <c:pt idx="72">
                  <c:v>11.02</c:v>
                </c:pt>
                <c:pt idx="73">
                  <c:v>11.47</c:v>
                </c:pt>
                <c:pt idx="74">
                  <c:v>10.96</c:v>
                </c:pt>
                <c:pt idx="75">
                  <c:v>11.39</c:v>
                </c:pt>
                <c:pt idx="76">
                  <c:v>12.82</c:v>
                </c:pt>
                <c:pt idx="77">
                  <c:v>12.97</c:v>
                </c:pt>
                <c:pt idx="78">
                  <c:v>13.83</c:v>
                </c:pt>
                <c:pt idx="79">
                  <c:v>12.7</c:v>
                </c:pt>
                <c:pt idx="80">
                  <c:v>12.42</c:v>
                </c:pt>
                <c:pt idx="81">
                  <c:v>11.96</c:v>
                </c:pt>
                <c:pt idx="82">
                  <c:v>10.4</c:v>
                </c:pt>
                <c:pt idx="83">
                  <c:v>9.48</c:v>
                </c:pt>
                <c:pt idx="84">
                  <c:v>8.34</c:v>
                </c:pt>
                <c:pt idx="85">
                  <c:v>8.08</c:v>
                </c:pt>
                <c:pt idx="86">
                  <c:v>8.85</c:v>
                </c:pt>
                <c:pt idx="87">
                  <c:v>8.94</c:v>
                </c:pt>
                <c:pt idx="88">
                  <c:v>8.26</c:v>
                </c:pt>
                <c:pt idx="89">
                  <c:v>8.24</c:v>
                </c:pt>
                <c:pt idx="90">
                  <c:v>10.19</c:v>
                </c:pt>
                <c:pt idx="91">
                  <c:v>9.27</c:v>
                </c:pt>
                <c:pt idx="92">
                  <c:v>10.17</c:v>
                </c:pt>
                <c:pt idx="93">
                  <c:v>9.0399999999999991</c:v>
                </c:pt>
                <c:pt idx="94">
                  <c:v>9.84</c:v>
                </c:pt>
                <c:pt idx="95">
                  <c:v>10.35</c:v>
                </c:pt>
                <c:pt idx="96">
                  <c:v>11.45</c:v>
                </c:pt>
                <c:pt idx="97">
                  <c:v>9.91</c:v>
                </c:pt>
                <c:pt idx="98">
                  <c:v>8.51</c:v>
                </c:pt>
                <c:pt idx="99">
                  <c:v>7.94</c:v>
                </c:pt>
                <c:pt idx="100">
                  <c:v>7.4</c:v>
                </c:pt>
                <c:pt idx="101">
                  <c:v>7.79</c:v>
                </c:pt>
                <c:pt idx="102">
                  <c:v>7.78</c:v>
                </c:pt>
                <c:pt idx="103">
                  <c:v>7.4</c:v>
                </c:pt>
                <c:pt idx="104">
                  <c:v>8.1300000000000008</c:v>
                </c:pt>
                <c:pt idx="105">
                  <c:v>8.15</c:v>
                </c:pt>
                <c:pt idx="106">
                  <c:v>7.53</c:v>
                </c:pt>
                <c:pt idx="107">
                  <c:v>8.2899999999999991</c:v>
                </c:pt>
                <c:pt idx="108">
                  <c:v>8.64</c:v>
                </c:pt>
                <c:pt idx="109">
                  <c:v>7.93</c:v>
                </c:pt>
                <c:pt idx="110">
                  <c:v>8.41</c:v>
                </c:pt>
                <c:pt idx="111">
                  <c:v>7.39</c:v>
                </c:pt>
                <c:pt idx="112">
                  <c:v>7.28</c:v>
                </c:pt>
                <c:pt idx="113">
                  <c:v>7.66</c:v>
                </c:pt>
                <c:pt idx="114">
                  <c:v>7.11</c:v>
                </c:pt>
                <c:pt idx="115">
                  <c:v>6.9</c:v>
                </c:pt>
                <c:pt idx="116">
                  <c:v>6.29</c:v>
                </c:pt>
                <c:pt idx="117">
                  <c:v>6.42</c:v>
                </c:pt>
                <c:pt idx="118">
                  <c:v>6.4</c:v>
                </c:pt>
                <c:pt idx="119">
                  <c:v>6.96</c:v>
                </c:pt>
                <c:pt idx="120">
                  <c:v>7.02</c:v>
                </c:pt>
                <c:pt idx="121">
                  <c:v>7.55</c:v>
                </c:pt>
                <c:pt idx="122">
                  <c:v>8.41</c:v>
                </c:pt>
                <c:pt idx="123">
                  <c:v>7.51</c:v>
                </c:pt>
                <c:pt idx="124">
                  <c:v>9.1999999999999993</c:v>
                </c:pt>
                <c:pt idx="125">
                  <c:v>8.09</c:v>
                </c:pt>
                <c:pt idx="126">
                  <c:v>8.33</c:v>
                </c:pt>
                <c:pt idx="127">
                  <c:v>7.35</c:v>
                </c:pt>
                <c:pt idx="128">
                  <c:v>7.88</c:v>
                </c:pt>
                <c:pt idx="129">
                  <c:v>8.1999999999999993</c:v>
                </c:pt>
                <c:pt idx="130">
                  <c:v>8.4499999999999993</c:v>
                </c:pt>
                <c:pt idx="131">
                  <c:v>8.09</c:v>
                </c:pt>
                <c:pt idx="132">
                  <c:v>8.81</c:v>
                </c:pt>
                <c:pt idx="133">
                  <c:v>8.18</c:v>
                </c:pt>
                <c:pt idx="134">
                  <c:v>7.75</c:v>
                </c:pt>
                <c:pt idx="135">
                  <c:v>7.41</c:v>
                </c:pt>
                <c:pt idx="136">
                  <c:v>9.5</c:v>
                </c:pt>
                <c:pt idx="137">
                  <c:v>11.71</c:v>
                </c:pt>
                <c:pt idx="138">
                  <c:v>13.65</c:v>
                </c:pt>
                <c:pt idx="139">
                  <c:v>14.52</c:v>
                </c:pt>
                <c:pt idx="140">
                  <c:v>15.02</c:v>
                </c:pt>
                <c:pt idx="141">
                  <c:v>16.299999</c:v>
                </c:pt>
                <c:pt idx="142">
                  <c:v>14.03</c:v>
                </c:pt>
                <c:pt idx="143">
                  <c:v>15.33</c:v>
                </c:pt>
                <c:pt idx="144">
                  <c:v>15.34</c:v>
                </c:pt>
                <c:pt idx="145">
                  <c:v>16.399999999999999</c:v>
                </c:pt>
                <c:pt idx="146">
                  <c:v>16.43</c:v>
                </c:pt>
                <c:pt idx="147">
                  <c:v>17.809999000000001</c:v>
                </c:pt>
                <c:pt idx="148">
                  <c:v>18.200001</c:v>
                </c:pt>
                <c:pt idx="149">
                  <c:v>15.41</c:v>
                </c:pt>
                <c:pt idx="150">
                  <c:v>14.4</c:v>
                </c:pt>
                <c:pt idx="151">
                  <c:v>14.53</c:v>
                </c:pt>
                <c:pt idx="152">
                  <c:v>15.18</c:v>
                </c:pt>
                <c:pt idx="153">
                  <c:v>15.13</c:v>
                </c:pt>
                <c:pt idx="154">
                  <c:v>15.33</c:v>
                </c:pt>
                <c:pt idx="155">
                  <c:v>14.13</c:v>
                </c:pt>
                <c:pt idx="156">
                  <c:v>16</c:v>
                </c:pt>
                <c:pt idx="157">
                  <c:v>16.610001</c:v>
                </c:pt>
                <c:pt idx="158">
                  <c:v>17.360001</c:v>
                </c:pt>
                <c:pt idx="159">
                  <c:v>16.110001</c:v>
                </c:pt>
                <c:pt idx="160">
                  <c:v>15.07</c:v>
                </c:pt>
                <c:pt idx="161">
                  <c:v>18.889999</c:v>
                </c:pt>
                <c:pt idx="162">
                  <c:v>19.670000000000002</c:v>
                </c:pt>
                <c:pt idx="163">
                  <c:v>20.49</c:v>
                </c:pt>
                <c:pt idx="164">
                  <c:v>19.200001</c:v>
                </c:pt>
                <c:pt idx="165">
                  <c:v>20.27</c:v>
                </c:pt>
                <c:pt idx="166">
                  <c:v>17.77</c:v>
                </c:pt>
                <c:pt idx="167">
                  <c:v>18.200001</c:v>
                </c:pt>
                <c:pt idx="168">
                  <c:v>17.41</c:v>
                </c:pt>
                <c:pt idx="169">
                  <c:v>17.170000000000002</c:v>
                </c:pt>
                <c:pt idx="170">
                  <c:v>15.98</c:v>
                </c:pt>
                <c:pt idx="171">
                  <c:v>16.760000000000002</c:v>
                </c:pt>
                <c:pt idx="172">
                  <c:v>16.780000999999999</c:v>
                </c:pt>
                <c:pt idx="173">
                  <c:v>16.350000000000001</c:v>
                </c:pt>
                <c:pt idx="174">
                  <c:v>17.02</c:v>
                </c:pt>
                <c:pt idx="175">
                  <c:v>24.379999000000002</c:v>
                </c:pt>
                <c:pt idx="176">
                  <c:v>24.440000999999999</c:v>
                </c:pt>
                <c:pt idx="177">
                  <c:v>22.969999000000001</c:v>
                </c:pt>
                <c:pt idx="178">
                  <c:v>24.93</c:v>
                </c:pt>
                <c:pt idx="179">
                  <c:v>26.040001</c:v>
                </c:pt>
                <c:pt idx="180">
                  <c:v>23.49</c:v>
                </c:pt>
                <c:pt idx="181">
                  <c:v>24.18</c:v>
                </c:pt>
                <c:pt idx="182">
                  <c:v>24.51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10"/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DoR!$I$3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DoR!$J$4:$J$15</c:f>
              <c:strCache>
                <c:ptCount val="12"/>
                <c:pt idx="0">
                  <c:v>Less than -30,20%</c:v>
                </c:pt>
                <c:pt idx="1">
                  <c:v>-30,20% to -23,95%</c:v>
                </c:pt>
                <c:pt idx="2">
                  <c:v>-23,95% to -17,70%</c:v>
                </c:pt>
                <c:pt idx="3">
                  <c:v>-17,70% to -11,46%</c:v>
                </c:pt>
                <c:pt idx="4">
                  <c:v>-11,46% to -5,21%</c:v>
                </c:pt>
                <c:pt idx="5">
                  <c:v>-5,21% to 1,03%</c:v>
                </c:pt>
                <c:pt idx="6">
                  <c:v>1,03% to 7,28%</c:v>
                </c:pt>
                <c:pt idx="7">
                  <c:v>7,28% to 13,52%</c:v>
                </c:pt>
                <c:pt idx="8">
                  <c:v>13,52% to 19,77%</c:v>
                </c:pt>
                <c:pt idx="9">
                  <c:v>19,77% to 26,02%</c:v>
                </c:pt>
                <c:pt idx="10">
                  <c:v>26,02% to 32,26%</c:v>
                </c:pt>
                <c:pt idx="11">
                  <c:v>Greater than 32,26%</c:v>
                </c:pt>
              </c:strCache>
            </c:strRef>
          </c:cat>
          <c:val>
            <c:numRef>
              <c:f>DoR!$I$4:$I$15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34</c:v>
                </c:pt>
                <c:pt idx="5">
                  <c:v>47</c:v>
                </c:pt>
                <c:pt idx="6">
                  <c:v>52</c:v>
                </c:pt>
                <c:pt idx="7">
                  <c:v>21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5-4FF0-B002-4341C4468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_xlchart.v1.9</cx:f>
      </cx:strDim>
      <cx:numDim type="val">
        <cx:f dir="row">_xlchart.v1.8</cx:f>
      </cx:numDim>
    </cx:data>
    <cx:data id="1">
      <cx:strDim type="cat">
        <cx:f dir="row">_xlchart.v1.9</cx:f>
      </cx:strDim>
      <cx:numDim type="val">
        <cx:f dir="row">_xlchart.v1.7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52386</xdr:rowOff>
    </xdr:from>
    <xdr:to>
      <xdr:col>27</xdr:col>
      <xdr:colOff>342900</xdr:colOff>
      <xdr:row>17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352424</xdr:colOff>
      <xdr:row>48</xdr:row>
      <xdr:rowOff>4762</xdr:rowOff>
    </xdr:from>
    <xdr:to>
      <xdr:col>26</xdr:col>
      <xdr:colOff>38099</xdr:colOff>
      <xdr:row>75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C129C-DBE3-1F2F-B16B-A26ABC76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176211</xdr:rowOff>
    </xdr:from>
    <xdr:to>
      <xdr:col>11</xdr:col>
      <xdr:colOff>1381126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0D2698-8430-E511-3862-E996BF6E7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workbookViewId="0">
      <selection activeCell="C15" sqref="C15"/>
    </sheetView>
  </sheetViews>
  <sheetFormatPr defaultColWidth="9.140625" defaultRowHeight="15" x14ac:dyDescent="0.25"/>
  <cols>
    <col min="1" max="1" width="5" customWidth="1"/>
    <col min="2" max="2" width="27.42578125" customWidth="1"/>
    <col min="3" max="3" width="14.140625" customWidth="1"/>
    <col min="4" max="4" width="6.28515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3" t="s">
        <v>93</v>
      </c>
      <c r="C2" s="19"/>
      <c r="E2" s="23" t="s">
        <v>49</v>
      </c>
      <c r="F2" s="52" t="s">
        <v>50</v>
      </c>
      <c r="G2" s="24"/>
      <c r="H2" s="25" t="s">
        <v>57</v>
      </c>
      <c r="I2" s="25" t="s">
        <v>1</v>
      </c>
      <c r="J2" s="26" t="s">
        <v>50</v>
      </c>
      <c r="L2" s="29" t="s">
        <v>43</v>
      </c>
      <c r="M2" s="30" t="s">
        <v>59</v>
      </c>
      <c r="N2" s="31" t="s">
        <v>58</v>
      </c>
    </row>
    <row r="3" spans="2:14" x14ac:dyDescent="0.25">
      <c r="B3" s="5" t="s">
        <v>42</v>
      </c>
      <c r="C3" s="20">
        <v>45695</v>
      </c>
      <c r="E3" s="5" t="s">
        <v>135</v>
      </c>
      <c r="F3" s="27" t="s">
        <v>136</v>
      </c>
      <c r="H3" t="s">
        <v>155</v>
      </c>
      <c r="I3" s="10">
        <v>592</v>
      </c>
      <c r="J3" s="37">
        <f t="shared" ref="J3:J10" si="0">I3/($C$7*100000)</f>
        <v>2.5684600910328206E-6</v>
      </c>
      <c r="L3" s="5" t="s">
        <v>163</v>
      </c>
      <c r="M3" t="s">
        <v>164</v>
      </c>
      <c r="N3" s="36"/>
    </row>
    <row r="4" spans="2:14" x14ac:dyDescent="0.25">
      <c r="B4" s="5"/>
      <c r="C4" s="145">
        <v>0.20902777777777778</v>
      </c>
      <c r="E4" s="5" t="s">
        <v>137</v>
      </c>
      <c r="F4" s="27" t="s">
        <v>138</v>
      </c>
      <c r="H4" t="s">
        <v>156</v>
      </c>
      <c r="I4" s="10">
        <v>4344</v>
      </c>
      <c r="J4" s="37">
        <f t="shared" si="0"/>
        <v>1.884694364095705E-5</v>
      </c>
      <c r="L4" s="5" t="s">
        <v>165</v>
      </c>
      <c r="M4" t="s">
        <v>166</v>
      </c>
      <c r="N4" s="13"/>
    </row>
    <row r="5" spans="2:14" x14ac:dyDescent="0.25">
      <c r="B5" s="5"/>
      <c r="C5" s="13"/>
      <c r="E5" s="5" t="s">
        <v>139</v>
      </c>
      <c r="F5" s="27" t="s">
        <v>140</v>
      </c>
      <c r="H5" t="s">
        <v>157</v>
      </c>
      <c r="I5" s="10">
        <v>6432260</v>
      </c>
      <c r="J5" s="37">
        <f t="shared" si="0"/>
        <v>2.7907099839774952E-2</v>
      </c>
      <c r="L5" s="5" t="s">
        <v>167</v>
      </c>
      <c r="M5" t="s">
        <v>168</v>
      </c>
      <c r="N5" s="13"/>
    </row>
    <row r="6" spans="2:14" x14ac:dyDescent="0.25">
      <c r="B6" s="5" t="s">
        <v>0</v>
      </c>
      <c r="C6" s="13">
        <v>111.28</v>
      </c>
      <c r="E6" s="5" t="s">
        <v>141</v>
      </c>
      <c r="F6" s="27" t="s">
        <v>142</v>
      </c>
      <c r="H6" t="s">
        <v>158</v>
      </c>
      <c r="I6" s="10">
        <v>1635520</v>
      </c>
      <c r="J6" s="37">
        <f t="shared" si="0"/>
        <v>7.0958916352804038E-3</v>
      </c>
      <c r="L6" s="5" t="s">
        <v>169</v>
      </c>
      <c r="M6" t="s">
        <v>170</v>
      </c>
      <c r="N6" s="13"/>
    </row>
    <row r="7" spans="2:14" x14ac:dyDescent="0.25">
      <c r="B7" s="5" t="s">
        <v>1</v>
      </c>
      <c r="C7" s="15">
        <f>Model!AA16</f>
        <v>2304.8829999999998</v>
      </c>
      <c r="E7" s="5" t="s">
        <v>143</v>
      </c>
      <c r="F7" s="27" t="s">
        <v>144</v>
      </c>
      <c r="H7" t="s">
        <v>159</v>
      </c>
      <c r="I7" s="10">
        <v>670136</v>
      </c>
      <c r="J7" s="37">
        <f t="shared" si="0"/>
        <v>2.907462114129004E-3</v>
      </c>
      <c r="L7" s="5" t="s">
        <v>171</v>
      </c>
      <c r="M7" t="s">
        <v>172</v>
      </c>
      <c r="N7" s="13"/>
    </row>
    <row r="8" spans="2:14" x14ac:dyDescent="0.25">
      <c r="B8" s="5" t="s">
        <v>2</v>
      </c>
      <c r="C8" s="15">
        <f>C6*C7</f>
        <v>256487.38023999997</v>
      </c>
      <c r="E8" s="5" t="s">
        <v>145</v>
      </c>
      <c r="F8" s="27" t="s">
        <v>146</v>
      </c>
      <c r="H8" t="s">
        <v>160</v>
      </c>
      <c r="I8" s="10">
        <v>1502680</v>
      </c>
      <c r="J8" s="37">
        <f t="shared" si="0"/>
        <v>6.5195500162047284E-3</v>
      </c>
      <c r="L8" s="5" t="s">
        <v>173</v>
      </c>
      <c r="M8" t="s">
        <v>174</v>
      </c>
      <c r="N8" s="13"/>
    </row>
    <row r="9" spans="2:14" x14ac:dyDescent="0.25">
      <c r="B9" s="5" t="s">
        <v>3</v>
      </c>
      <c r="C9" s="15">
        <f>Model!AA32+Model!AA33</f>
        <v>5229.9870000000001</v>
      </c>
      <c r="E9" s="5" t="s">
        <v>147</v>
      </c>
      <c r="F9" s="27" t="s">
        <v>148</v>
      </c>
      <c r="H9" t="s">
        <v>161</v>
      </c>
      <c r="I9" s="10">
        <v>191783</v>
      </c>
      <c r="J9" s="37">
        <f t="shared" si="0"/>
        <v>8.3207260411916799E-4</v>
      </c>
      <c r="L9" s="5" t="s">
        <v>175</v>
      </c>
      <c r="M9" t="s">
        <v>176</v>
      </c>
      <c r="N9" s="13"/>
    </row>
    <row r="10" spans="2:14" x14ac:dyDescent="0.25">
      <c r="B10" s="5" t="s">
        <v>4</v>
      </c>
      <c r="C10" s="15">
        <f>0</f>
        <v>0</v>
      </c>
      <c r="E10" s="5" t="s">
        <v>149</v>
      </c>
      <c r="F10" s="27" t="s">
        <v>150</v>
      </c>
      <c r="H10" t="s">
        <v>162</v>
      </c>
      <c r="I10" s="10">
        <v>18146</v>
      </c>
      <c r="J10" s="37">
        <f t="shared" si="0"/>
        <v>7.8728508128178323E-5</v>
      </c>
      <c r="L10" s="5" t="s">
        <v>177</v>
      </c>
      <c r="M10" t="s">
        <v>178</v>
      </c>
      <c r="N10" s="13"/>
    </row>
    <row r="11" spans="2:14" x14ac:dyDescent="0.25">
      <c r="B11" s="5" t="s">
        <v>37</v>
      </c>
      <c r="C11" s="15">
        <f>C9-C10</f>
        <v>5229.9870000000001</v>
      </c>
      <c r="E11" s="5" t="s">
        <v>151</v>
      </c>
      <c r="F11" s="27" t="s">
        <v>152</v>
      </c>
      <c r="H11" t="s">
        <v>183</v>
      </c>
      <c r="I11" s="10"/>
      <c r="J11" s="37">
        <v>0.09</v>
      </c>
      <c r="L11" s="5" t="s">
        <v>179</v>
      </c>
      <c r="M11" t="s">
        <v>180</v>
      </c>
      <c r="N11" s="13"/>
    </row>
    <row r="12" spans="2:14" x14ac:dyDescent="0.25">
      <c r="B12" s="5" t="s">
        <v>5</v>
      </c>
      <c r="C12" s="15">
        <f>C8-C9+C10</f>
        <v>251257.39323999998</v>
      </c>
      <c r="E12" s="5" t="s">
        <v>153</v>
      </c>
      <c r="F12" s="27" t="s">
        <v>154</v>
      </c>
      <c r="J12" s="13"/>
      <c r="L12" s="5" t="s">
        <v>181</v>
      </c>
      <c r="M12" t="s">
        <v>182</v>
      </c>
      <c r="N12" s="13"/>
    </row>
    <row r="13" spans="2:14" x14ac:dyDescent="0.25">
      <c r="B13" s="5" t="s">
        <v>48</v>
      </c>
      <c r="C13" s="45">
        <f>C6/Model!F17</f>
        <v>1138.8909371142613</v>
      </c>
      <c r="E13" s="5"/>
      <c r="J13" s="13"/>
      <c r="L13" s="5"/>
      <c r="N13" s="13"/>
    </row>
    <row r="14" spans="2:14" x14ac:dyDescent="0.25">
      <c r="B14" s="5" t="s">
        <v>46</v>
      </c>
      <c r="C14" s="45">
        <f>C6/Model!G18</f>
        <v>300.75675675675677</v>
      </c>
      <c r="E14" s="21"/>
      <c r="F14" s="28"/>
      <c r="G14" s="28"/>
      <c r="H14" s="28"/>
      <c r="I14" s="28"/>
      <c r="J14" s="22"/>
      <c r="L14" s="21"/>
      <c r="M14" s="28"/>
      <c r="N14" s="22"/>
    </row>
    <row r="15" spans="2:14" x14ac:dyDescent="0.25">
      <c r="B15" s="5" t="s">
        <v>47</v>
      </c>
      <c r="C15" s="45">
        <f>C6/Model!H18</f>
        <v>198.71428571428569</v>
      </c>
    </row>
    <row r="16" spans="2:14" x14ac:dyDescent="0.25">
      <c r="B16" s="5" t="s">
        <v>44</v>
      </c>
      <c r="C16" s="6">
        <f>Model!G18/Model!F17-1</f>
        <v>2.7867509591326085</v>
      </c>
    </row>
    <row r="17" spans="2:14" x14ac:dyDescent="0.25">
      <c r="B17" s="5" t="s">
        <v>45</v>
      </c>
      <c r="C17" s="6">
        <f>Model!H18/Model!G18-1</f>
        <v>0.5135135135135136</v>
      </c>
      <c r="E17" s="32" t="s">
        <v>55</v>
      </c>
      <c r="L17" s="126"/>
      <c r="M17" s="127"/>
      <c r="N17" s="128"/>
    </row>
    <row r="18" spans="2:14" x14ac:dyDescent="0.25">
      <c r="B18" s="5" t="s">
        <v>71</v>
      </c>
      <c r="C18" s="45">
        <f>C14/(C16*100)</f>
        <v>1.0792380128950201</v>
      </c>
      <c r="L18" s="129"/>
      <c r="M18" s="130"/>
      <c r="N18" s="131"/>
    </row>
    <row r="19" spans="2:14" x14ac:dyDescent="0.25">
      <c r="B19" s="5" t="s">
        <v>72</v>
      </c>
      <c r="C19" s="45">
        <f>C15/(C17*100)</f>
        <v>3.8696992481202996</v>
      </c>
      <c r="L19" s="129"/>
      <c r="M19" s="130"/>
      <c r="N19" s="131"/>
    </row>
    <row r="20" spans="2:14" x14ac:dyDescent="0.25">
      <c r="B20" s="5" t="s">
        <v>81</v>
      </c>
      <c r="C20" s="6">
        <f>Model!G4/Model!F3-1</f>
        <v>0.25842017930689809</v>
      </c>
      <c r="L20" s="129"/>
      <c r="M20" s="130"/>
      <c r="N20" s="131"/>
    </row>
    <row r="21" spans="2:14" x14ac:dyDescent="0.25">
      <c r="B21" s="5" t="s">
        <v>82</v>
      </c>
      <c r="C21" s="6">
        <f>Model!H4/Model!G4-1</f>
        <v>0.35000000000000009</v>
      </c>
      <c r="L21" s="129"/>
      <c r="M21" s="130"/>
      <c r="N21" s="131"/>
    </row>
    <row r="22" spans="2:14" x14ac:dyDescent="0.25">
      <c r="B22" s="5" t="s">
        <v>73</v>
      </c>
      <c r="C22" s="43">
        <f>Model!F12</f>
        <v>237.09100000000012</v>
      </c>
      <c r="L22" s="129"/>
      <c r="M22" s="130"/>
      <c r="N22" s="131"/>
    </row>
    <row r="23" spans="2:14" x14ac:dyDescent="0.25">
      <c r="B23" s="5" t="s">
        <v>19</v>
      </c>
      <c r="C23" s="15">
        <f>Model!F12</f>
        <v>237.09100000000012</v>
      </c>
      <c r="L23" s="129"/>
      <c r="M23" s="130"/>
      <c r="N23" s="131"/>
    </row>
    <row r="24" spans="2:14" x14ac:dyDescent="0.25">
      <c r="B24" s="5" t="s">
        <v>29</v>
      </c>
      <c r="C24" s="7">
        <f>Model!Z20</f>
        <v>0.79788316177727303</v>
      </c>
      <c r="L24" s="129"/>
      <c r="M24" s="130"/>
      <c r="N24" s="131"/>
    </row>
    <row r="25" spans="2:14" x14ac:dyDescent="0.25">
      <c r="B25" s="5" t="s">
        <v>30</v>
      </c>
      <c r="C25" s="7">
        <f>Model!Z21</f>
        <v>0.19782472061263981</v>
      </c>
      <c r="L25" s="129"/>
      <c r="M25" s="130"/>
      <c r="N25" s="131"/>
    </row>
    <row r="26" spans="2:14" x14ac:dyDescent="0.25">
      <c r="B26" s="5" t="s">
        <v>74</v>
      </c>
      <c r="C26" s="35">
        <f>Main!C12/Model!F12</f>
        <v>1059.7508688225189</v>
      </c>
      <c r="L26" s="129"/>
      <c r="M26" s="130"/>
      <c r="N26" s="131"/>
    </row>
    <row r="27" spans="2:14" x14ac:dyDescent="0.25">
      <c r="B27" s="5" t="s">
        <v>83</v>
      </c>
      <c r="C27" s="13">
        <v>0</v>
      </c>
      <c r="E27" t="s">
        <v>77</v>
      </c>
      <c r="L27" s="129"/>
      <c r="M27" s="130"/>
      <c r="N27" s="131"/>
    </row>
    <row r="28" spans="2:14" x14ac:dyDescent="0.25">
      <c r="B28" s="5" t="s">
        <v>84</v>
      </c>
      <c r="C28" s="13">
        <v>0</v>
      </c>
      <c r="E28" t="s">
        <v>184</v>
      </c>
      <c r="L28" s="132"/>
      <c r="M28" s="133"/>
      <c r="N28" s="134"/>
    </row>
    <row r="29" spans="2:14" x14ac:dyDescent="0.25">
      <c r="B29" s="5" t="s">
        <v>85</v>
      </c>
      <c r="C29" s="15">
        <f>Model!Z36-Model!Z46</f>
        <v>4408.5059999999994</v>
      </c>
    </row>
    <row r="30" spans="2:14" x14ac:dyDescent="0.25">
      <c r="B30" s="5" t="s">
        <v>86</v>
      </c>
      <c r="C30" s="35">
        <f>(Model!Z32+Model!Z33+Model!Z34)/Model!Z41</f>
        <v>193.65563820732021</v>
      </c>
    </row>
    <row r="31" spans="2:14" x14ac:dyDescent="0.25">
      <c r="B31" s="5" t="s">
        <v>87</v>
      </c>
      <c r="C31" s="13"/>
    </row>
    <row r="32" spans="2:14" x14ac:dyDescent="0.25">
      <c r="B32" s="5" t="s">
        <v>88</v>
      </c>
      <c r="C32" s="13"/>
    </row>
    <row r="33" spans="2:3" x14ac:dyDescent="0.25">
      <c r="B33" s="5" t="s">
        <v>89</v>
      </c>
      <c r="C33" s="13"/>
    </row>
    <row r="34" spans="2:3" x14ac:dyDescent="0.25">
      <c r="B34" s="5" t="s">
        <v>90</v>
      </c>
      <c r="C34" s="115">
        <f>Model!F15/Model!F40</f>
        <v>4.6396568212850424E-2</v>
      </c>
    </row>
    <row r="35" spans="2:3" x14ac:dyDescent="0.25">
      <c r="B35" s="5" t="s">
        <v>91</v>
      </c>
      <c r="C35" s="115">
        <f>Model!F15/Model!F53</f>
        <v>5.8923634464253395E-2</v>
      </c>
    </row>
    <row r="36" spans="2:3" x14ac:dyDescent="0.25">
      <c r="B36" s="21" t="s">
        <v>92</v>
      </c>
      <c r="C36" s="22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AE74"/>
  <sheetViews>
    <sheetView tabSelected="1"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AC20" sqref="AC20"/>
    </sheetView>
  </sheetViews>
  <sheetFormatPr defaultColWidth="11.42578125" defaultRowHeight="15" x14ac:dyDescent="0.25"/>
  <cols>
    <col min="1" max="1" width="27.28515625" customWidth="1"/>
    <col min="6" max="6" width="11.42578125" style="146"/>
    <col min="7" max="7" width="11.42578125" style="13"/>
    <col min="26" max="26" width="11.42578125" style="146"/>
    <col min="27" max="27" width="11.42578125" style="13"/>
  </cols>
  <sheetData>
    <row r="1" spans="1:30" x14ac:dyDescent="0.25">
      <c r="A1" s="8" t="s">
        <v>38</v>
      </c>
    </row>
    <row r="2" spans="1:30" x14ac:dyDescent="0.25">
      <c r="B2" t="s">
        <v>34</v>
      </c>
      <c r="C2" t="s">
        <v>18</v>
      </c>
      <c r="D2" t="s">
        <v>14</v>
      </c>
      <c r="E2" t="s">
        <v>15</v>
      </c>
      <c r="F2" s="146" t="s">
        <v>16</v>
      </c>
      <c r="G2" s="13" t="s">
        <v>32</v>
      </c>
      <c r="H2" t="s">
        <v>70</v>
      </c>
      <c r="I2" t="s">
        <v>212</v>
      </c>
      <c r="L2" t="s">
        <v>33</v>
      </c>
      <c r="M2" t="s">
        <v>10</v>
      </c>
      <c r="N2" t="s">
        <v>11</v>
      </c>
      <c r="O2" t="s">
        <v>12</v>
      </c>
      <c r="P2" t="s">
        <v>13</v>
      </c>
      <c r="Q2" t="s">
        <v>6</v>
      </c>
      <c r="R2" t="s">
        <v>7</v>
      </c>
      <c r="S2" t="s">
        <v>8</v>
      </c>
      <c r="T2" t="s">
        <v>9</v>
      </c>
      <c r="U2" t="s">
        <v>36</v>
      </c>
      <c r="V2" t="s">
        <v>40</v>
      </c>
      <c r="W2" t="s">
        <v>41</v>
      </c>
      <c r="X2" t="s">
        <v>65</v>
      </c>
      <c r="Y2" t="s">
        <v>69</v>
      </c>
      <c r="Z2" s="146" t="s">
        <v>199</v>
      </c>
      <c r="AA2" s="13" t="s">
        <v>200</v>
      </c>
      <c r="AB2" t="s">
        <v>208</v>
      </c>
      <c r="AC2" t="s">
        <v>210</v>
      </c>
      <c r="AD2" t="s">
        <v>211</v>
      </c>
    </row>
    <row r="3" spans="1:30" x14ac:dyDescent="0.25">
      <c r="A3" t="s">
        <v>17</v>
      </c>
      <c r="B3" s="10">
        <v>742.55499999999995</v>
      </c>
      <c r="C3" s="10">
        <v>1092.673</v>
      </c>
      <c r="D3" s="10">
        <v>1541.8889999999999</v>
      </c>
      <c r="E3" s="10">
        <v>1905.8710000000001</v>
      </c>
      <c r="F3" s="147">
        <v>2225.0120000000002</v>
      </c>
      <c r="G3" s="160">
        <f>SUM(X3:AA3)</f>
        <v>2865.5069999999996</v>
      </c>
      <c r="H3" s="39"/>
      <c r="I3" s="39"/>
      <c r="L3" s="10">
        <v>341.23399999999998</v>
      </c>
      <c r="M3" s="10">
        <v>375.642</v>
      </c>
      <c r="N3" s="10">
        <v>392.14600000000002</v>
      </c>
      <c r="O3" s="10">
        <f>D3-N3-M3-L3</f>
        <v>432.8669999999999</v>
      </c>
      <c r="P3" s="10">
        <v>446.35700000000003</v>
      </c>
      <c r="Q3" s="10">
        <v>473.01</v>
      </c>
      <c r="R3" s="10">
        <v>477.88</v>
      </c>
      <c r="S3" s="10">
        <f>E3-R3-Q3-P3</f>
        <v>508.62399999999997</v>
      </c>
      <c r="T3" s="10">
        <v>525.18600000000004</v>
      </c>
      <c r="U3" s="10">
        <v>533.31700000000001</v>
      </c>
      <c r="V3" s="10">
        <v>558.15899999999999</v>
      </c>
      <c r="W3" s="10">
        <f>F3-V3-U3-T3</f>
        <v>608.35</v>
      </c>
      <c r="X3" s="10">
        <v>634.33799999999997</v>
      </c>
      <c r="Y3" s="10">
        <v>678.13400000000001</v>
      </c>
      <c r="Z3" s="147">
        <v>725.51599999999996</v>
      </c>
      <c r="AA3" s="15">
        <v>827.51900000000001</v>
      </c>
    </row>
    <row r="4" spans="1:30" x14ac:dyDescent="0.25">
      <c r="A4" s="9" t="s">
        <v>67</v>
      </c>
      <c r="B4" s="10"/>
      <c r="C4" s="10"/>
      <c r="D4" s="10"/>
      <c r="E4" s="10"/>
      <c r="F4" s="147"/>
      <c r="G4" s="123">
        <v>2800</v>
      </c>
      <c r="H4" s="41">
        <v>3780</v>
      </c>
      <c r="I4" s="41">
        <v>4690</v>
      </c>
      <c r="L4" s="39"/>
      <c r="M4" s="39"/>
      <c r="N4" s="39"/>
      <c r="O4" s="39"/>
      <c r="P4" s="39"/>
      <c r="Q4" s="39"/>
      <c r="R4" s="39"/>
      <c r="S4" s="39"/>
      <c r="T4" s="121">
        <v>505.82</v>
      </c>
      <c r="U4" s="39">
        <v>533.38</v>
      </c>
      <c r="V4" s="121">
        <v>555.51</v>
      </c>
      <c r="W4" s="122">
        <v>602.88</v>
      </c>
      <c r="X4" s="121">
        <v>615.4</v>
      </c>
      <c r="Y4" s="121">
        <v>651.39</v>
      </c>
      <c r="Z4" s="148">
        <v>701.25</v>
      </c>
      <c r="AA4" s="123">
        <v>769.39</v>
      </c>
      <c r="AB4" s="164">
        <v>874.36</v>
      </c>
      <c r="AC4" s="148">
        <v>908.75</v>
      </c>
    </row>
    <row r="5" spans="1:30" x14ac:dyDescent="0.25">
      <c r="A5" t="s">
        <v>60</v>
      </c>
      <c r="B5" s="10">
        <v>242.37299999999999</v>
      </c>
      <c r="C5" s="10">
        <v>352.54700000000003</v>
      </c>
      <c r="D5" s="10">
        <v>339.404</v>
      </c>
      <c r="E5" s="10">
        <v>408.54899999999998</v>
      </c>
      <c r="F5" s="147">
        <v>431.10500000000002</v>
      </c>
      <c r="G5" s="160">
        <f t="shared" ref="G5:G16" si="0">SUM(X5:AA5)</f>
        <v>565.99</v>
      </c>
      <c r="H5" s="39"/>
      <c r="I5" s="39"/>
      <c r="L5" s="10">
        <v>74.111000000000004</v>
      </c>
      <c r="M5" s="10">
        <v>90.926000000000002</v>
      </c>
      <c r="N5" s="10">
        <v>86.804000000000002</v>
      </c>
      <c r="O5" s="10">
        <f>D5-N5-M5-L5</f>
        <v>87.562999999999974</v>
      </c>
      <c r="P5" s="10">
        <v>94.403000000000006</v>
      </c>
      <c r="Q5" s="39">
        <v>102.224</v>
      </c>
      <c r="R5" s="10">
        <v>107.611</v>
      </c>
      <c r="S5" s="10">
        <f>E5-R5-Q5-P5</f>
        <v>104.31099999999999</v>
      </c>
      <c r="T5" s="10">
        <v>107.645</v>
      </c>
      <c r="U5" s="10">
        <v>106.899</v>
      </c>
      <c r="V5" s="10">
        <v>107.922</v>
      </c>
      <c r="W5" s="10">
        <f>F5-V5-U5-T5</f>
        <v>108.639</v>
      </c>
      <c r="X5" s="10">
        <v>116.256</v>
      </c>
      <c r="Y5" s="10">
        <v>128.56200000000001</v>
      </c>
      <c r="Z5" s="147">
        <v>146.63900000000001</v>
      </c>
      <c r="AA5" s="15">
        <v>174.53299999999999</v>
      </c>
    </row>
    <row r="6" spans="1:30" x14ac:dyDescent="0.25">
      <c r="A6" t="s">
        <v>61</v>
      </c>
      <c r="B6" s="10">
        <v>450.12</v>
      </c>
      <c r="C6" s="10">
        <v>683.70100000000002</v>
      </c>
      <c r="D6" s="10">
        <v>614.51199999999994</v>
      </c>
      <c r="E6" s="10">
        <v>702.51099999999997</v>
      </c>
      <c r="F6" s="147">
        <v>744.99199999999996</v>
      </c>
      <c r="G6" s="160">
        <f t="shared" si="0"/>
        <v>887.75500000000011</v>
      </c>
      <c r="H6" s="39"/>
      <c r="I6" s="39"/>
      <c r="L6" s="10">
        <v>136.09700000000001</v>
      </c>
      <c r="M6" s="10">
        <v>162.37899999999999</v>
      </c>
      <c r="N6" s="10">
        <v>153.44300000000001</v>
      </c>
      <c r="O6" s="10">
        <f>D6-N6-M6-L6</f>
        <v>162.59299999999993</v>
      </c>
      <c r="P6" s="10">
        <v>160.48500000000001</v>
      </c>
      <c r="Q6" s="10">
        <v>168.875</v>
      </c>
      <c r="R6" s="10">
        <v>182.91800000000001</v>
      </c>
      <c r="S6" s="10">
        <f>E6-R6-Q6-P6</f>
        <v>190.23299999999995</v>
      </c>
      <c r="T6" s="10">
        <v>187.09299999999999</v>
      </c>
      <c r="U6" s="10">
        <v>184.16300000000001</v>
      </c>
      <c r="V6" s="10">
        <v>176.37299999999999</v>
      </c>
      <c r="W6" s="10">
        <f>F6-V6-U6-T6</f>
        <v>197.36299999999991</v>
      </c>
      <c r="X6" s="10">
        <v>193.17699999999999</v>
      </c>
      <c r="Y6" s="10">
        <v>196.809</v>
      </c>
      <c r="Z6" s="147">
        <v>209.47399999999999</v>
      </c>
      <c r="AA6" s="15">
        <v>288.29500000000002</v>
      </c>
    </row>
    <row r="7" spans="1:30" x14ac:dyDescent="0.25">
      <c r="A7" t="s">
        <v>75</v>
      </c>
      <c r="B7" s="10">
        <v>305.56299999999999</v>
      </c>
      <c r="C7" s="10">
        <v>560.66</v>
      </c>
      <c r="D7" s="10">
        <v>387.48700000000002</v>
      </c>
      <c r="E7" s="10">
        <v>359.67899999999997</v>
      </c>
      <c r="F7" s="147">
        <v>404.62400000000002</v>
      </c>
      <c r="G7" s="160">
        <f t="shared" si="0"/>
        <v>507.87800000000004</v>
      </c>
      <c r="H7" s="39"/>
      <c r="I7" s="39"/>
      <c r="L7" s="10">
        <v>98.471000000000004</v>
      </c>
      <c r="M7" s="10">
        <v>110.524</v>
      </c>
      <c r="N7" s="10">
        <v>94.316000000000003</v>
      </c>
      <c r="O7" s="10">
        <f>D7-N7-M7-L7</f>
        <v>84.176000000000045</v>
      </c>
      <c r="P7" s="10">
        <v>88.600999999999999</v>
      </c>
      <c r="Q7" s="10">
        <v>88.171000000000006</v>
      </c>
      <c r="R7" s="10">
        <v>100.863</v>
      </c>
      <c r="S7" s="10">
        <f>E7-R7-Q7-P7</f>
        <v>82.043999999999983</v>
      </c>
      <c r="T7" s="10">
        <v>90.1</v>
      </c>
      <c r="U7" s="10">
        <v>99.533000000000001</v>
      </c>
      <c r="V7" s="10">
        <v>105.708</v>
      </c>
      <c r="W7" s="10">
        <f>F7-V7-U7-T7</f>
        <v>109.28300000000004</v>
      </c>
      <c r="X7" s="10">
        <v>110.04</v>
      </c>
      <c r="Y7" s="10">
        <v>108.78100000000001</v>
      </c>
      <c r="Z7" s="147">
        <v>117.55500000000001</v>
      </c>
      <c r="AA7" s="15">
        <v>171.50200000000001</v>
      </c>
    </row>
    <row r="8" spans="1:30" x14ac:dyDescent="0.25">
      <c r="A8" t="s">
        <v>185</v>
      </c>
      <c r="B8" s="10">
        <v>320.94299999999998</v>
      </c>
      <c r="C8" s="10">
        <v>669.44399999999996</v>
      </c>
      <c r="D8" s="10">
        <v>611.53200000000004</v>
      </c>
      <c r="E8" s="10">
        <v>596.33299999999997</v>
      </c>
      <c r="F8" s="147">
        <v>524.32500000000005</v>
      </c>
      <c r="G8" s="160">
        <f t="shared" si="0"/>
        <v>593.48099999999999</v>
      </c>
      <c r="H8" s="10"/>
      <c r="I8" s="10"/>
      <c r="L8" s="10">
        <v>146.56899999999999</v>
      </c>
      <c r="M8" s="10">
        <v>157.96100000000001</v>
      </c>
      <c r="N8" s="10">
        <v>149.524</v>
      </c>
      <c r="O8" s="10">
        <f>D8-N8-M8-L8</f>
        <v>157.47800000000004</v>
      </c>
      <c r="P8" s="10">
        <v>142.30699999999999</v>
      </c>
      <c r="Q8" s="10">
        <v>155.48500000000001</v>
      </c>
      <c r="R8" s="10">
        <v>148.679</v>
      </c>
      <c r="S8" s="10">
        <f>E8-R8-Q8-P8</f>
        <v>149.86199999999999</v>
      </c>
      <c r="T8" s="10">
        <v>136.233</v>
      </c>
      <c r="U8" s="10">
        <v>132.648</v>
      </c>
      <c r="V8" s="10">
        <v>128.173</v>
      </c>
      <c r="W8" s="10">
        <f>F8-V8-U8-T8</f>
        <v>127.27100000000002</v>
      </c>
      <c r="X8" s="10">
        <v>133.98400000000001</v>
      </c>
      <c r="Y8" s="10">
        <v>138.643</v>
      </c>
      <c r="Z8" s="147">
        <v>138.708</v>
      </c>
      <c r="AA8" s="15">
        <v>182.14599999999999</v>
      </c>
    </row>
    <row r="9" spans="1:30" s="1" customFormat="1" x14ac:dyDescent="0.25">
      <c r="A9" s="1" t="s">
        <v>22</v>
      </c>
      <c r="B9" s="11">
        <f>B3-B5-B6-B7-B8</f>
        <v>-576.44399999999996</v>
      </c>
      <c r="C9" s="11">
        <f t="shared" ref="C9:H9" si="1">C3-C5-C6-C7-C8</f>
        <v>-1173.6790000000001</v>
      </c>
      <c r="D9" s="11">
        <f t="shared" si="1"/>
        <v>-411.04600000000011</v>
      </c>
      <c r="E9" s="11">
        <f t="shared" si="1"/>
        <v>-161.20099999999979</v>
      </c>
      <c r="F9" s="149">
        <f t="shared" si="1"/>
        <v>119.96600000000012</v>
      </c>
      <c r="G9" s="14">
        <f t="shared" si="1"/>
        <v>310.40299999999968</v>
      </c>
      <c r="H9" s="11">
        <f t="shared" si="1"/>
        <v>0</v>
      </c>
      <c r="I9" s="11"/>
      <c r="L9" s="11">
        <f t="shared" ref="L9" si="2">L3-L5-L6-L7-L8</f>
        <v>-114.01400000000001</v>
      </c>
      <c r="M9" s="11">
        <f t="shared" ref="M9" si="3">M3-M5-M6-M7-M8</f>
        <v>-146.148</v>
      </c>
      <c r="N9" s="11">
        <f t="shared" ref="N9" si="4">N3-N5-N6-N7-N8</f>
        <v>-91.941000000000031</v>
      </c>
      <c r="O9" s="11">
        <f t="shared" ref="O9" si="5">O3-O5-O6-O7-O8</f>
        <v>-58.943000000000097</v>
      </c>
      <c r="P9" s="11">
        <f t="shared" ref="P9" si="6">P3-P5-P6-P7-P8</f>
        <v>-39.438999999999993</v>
      </c>
      <c r="Q9" s="11">
        <f t="shared" ref="Q9" si="7">Q3-Q5-Q6-Q7-Q8</f>
        <v>-41.745000000000019</v>
      </c>
      <c r="R9" s="11">
        <f t="shared" ref="R9" si="8">R3-R5-R6-R7-R8</f>
        <v>-62.191000000000003</v>
      </c>
      <c r="S9" s="11">
        <f t="shared" ref="S9" si="9">S3-S5-S6-S7-S8</f>
        <v>-17.825999999999937</v>
      </c>
      <c r="T9" s="11">
        <f t="shared" ref="T9" si="10">T3-T5-T6-T7-T8</f>
        <v>4.1150000000000659</v>
      </c>
      <c r="U9" s="11">
        <f t="shared" ref="U9" si="11">U3-U5-U6-U7-U8</f>
        <v>10.073999999999984</v>
      </c>
      <c r="V9" s="11">
        <f t="shared" ref="V9:X9" si="12">V3-V5-V6-V7-V8</f>
        <v>39.982999999999976</v>
      </c>
      <c r="W9" s="11">
        <f t="shared" ref="W9" si="13">W3-W5-W6-W7-W8</f>
        <v>65.794000000000011</v>
      </c>
      <c r="X9" s="11">
        <f t="shared" si="12"/>
        <v>80.880999999999943</v>
      </c>
      <c r="Y9" s="11">
        <f t="shared" ref="Y9:Z9" si="14">Y3-Y5-Y6-Y7-Y8</f>
        <v>105.33900000000003</v>
      </c>
      <c r="Z9" s="149">
        <f t="shared" si="14"/>
        <v>113.13999999999996</v>
      </c>
      <c r="AA9" s="14">
        <f t="shared" ref="AA9:AB9" si="15">AA3-AA5-AA6-AA7-AA8</f>
        <v>11.042999999999978</v>
      </c>
      <c r="AB9" s="11">
        <f t="shared" si="15"/>
        <v>0</v>
      </c>
    </row>
    <row r="10" spans="1:30" x14ac:dyDescent="0.25">
      <c r="A10" t="s">
        <v>186</v>
      </c>
      <c r="B10" s="10">
        <f>15.09-3.061</f>
        <v>12.029</v>
      </c>
      <c r="C10" s="10">
        <f>4.68-14.139</f>
        <v>-9.4589999999999996</v>
      </c>
      <c r="D10" s="10">
        <f>1.607-3.64</f>
        <v>-2.0330000000000004</v>
      </c>
      <c r="E10" s="10">
        <f>20.309-4.058</f>
        <v>16.251000000000001</v>
      </c>
      <c r="F10" s="147">
        <f>132.572-3.47</f>
        <v>129.102</v>
      </c>
      <c r="G10" s="160">
        <f t="shared" si="0"/>
        <v>196.792</v>
      </c>
      <c r="H10" s="39"/>
      <c r="I10" s="39"/>
      <c r="L10" s="10">
        <f>0.376-1.84</f>
        <v>-1.464</v>
      </c>
      <c r="M10" s="10">
        <f>0.372-0.59</f>
        <v>-0.21799999999999997</v>
      </c>
      <c r="N10" s="10">
        <f>0.379-0.609</f>
        <v>-0.22999999999999998</v>
      </c>
      <c r="O10" s="10">
        <f>D10-N10-M10-L10</f>
        <v>-0.12100000000000044</v>
      </c>
      <c r="P10" s="10">
        <f>0.547-0.594</f>
        <v>-4.6999999999999931E-2</v>
      </c>
      <c r="Q10" s="10">
        <f>1.472-0.67</f>
        <v>0.80199999999999994</v>
      </c>
      <c r="R10" s="10">
        <f>5.54-1.082</f>
        <v>4.4580000000000002</v>
      </c>
      <c r="S10" s="10">
        <f>E10-R10-Q10-P10</f>
        <v>11.038000000000002</v>
      </c>
      <c r="T10" s="10">
        <f>20.853-1.275</f>
        <v>19.578000000000003</v>
      </c>
      <c r="U10" s="10">
        <f>30.31-1.317</f>
        <v>28.992999999999999</v>
      </c>
      <c r="V10" s="10">
        <f>36.864-0.742</f>
        <v>36.122</v>
      </c>
      <c r="W10" s="10">
        <f t="shared" ref="W10:W11" si="16">F10-V10-U10-T10</f>
        <v>44.409000000000006</v>
      </c>
      <c r="X10" s="10">
        <v>43.351999999999997</v>
      </c>
      <c r="Y10" s="10">
        <v>46.593000000000004</v>
      </c>
      <c r="Z10" s="147">
        <v>52.12</v>
      </c>
      <c r="AA10" s="15">
        <v>54.726999999999997</v>
      </c>
      <c r="AB10" s="10"/>
    </row>
    <row r="11" spans="1:30" x14ac:dyDescent="0.25">
      <c r="A11" t="s">
        <v>25</v>
      </c>
      <c r="B11" s="10">
        <f>-0.003-2.853</f>
        <v>-2.8560000000000003</v>
      </c>
      <c r="C11" s="10">
        <f>0.811+3.3</f>
        <v>4.1109999999999998</v>
      </c>
      <c r="D11" s="10">
        <v>-75.415000000000006</v>
      </c>
      <c r="E11" s="10">
        <v>-216.077</v>
      </c>
      <c r="F11" s="147">
        <v>-11.977</v>
      </c>
      <c r="G11" s="160">
        <f t="shared" si="0"/>
        <v>-18.021999999999998</v>
      </c>
      <c r="H11" s="39"/>
      <c r="I11" s="39"/>
      <c r="L11" s="10">
        <v>-4.8940000000000001</v>
      </c>
      <c r="M11" s="10">
        <v>2.125</v>
      </c>
      <c r="N11" s="10">
        <v>-8.5280000000000005</v>
      </c>
      <c r="O11" s="10">
        <f>D11-N11-M11-L11</f>
        <v>-64.117999999999995</v>
      </c>
      <c r="P11" s="10">
        <v>-59.87</v>
      </c>
      <c r="Q11" s="10">
        <v>-135.798</v>
      </c>
      <c r="R11" s="10">
        <v>-65.046000000000006</v>
      </c>
      <c r="S11" s="10">
        <f>E11-R11-Q11-P11</f>
        <v>44.636999999999993</v>
      </c>
      <c r="T11" s="10">
        <v>-2.8610000000000002</v>
      </c>
      <c r="U11" s="10">
        <v>-9.0239999999999991</v>
      </c>
      <c r="V11" s="10">
        <v>3.8639999999999999</v>
      </c>
      <c r="W11" s="10">
        <f t="shared" si="16"/>
        <v>-3.9560000000000017</v>
      </c>
      <c r="X11" s="10">
        <v>-13.507</v>
      </c>
      <c r="Y11" s="10">
        <v>-11.173</v>
      </c>
      <c r="Z11" s="147">
        <v>-8.11</v>
      </c>
      <c r="AA11" s="15">
        <v>14.768000000000001</v>
      </c>
      <c r="AB11" s="10"/>
    </row>
    <row r="12" spans="1:30" s="1" customFormat="1" x14ac:dyDescent="0.25">
      <c r="A12" s="1" t="s">
        <v>19</v>
      </c>
      <c r="B12" s="11">
        <f>B9+B10+B11</f>
        <v>-567.27099999999996</v>
      </c>
      <c r="C12" s="11">
        <f t="shared" ref="C12:H12" si="17">C9+C10+C11</f>
        <v>-1179.027</v>
      </c>
      <c r="D12" s="11">
        <f t="shared" si="17"/>
        <v>-488.49400000000014</v>
      </c>
      <c r="E12" s="11">
        <f t="shared" si="17"/>
        <v>-361.02699999999982</v>
      </c>
      <c r="F12" s="149">
        <f>F9+F10+F11</f>
        <v>237.09100000000012</v>
      </c>
      <c r="G12" s="14">
        <f t="shared" si="17"/>
        <v>489.17299999999972</v>
      </c>
      <c r="H12" s="11">
        <f t="shared" si="17"/>
        <v>0</v>
      </c>
      <c r="I12" s="11"/>
      <c r="L12" s="11">
        <f t="shared" ref="L12:W12" si="18">L9+L10+L11</f>
        <v>-120.37200000000001</v>
      </c>
      <c r="M12" s="11">
        <f t="shared" si="18"/>
        <v>-144.24099999999999</v>
      </c>
      <c r="N12" s="11">
        <f t="shared" si="18"/>
        <v>-100.69900000000004</v>
      </c>
      <c r="O12" s="11">
        <f t="shared" si="18"/>
        <v>-123.1820000000001</v>
      </c>
      <c r="P12" s="11">
        <f t="shared" si="18"/>
        <v>-99.355999999999995</v>
      </c>
      <c r="Q12" s="11">
        <f t="shared" si="18"/>
        <v>-176.74100000000001</v>
      </c>
      <c r="R12" s="11">
        <f t="shared" si="18"/>
        <v>-122.77900000000001</v>
      </c>
      <c r="S12" s="11">
        <f t="shared" si="18"/>
        <v>37.849000000000061</v>
      </c>
      <c r="T12" s="11">
        <f t="shared" si="18"/>
        <v>20.832000000000068</v>
      </c>
      <c r="U12" s="11">
        <f t="shared" si="18"/>
        <v>30.042999999999978</v>
      </c>
      <c r="V12" s="11">
        <f t="shared" si="18"/>
        <v>79.96899999999998</v>
      </c>
      <c r="W12" s="11">
        <f t="shared" si="18"/>
        <v>106.24700000000001</v>
      </c>
      <c r="X12" s="11">
        <f t="shared" ref="X12:Z12" si="19">X9+X10+X11</f>
        <v>110.72599999999994</v>
      </c>
      <c r="Y12" s="11">
        <f t="shared" si="19"/>
        <v>140.75900000000001</v>
      </c>
      <c r="Z12" s="149">
        <f t="shared" si="19"/>
        <v>157.14999999999998</v>
      </c>
      <c r="AA12" s="14">
        <f t="shared" ref="AA12:AB12" si="20">AA9+AA10+AA11</f>
        <v>80.537999999999982</v>
      </c>
      <c r="AB12" s="11">
        <f t="shared" si="20"/>
        <v>0</v>
      </c>
    </row>
    <row r="13" spans="1:30" x14ac:dyDescent="0.25">
      <c r="A13" t="s">
        <v>187</v>
      </c>
      <c r="B13" s="10">
        <v>12.375</v>
      </c>
      <c r="C13" s="10">
        <v>-12.635999999999999</v>
      </c>
      <c r="D13" s="10">
        <v>31.885000000000002</v>
      </c>
      <c r="E13" s="10">
        <v>10.067</v>
      </c>
      <c r="F13" s="147">
        <v>19.716000000000001</v>
      </c>
      <c r="G13" s="160">
        <f t="shared" si="0"/>
        <v>21.255000000000003</v>
      </c>
      <c r="H13" s="39"/>
      <c r="I13" s="39"/>
      <c r="L13" s="10">
        <v>3.1019999999999999</v>
      </c>
      <c r="M13" s="10">
        <v>-5.6609999999999996</v>
      </c>
      <c r="N13" s="10">
        <v>1.4379999999999999</v>
      </c>
      <c r="O13" s="10">
        <f>D13-N13-M13-L13</f>
        <v>33.006000000000007</v>
      </c>
      <c r="P13" s="10">
        <v>2.0230000000000001</v>
      </c>
      <c r="Q13" s="10">
        <v>2.5880000000000001</v>
      </c>
      <c r="R13" s="10">
        <v>1.0960000000000001</v>
      </c>
      <c r="S13" s="10">
        <f>E13-R13-Q13-P13</f>
        <v>4.3599999999999994</v>
      </c>
      <c r="T13" s="10">
        <v>1.681</v>
      </c>
      <c r="U13" s="10">
        <v>2.1709999999999998</v>
      </c>
      <c r="V13" s="10">
        <v>6.53</v>
      </c>
      <c r="W13" s="10">
        <f t="shared" ref="W13:W14" si="21">F13-V13-U13-T13</f>
        <v>9.3339999999999996</v>
      </c>
      <c r="X13" s="10">
        <v>4.6550000000000002</v>
      </c>
      <c r="Y13" s="10">
        <v>5.1890000000000001</v>
      </c>
      <c r="Z13" s="147">
        <v>7.8090000000000002</v>
      </c>
      <c r="AA13" s="15">
        <v>3.6019999999999999</v>
      </c>
      <c r="AB13" s="10"/>
    </row>
    <row r="14" spans="1:30" x14ac:dyDescent="0.25">
      <c r="A14" t="s">
        <v>76</v>
      </c>
      <c r="B14" s="10">
        <v>0</v>
      </c>
      <c r="C14" s="10">
        <v>0</v>
      </c>
      <c r="D14" s="10">
        <v>0</v>
      </c>
      <c r="E14" s="10">
        <v>2.6110000000000002</v>
      </c>
      <c r="F14" s="147">
        <v>-7.55</v>
      </c>
      <c r="G14" s="160">
        <f t="shared" si="0"/>
        <v>5.7279999999999998</v>
      </c>
      <c r="H14" s="39"/>
      <c r="I14" s="39"/>
      <c r="L14" s="10">
        <v>0</v>
      </c>
      <c r="M14" s="10">
        <v>0</v>
      </c>
      <c r="N14" s="10">
        <v>0</v>
      </c>
      <c r="O14" s="10">
        <f>D14-N14-M14-L14</f>
        <v>0</v>
      </c>
      <c r="P14" s="10">
        <v>0</v>
      </c>
      <c r="Q14" s="10">
        <v>0</v>
      </c>
      <c r="R14" s="10">
        <v>0</v>
      </c>
      <c r="S14" s="10">
        <f>E14-R14-Q14-P14</f>
        <v>2.6110000000000002</v>
      </c>
      <c r="T14" s="10">
        <v>2.3490000000000002</v>
      </c>
      <c r="U14" s="10">
        <v>-0.255</v>
      </c>
      <c r="V14" s="10">
        <v>1.9339999999999999</v>
      </c>
      <c r="W14" s="10">
        <f t="shared" si="21"/>
        <v>-11.577999999999999</v>
      </c>
      <c r="X14" s="10">
        <v>0.54100000000000004</v>
      </c>
      <c r="Y14" s="10">
        <v>1.444</v>
      </c>
      <c r="Z14" s="147">
        <v>5.8159999999999998</v>
      </c>
      <c r="AA14" s="15">
        <v>-2.073</v>
      </c>
      <c r="AB14" s="10"/>
    </row>
    <row r="15" spans="1:30" s="1" customFormat="1" x14ac:dyDescent="0.25">
      <c r="A15" s="1" t="s">
        <v>20</v>
      </c>
      <c r="B15" s="11">
        <f>B12-B13+B14</f>
        <v>-579.64599999999996</v>
      </c>
      <c r="C15" s="11">
        <f>C12-C13+C14</f>
        <v>-1166.3910000000001</v>
      </c>
      <c r="D15" s="11">
        <f>D12-D13+D14</f>
        <v>-520.37900000000013</v>
      </c>
      <c r="E15" s="11">
        <f>E12-E13+E14</f>
        <v>-368.48299999999983</v>
      </c>
      <c r="F15" s="149">
        <f>F12-F13+F14</f>
        <v>209.8250000000001</v>
      </c>
      <c r="G15" s="14">
        <f>G12-G13+G14</f>
        <v>473.64599999999973</v>
      </c>
      <c r="H15" s="51"/>
      <c r="I15" s="51"/>
      <c r="L15" s="11">
        <f>L12-L13-L14</f>
        <v>-123.47400000000002</v>
      </c>
      <c r="M15" s="11">
        <f>M12-M13-M14</f>
        <v>-138.57999999999998</v>
      </c>
      <c r="N15" s="11">
        <f>N12-N13-N14</f>
        <v>-102.13700000000004</v>
      </c>
      <c r="O15" s="11">
        <f t="shared" ref="O15:S15" si="22">O12+O13+O14</f>
        <v>-90.176000000000101</v>
      </c>
      <c r="P15" s="11">
        <f t="shared" si="22"/>
        <v>-97.332999999999998</v>
      </c>
      <c r="Q15" s="11">
        <f>Q12-Q13-Q14</f>
        <v>-179.32900000000001</v>
      </c>
      <c r="R15" s="11">
        <f>R12-R13-R14</f>
        <v>-123.87500000000001</v>
      </c>
      <c r="S15" s="11">
        <f t="shared" si="22"/>
        <v>44.820000000000057</v>
      </c>
      <c r="T15" s="11">
        <f t="shared" ref="T15:AB15" si="23">T12-T13-T14</f>
        <v>16.802000000000067</v>
      </c>
      <c r="U15" s="11">
        <f t="shared" si="23"/>
        <v>28.126999999999978</v>
      </c>
      <c r="V15" s="11">
        <f t="shared" si="23"/>
        <v>71.504999999999981</v>
      </c>
      <c r="W15" s="11">
        <f t="shared" si="23"/>
        <v>108.49100000000001</v>
      </c>
      <c r="X15" s="11">
        <f t="shared" si="23"/>
        <v>105.52999999999994</v>
      </c>
      <c r="Y15" s="11">
        <f t="shared" si="23"/>
        <v>134.12600000000003</v>
      </c>
      <c r="Z15" s="149">
        <f t="shared" si="23"/>
        <v>143.52499999999998</v>
      </c>
      <c r="AA15" s="14">
        <f t="shared" si="23"/>
        <v>79.008999999999972</v>
      </c>
      <c r="AB15" s="11">
        <f t="shared" si="23"/>
        <v>0</v>
      </c>
    </row>
    <row r="16" spans="1:30" x14ac:dyDescent="0.25">
      <c r="A16" t="s">
        <v>209</v>
      </c>
      <c r="B16" s="10">
        <v>576.95856000000003</v>
      </c>
      <c r="C16" s="10">
        <v>977.721</v>
      </c>
      <c r="D16" s="10">
        <v>1923.617</v>
      </c>
      <c r="E16" s="10">
        <v>2063.7930000000001</v>
      </c>
      <c r="F16" s="147">
        <v>2147.4459999999999</v>
      </c>
      <c r="G16" s="160">
        <f>AVERAGE(X16:AA16)</f>
        <v>2250.0129999999999</v>
      </c>
      <c r="H16" s="39"/>
      <c r="I16" s="39"/>
      <c r="L16" s="10">
        <v>1821.1579999999999</v>
      </c>
      <c r="M16" s="10">
        <v>1894.606</v>
      </c>
      <c r="N16" s="10">
        <v>1964.395</v>
      </c>
      <c r="O16" s="10">
        <f>D16</f>
        <v>1923.617</v>
      </c>
      <c r="P16" s="10">
        <v>2036.307</v>
      </c>
      <c r="Q16" s="10">
        <v>2054.799</v>
      </c>
      <c r="R16" s="10">
        <v>2073.2649999999999</v>
      </c>
      <c r="S16" s="10">
        <f>E16</f>
        <v>2063.7930000000001</v>
      </c>
      <c r="T16" s="10">
        <v>2107.7800000000002</v>
      </c>
      <c r="U16" s="10">
        <v>2131.2240000000002</v>
      </c>
      <c r="V16" s="10">
        <v>2162.5300000000002</v>
      </c>
      <c r="W16" s="10">
        <f>F16</f>
        <v>2147.4459999999999</v>
      </c>
      <c r="X16" s="10">
        <v>2213.5450000000001</v>
      </c>
      <c r="Y16" s="10">
        <v>2231.5920000000001</v>
      </c>
      <c r="Z16" s="147">
        <v>2250.0320000000002</v>
      </c>
      <c r="AA16" s="15">
        <v>2304.8829999999998</v>
      </c>
    </row>
    <row r="17" spans="1:31" s="1" customFormat="1" x14ac:dyDescent="0.25">
      <c r="A17" s="1" t="s">
        <v>21</v>
      </c>
      <c r="B17" s="2">
        <f>B15/B16</f>
        <v>-1.0046579428512161</v>
      </c>
      <c r="C17" s="2">
        <f>C15/C16</f>
        <v>-1.1929691599137178</v>
      </c>
      <c r="D17" s="2">
        <f>D15/D16</f>
        <v>-0.27052110685235164</v>
      </c>
      <c r="E17" s="2">
        <f>E15/E16</f>
        <v>-0.17854649182355004</v>
      </c>
      <c r="F17" s="156">
        <f>F15/F16</f>
        <v>9.7709092568567552E-2</v>
      </c>
      <c r="G17" s="48">
        <f>G15/G16</f>
        <v>0.21050811706421241</v>
      </c>
      <c r="H17" s="49"/>
      <c r="I17" s="49"/>
      <c r="L17" s="2">
        <f t="shared" ref="L17" si="24">L15/L16</f>
        <v>-6.7799718640557283E-2</v>
      </c>
      <c r="M17" s="2">
        <f t="shared" ref="M17" si="25">M15/M16</f>
        <v>-7.3144495478215513E-2</v>
      </c>
      <c r="N17" s="2">
        <f t="shared" ref="N17" si="26">N15/N16</f>
        <v>-5.1994125417749511E-2</v>
      </c>
      <c r="O17" s="2">
        <f t="shared" ref="O17:U17" si="27">O15/O16</f>
        <v>-4.6878354682870917E-2</v>
      </c>
      <c r="P17" s="2">
        <f t="shared" si="27"/>
        <v>-4.7798784760844017E-2</v>
      </c>
      <c r="Q17" s="2">
        <f t="shared" si="27"/>
        <v>-8.7273256410967698E-2</v>
      </c>
      <c r="R17" s="2">
        <f t="shared" si="27"/>
        <v>-5.9748753777254728E-2</v>
      </c>
      <c r="S17" s="2">
        <f t="shared" si="27"/>
        <v>2.1717294321668915E-2</v>
      </c>
      <c r="T17" s="2">
        <f t="shared" si="27"/>
        <v>7.9714201671901557E-3</v>
      </c>
      <c r="U17" s="2">
        <f t="shared" si="27"/>
        <v>1.3197580357578544E-2</v>
      </c>
      <c r="V17" s="2">
        <f t="shared" ref="V17:AB17" si="28">V15/V16</f>
        <v>3.3065437242489108E-2</v>
      </c>
      <c r="W17" s="2">
        <f t="shared" si="28"/>
        <v>5.0520944414900314E-2</v>
      </c>
      <c r="X17" s="2">
        <f t="shared" si="28"/>
        <v>4.7674657619339089E-2</v>
      </c>
      <c r="Y17" s="2">
        <f t="shared" si="28"/>
        <v>6.0103280527981827E-2</v>
      </c>
      <c r="Z17" s="150">
        <f t="shared" si="28"/>
        <v>6.3787981682038281E-2</v>
      </c>
      <c r="AA17" s="34">
        <f t="shared" si="28"/>
        <v>3.427896340074528E-2</v>
      </c>
      <c r="AB17" s="2" t="e">
        <f t="shared" si="28"/>
        <v>#DIV/0!</v>
      </c>
    </row>
    <row r="18" spans="1:31" s="1" customFormat="1" x14ac:dyDescent="0.25">
      <c r="A18" s="9" t="s">
        <v>66</v>
      </c>
      <c r="B18" s="2"/>
      <c r="C18" s="2"/>
      <c r="D18" s="2"/>
      <c r="E18" s="2"/>
      <c r="F18" s="150"/>
      <c r="G18" s="161">
        <v>0.37</v>
      </c>
      <c r="H18" s="42">
        <v>0.56000000000000005</v>
      </c>
      <c r="I18" s="42">
        <v>0.7</v>
      </c>
      <c r="L18" s="44"/>
      <c r="M18" s="44"/>
      <c r="N18" s="44"/>
      <c r="O18" s="44"/>
      <c r="P18" s="44"/>
      <c r="Q18" s="44"/>
      <c r="R18" s="44"/>
      <c r="S18" s="44"/>
      <c r="T18" s="44">
        <v>0.04</v>
      </c>
      <c r="U18" s="44">
        <v>0.05</v>
      </c>
      <c r="V18" s="44">
        <v>0.06</v>
      </c>
      <c r="W18" s="124">
        <v>0.08</v>
      </c>
      <c r="X18" s="44">
        <v>0.08</v>
      </c>
      <c r="Y18" s="44">
        <v>0.08</v>
      </c>
      <c r="Z18" s="151">
        <v>0.09</v>
      </c>
      <c r="AA18" s="120">
        <v>0.11</v>
      </c>
      <c r="AB18">
        <v>0.13</v>
      </c>
      <c r="AC18" s="1">
        <v>0.13</v>
      </c>
    </row>
    <row r="19" spans="1:31" s="1" customFormat="1" x14ac:dyDescent="0.25">
      <c r="A19" s="9"/>
      <c r="B19" s="2"/>
      <c r="C19" s="2"/>
      <c r="D19" s="2"/>
      <c r="E19" s="2"/>
      <c r="F19" s="150"/>
      <c r="G19" s="162"/>
      <c r="H19" s="163"/>
      <c r="I19" s="163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124"/>
      <c r="X19" s="44"/>
      <c r="Y19" s="44"/>
      <c r="Z19" s="151"/>
      <c r="AA19" s="120"/>
    </row>
    <row r="20" spans="1:31" s="1" customFormat="1" x14ac:dyDescent="0.25">
      <c r="A20" t="s">
        <v>29</v>
      </c>
      <c r="B20" s="3">
        <f>1-B5/B3</f>
        <v>0.67359589525355024</v>
      </c>
      <c r="C20" s="3">
        <f>1-C5/C3</f>
        <v>0.67735360899372454</v>
      </c>
      <c r="D20" s="3">
        <f>1-D5/D3</f>
        <v>0.77987779924495215</v>
      </c>
      <c r="E20" s="3">
        <f>1-E5/E3</f>
        <v>0.78563659345254744</v>
      </c>
      <c r="F20" s="38">
        <f>1-F5/F3</f>
        <v>0.80624598878567844</v>
      </c>
      <c r="G20" s="6">
        <f>1-G5/G3</f>
        <v>0.80248172487451608</v>
      </c>
      <c r="H20" s="117"/>
      <c r="I20" s="117"/>
      <c r="L20" s="3">
        <f t="shared" ref="L20:W20" si="29">1-L5/L3</f>
        <v>0.78281472537906538</v>
      </c>
      <c r="M20" s="3">
        <f t="shared" si="29"/>
        <v>0.75794506471587308</v>
      </c>
      <c r="N20" s="3">
        <f t="shared" si="29"/>
        <v>0.77864366842961552</v>
      </c>
      <c r="O20" s="3">
        <f t="shared" si="29"/>
        <v>0.79771384744043783</v>
      </c>
      <c r="P20" s="3">
        <f t="shared" si="29"/>
        <v>0.78850337286073702</v>
      </c>
      <c r="Q20" s="3">
        <f t="shared" si="29"/>
        <v>0.78388617576795416</v>
      </c>
      <c r="R20" s="3">
        <f t="shared" si="29"/>
        <v>0.77481585335230596</v>
      </c>
      <c r="S20" s="3">
        <f t="shared" si="29"/>
        <v>0.79491530089024509</v>
      </c>
      <c r="T20" s="3">
        <f t="shared" si="29"/>
        <v>0.79503452110299966</v>
      </c>
      <c r="U20" s="3">
        <f t="shared" si="29"/>
        <v>0.79955823647099189</v>
      </c>
      <c r="V20" s="3">
        <f t="shared" si="29"/>
        <v>0.80664649320354953</v>
      </c>
      <c r="W20" s="38">
        <f t="shared" si="29"/>
        <v>0.82142023506205308</v>
      </c>
      <c r="X20" s="38">
        <f t="shared" ref="X20:Z20" si="30">1-X5/X3</f>
        <v>0.81672862101907817</v>
      </c>
      <c r="Y20" s="38">
        <f t="shared" si="30"/>
        <v>0.81041799998230435</v>
      </c>
      <c r="Z20" s="38">
        <f t="shared" si="30"/>
        <v>0.79788316177727303</v>
      </c>
      <c r="AA20" s="6">
        <f t="shared" ref="AA20" si="31">1-AA5/AA3</f>
        <v>0.7890888305887841</v>
      </c>
    </row>
    <row r="21" spans="1:31" x14ac:dyDescent="0.25">
      <c r="A21" t="s">
        <v>30</v>
      </c>
      <c r="B21" s="4">
        <f>B15/B3</f>
        <v>-0.78061019049094005</v>
      </c>
      <c r="C21" s="4">
        <f>C15/C3</f>
        <v>-1.0674657468428341</v>
      </c>
      <c r="D21" s="4">
        <f>D15/D3</f>
        <v>-0.33749446296069313</v>
      </c>
      <c r="E21" s="4">
        <f>E15/E3</f>
        <v>-0.19334099737075586</v>
      </c>
      <c r="F21" s="152">
        <f>F15/F3</f>
        <v>9.4302862186810721E-2</v>
      </c>
      <c r="G21" s="158">
        <f>G15/G4</f>
        <v>0.16915928571428562</v>
      </c>
      <c r="H21" s="118">
        <f>H15/H4</f>
        <v>0</v>
      </c>
      <c r="I21" s="118"/>
      <c r="L21" s="4">
        <f t="shared" ref="L21:W21" si="32">L15/L3</f>
        <v>-0.3618455370801269</v>
      </c>
      <c r="M21" s="4">
        <f t="shared" si="32"/>
        <v>-0.36891508404278539</v>
      </c>
      <c r="N21" s="4">
        <f t="shared" si="32"/>
        <v>-0.2604565646468408</v>
      </c>
      <c r="O21" s="4">
        <f t="shared" si="32"/>
        <v>-0.20832264875816386</v>
      </c>
      <c r="P21" s="4">
        <f t="shared" si="32"/>
        <v>-0.21806087952020467</v>
      </c>
      <c r="Q21" s="4">
        <f t="shared" si="32"/>
        <v>-0.37912306293735865</v>
      </c>
      <c r="R21" s="4">
        <f t="shared" si="32"/>
        <v>-0.25921779526240901</v>
      </c>
      <c r="S21" s="4">
        <f t="shared" si="32"/>
        <v>8.8120104438642419E-2</v>
      </c>
      <c r="T21" s="4">
        <f t="shared" si="32"/>
        <v>3.1992475046935878E-2</v>
      </c>
      <c r="U21" s="4">
        <f t="shared" si="32"/>
        <v>5.2739740154542192E-2</v>
      </c>
      <c r="V21" s="4">
        <f t="shared" si="32"/>
        <v>0.12810865721057976</v>
      </c>
      <c r="W21" s="4">
        <f t="shared" si="32"/>
        <v>0.17833648393194709</v>
      </c>
      <c r="X21" s="4">
        <f t="shared" ref="X21:Z21" si="33">X15/X3</f>
        <v>0.16636241246780101</v>
      </c>
      <c r="Y21" s="4">
        <f>Y15/Y3</f>
        <v>0.19778686808211951</v>
      </c>
      <c r="Z21" s="152">
        <f t="shared" si="33"/>
        <v>0.19782472061263981</v>
      </c>
      <c r="AA21" s="7">
        <f t="shared" ref="AA21" si="34">AA15/AA3</f>
        <v>9.5476961858277545E-2</v>
      </c>
    </row>
    <row r="22" spans="1:31" x14ac:dyDescent="0.25">
      <c r="A22" t="s">
        <v>31</v>
      </c>
      <c r="B22" s="3"/>
      <c r="C22" s="3">
        <f>C3/B3-1</f>
        <v>0.47150446768252863</v>
      </c>
      <c r="D22" s="3">
        <f>D3/C3-1</f>
        <v>0.41111659206368234</v>
      </c>
      <c r="E22" s="38">
        <f>E3/D3-1</f>
        <v>0.23606238840798532</v>
      </c>
      <c r="F22" s="38">
        <f>F3/E3-1</f>
        <v>0.16745152216493153</v>
      </c>
      <c r="G22" s="157">
        <f>G4/F3-1</f>
        <v>0.25842017930689809</v>
      </c>
      <c r="H22" s="119">
        <f>H4/G4-1</f>
        <v>0.35000000000000009</v>
      </c>
      <c r="I22" s="119">
        <f>I4/H4-1</f>
        <v>0.2407407407407407</v>
      </c>
      <c r="L22" s="4"/>
      <c r="M22" s="4"/>
      <c r="N22" s="4"/>
      <c r="O22" s="4"/>
      <c r="P22" s="4">
        <f t="shared" ref="P22:X22" si="35">P3/L3-1</f>
        <v>0.30806719142875583</v>
      </c>
      <c r="Q22" s="4">
        <f t="shared" si="35"/>
        <v>0.25920424233711881</v>
      </c>
      <c r="R22" s="4">
        <f t="shared" si="35"/>
        <v>0.21862775598884077</v>
      </c>
      <c r="S22" s="4">
        <f t="shared" si="35"/>
        <v>0.17501218619113978</v>
      </c>
      <c r="T22" s="4">
        <f t="shared" si="35"/>
        <v>0.1766052733574246</v>
      </c>
      <c r="U22" s="4">
        <f t="shared" si="35"/>
        <v>0.12749624743662924</v>
      </c>
      <c r="V22" s="4">
        <f t="shared" si="35"/>
        <v>0.16798987193437687</v>
      </c>
      <c r="W22" s="4">
        <f t="shared" si="35"/>
        <v>0.19607018150932731</v>
      </c>
      <c r="X22" s="4">
        <f t="shared" si="35"/>
        <v>0.20783493847893864</v>
      </c>
      <c r="Y22" s="4">
        <f>Y3/U3-1</f>
        <v>0.2715401909183468</v>
      </c>
      <c r="Z22" s="153">
        <f>Z4/V3-1</f>
        <v>0.25636243436010164</v>
      </c>
      <c r="AA22" s="125">
        <f>AA4/W3-1</f>
        <v>0.26471603517711828</v>
      </c>
      <c r="AB22" s="153">
        <f>AB4/X3-1</f>
        <v>0.37838187212495566</v>
      </c>
      <c r="AC22" s="153">
        <f>AC4/Y3-1</f>
        <v>0.34007438057964934</v>
      </c>
    </row>
    <row r="23" spans="1:31" x14ac:dyDescent="0.25">
      <c r="A23" t="s">
        <v>196</v>
      </c>
      <c r="B23" s="4">
        <f t="shared" ref="B23:E23" si="36">B7/B3</f>
        <v>0.41150217828982366</v>
      </c>
      <c r="C23" s="4">
        <f t="shared" si="36"/>
        <v>0.51310867935786819</v>
      </c>
      <c r="D23" s="4">
        <f t="shared" si="36"/>
        <v>0.25130667642093563</v>
      </c>
      <c r="E23" s="4">
        <f t="shared" si="36"/>
        <v>0.18872158713784928</v>
      </c>
      <c r="F23" s="152">
        <f t="shared" ref="F23:G23" si="37">F7/F3</f>
        <v>0.18185250236852654</v>
      </c>
      <c r="G23" s="7">
        <f t="shared" si="37"/>
        <v>0.17723844331910552</v>
      </c>
      <c r="H23" s="119"/>
      <c r="I23" s="119"/>
      <c r="L23" s="4">
        <f t="shared" ref="L23:U23" si="38">L7/L3</f>
        <v>0.28857323713346267</v>
      </c>
      <c r="M23" s="4">
        <f t="shared" si="38"/>
        <v>0.29422695012804745</v>
      </c>
      <c r="N23" s="4">
        <f t="shared" si="38"/>
        <v>0.24051246219520281</v>
      </c>
      <c r="O23" s="4">
        <f t="shared" si="38"/>
        <v>0.19446157826768976</v>
      </c>
      <c r="P23" s="4">
        <f t="shared" si="38"/>
        <v>0.19849806320949373</v>
      </c>
      <c r="Q23" s="4">
        <f t="shared" si="38"/>
        <v>0.18640409293672439</v>
      </c>
      <c r="R23" s="4">
        <f t="shared" si="38"/>
        <v>0.21106344689043274</v>
      </c>
      <c r="S23" s="4">
        <f t="shared" si="38"/>
        <v>0.16130579760294439</v>
      </c>
      <c r="T23" s="4">
        <f t="shared" si="38"/>
        <v>0.17155826697589041</v>
      </c>
      <c r="U23" s="4">
        <f t="shared" si="38"/>
        <v>0.18663009054652299</v>
      </c>
      <c r="V23" s="4">
        <f>V7/V3</f>
        <v>0.18938689513203227</v>
      </c>
      <c r="W23" s="4">
        <f>W7/W3</f>
        <v>0.17963836607216246</v>
      </c>
      <c r="X23" s="4">
        <f>X7/X3</f>
        <v>0.17347218675217316</v>
      </c>
      <c r="Y23" s="4">
        <f t="shared" ref="Y23:Z23" si="39">Y7/Y3</f>
        <v>0.16041224890655831</v>
      </c>
      <c r="Z23" s="152">
        <f t="shared" si="39"/>
        <v>0.16202950727482235</v>
      </c>
      <c r="AA23" s="7">
        <f t="shared" ref="AA23" si="40">AA7/AA3</f>
        <v>0.20724841363159036</v>
      </c>
    </row>
    <row r="24" spans="1:31" x14ac:dyDescent="0.25">
      <c r="A24" t="s">
        <v>68</v>
      </c>
      <c r="B24" s="4">
        <f>B6/B3</f>
        <v>0.6061773201985039</v>
      </c>
      <c r="C24" s="4">
        <f>C6/C3</f>
        <v>0.62571418896595776</v>
      </c>
      <c r="D24" s="4">
        <f>D6/D3</f>
        <v>0.39854490174065704</v>
      </c>
      <c r="E24" s="4">
        <f>E6/E3</f>
        <v>0.36860364631184372</v>
      </c>
      <c r="F24" s="152">
        <f>F6/F3</f>
        <v>0.33482605936507304</v>
      </c>
      <c r="G24" s="7">
        <f>G6/G3</f>
        <v>0.30980730460613087</v>
      </c>
      <c r="H24" s="119"/>
      <c r="I24" s="119"/>
      <c r="L24" s="4">
        <f t="shared" ref="L24:W24" si="41">L6/L3</f>
        <v>0.39883774770392172</v>
      </c>
      <c r="M24" s="4">
        <f t="shared" si="41"/>
        <v>0.4322706193663115</v>
      </c>
      <c r="N24" s="4">
        <f t="shared" si="41"/>
        <v>0.39129048874653827</v>
      </c>
      <c r="O24" s="4">
        <f t="shared" si="41"/>
        <v>0.37561883904293919</v>
      </c>
      <c r="P24" s="4">
        <f t="shared" si="41"/>
        <v>0.35954404210082963</v>
      </c>
      <c r="Q24" s="4">
        <f t="shared" si="41"/>
        <v>0.35702205027377859</v>
      </c>
      <c r="R24" s="4">
        <f t="shared" si="41"/>
        <v>0.38276973298736083</v>
      </c>
      <c r="S24" s="4">
        <f t="shared" si="41"/>
        <v>0.37401498946176343</v>
      </c>
      <c r="T24" s="4">
        <f t="shared" si="41"/>
        <v>0.35624140780599628</v>
      </c>
      <c r="U24" s="4">
        <f t="shared" si="41"/>
        <v>0.34531620030863447</v>
      </c>
      <c r="V24" s="4">
        <f t="shared" si="41"/>
        <v>0.31599060482765662</v>
      </c>
      <c r="W24" s="4">
        <f t="shared" si="41"/>
        <v>0.32442344045368604</v>
      </c>
      <c r="X24" s="4">
        <f t="shared" ref="X24:Z24" si="42">X6/X3</f>
        <v>0.30453322991843468</v>
      </c>
      <c r="Y24" s="4">
        <f t="shared" si="42"/>
        <v>0.29022140166987642</v>
      </c>
      <c r="Z24" s="152">
        <f t="shared" si="42"/>
        <v>0.28872416321624883</v>
      </c>
      <c r="AA24" s="7">
        <f t="shared" ref="AA24" si="43">AA6/AA3</f>
        <v>0.34838475007824593</v>
      </c>
    </row>
    <row r="25" spans="1:31" x14ac:dyDescent="0.25">
      <c r="A25" t="s">
        <v>198</v>
      </c>
      <c r="B25" s="4"/>
      <c r="C25" s="4"/>
      <c r="D25" s="4"/>
      <c r="E25" s="4"/>
      <c r="F25" s="152"/>
      <c r="G25" s="157"/>
      <c r="H25" s="119"/>
      <c r="I25" s="119"/>
      <c r="L25" s="4">
        <f>L8/L3</f>
        <v>0.42952636607137623</v>
      </c>
      <c r="M25" s="4">
        <f t="shared" ref="M25:W25" si="44">M8/M3</f>
        <v>0.42050942120423174</v>
      </c>
      <c r="N25" s="4">
        <f t="shared" si="44"/>
        <v>0.3812967619203052</v>
      </c>
      <c r="O25" s="4">
        <f t="shared" si="44"/>
        <v>0.36380227644981039</v>
      </c>
      <c r="P25" s="4">
        <f t="shared" si="44"/>
        <v>0.31881879302889837</v>
      </c>
      <c r="Q25" s="4">
        <f t="shared" si="44"/>
        <v>0.32871398067694135</v>
      </c>
      <c r="R25" s="4">
        <f t="shared" si="44"/>
        <v>0.31112203900560809</v>
      </c>
      <c r="S25" s="4">
        <f t="shared" si="44"/>
        <v>0.29464201453332917</v>
      </c>
      <c r="T25" s="4">
        <f t="shared" si="44"/>
        <v>0.25939952702471125</v>
      </c>
      <c r="U25" s="4">
        <f t="shared" si="44"/>
        <v>0.24872261713014959</v>
      </c>
      <c r="V25" s="4">
        <f t="shared" si="44"/>
        <v>0.2296352831361673</v>
      </c>
      <c r="W25" s="4">
        <f t="shared" si="44"/>
        <v>0.20920687104462893</v>
      </c>
      <c r="X25" s="4">
        <f>X8/X3</f>
        <v>0.21121862477102116</v>
      </c>
      <c r="Y25" s="4">
        <f t="shared" ref="Y25:Z25" si="45">Y8/Y3</f>
        <v>0.20444779350393874</v>
      </c>
      <c r="Z25" s="152">
        <f t="shared" si="45"/>
        <v>0.19118530811174392</v>
      </c>
      <c r="AA25" s="7">
        <f t="shared" ref="AA25" si="46">AA8/AA3</f>
        <v>0.22011095817739532</v>
      </c>
    </row>
    <row r="26" spans="1:31" x14ac:dyDescent="0.25">
      <c r="A26" t="s">
        <v>35</v>
      </c>
      <c r="B26" s="3"/>
      <c r="C26" s="3">
        <f>-(C15/B15-1)</f>
        <v>-1.0122471301449507</v>
      </c>
      <c r="D26" s="3">
        <f>-(D15/C15-1)</f>
        <v>0.55385543955671801</v>
      </c>
      <c r="E26" s="38">
        <f>E15/D15-1</f>
        <v>-0.29189494579912001</v>
      </c>
      <c r="F26" s="38">
        <f>F15/E15-1</f>
        <v>-1.5694292545382016</v>
      </c>
      <c r="G26" s="159">
        <f>G18/F17-1</f>
        <v>2.7867509591326085</v>
      </c>
      <c r="H26" s="50">
        <f>H18/G18-1</f>
        <v>0.5135135135135136</v>
      </c>
      <c r="I26" s="50">
        <f>I18/H18-1</f>
        <v>0.24999999999999978</v>
      </c>
      <c r="L26" s="4"/>
      <c r="M26" s="4"/>
      <c r="N26" s="4"/>
      <c r="O26" s="4"/>
      <c r="P26" s="4">
        <f t="shared" ref="P26:X26" si="47">P15/L15-1</f>
        <v>-0.21171258726533537</v>
      </c>
      <c r="Q26" s="4">
        <f t="shared" si="47"/>
        <v>0.29404675999422736</v>
      </c>
      <c r="R26" s="4">
        <f t="shared" si="47"/>
        <v>0.21283178475968523</v>
      </c>
      <c r="S26" s="4">
        <f t="shared" si="47"/>
        <v>-1.4970280340667141</v>
      </c>
      <c r="T26" s="4">
        <f t="shared" si="47"/>
        <v>-1.172623878848901</v>
      </c>
      <c r="U26" s="4">
        <f t="shared" si="47"/>
        <v>-1.1568457973891562</v>
      </c>
      <c r="V26" s="4">
        <f t="shared" si="47"/>
        <v>-1.5772351160443994</v>
      </c>
      <c r="W26" s="4">
        <f t="shared" si="47"/>
        <v>1.4205934850513136</v>
      </c>
      <c r="X26" s="4">
        <f t="shared" si="47"/>
        <v>5.2807999047732128</v>
      </c>
      <c r="Y26" s="4">
        <f>Y18/U17-1</f>
        <v>5.0617172112205413</v>
      </c>
      <c r="Z26" s="152">
        <f>Z18/V17-1</f>
        <v>1.7218753933291389</v>
      </c>
      <c r="AA26" s="7">
        <f>AA18/W17-1</f>
        <v>1.1773148003060157</v>
      </c>
      <c r="AB26" s="152">
        <f>AB18/X17-1</f>
        <v>1.7268155974604391</v>
      </c>
      <c r="AC26" s="152">
        <f>AC18/Y17-1</f>
        <v>1.1629435008872253</v>
      </c>
    </row>
    <row r="27" spans="1:31" x14ac:dyDescent="0.25">
      <c r="A27" t="s">
        <v>197</v>
      </c>
      <c r="B27" s="3"/>
      <c r="C27" s="38">
        <f>(C15+C7)/C3</f>
        <v>-0.55435706748496583</v>
      </c>
      <c r="D27" s="38">
        <f>(D15+D7)/D3</f>
        <v>-8.6187786539757477E-2</v>
      </c>
      <c r="E27" s="38">
        <f>(E15+E7)/E3</f>
        <v>-4.6194102329065604E-3</v>
      </c>
      <c r="F27" s="38">
        <f>(F15+F7)/F3</f>
        <v>0.27615536455533723</v>
      </c>
      <c r="G27" s="6">
        <f>(G15+G7)/G3</f>
        <v>0.34253065862341286</v>
      </c>
      <c r="H27" s="50"/>
      <c r="I27" s="50"/>
      <c r="L27" s="38">
        <f t="shared" ref="L27:W27" si="48">(L15+L7)/L3</f>
        <v>-7.3272299946664218E-2</v>
      </c>
      <c r="M27" s="38">
        <f t="shared" si="48"/>
        <v>-7.4688133914737928E-2</v>
      </c>
      <c r="N27" s="38">
        <f t="shared" si="48"/>
        <v>-1.9944102451638013E-2</v>
      </c>
      <c r="O27" s="38">
        <f t="shared" si="48"/>
        <v>-1.3861070490474114E-2</v>
      </c>
      <c r="P27" s="38">
        <f t="shared" si="48"/>
        <v>-1.9562816310710929E-2</v>
      </c>
      <c r="Q27" s="38">
        <f t="shared" si="48"/>
        <v>-0.19271897000063423</v>
      </c>
      <c r="R27" s="38">
        <f t="shared" si="48"/>
        <v>-4.8154348371976262E-2</v>
      </c>
      <c r="S27" s="38">
        <f t="shared" si="48"/>
        <v>0.24942590204158679</v>
      </c>
      <c r="T27" s="38">
        <f t="shared" si="48"/>
        <v>0.2035507420228263</v>
      </c>
      <c r="U27" s="38">
        <f t="shared" si="48"/>
        <v>0.23936983070106518</v>
      </c>
      <c r="V27" s="38">
        <f t="shared" si="48"/>
        <v>0.31749555234261201</v>
      </c>
      <c r="W27" s="38">
        <f t="shared" si="48"/>
        <v>0.35797485000410956</v>
      </c>
      <c r="X27" s="38">
        <f>(X15+X7)/X3</f>
        <v>0.33983459921997411</v>
      </c>
      <c r="Y27" s="38">
        <f t="shared" ref="Y27:Z27" si="49">(Y15+Y7)/Y3</f>
        <v>0.35819911698867779</v>
      </c>
      <c r="Z27" s="38">
        <f t="shared" si="49"/>
        <v>0.35985422788746219</v>
      </c>
      <c r="AA27" s="6">
        <f t="shared" ref="AA27" si="50">(AA15+AA7)/AA3</f>
        <v>0.30272537548986789</v>
      </c>
    </row>
    <row r="28" spans="1:31" x14ac:dyDescent="0.25">
      <c r="B28" s="3"/>
      <c r="C28" s="38"/>
      <c r="D28" s="38"/>
      <c r="E28" s="38"/>
      <c r="F28" s="38"/>
      <c r="G28" s="159"/>
      <c r="H28" s="50"/>
      <c r="I28" s="50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4"/>
    </row>
    <row r="31" spans="1:31" s="1" customFormat="1" x14ac:dyDescent="0.25">
      <c r="A31" s="1" t="s">
        <v>39</v>
      </c>
      <c r="B31" s="11">
        <f>B32+B33-B48-B49</f>
        <v>567.64999999999986</v>
      </c>
      <c r="C31" s="11">
        <f>C32+C33-C48-C49</f>
        <v>1769.0980000000002</v>
      </c>
      <c r="D31" s="11">
        <f>D32+D33-D48-D49</f>
        <v>2527.7559999999999</v>
      </c>
      <c r="E31" s="11">
        <f>E32+E33-E48-E49</f>
        <v>2629.739</v>
      </c>
      <c r="F31" s="149">
        <f>F32+F33-F48-F49</f>
        <v>3672.7020000000002</v>
      </c>
      <c r="G31" s="14">
        <f>G32+G33-G48-G49</f>
        <v>5228.3240000000005</v>
      </c>
      <c r="L31" s="11">
        <f>L32+L33-L48-L49</f>
        <v>0</v>
      </c>
      <c r="M31" s="11">
        <f t="shared" ref="M31:AA31" si="51">M32+M33-M48-M49</f>
        <v>0</v>
      </c>
      <c r="N31" s="11">
        <f t="shared" si="51"/>
        <v>0</v>
      </c>
      <c r="O31" s="11">
        <f t="shared" si="51"/>
        <v>2527.7559999999999</v>
      </c>
      <c r="P31" s="11">
        <f t="shared" si="51"/>
        <v>2537.4930000000004</v>
      </c>
      <c r="Q31" s="11">
        <f t="shared" si="51"/>
        <v>2636.9320000000002</v>
      </c>
      <c r="R31" s="11">
        <f t="shared" si="51"/>
        <v>2769.578</v>
      </c>
      <c r="S31" s="11">
        <f t="shared" si="51"/>
        <v>2629.739</v>
      </c>
      <c r="T31" s="11">
        <f t="shared" si="51"/>
        <v>2912.319</v>
      </c>
      <c r="U31" s="11">
        <f t="shared" si="51"/>
        <v>3100.1529999999998</v>
      </c>
      <c r="V31" s="11">
        <f t="shared" si="51"/>
        <v>3281.34</v>
      </c>
      <c r="W31" s="11">
        <f t="shared" si="51"/>
        <v>3672.7020000000002</v>
      </c>
      <c r="X31" s="11">
        <f t="shared" si="51"/>
        <v>3866.2490000000003</v>
      </c>
      <c r="Y31" s="11">
        <f t="shared" si="51"/>
        <v>3996.9320000000002</v>
      </c>
      <c r="Z31" s="149">
        <f t="shared" si="51"/>
        <v>4560.9780000000001</v>
      </c>
      <c r="AA31" s="14">
        <f t="shared" si="51"/>
        <v>5228.3240000000005</v>
      </c>
      <c r="AB31" s="149"/>
      <c r="AC31" s="149"/>
      <c r="AD31" s="149"/>
      <c r="AE31" s="149"/>
    </row>
    <row r="32" spans="1:31" x14ac:dyDescent="0.25">
      <c r="A32" t="s">
        <v>23</v>
      </c>
      <c r="B32" s="10">
        <f>1079.154+52.099</f>
        <v>1131.2529999999999</v>
      </c>
      <c r="C32" s="10">
        <f>2011.323+37.285</f>
        <v>2048.6080000000002</v>
      </c>
      <c r="D32" s="10">
        <f>2290.674+36.628</f>
        <v>2327.3020000000001</v>
      </c>
      <c r="E32" s="10">
        <v>2598.54</v>
      </c>
      <c r="F32" s="147">
        <v>831.04700000000003</v>
      </c>
      <c r="G32" s="15">
        <f>AA32</f>
        <v>2098.5239999999999</v>
      </c>
      <c r="L32" s="10"/>
      <c r="M32" s="10"/>
      <c r="N32" s="10"/>
      <c r="O32" s="10">
        <f>D32</f>
        <v>2327.3020000000001</v>
      </c>
      <c r="P32" s="10">
        <f>2269.411+33.804</f>
        <v>2303.2150000000001</v>
      </c>
      <c r="Q32" s="10">
        <f>2358.393+28.125</f>
        <v>2386.518</v>
      </c>
      <c r="R32" s="10">
        <f>2411.29+20.557</f>
        <v>2431.8469999999998</v>
      </c>
      <c r="S32" s="10">
        <f>E32</f>
        <v>2598.54</v>
      </c>
      <c r="T32" s="10">
        <f>1264.738+11.946</f>
        <v>1276.684</v>
      </c>
      <c r="U32" s="10">
        <v>1055.923</v>
      </c>
      <c r="V32" s="10">
        <v>1040.31</v>
      </c>
      <c r="W32" s="10">
        <f>F32</f>
        <v>831.04700000000003</v>
      </c>
      <c r="X32" s="10">
        <v>520.38800000000003</v>
      </c>
      <c r="Y32" s="10">
        <v>512.65899999999999</v>
      </c>
      <c r="Z32" s="147">
        <v>768.71</v>
      </c>
      <c r="AA32" s="15">
        <v>2098.5239999999999</v>
      </c>
      <c r="AB32" s="147"/>
      <c r="AC32" s="147"/>
      <c r="AD32" s="147"/>
      <c r="AE32" s="147"/>
    </row>
    <row r="33" spans="1:31" x14ac:dyDescent="0.25">
      <c r="A33" t="s">
        <v>188</v>
      </c>
      <c r="B33" s="10">
        <v>0</v>
      </c>
      <c r="C33" s="10">
        <v>0</v>
      </c>
      <c r="D33" s="10">
        <v>234.15299999999999</v>
      </c>
      <c r="E33" s="10">
        <v>35.134999999999998</v>
      </c>
      <c r="F33" s="147">
        <v>2843.1320000000001</v>
      </c>
      <c r="G33" s="15">
        <f t="shared" ref="G33:G35" si="52">AA33</f>
        <v>3131.4630000000002</v>
      </c>
      <c r="L33" s="10"/>
      <c r="M33" s="10"/>
      <c r="N33" s="10"/>
      <c r="O33" s="10">
        <f t="shared" ref="O33:O35" si="53">D33</f>
        <v>234.15299999999999</v>
      </c>
      <c r="P33" s="10">
        <v>256.55399999999997</v>
      </c>
      <c r="Q33" s="10">
        <v>265.82600000000002</v>
      </c>
      <c r="R33" s="10">
        <v>343.26400000000001</v>
      </c>
      <c r="S33" s="10">
        <f t="shared" ref="S33:S35" si="54">E33</f>
        <v>35.134999999999998</v>
      </c>
      <c r="T33" s="10">
        <v>1639.797</v>
      </c>
      <c r="U33" s="10">
        <v>2047.329</v>
      </c>
      <c r="V33" s="10">
        <v>2243.2640000000001</v>
      </c>
      <c r="W33" s="10">
        <f t="shared" ref="W33:W35" si="55">F33</f>
        <v>2843.1320000000001</v>
      </c>
      <c r="X33" s="10">
        <v>3347.5120000000002</v>
      </c>
      <c r="Y33" s="10">
        <v>3485.8</v>
      </c>
      <c r="Z33" s="147">
        <v>3795.9490000000001</v>
      </c>
      <c r="AA33" s="15">
        <v>3131.4630000000002</v>
      </c>
      <c r="AB33" s="147"/>
      <c r="AC33" s="147"/>
      <c r="AD33" s="147"/>
      <c r="AE33" s="147"/>
    </row>
    <row r="34" spans="1:31" x14ac:dyDescent="0.25">
      <c r="A34" t="s">
        <v>24</v>
      </c>
      <c r="B34" s="10">
        <v>50.314999999999998</v>
      </c>
      <c r="C34" s="10">
        <v>156.93199999999999</v>
      </c>
      <c r="D34" s="10">
        <v>190.923</v>
      </c>
      <c r="E34" s="10">
        <v>258.346</v>
      </c>
      <c r="F34" s="147">
        <v>364.78399999999999</v>
      </c>
      <c r="G34" s="15">
        <f t="shared" si="52"/>
        <v>575.048</v>
      </c>
      <c r="L34" s="10"/>
      <c r="M34" s="10"/>
      <c r="N34" s="10"/>
      <c r="O34" s="10">
        <f t="shared" si="53"/>
        <v>190.923</v>
      </c>
      <c r="P34" s="10">
        <v>252.56299999999999</v>
      </c>
      <c r="Q34" s="10">
        <v>99.21</v>
      </c>
      <c r="R34" s="10">
        <v>57.341999999999999</v>
      </c>
      <c r="S34" s="10">
        <f t="shared" si="54"/>
        <v>258.346</v>
      </c>
      <c r="T34" s="10">
        <v>254.041</v>
      </c>
      <c r="U34" s="10">
        <v>375.75599999999997</v>
      </c>
      <c r="V34" s="10">
        <v>430.26900000000001</v>
      </c>
      <c r="W34" s="10">
        <f t="shared" si="55"/>
        <v>364.78399999999999</v>
      </c>
      <c r="X34" s="10">
        <v>486.98599999999999</v>
      </c>
      <c r="Y34" s="10">
        <v>659.33900000000006</v>
      </c>
      <c r="Z34" s="147">
        <v>668.11</v>
      </c>
      <c r="AA34" s="15">
        <v>575.048</v>
      </c>
      <c r="AB34" s="147"/>
      <c r="AC34" s="147"/>
      <c r="AD34" s="147"/>
      <c r="AE34" s="147"/>
    </row>
    <row r="35" spans="1:31" x14ac:dyDescent="0.25">
      <c r="A35" t="s">
        <v>78</v>
      </c>
      <c r="B35" s="10">
        <v>32.585000000000001</v>
      </c>
      <c r="C35" s="10">
        <v>51.889000000000003</v>
      </c>
      <c r="D35" s="10">
        <v>110.872</v>
      </c>
      <c r="E35" s="10">
        <v>149.55600000000001</v>
      </c>
      <c r="F35" s="147">
        <v>99.655000000000001</v>
      </c>
      <c r="G35" s="15">
        <f t="shared" si="52"/>
        <v>129.25399999999999</v>
      </c>
      <c r="L35" s="10"/>
      <c r="M35" s="10"/>
      <c r="N35" s="10"/>
      <c r="O35" s="10">
        <f t="shared" si="53"/>
        <v>110.872</v>
      </c>
      <c r="P35" s="10">
        <v>115.042</v>
      </c>
      <c r="Q35" s="10">
        <v>150.88499999999999</v>
      </c>
      <c r="R35" s="10">
        <v>114.157</v>
      </c>
      <c r="S35" s="10">
        <f t="shared" si="54"/>
        <v>149.55600000000001</v>
      </c>
      <c r="T35" s="10">
        <v>85.625</v>
      </c>
      <c r="U35" s="10">
        <v>97.906000000000006</v>
      </c>
      <c r="V35" s="10">
        <v>95.554000000000002</v>
      </c>
      <c r="W35" s="10">
        <f t="shared" si="55"/>
        <v>99.655000000000001</v>
      </c>
      <c r="X35" s="10">
        <v>81.177999999999997</v>
      </c>
      <c r="Y35" s="10">
        <v>115.712</v>
      </c>
      <c r="Z35" s="147">
        <v>119.193</v>
      </c>
      <c r="AA35" s="15">
        <v>129.25399999999999</v>
      </c>
      <c r="AB35" s="147"/>
      <c r="AC35" s="147"/>
      <c r="AD35" s="147"/>
      <c r="AE35" s="147"/>
    </row>
    <row r="36" spans="1:31" s="1" customFormat="1" x14ac:dyDescent="0.25">
      <c r="A36" s="1" t="s">
        <v>62</v>
      </c>
      <c r="B36" s="11">
        <f>SUM(B32:B35)</f>
        <v>1214.153</v>
      </c>
      <c r="C36" s="11">
        <f>SUM(C32:C35)</f>
        <v>2257.4290000000001</v>
      </c>
      <c r="D36" s="11">
        <f>SUM(D32:D35)</f>
        <v>2863.2499999999995</v>
      </c>
      <c r="E36" s="11">
        <f>SUM(E32:E35)</f>
        <v>3041.5770000000002</v>
      </c>
      <c r="F36" s="149">
        <f>SUM(F32:F35)</f>
        <v>4138.6180000000004</v>
      </c>
      <c r="G36" s="14">
        <f>SUM(G32:G35)</f>
        <v>5934.2889999999998</v>
      </c>
      <c r="L36" s="11">
        <f t="shared" ref="L36:W36" si="56">SUM(L32:L35)</f>
        <v>0</v>
      </c>
      <c r="M36" s="11">
        <f t="shared" si="56"/>
        <v>0</v>
      </c>
      <c r="N36" s="11">
        <f t="shared" si="56"/>
        <v>0</v>
      </c>
      <c r="O36" s="11">
        <f t="shared" si="56"/>
        <v>2863.2499999999995</v>
      </c>
      <c r="P36" s="11">
        <f t="shared" si="56"/>
        <v>2927.3740000000003</v>
      </c>
      <c r="Q36" s="11">
        <f t="shared" si="56"/>
        <v>2902.4390000000003</v>
      </c>
      <c r="R36" s="11">
        <f t="shared" si="56"/>
        <v>2946.61</v>
      </c>
      <c r="S36" s="11">
        <f t="shared" si="56"/>
        <v>3041.5770000000002</v>
      </c>
      <c r="T36" s="11">
        <f t="shared" si="56"/>
        <v>3256.1469999999999</v>
      </c>
      <c r="U36" s="11">
        <f t="shared" si="56"/>
        <v>3576.9139999999998</v>
      </c>
      <c r="V36" s="11">
        <f t="shared" si="56"/>
        <v>3809.3969999999999</v>
      </c>
      <c r="W36" s="11">
        <f t="shared" si="56"/>
        <v>4138.6180000000004</v>
      </c>
      <c r="X36" s="11">
        <f t="shared" ref="X36:Z36" si="57">SUM(X32:X35)</f>
        <v>4436.0640000000003</v>
      </c>
      <c r="Y36" s="11">
        <f t="shared" si="57"/>
        <v>4773.5100000000011</v>
      </c>
      <c r="Z36" s="149">
        <f t="shared" si="57"/>
        <v>5351.9619999999995</v>
      </c>
      <c r="AA36" s="14">
        <f t="shared" ref="AA36" si="58">SUM(AA32:AA35)</f>
        <v>5934.2889999999998</v>
      </c>
      <c r="AB36" s="149"/>
      <c r="AC36" s="149"/>
      <c r="AD36" s="149"/>
      <c r="AE36" s="149"/>
    </row>
    <row r="37" spans="1:31" x14ac:dyDescent="0.25">
      <c r="A37" t="s">
        <v>79</v>
      </c>
      <c r="B37" s="10">
        <f>31.589+270.709</f>
        <v>302.298</v>
      </c>
      <c r="C37" s="10">
        <v>29.541</v>
      </c>
      <c r="D37" s="10">
        <v>31.303999999999998</v>
      </c>
      <c r="E37" s="10">
        <v>69.17</v>
      </c>
      <c r="F37" s="147">
        <v>47.758000000000003</v>
      </c>
      <c r="G37" s="15">
        <f t="shared" ref="G37:G39" si="59">AA37</f>
        <v>39.637999999999998</v>
      </c>
      <c r="L37" s="10"/>
      <c r="M37" s="10"/>
      <c r="N37" s="10"/>
      <c r="O37" s="10">
        <f t="shared" ref="O37:O39" si="60">D37</f>
        <v>31.303999999999998</v>
      </c>
      <c r="P37" s="10">
        <v>41.866</v>
      </c>
      <c r="Q37" s="10">
        <v>47.643999999999998</v>
      </c>
      <c r="R37" s="10">
        <v>57.822000000000003</v>
      </c>
      <c r="S37" s="10">
        <f t="shared" ref="S37:S39" si="61">E37</f>
        <v>69.17</v>
      </c>
      <c r="T37" s="10">
        <v>63.115000000000002</v>
      </c>
      <c r="U37" s="10">
        <v>54.097000000000001</v>
      </c>
      <c r="V37" s="10">
        <v>50.133000000000003</v>
      </c>
      <c r="W37" s="10">
        <f t="shared" ref="W37:W39" si="62">F37</f>
        <v>47.758000000000003</v>
      </c>
      <c r="X37" s="10">
        <v>46.905999999999999</v>
      </c>
      <c r="Y37" s="10">
        <v>43.482999999999997</v>
      </c>
      <c r="Z37" s="147">
        <v>40.344999999999999</v>
      </c>
      <c r="AA37" s="15">
        <v>39.637999999999998</v>
      </c>
      <c r="AB37" s="147"/>
      <c r="AC37" s="147"/>
      <c r="AD37" s="147"/>
      <c r="AE37" s="147"/>
    </row>
    <row r="38" spans="1:31" x14ac:dyDescent="0.25">
      <c r="A38" t="s">
        <v>189</v>
      </c>
      <c r="B38" s="10"/>
      <c r="C38" s="10">
        <v>217.07499999999999</v>
      </c>
      <c r="D38" s="10">
        <v>216.898</v>
      </c>
      <c r="E38" s="10">
        <v>200.24</v>
      </c>
      <c r="F38" s="147">
        <v>182.863</v>
      </c>
      <c r="G38" s="15">
        <f t="shared" si="59"/>
        <v>200.74</v>
      </c>
      <c r="L38" s="10"/>
      <c r="M38" s="10"/>
      <c r="N38" s="10"/>
      <c r="O38" s="10">
        <f t="shared" si="60"/>
        <v>216.898</v>
      </c>
      <c r="P38" s="10">
        <v>224.88800000000001</v>
      </c>
      <c r="Q38" s="10">
        <v>211.41</v>
      </c>
      <c r="R38" s="10">
        <v>199.35900000000001</v>
      </c>
      <c r="S38" s="10">
        <f t="shared" si="61"/>
        <v>200.24</v>
      </c>
      <c r="T38" s="10">
        <v>210.01900000000001</v>
      </c>
      <c r="U38" s="10">
        <v>199.661</v>
      </c>
      <c r="V38" s="10">
        <v>190.191</v>
      </c>
      <c r="W38" s="10">
        <f t="shared" si="62"/>
        <v>182.863</v>
      </c>
      <c r="X38" s="10">
        <v>173.70699999999999</v>
      </c>
      <c r="Y38" s="10">
        <v>213.453</v>
      </c>
      <c r="Z38" s="147">
        <v>211.57</v>
      </c>
      <c r="AA38" s="15">
        <v>200.74</v>
      </c>
      <c r="AB38" s="147"/>
      <c r="AC38" s="147"/>
      <c r="AD38" s="147"/>
      <c r="AE38" s="147"/>
    </row>
    <row r="39" spans="1:31" x14ac:dyDescent="0.25">
      <c r="A39" t="s">
        <v>25</v>
      </c>
      <c r="B39" s="10">
        <v>77.573999999999998</v>
      </c>
      <c r="C39" s="10">
        <f>79.538+106.921</f>
        <v>186.459</v>
      </c>
      <c r="D39" s="10">
        <f>39.612+96.386</f>
        <v>135.99799999999999</v>
      </c>
      <c r="E39" s="10">
        <v>150.25200000000001</v>
      </c>
      <c r="F39" s="147">
        <v>153.18600000000001</v>
      </c>
      <c r="G39" s="15">
        <f t="shared" si="59"/>
        <v>166.21700000000001</v>
      </c>
      <c r="L39" s="10"/>
      <c r="M39" s="10"/>
      <c r="N39" s="10"/>
      <c r="O39" s="10">
        <f t="shared" si="60"/>
        <v>135.99799999999999</v>
      </c>
      <c r="P39" s="10">
        <f>29.222+95.829</f>
        <v>125.05099999999999</v>
      </c>
      <c r="Q39" s="10">
        <f>28.647+92.198</f>
        <v>120.845</v>
      </c>
      <c r="R39" s="10">
        <f>20.902+94.142</f>
        <v>115.044</v>
      </c>
      <c r="S39" s="10">
        <f t="shared" si="61"/>
        <v>150.25200000000001</v>
      </c>
      <c r="T39" s="10">
        <f>12.095+141.762</f>
        <v>153.857</v>
      </c>
      <c r="U39" s="10">
        <v>149.59200000000001</v>
      </c>
      <c r="V39" s="10">
        <v>143.696</v>
      </c>
      <c r="W39" s="10">
        <f t="shared" si="62"/>
        <v>153.18600000000001</v>
      </c>
      <c r="X39" s="10">
        <v>150.40199999999999</v>
      </c>
      <c r="Y39" s="10">
        <v>161.434</v>
      </c>
      <c r="Z39" s="147">
        <v>164.22</v>
      </c>
      <c r="AA39" s="15">
        <v>166.21700000000001</v>
      </c>
      <c r="AB39" s="147"/>
      <c r="AC39" s="147"/>
      <c r="AD39" s="147"/>
      <c r="AE39" s="147"/>
    </row>
    <row r="40" spans="1:31" x14ac:dyDescent="0.25">
      <c r="A40" s="1" t="s">
        <v>26</v>
      </c>
      <c r="B40" s="11">
        <f>SUM(B36:B39)</f>
        <v>1594.0250000000001</v>
      </c>
      <c r="C40" s="11">
        <f>SUM(C36:C39)</f>
        <v>2690.5039999999999</v>
      </c>
      <c r="D40" s="11">
        <f>SUM(D36:D39)</f>
        <v>3247.45</v>
      </c>
      <c r="E40" s="11">
        <f>SUM(E36:E39)</f>
        <v>3461.239</v>
      </c>
      <c r="F40" s="149">
        <f>SUM(F36:F39)</f>
        <v>4522.4250000000002</v>
      </c>
      <c r="G40" s="14">
        <f>SUM(G36:G39)</f>
        <v>6340.8839999999991</v>
      </c>
      <c r="L40" s="11">
        <f t="shared" ref="L40:W40" si="63">SUM(L36:L39)</f>
        <v>0</v>
      </c>
      <c r="M40" s="11">
        <f t="shared" si="63"/>
        <v>0</v>
      </c>
      <c r="N40" s="11">
        <f t="shared" si="63"/>
        <v>0</v>
      </c>
      <c r="O40" s="11">
        <f t="shared" si="63"/>
        <v>3247.45</v>
      </c>
      <c r="P40" s="11">
        <f t="shared" si="63"/>
        <v>3319.1790000000001</v>
      </c>
      <c r="Q40" s="11">
        <f t="shared" si="63"/>
        <v>3282.3379999999997</v>
      </c>
      <c r="R40" s="11">
        <f t="shared" si="63"/>
        <v>3318.835</v>
      </c>
      <c r="S40" s="11">
        <f t="shared" si="63"/>
        <v>3461.239</v>
      </c>
      <c r="T40" s="11">
        <f t="shared" si="63"/>
        <v>3683.1379999999999</v>
      </c>
      <c r="U40" s="11">
        <f t="shared" si="63"/>
        <v>3980.2640000000001</v>
      </c>
      <c r="V40" s="11">
        <f t="shared" si="63"/>
        <v>4193.4169999999995</v>
      </c>
      <c r="W40" s="11">
        <f t="shared" si="63"/>
        <v>4522.4250000000002</v>
      </c>
      <c r="X40" s="11">
        <f t="shared" ref="X40:Z40" si="64">SUM(X36:X39)</f>
        <v>4807.0790000000006</v>
      </c>
      <c r="Y40" s="11">
        <f t="shared" si="64"/>
        <v>5191.8800000000019</v>
      </c>
      <c r="Z40" s="149">
        <f t="shared" si="64"/>
        <v>5768.0969999999998</v>
      </c>
      <c r="AA40" s="14">
        <f t="shared" ref="AA40" si="65">SUM(AA36:AA39)</f>
        <v>6340.8839999999991</v>
      </c>
      <c r="AB40" s="149"/>
      <c r="AC40" s="149"/>
      <c r="AD40" s="149"/>
      <c r="AE40" s="149"/>
    </row>
    <row r="41" spans="1:31" x14ac:dyDescent="0.25">
      <c r="A41" t="s">
        <v>28</v>
      </c>
      <c r="B41" s="10">
        <v>51.734999999999999</v>
      </c>
      <c r="C41" s="10">
        <v>16.358000000000001</v>
      </c>
      <c r="D41" s="10">
        <v>74.906999999999996</v>
      </c>
      <c r="E41" s="10">
        <v>44.787999999999997</v>
      </c>
      <c r="F41" s="147">
        <v>12.122</v>
      </c>
      <c r="G41" s="15">
        <f t="shared" ref="G41:G45" si="66">AA41</f>
        <v>0.10299999999999999</v>
      </c>
      <c r="L41" s="10"/>
      <c r="M41" s="10"/>
      <c r="N41" s="10"/>
      <c r="O41" s="10">
        <f t="shared" ref="O41:O45" si="67">D41</f>
        <v>74.906999999999996</v>
      </c>
      <c r="P41" s="10">
        <v>27.454000000000001</v>
      </c>
      <c r="Q41" s="10">
        <v>56.798000000000002</v>
      </c>
      <c r="R41" s="10">
        <v>59.506999999999998</v>
      </c>
      <c r="S41" s="10">
        <f t="shared" ref="S41:S45" si="68">E41</f>
        <v>44.787999999999997</v>
      </c>
      <c r="T41" s="10">
        <v>4.53</v>
      </c>
      <c r="U41" s="10">
        <v>4.6130000000000004</v>
      </c>
      <c r="V41" s="10">
        <v>9.4749999999999996</v>
      </c>
      <c r="W41" s="10">
        <f t="shared" ref="W41:W45" si="69">F41</f>
        <v>12.122</v>
      </c>
      <c r="X41" s="10">
        <v>35.634</v>
      </c>
      <c r="Y41" s="10">
        <v>67.344999999999999</v>
      </c>
      <c r="Z41" s="147">
        <v>27.021000000000001</v>
      </c>
      <c r="AA41" s="15">
        <v>0.10299999999999999</v>
      </c>
      <c r="AB41" s="147"/>
      <c r="AC41" s="147"/>
      <c r="AD41" s="147"/>
      <c r="AE41" s="147"/>
    </row>
    <row r="42" spans="1:31" x14ac:dyDescent="0.25">
      <c r="A42" t="s">
        <v>190</v>
      </c>
      <c r="B42" s="10">
        <v>126.62</v>
      </c>
      <c r="C42" s="10">
        <v>158.54599999999999</v>
      </c>
      <c r="D42" s="10">
        <v>155.80600000000001</v>
      </c>
      <c r="E42" s="10">
        <v>172.715</v>
      </c>
      <c r="F42" s="147">
        <v>222.99100000000001</v>
      </c>
      <c r="G42" s="15">
        <f t="shared" si="66"/>
        <v>427.04599999999999</v>
      </c>
      <c r="L42" s="10"/>
      <c r="M42" s="10"/>
      <c r="N42" s="10"/>
      <c r="O42" s="10">
        <f t="shared" si="67"/>
        <v>155.80600000000001</v>
      </c>
      <c r="P42" s="10">
        <v>150.17599999999999</v>
      </c>
      <c r="Q42" s="10">
        <v>187.56800000000001</v>
      </c>
      <c r="R42" s="10">
        <v>164.697</v>
      </c>
      <c r="S42" s="10">
        <f t="shared" si="68"/>
        <v>172.715</v>
      </c>
      <c r="T42" s="10">
        <v>174.52500000000001</v>
      </c>
      <c r="U42" s="10">
        <v>184.61699999999999</v>
      </c>
      <c r="V42" s="10">
        <v>174.75299999999999</v>
      </c>
      <c r="W42" s="10">
        <f t="shared" si="69"/>
        <v>222.99100000000001</v>
      </c>
      <c r="X42" s="10">
        <v>206.03399999999999</v>
      </c>
      <c r="Y42" s="10">
        <v>195.489</v>
      </c>
      <c r="Z42" s="147">
        <v>265.24400000000003</v>
      </c>
      <c r="AA42" s="15">
        <v>427.04599999999999</v>
      </c>
      <c r="AB42" s="147"/>
      <c r="AC42" s="147"/>
      <c r="AD42" s="147"/>
      <c r="AE42" s="147"/>
    </row>
    <row r="43" spans="1:31" x14ac:dyDescent="0.25">
      <c r="A43" t="s">
        <v>191</v>
      </c>
      <c r="B43" s="10">
        <v>186.10499999999999</v>
      </c>
      <c r="C43" s="10">
        <v>189.52</v>
      </c>
      <c r="D43" s="10">
        <v>227.816</v>
      </c>
      <c r="E43" s="10">
        <v>183.35</v>
      </c>
      <c r="F43" s="147">
        <v>246.90100000000001</v>
      </c>
      <c r="G43" s="15">
        <f t="shared" si="66"/>
        <v>259.62400000000002</v>
      </c>
      <c r="L43" s="10"/>
      <c r="M43" s="10"/>
      <c r="N43" s="10"/>
      <c r="O43" s="10">
        <f t="shared" si="67"/>
        <v>227.816</v>
      </c>
      <c r="P43" s="10">
        <v>218.52099999999999</v>
      </c>
      <c r="Q43" s="10">
        <v>219.441</v>
      </c>
      <c r="R43" s="10">
        <v>189.77099999999999</v>
      </c>
      <c r="S43" s="10">
        <f t="shared" si="68"/>
        <v>183.35</v>
      </c>
      <c r="T43" s="10">
        <v>229.55099999999999</v>
      </c>
      <c r="U43" s="10">
        <v>260.33499999999998</v>
      </c>
      <c r="V43" s="10">
        <v>223.50700000000001</v>
      </c>
      <c r="W43" s="10">
        <f t="shared" si="69"/>
        <v>246.90100000000001</v>
      </c>
      <c r="X43" s="10">
        <v>237.19499999999999</v>
      </c>
      <c r="Y43" s="10">
        <v>278.44099999999997</v>
      </c>
      <c r="Z43" s="147">
        <v>236.608</v>
      </c>
      <c r="AA43" s="15">
        <v>259.62400000000002</v>
      </c>
      <c r="AB43" s="147"/>
      <c r="AC43" s="147"/>
      <c r="AD43" s="147"/>
      <c r="AE43" s="147"/>
    </row>
    <row r="44" spans="1:31" x14ac:dyDescent="0.25">
      <c r="A44" t="s">
        <v>192</v>
      </c>
      <c r="B44" s="10">
        <v>364.13799999999998</v>
      </c>
      <c r="C44" s="10">
        <v>210.32</v>
      </c>
      <c r="D44" s="10">
        <v>161.60499999999999</v>
      </c>
      <c r="E44" s="10">
        <v>141.989</v>
      </c>
      <c r="F44" s="147">
        <v>209.828</v>
      </c>
      <c r="G44" s="15">
        <f t="shared" si="66"/>
        <v>265.25200000000001</v>
      </c>
      <c r="L44" s="10"/>
      <c r="M44" s="10"/>
      <c r="N44" s="10"/>
      <c r="O44" s="10">
        <f t="shared" si="67"/>
        <v>161.60499999999999</v>
      </c>
      <c r="P44" s="10">
        <v>232.90799999999999</v>
      </c>
      <c r="Q44" s="10">
        <v>161.02600000000001</v>
      </c>
      <c r="R44" s="10">
        <v>234.142</v>
      </c>
      <c r="S44" s="10">
        <f t="shared" si="68"/>
        <v>141.989</v>
      </c>
      <c r="T44" s="10">
        <v>139.74100000000001</v>
      </c>
      <c r="U44" s="10">
        <v>183.964</v>
      </c>
      <c r="V44" s="10">
        <v>228.98599999999999</v>
      </c>
      <c r="W44" s="10">
        <f t="shared" si="69"/>
        <v>209.828</v>
      </c>
      <c r="X44" s="10">
        <v>217.63399999999999</v>
      </c>
      <c r="Y44" s="10">
        <v>221.51900000000001</v>
      </c>
      <c r="Z44" s="147">
        <v>366.94600000000003</v>
      </c>
      <c r="AA44" s="15">
        <v>265.25200000000001</v>
      </c>
      <c r="AB44" s="147"/>
      <c r="AC44" s="147"/>
      <c r="AD44" s="147"/>
      <c r="AE44" s="147"/>
    </row>
    <row r="45" spans="1:31" x14ac:dyDescent="0.25">
      <c r="A45" t="s">
        <v>64</v>
      </c>
      <c r="B45" s="10">
        <v>0</v>
      </c>
      <c r="C45" s="10">
        <v>29.079000000000001</v>
      </c>
      <c r="D45" s="10">
        <v>39.927</v>
      </c>
      <c r="E45" s="10">
        <v>45.098999999999997</v>
      </c>
      <c r="F45" s="147">
        <v>54.176000000000002</v>
      </c>
      <c r="G45" s="15">
        <f t="shared" si="66"/>
        <v>43.993000000000002</v>
      </c>
      <c r="L45" s="10"/>
      <c r="M45" s="10"/>
      <c r="N45" s="10"/>
      <c r="O45" s="10">
        <f t="shared" si="67"/>
        <v>39.927</v>
      </c>
      <c r="P45" s="10">
        <v>40.045000000000002</v>
      </c>
      <c r="Q45" s="10">
        <v>40.908999999999999</v>
      </c>
      <c r="R45" s="10">
        <v>40.232999999999997</v>
      </c>
      <c r="S45" s="10">
        <f t="shared" si="68"/>
        <v>45.098999999999997</v>
      </c>
      <c r="T45" s="10">
        <v>53.066000000000003</v>
      </c>
      <c r="U45" s="10">
        <v>51.854999999999997</v>
      </c>
      <c r="V45" s="10">
        <v>52.204000000000001</v>
      </c>
      <c r="W45" s="10">
        <f t="shared" si="69"/>
        <v>54.176000000000002</v>
      </c>
      <c r="X45" s="10">
        <v>54.055999999999997</v>
      </c>
      <c r="Y45" s="10">
        <v>44.125</v>
      </c>
      <c r="Z45" s="147">
        <v>47.637</v>
      </c>
      <c r="AA45" s="15">
        <v>43.993000000000002</v>
      </c>
      <c r="AB45" s="147"/>
      <c r="AC45" s="147"/>
      <c r="AD45" s="147"/>
      <c r="AE45" s="147"/>
    </row>
    <row r="46" spans="1:31" s="1" customFormat="1" x14ac:dyDescent="0.25">
      <c r="A46" s="1" t="s">
        <v>63</v>
      </c>
      <c r="B46" s="11">
        <f>SUM(B41:B45)</f>
        <v>728.59799999999996</v>
      </c>
      <c r="C46" s="11">
        <f>SUM(C41:C45)</f>
        <v>603.82299999999987</v>
      </c>
      <c r="D46" s="11">
        <f>SUM(D41:D45)</f>
        <v>660.06100000000004</v>
      </c>
      <c r="E46" s="11">
        <f>SUM(E41:E45)</f>
        <v>587.94100000000003</v>
      </c>
      <c r="F46" s="149">
        <f>SUM(F41:F45)</f>
        <v>746.01800000000003</v>
      </c>
      <c r="G46" s="14">
        <f>SUM(G41:G45)</f>
        <v>996.01800000000014</v>
      </c>
      <c r="L46" s="11">
        <f t="shared" ref="L46:W46" si="70">SUM(L41:L45)</f>
        <v>0</v>
      </c>
      <c r="M46" s="11">
        <f t="shared" si="70"/>
        <v>0</v>
      </c>
      <c r="N46" s="11">
        <f t="shared" si="70"/>
        <v>0</v>
      </c>
      <c r="O46" s="11">
        <f t="shared" si="70"/>
        <v>660.06100000000004</v>
      </c>
      <c r="P46" s="11">
        <f t="shared" si="70"/>
        <v>669.10399999999993</v>
      </c>
      <c r="Q46" s="11">
        <f t="shared" si="70"/>
        <v>665.74200000000008</v>
      </c>
      <c r="R46" s="11">
        <f t="shared" si="70"/>
        <v>688.34999999999991</v>
      </c>
      <c r="S46" s="11">
        <f t="shared" si="70"/>
        <v>587.94100000000003</v>
      </c>
      <c r="T46" s="11">
        <f t="shared" si="70"/>
        <v>601.41300000000001</v>
      </c>
      <c r="U46" s="11">
        <f t="shared" si="70"/>
        <v>685.38400000000001</v>
      </c>
      <c r="V46" s="11">
        <f t="shared" si="70"/>
        <v>688.92499999999995</v>
      </c>
      <c r="W46" s="11">
        <f t="shared" si="70"/>
        <v>746.01800000000003</v>
      </c>
      <c r="X46" s="11">
        <f t="shared" ref="X46:Z46" si="71">SUM(X41:X45)</f>
        <v>750.553</v>
      </c>
      <c r="Y46" s="11">
        <f t="shared" si="71"/>
        <v>806.91899999999998</v>
      </c>
      <c r="Z46" s="149">
        <f t="shared" si="71"/>
        <v>943.45600000000013</v>
      </c>
      <c r="AA46" s="14">
        <f t="shared" ref="AA46" si="72">SUM(AA41:AA45)</f>
        <v>996.01800000000014</v>
      </c>
      <c r="AB46" s="149"/>
      <c r="AC46" s="149"/>
      <c r="AD46" s="149"/>
      <c r="AE46" s="149"/>
    </row>
    <row r="47" spans="1:31" x14ac:dyDescent="0.25">
      <c r="A47" t="s">
        <v>191</v>
      </c>
      <c r="B47" s="10">
        <v>77.03</v>
      </c>
      <c r="C47" s="10">
        <v>50.524999999999999</v>
      </c>
      <c r="D47" s="10">
        <v>40.216999999999999</v>
      </c>
      <c r="E47" s="10">
        <v>9.9649999999999999</v>
      </c>
      <c r="F47" s="147">
        <v>28.047000000000001</v>
      </c>
      <c r="G47" s="15">
        <f t="shared" ref="G47:G51" si="73">AA47</f>
        <v>39.884999999999998</v>
      </c>
      <c r="L47" s="10"/>
      <c r="M47" s="10"/>
      <c r="N47" s="10"/>
      <c r="O47" s="10">
        <f t="shared" ref="O47:O51" si="74">D47</f>
        <v>40.216999999999999</v>
      </c>
      <c r="P47" s="10">
        <v>33.244</v>
      </c>
      <c r="Q47" s="10">
        <v>34.143000000000001</v>
      </c>
      <c r="R47" s="10">
        <v>31.382999999999999</v>
      </c>
      <c r="S47" s="10">
        <f t="shared" ref="S47:S51" si="75">E47</f>
        <v>9.9649999999999999</v>
      </c>
      <c r="T47" s="10">
        <v>54.4</v>
      </c>
      <c r="U47" s="10">
        <v>50.408000000000001</v>
      </c>
      <c r="V47" s="10">
        <v>34.880000000000003</v>
      </c>
      <c r="W47" s="10">
        <f t="shared" ref="W47:W51" si="76">F47</f>
        <v>28.047000000000001</v>
      </c>
      <c r="X47" s="10">
        <v>20.722000000000001</v>
      </c>
      <c r="Y47" s="10">
        <v>15.648999999999999</v>
      </c>
      <c r="Z47" s="147">
        <v>7.8250000000000002</v>
      </c>
      <c r="AA47" s="15">
        <v>39.884999999999998</v>
      </c>
      <c r="AB47" s="147"/>
      <c r="AC47" s="147"/>
      <c r="AD47" s="147"/>
      <c r="AE47" s="147"/>
    </row>
    <row r="48" spans="1:31" x14ac:dyDescent="0.25">
      <c r="A48" t="s">
        <v>192</v>
      </c>
      <c r="B48" s="10">
        <v>167.53800000000001</v>
      </c>
      <c r="C48" s="10">
        <v>81.513000000000005</v>
      </c>
      <c r="D48" s="10">
        <v>33.698999999999998</v>
      </c>
      <c r="E48" s="10">
        <v>3.9359999999999999</v>
      </c>
      <c r="F48" s="147">
        <v>1.4770000000000001</v>
      </c>
      <c r="G48" s="15">
        <f t="shared" si="73"/>
        <v>1.663</v>
      </c>
      <c r="L48" s="10"/>
      <c r="M48" s="10"/>
      <c r="N48" s="10"/>
      <c r="O48" s="10">
        <f t="shared" si="74"/>
        <v>33.698999999999998</v>
      </c>
      <c r="P48" s="10">
        <v>22.276</v>
      </c>
      <c r="Q48" s="10">
        <v>15.412000000000001</v>
      </c>
      <c r="R48" s="10">
        <v>5.5330000000000004</v>
      </c>
      <c r="S48" s="10">
        <f t="shared" si="75"/>
        <v>3.9359999999999999</v>
      </c>
      <c r="T48" s="10">
        <v>4.1619999999999999</v>
      </c>
      <c r="U48" s="10">
        <v>3.0990000000000002</v>
      </c>
      <c r="V48" s="10">
        <v>2.234</v>
      </c>
      <c r="W48" s="10">
        <f t="shared" si="76"/>
        <v>1.4770000000000001</v>
      </c>
      <c r="X48" s="10">
        <v>1.651</v>
      </c>
      <c r="Y48" s="10">
        <v>1.5269999999999999</v>
      </c>
      <c r="Z48" s="147">
        <v>3.681</v>
      </c>
      <c r="AA48" s="15">
        <v>1.663</v>
      </c>
      <c r="AB48" s="147"/>
      <c r="AC48" s="147"/>
      <c r="AD48" s="147"/>
      <c r="AE48" s="147"/>
    </row>
    <row r="49" spans="1:31" x14ac:dyDescent="0.25">
      <c r="A49" t="s">
        <v>194</v>
      </c>
      <c r="B49" s="10">
        <v>396.065</v>
      </c>
      <c r="C49" s="10">
        <v>197.99700000000001</v>
      </c>
      <c r="D49" s="10">
        <v>0</v>
      </c>
      <c r="E49" s="10">
        <v>0</v>
      </c>
      <c r="F49" s="147">
        <v>0</v>
      </c>
      <c r="G49" s="15">
        <f t="shared" si="73"/>
        <v>0</v>
      </c>
      <c r="L49" s="10"/>
      <c r="M49" s="10"/>
      <c r="N49" s="10"/>
      <c r="O49" s="10">
        <f t="shared" si="74"/>
        <v>0</v>
      </c>
      <c r="P49" s="10">
        <v>0</v>
      </c>
      <c r="Q49" s="10">
        <v>0</v>
      </c>
      <c r="R49" s="10">
        <v>0</v>
      </c>
      <c r="S49" s="10">
        <f t="shared" si="75"/>
        <v>0</v>
      </c>
      <c r="T49" s="10">
        <v>0</v>
      </c>
      <c r="U49" s="10">
        <v>0</v>
      </c>
      <c r="V49" s="10">
        <v>0</v>
      </c>
      <c r="W49" s="10">
        <f t="shared" si="76"/>
        <v>0</v>
      </c>
      <c r="X49" s="10"/>
      <c r="Y49" s="10"/>
      <c r="Z49" s="147"/>
      <c r="AA49" s="15"/>
      <c r="AB49" s="147"/>
      <c r="AC49" s="147"/>
      <c r="AD49" s="147"/>
      <c r="AE49" s="147"/>
    </row>
    <row r="50" spans="1:31" x14ac:dyDescent="0.25">
      <c r="A50" t="s">
        <v>193</v>
      </c>
      <c r="B50" s="10">
        <v>0</v>
      </c>
      <c r="C50" s="10">
        <v>229.8</v>
      </c>
      <c r="D50" s="10">
        <v>220.14599999999999</v>
      </c>
      <c r="E50" s="10">
        <v>204.30500000000001</v>
      </c>
      <c r="F50" s="147">
        <v>175.21600000000001</v>
      </c>
      <c r="G50" s="15">
        <f t="shared" si="73"/>
        <v>195.226</v>
      </c>
      <c r="L50" s="10"/>
      <c r="M50" s="10"/>
      <c r="N50" s="10"/>
      <c r="O50" s="10">
        <f t="shared" si="74"/>
        <v>220.14599999999999</v>
      </c>
      <c r="P50" s="10">
        <v>227.61699999999999</v>
      </c>
      <c r="Q50" s="10">
        <v>216.059</v>
      </c>
      <c r="R50" s="10">
        <v>204.90299999999999</v>
      </c>
      <c r="S50" s="10">
        <f t="shared" si="75"/>
        <v>204.30500000000001</v>
      </c>
      <c r="T50" s="10">
        <v>206.422</v>
      </c>
      <c r="U50" s="10">
        <v>194.13399999999999</v>
      </c>
      <c r="V50" s="10">
        <v>184.06700000000001</v>
      </c>
      <c r="W50" s="10">
        <f t="shared" si="76"/>
        <v>175.21600000000001</v>
      </c>
      <c r="X50" s="10">
        <v>163.01300000000001</v>
      </c>
      <c r="Y50" s="10">
        <v>214.334</v>
      </c>
      <c r="Z50" s="147">
        <v>207.27799999999999</v>
      </c>
      <c r="AA50" s="15">
        <v>195.226</v>
      </c>
      <c r="AB50" s="147"/>
      <c r="AC50" s="147"/>
      <c r="AD50" s="147"/>
      <c r="AE50" s="147"/>
    </row>
    <row r="51" spans="1:31" x14ac:dyDescent="0.25">
      <c r="A51" t="s">
        <v>25</v>
      </c>
      <c r="B51" s="10">
        <v>78.204999999999998</v>
      </c>
      <c r="C51" s="10">
        <v>4.3159999999999998</v>
      </c>
      <c r="D51" s="10">
        <v>2.2970000000000002</v>
      </c>
      <c r="E51" s="10">
        <v>12.654999999999999</v>
      </c>
      <c r="F51" s="147">
        <v>10.702</v>
      </c>
      <c r="G51" s="15">
        <f t="shared" si="73"/>
        <v>13.685</v>
      </c>
      <c r="L51" s="10"/>
      <c r="M51" s="10"/>
      <c r="N51" s="10"/>
      <c r="O51" s="10">
        <f t="shared" si="74"/>
        <v>2.2970000000000002</v>
      </c>
      <c r="P51" s="10">
        <v>2.1920000000000002</v>
      </c>
      <c r="Q51" s="10">
        <v>2.1579999999999999</v>
      </c>
      <c r="R51" s="10">
        <v>2.0510000000000002</v>
      </c>
      <c r="S51" s="10">
        <f t="shared" si="75"/>
        <v>12.654999999999999</v>
      </c>
      <c r="T51" s="10">
        <v>13.548</v>
      </c>
      <c r="U51" s="10">
        <v>12.101000000000001</v>
      </c>
      <c r="V51" s="10">
        <v>11.414</v>
      </c>
      <c r="W51" s="10">
        <f t="shared" si="76"/>
        <v>10.702</v>
      </c>
      <c r="X51" s="10">
        <v>9.968</v>
      </c>
      <c r="Y51" s="10">
        <v>15.645</v>
      </c>
      <c r="Z51" s="147">
        <v>14.494999999999999</v>
      </c>
      <c r="AA51" s="15">
        <v>13.685</v>
      </c>
      <c r="AB51" s="147"/>
      <c r="AC51" s="147"/>
      <c r="AD51" s="147"/>
      <c r="AE51" s="147"/>
    </row>
    <row r="52" spans="1:31" x14ac:dyDescent="0.25">
      <c r="A52" s="1" t="s">
        <v>27</v>
      </c>
      <c r="B52" s="11">
        <f>SUM(B46:B51)</f>
        <v>1447.4359999999999</v>
      </c>
      <c r="C52" s="11">
        <f>SUM(C46:C51)</f>
        <v>1167.9739999999999</v>
      </c>
      <c r="D52" s="11">
        <f>SUM(D46:D51)</f>
        <v>956.42</v>
      </c>
      <c r="E52" s="11">
        <f>SUM(E46:E51)</f>
        <v>818.80200000000013</v>
      </c>
      <c r="F52" s="149">
        <f>SUM(F46:F51)</f>
        <v>961.46</v>
      </c>
      <c r="G52" s="14">
        <f>SUM(G46:G51)</f>
        <v>1246.4770000000003</v>
      </c>
      <c r="L52" s="11">
        <f t="shared" ref="L52:W52" si="77">SUM(L46:L51)</f>
        <v>0</v>
      </c>
      <c r="M52" s="11">
        <f t="shared" si="77"/>
        <v>0</v>
      </c>
      <c r="N52" s="11">
        <f t="shared" si="77"/>
        <v>0</v>
      </c>
      <c r="O52" s="11">
        <f t="shared" si="77"/>
        <v>956.42</v>
      </c>
      <c r="P52" s="11">
        <f t="shared" si="77"/>
        <v>954.43299999999988</v>
      </c>
      <c r="Q52" s="11">
        <f t="shared" si="77"/>
        <v>933.51400000000012</v>
      </c>
      <c r="R52" s="11">
        <f t="shared" si="77"/>
        <v>932.22</v>
      </c>
      <c r="S52" s="11">
        <f t="shared" si="77"/>
        <v>818.80200000000013</v>
      </c>
      <c r="T52" s="11">
        <f t="shared" si="77"/>
        <v>879.94500000000005</v>
      </c>
      <c r="U52" s="11">
        <f t="shared" si="77"/>
        <v>945.12600000000009</v>
      </c>
      <c r="V52" s="11">
        <f t="shared" si="77"/>
        <v>921.52</v>
      </c>
      <c r="W52" s="11">
        <f t="shared" si="77"/>
        <v>961.46</v>
      </c>
      <c r="X52" s="11">
        <f t="shared" ref="X52:Z52" si="78">SUM(X46:X51)</f>
        <v>945.90699999999993</v>
      </c>
      <c r="Y52" s="11">
        <f t="shared" si="78"/>
        <v>1054.0740000000001</v>
      </c>
      <c r="Z52" s="149">
        <f t="shared" si="78"/>
        <v>1176.7350000000001</v>
      </c>
      <c r="AA52" s="14">
        <f t="shared" ref="AA52" si="79">SUM(AA46:AA51)</f>
        <v>1246.4770000000003</v>
      </c>
      <c r="AB52" s="149"/>
      <c r="AC52" s="149"/>
      <c r="AD52" s="149"/>
      <c r="AE52" s="149"/>
    </row>
    <row r="53" spans="1:31" x14ac:dyDescent="0.25">
      <c r="A53" t="s">
        <v>80</v>
      </c>
      <c r="B53" s="10">
        <f t="shared" ref="B53:E53" si="80">B40-B52</f>
        <v>146.58900000000017</v>
      </c>
      <c r="C53" s="10">
        <f t="shared" si="80"/>
        <v>1522.53</v>
      </c>
      <c r="D53" s="10">
        <f t="shared" si="80"/>
        <v>2291.0299999999997</v>
      </c>
      <c r="E53" s="10">
        <f t="shared" si="80"/>
        <v>2642.4369999999999</v>
      </c>
      <c r="F53" s="147">
        <f>F40-F52</f>
        <v>3560.9650000000001</v>
      </c>
      <c r="G53" s="15">
        <f>G40-G52</f>
        <v>5094.4069999999992</v>
      </c>
      <c r="O53" s="10">
        <f t="shared" ref="O53:W53" si="81">O40-O52</f>
        <v>2291.0299999999997</v>
      </c>
      <c r="P53" s="10">
        <f t="shared" si="81"/>
        <v>2364.7460000000001</v>
      </c>
      <c r="Q53" s="10">
        <f t="shared" si="81"/>
        <v>2348.8239999999996</v>
      </c>
      <c r="R53" s="10">
        <f t="shared" si="81"/>
        <v>2386.6149999999998</v>
      </c>
      <c r="S53" s="10">
        <f t="shared" si="81"/>
        <v>2642.4369999999999</v>
      </c>
      <c r="T53" s="10">
        <f t="shared" si="81"/>
        <v>2803.1929999999998</v>
      </c>
      <c r="U53" s="10">
        <f t="shared" si="81"/>
        <v>3035.1379999999999</v>
      </c>
      <c r="V53" s="10">
        <f t="shared" si="81"/>
        <v>3271.8969999999995</v>
      </c>
      <c r="W53" s="10">
        <f t="shared" si="81"/>
        <v>3560.9650000000001</v>
      </c>
      <c r="X53" s="10">
        <f t="shared" ref="X53:Z53" si="82">X40-X52</f>
        <v>3861.1720000000005</v>
      </c>
      <c r="Y53" s="10">
        <f t="shared" si="82"/>
        <v>4137.8060000000023</v>
      </c>
      <c r="Z53" s="147">
        <f t="shared" si="82"/>
        <v>4591.3619999999992</v>
      </c>
      <c r="AA53" s="15">
        <f t="shared" ref="AA53" si="83">AA40-AA52</f>
        <v>5094.4069999999992</v>
      </c>
      <c r="AB53" s="147"/>
      <c r="AC53" s="147"/>
      <c r="AD53" s="147"/>
      <c r="AE53" s="147"/>
    </row>
    <row r="54" spans="1:31" x14ac:dyDescent="0.25">
      <c r="S54" s="114"/>
      <c r="T54" s="114"/>
      <c r="U54" s="114"/>
      <c r="V54" s="114"/>
      <c r="W54" s="114"/>
      <c r="X54" s="114"/>
      <c r="AB54" s="146"/>
      <c r="AC54" s="146"/>
      <c r="AD54" s="146"/>
      <c r="AE54" s="146"/>
    </row>
    <row r="55" spans="1:31" s="1" customFormat="1" x14ac:dyDescent="0.25">
      <c r="A55" s="1" t="s">
        <v>195</v>
      </c>
      <c r="B55" s="46"/>
      <c r="C55" s="46"/>
      <c r="D55" s="46"/>
      <c r="E55" s="114">
        <f>E10/E32</f>
        <v>6.2538964187582261E-3</v>
      </c>
      <c r="F55" s="114">
        <f>F10/F33</f>
        <v>4.5408373582373242E-2</v>
      </c>
      <c r="G55" s="16"/>
      <c r="Q55" s="114">
        <f t="shared" ref="Q55:AA55" si="84">Q10/Q32</f>
        <v>3.360544525538881E-4</v>
      </c>
      <c r="R55" s="114">
        <f t="shared" si="84"/>
        <v>1.8331745377073477E-3</v>
      </c>
      <c r="S55" s="114">
        <f t="shared" si="84"/>
        <v>4.247769901560108E-3</v>
      </c>
      <c r="T55" s="114">
        <f t="shared" ref="T55:X55" si="85">T10/T33</f>
        <v>1.193928272828893E-2</v>
      </c>
      <c r="U55" s="114">
        <f t="shared" si="85"/>
        <v>1.4161378068693404E-2</v>
      </c>
      <c r="V55" s="114">
        <f t="shared" si="85"/>
        <v>1.6102429317280533E-2</v>
      </c>
      <c r="W55" s="114">
        <f t="shared" si="85"/>
        <v>1.5619746110979021E-2</v>
      </c>
      <c r="X55" s="114">
        <f t="shared" si="85"/>
        <v>1.2950513694947171E-2</v>
      </c>
      <c r="Y55" s="114">
        <f>Y10/Y33</f>
        <v>1.3366515577485799E-2</v>
      </c>
      <c r="Z55" s="114">
        <f>Z10/Z33</f>
        <v>1.3730426831340462E-2</v>
      </c>
      <c r="AA55" s="47">
        <f t="shared" si="84"/>
        <v>2.6078805865455912E-2</v>
      </c>
      <c r="AB55" s="114"/>
      <c r="AC55" s="114"/>
      <c r="AD55" s="114"/>
      <c r="AE55" s="114"/>
    </row>
    <row r="73" spans="6:27" s="9" customFormat="1" x14ac:dyDescent="0.25">
      <c r="F73" s="154"/>
      <c r="G73" s="40"/>
      <c r="Z73" s="154"/>
      <c r="AA73" s="40"/>
    </row>
    <row r="74" spans="6:27" s="1" customFormat="1" x14ac:dyDescent="0.25">
      <c r="F74" s="155"/>
      <c r="G74" s="16"/>
      <c r="Z74" s="155"/>
      <c r="AA74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4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DE6C0-DA6D-48AB-AC4C-2E31F4D71E11}">
  <dimension ref="A1:T7"/>
  <sheetViews>
    <sheetView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S3" sqref="S3"/>
    </sheetView>
  </sheetViews>
  <sheetFormatPr defaultRowHeight="15" x14ac:dyDescent="0.25"/>
  <cols>
    <col min="1" max="1" width="35" bestFit="1" customWidth="1"/>
  </cols>
  <sheetData>
    <row r="1" spans="1:20" x14ac:dyDescent="0.25">
      <c r="B1" t="s">
        <v>202</v>
      </c>
      <c r="C1" t="s">
        <v>203</v>
      </c>
      <c r="D1" t="s">
        <v>204</v>
      </c>
      <c r="E1" t="s">
        <v>33</v>
      </c>
      <c r="F1" t="s">
        <v>10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36</v>
      </c>
      <c r="O1" t="s">
        <v>40</v>
      </c>
      <c r="P1" t="s">
        <v>41</v>
      </c>
      <c r="Q1" t="s">
        <v>65</v>
      </c>
      <c r="R1" t="s">
        <v>69</v>
      </c>
      <c r="S1" t="s">
        <v>199</v>
      </c>
      <c r="T1" t="s">
        <v>200</v>
      </c>
    </row>
    <row r="2" spans="1:20" x14ac:dyDescent="0.25">
      <c r="A2" t="s">
        <v>201</v>
      </c>
      <c r="B2">
        <v>14</v>
      </c>
      <c r="C2">
        <v>18</v>
      </c>
      <c r="D2">
        <v>17</v>
      </c>
      <c r="E2">
        <v>22</v>
      </c>
      <c r="F2">
        <v>34</v>
      </c>
      <c r="G2">
        <v>59</v>
      </c>
      <c r="H2">
        <v>80</v>
      </c>
      <c r="I2">
        <v>103</v>
      </c>
      <c r="J2">
        <v>119</v>
      </c>
      <c r="K2">
        <v>132</v>
      </c>
      <c r="L2">
        <v>143</v>
      </c>
      <c r="M2">
        <v>155</v>
      </c>
      <c r="N2">
        <v>161</v>
      </c>
      <c r="O2">
        <v>181</v>
      </c>
      <c r="P2">
        <v>221</v>
      </c>
      <c r="Q2">
        <v>262</v>
      </c>
      <c r="R2">
        <v>295</v>
      </c>
    </row>
    <row r="3" spans="1:20" x14ac:dyDescent="0.25">
      <c r="A3" t="s">
        <v>205</v>
      </c>
      <c r="F3" s="3">
        <f>F2/B2-1</f>
        <v>1.4285714285714284</v>
      </c>
      <c r="G3" s="3">
        <f t="shared" ref="G3:S3" si="0">G2/C2-1</f>
        <v>2.2777777777777777</v>
      </c>
      <c r="H3" s="3">
        <f t="shared" si="0"/>
        <v>3.7058823529411766</v>
      </c>
      <c r="I3" s="3">
        <f t="shared" si="0"/>
        <v>3.6818181818181817</v>
      </c>
      <c r="J3" s="3">
        <f t="shared" si="0"/>
        <v>2.5</v>
      </c>
      <c r="K3" s="3">
        <f t="shared" si="0"/>
        <v>1.2372881355932202</v>
      </c>
      <c r="L3" s="3">
        <f t="shared" si="0"/>
        <v>0.78750000000000009</v>
      </c>
      <c r="M3" s="3">
        <f t="shared" si="0"/>
        <v>0.50485436893203883</v>
      </c>
      <c r="N3" s="3">
        <f t="shared" si="0"/>
        <v>0.35294117647058831</v>
      </c>
      <c r="O3" s="3">
        <f t="shared" si="0"/>
        <v>0.3712121212121211</v>
      </c>
      <c r="P3" s="3">
        <f t="shared" si="0"/>
        <v>0.54545454545454541</v>
      </c>
      <c r="Q3" s="3">
        <f t="shared" si="0"/>
        <v>0.69032258064516139</v>
      </c>
      <c r="R3" s="3">
        <f t="shared" si="0"/>
        <v>0.83229813664596275</v>
      </c>
      <c r="S3" s="3">
        <f t="shared" si="0"/>
        <v>-1</v>
      </c>
    </row>
    <row r="5" spans="1:20" x14ac:dyDescent="0.25">
      <c r="A5" t="s">
        <v>206</v>
      </c>
      <c r="N5">
        <v>421</v>
      </c>
      <c r="O5">
        <v>453</v>
      </c>
      <c r="P5">
        <v>497</v>
      </c>
      <c r="Q5">
        <v>554</v>
      </c>
      <c r="R5">
        <v>593</v>
      </c>
    </row>
    <row r="7" spans="1:20" x14ac:dyDescent="0.25">
      <c r="A7" t="s">
        <v>207</v>
      </c>
      <c r="N7">
        <v>302</v>
      </c>
      <c r="O7">
        <v>330</v>
      </c>
      <c r="P7">
        <v>375</v>
      </c>
      <c r="Q7">
        <v>427</v>
      </c>
      <c r="R7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X23" sqref="X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H9" sqref="H9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51</v>
      </c>
      <c r="B1" s="17" t="s">
        <v>52</v>
      </c>
    </row>
    <row r="2" spans="1:12" x14ac:dyDescent="0.25">
      <c r="A2" s="12">
        <v>44102</v>
      </c>
      <c r="B2" s="18">
        <v>9.1999999999999993</v>
      </c>
      <c r="D2" t="s">
        <v>51</v>
      </c>
      <c r="E2" t="s">
        <v>53</v>
      </c>
      <c r="L2" t="s">
        <v>54</v>
      </c>
    </row>
    <row r="3" spans="1:12" x14ac:dyDescent="0.25">
      <c r="A3" s="12">
        <v>44109</v>
      </c>
      <c r="B3" s="18">
        <v>9.9499999999999993</v>
      </c>
      <c r="D3" s="12">
        <v>45328</v>
      </c>
      <c r="E3" t="s">
        <v>56</v>
      </c>
      <c r="L3" s="12"/>
    </row>
    <row r="4" spans="1:12" x14ac:dyDescent="0.25">
      <c r="A4" s="12">
        <v>44116</v>
      </c>
      <c r="B4" s="18">
        <v>9.7100000000000009</v>
      </c>
      <c r="D4" s="12">
        <v>45302</v>
      </c>
      <c r="E4" t="s">
        <v>56</v>
      </c>
      <c r="L4" s="12"/>
    </row>
    <row r="5" spans="1:12" x14ac:dyDescent="0.25">
      <c r="A5" s="12">
        <v>44123</v>
      </c>
      <c r="B5" s="18">
        <v>9.49</v>
      </c>
      <c r="L5" s="12"/>
    </row>
    <row r="6" spans="1:12" x14ac:dyDescent="0.25">
      <c r="A6" s="12">
        <v>44130</v>
      </c>
      <c r="B6" s="18">
        <v>10.130000000000001</v>
      </c>
      <c r="L6" s="12"/>
    </row>
    <row r="7" spans="1:12" x14ac:dyDescent="0.25">
      <c r="A7" s="12">
        <v>44137</v>
      </c>
      <c r="B7" s="18">
        <v>13.83</v>
      </c>
      <c r="L7" s="12"/>
    </row>
    <row r="8" spans="1:12" x14ac:dyDescent="0.25">
      <c r="A8" s="12">
        <v>44144</v>
      </c>
      <c r="B8" s="18">
        <v>15.8</v>
      </c>
      <c r="L8" s="12"/>
    </row>
    <row r="9" spans="1:12" x14ac:dyDescent="0.25">
      <c r="A9" s="12">
        <v>44151</v>
      </c>
      <c r="B9" s="18">
        <v>18.149999999999999</v>
      </c>
      <c r="L9" s="12"/>
    </row>
    <row r="10" spans="1:12" x14ac:dyDescent="0.25">
      <c r="A10" s="12">
        <v>44158</v>
      </c>
      <c r="B10" s="18">
        <v>27.66</v>
      </c>
      <c r="L10" s="12"/>
    </row>
    <row r="11" spans="1:12" x14ac:dyDescent="0.25">
      <c r="A11" s="12">
        <v>44165</v>
      </c>
      <c r="B11" s="18">
        <v>23.85</v>
      </c>
      <c r="L11" s="12"/>
    </row>
    <row r="12" spans="1:12" x14ac:dyDescent="0.25">
      <c r="A12" s="12">
        <v>44172</v>
      </c>
      <c r="B12" s="18">
        <v>27.200001</v>
      </c>
      <c r="L12" s="12"/>
    </row>
    <row r="13" spans="1:12" x14ac:dyDescent="0.25">
      <c r="A13" s="12">
        <v>44179</v>
      </c>
      <c r="B13" s="18">
        <v>25.969999000000001</v>
      </c>
    </row>
    <row r="14" spans="1:12" x14ac:dyDescent="0.25">
      <c r="A14" s="12">
        <v>44186</v>
      </c>
      <c r="B14" s="18">
        <v>27.75</v>
      </c>
    </row>
    <row r="15" spans="1:12" x14ac:dyDescent="0.25">
      <c r="A15" s="12">
        <v>44193</v>
      </c>
      <c r="B15" s="18">
        <v>23.549999</v>
      </c>
    </row>
    <row r="16" spans="1:12" x14ac:dyDescent="0.25">
      <c r="A16" s="12">
        <v>44200</v>
      </c>
      <c r="B16" s="18">
        <v>25.200001</v>
      </c>
    </row>
    <row r="17" spans="1:2" x14ac:dyDescent="0.25">
      <c r="A17" s="12">
        <v>44207</v>
      </c>
      <c r="B17" s="18">
        <v>25.639999</v>
      </c>
    </row>
    <row r="18" spans="1:2" x14ac:dyDescent="0.25">
      <c r="A18" s="12">
        <v>44214</v>
      </c>
      <c r="B18" s="18">
        <v>32.580002</v>
      </c>
    </row>
    <row r="19" spans="1:2" x14ac:dyDescent="0.25">
      <c r="A19" s="12">
        <v>44221</v>
      </c>
      <c r="B19" s="18">
        <v>35.18</v>
      </c>
    </row>
    <row r="20" spans="1:2" x14ac:dyDescent="0.25">
      <c r="A20" s="12">
        <v>44228</v>
      </c>
      <c r="B20" s="18">
        <v>34.049999</v>
      </c>
    </row>
    <row r="21" spans="1:2" x14ac:dyDescent="0.25">
      <c r="A21" s="12">
        <v>44235</v>
      </c>
      <c r="B21" s="18">
        <v>31.91</v>
      </c>
    </row>
    <row r="22" spans="1:2" x14ac:dyDescent="0.25">
      <c r="A22" s="12">
        <v>44242</v>
      </c>
      <c r="B22" s="18">
        <v>29</v>
      </c>
    </row>
    <row r="23" spans="1:2" x14ac:dyDescent="0.25">
      <c r="A23" s="12">
        <v>44249</v>
      </c>
      <c r="B23" s="18">
        <v>23.9</v>
      </c>
    </row>
    <row r="24" spans="1:2" x14ac:dyDescent="0.25">
      <c r="A24" s="12">
        <v>44256</v>
      </c>
      <c r="B24" s="18">
        <v>23.950001</v>
      </c>
    </row>
    <row r="25" spans="1:2" x14ac:dyDescent="0.25">
      <c r="A25" s="12">
        <v>44263</v>
      </c>
      <c r="B25" s="18">
        <v>26.92</v>
      </c>
    </row>
    <row r="26" spans="1:2" x14ac:dyDescent="0.25">
      <c r="A26" s="12">
        <v>44270</v>
      </c>
      <c r="B26" s="18">
        <v>24.32</v>
      </c>
    </row>
    <row r="27" spans="1:2" x14ac:dyDescent="0.25">
      <c r="A27" s="12">
        <v>44277</v>
      </c>
      <c r="B27" s="18">
        <v>22.58</v>
      </c>
    </row>
    <row r="28" spans="1:2" x14ac:dyDescent="0.25">
      <c r="A28" s="12">
        <v>44284</v>
      </c>
      <c r="B28" s="18">
        <v>23.07</v>
      </c>
    </row>
    <row r="29" spans="1:2" x14ac:dyDescent="0.25">
      <c r="A29" s="12">
        <v>44291</v>
      </c>
      <c r="B29" s="18">
        <v>24.040001</v>
      </c>
    </row>
    <row r="30" spans="1:2" x14ac:dyDescent="0.25">
      <c r="A30" s="12">
        <v>44298</v>
      </c>
      <c r="B30" s="18">
        <v>22.469999000000001</v>
      </c>
    </row>
    <row r="31" spans="1:2" x14ac:dyDescent="0.25">
      <c r="A31" s="12">
        <v>44305</v>
      </c>
      <c r="B31" s="18">
        <v>23.41</v>
      </c>
    </row>
    <row r="32" spans="1:2" x14ac:dyDescent="0.25">
      <c r="A32" s="12">
        <v>44312</v>
      </c>
      <c r="B32" s="18">
        <v>23.040001</v>
      </c>
    </row>
    <row r="33" spans="1:2" x14ac:dyDescent="0.25">
      <c r="A33" s="12">
        <v>44319</v>
      </c>
      <c r="B33" s="18">
        <v>19.75</v>
      </c>
    </row>
    <row r="34" spans="1:2" x14ac:dyDescent="0.25">
      <c r="A34" s="12">
        <v>44326</v>
      </c>
      <c r="B34" s="18">
        <v>20.079999999999998</v>
      </c>
    </row>
    <row r="35" spans="1:2" x14ac:dyDescent="0.25">
      <c r="A35" s="12">
        <v>44333</v>
      </c>
      <c r="B35" s="18">
        <v>20.75</v>
      </c>
    </row>
    <row r="36" spans="1:2" x14ac:dyDescent="0.25">
      <c r="A36" s="12">
        <v>44340</v>
      </c>
      <c r="B36" s="18">
        <v>22.950001</v>
      </c>
    </row>
    <row r="37" spans="1:2" x14ac:dyDescent="0.25">
      <c r="A37" s="12">
        <v>44347</v>
      </c>
      <c r="B37" s="18">
        <v>24.030000999999999</v>
      </c>
    </row>
    <row r="38" spans="1:2" x14ac:dyDescent="0.25">
      <c r="A38" s="12">
        <v>44354</v>
      </c>
      <c r="B38" s="18">
        <v>24.67</v>
      </c>
    </row>
    <row r="39" spans="1:2" x14ac:dyDescent="0.25">
      <c r="A39" s="12">
        <v>44361</v>
      </c>
      <c r="B39" s="18">
        <v>25.370000999999998</v>
      </c>
    </row>
    <row r="40" spans="1:2" x14ac:dyDescent="0.25">
      <c r="A40" s="12">
        <v>44368</v>
      </c>
      <c r="B40" s="18">
        <v>26.780000999999999</v>
      </c>
    </row>
    <row r="41" spans="1:2" x14ac:dyDescent="0.25">
      <c r="A41" s="12">
        <v>44375</v>
      </c>
      <c r="B41" s="18">
        <v>24.440000999999999</v>
      </c>
    </row>
    <row r="42" spans="1:2" x14ac:dyDescent="0.25">
      <c r="A42" s="12">
        <v>44382</v>
      </c>
      <c r="B42" s="18">
        <v>23.290001</v>
      </c>
    </row>
    <row r="43" spans="1:2" x14ac:dyDescent="0.25">
      <c r="A43" s="12">
        <v>44389</v>
      </c>
      <c r="B43" s="18">
        <v>21.370000999999998</v>
      </c>
    </row>
    <row r="44" spans="1:2" x14ac:dyDescent="0.25">
      <c r="A44" s="12">
        <v>44396</v>
      </c>
      <c r="B44" s="18">
        <v>21.809999000000001</v>
      </c>
    </row>
    <row r="45" spans="1:2" x14ac:dyDescent="0.25">
      <c r="A45" s="12">
        <v>44403</v>
      </c>
      <c r="B45" s="18">
        <v>21.709999</v>
      </c>
    </row>
    <row r="46" spans="1:2" x14ac:dyDescent="0.25">
      <c r="A46" s="12">
        <v>44410</v>
      </c>
      <c r="B46" s="18">
        <v>21.82</v>
      </c>
    </row>
    <row r="47" spans="1:2" x14ac:dyDescent="0.25">
      <c r="A47" s="12">
        <v>44417</v>
      </c>
      <c r="B47" s="18">
        <v>24.9</v>
      </c>
    </row>
    <row r="48" spans="1:2" x14ac:dyDescent="0.25">
      <c r="A48" s="12">
        <v>44424</v>
      </c>
      <c r="B48" s="18">
        <v>24.01</v>
      </c>
    </row>
    <row r="49" spans="1:2" x14ac:dyDescent="0.25">
      <c r="A49" s="12">
        <v>44431</v>
      </c>
      <c r="B49" s="18">
        <v>25.709999</v>
      </c>
    </row>
    <row r="50" spans="1:2" x14ac:dyDescent="0.25">
      <c r="A50" s="12">
        <v>44438</v>
      </c>
      <c r="B50" s="18">
        <v>26.639999</v>
      </c>
    </row>
    <row r="51" spans="1:2" x14ac:dyDescent="0.25">
      <c r="A51" s="12">
        <v>44445</v>
      </c>
      <c r="B51" s="18">
        <v>26.280000999999999</v>
      </c>
    </row>
    <row r="52" spans="1:2" x14ac:dyDescent="0.25">
      <c r="A52" s="12">
        <v>44452</v>
      </c>
      <c r="B52" s="18">
        <v>28.709999</v>
      </c>
    </row>
    <row r="53" spans="1:2" x14ac:dyDescent="0.25">
      <c r="A53" s="12">
        <v>44459</v>
      </c>
      <c r="B53" s="18">
        <v>28.559999000000001</v>
      </c>
    </row>
    <row r="54" spans="1:2" x14ac:dyDescent="0.25">
      <c r="A54" s="12">
        <v>44466</v>
      </c>
      <c r="B54" s="18">
        <v>24.33</v>
      </c>
    </row>
    <row r="55" spans="1:2" x14ac:dyDescent="0.25">
      <c r="A55" s="12">
        <v>44473</v>
      </c>
      <c r="B55" s="18">
        <v>23.5</v>
      </c>
    </row>
    <row r="56" spans="1:2" x14ac:dyDescent="0.25">
      <c r="A56" s="12">
        <v>44480</v>
      </c>
      <c r="B56" s="18">
        <v>24</v>
      </c>
    </row>
    <row r="57" spans="1:2" x14ac:dyDescent="0.25">
      <c r="A57" s="12">
        <v>44487</v>
      </c>
      <c r="B57" s="18">
        <v>24.43</v>
      </c>
    </row>
    <row r="58" spans="1:2" x14ac:dyDescent="0.25">
      <c r="A58" s="12">
        <v>44494</v>
      </c>
      <c r="B58" s="18">
        <v>25.879999000000002</v>
      </c>
    </row>
    <row r="59" spans="1:2" x14ac:dyDescent="0.25">
      <c r="A59" s="12">
        <v>44501</v>
      </c>
      <c r="B59" s="18">
        <v>26</v>
      </c>
    </row>
    <row r="60" spans="1:2" x14ac:dyDescent="0.25">
      <c r="A60" s="12">
        <v>44508</v>
      </c>
      <c r="B60" s="18">
        <v>22.83</v>
      </c>
    </row>
    <row r="61" spans="1:2" x14ac:dyDescent="0.25">
      <c r="A61" s="12">
        <v>44515</v>
      </c>
      <c r="B61" s="18">
        <v>21.41</v>
      </c>
    </row>
    <row r="62" spans="1:2" x14ac:dyDescent="0.25">
      <c r="A62" s="12">
        <v>44522</v>
      </c>
      <c r="B62" s="18">
        <v>21.030000999999999</v>
      </c>
    </row>
    <row r="63" spans="1:2" x14ac:dyDescent="0.25">
      <c r="A63" s="12">
        <v>44529</v>
      </c>
      <c r="B63" s="18">
        <v>18.98</v>
      </c>
    </row>
    <row r="64" spans="1:2" x14ac:dyDescent="0.25">
      <c r="A64" s="12">
        <v>44536</v>
      </c>
      <c r="B64" s="18">
        <v>18.940000999999999</v>
      </c>
    </row>
    <row r="65" spans="1:2" x14ac:dyDescent="0.25">
      <c r="A65" s="12">
        <v>44543</v>
      </c>
      <c r="B65" s="18">
        <v>19.059999000000001</v>
      </c>
    </row>
    <row r="66" spans="1:2" x14ac:dyDescent="0.25">
      <c r="A66" s="12">
        <v>44550</v>
      </c>
      <c r="B66" s="18">
        <v>18.93</v>
      </c>
    </row>
    <row r="67" spans="1:2" x14ac:dyDescent="0.25">
      <c r="A67" s="12">
        <v>44557</v>
      </c>
      <c r="B67" s="18">
        <v>18.209999</v>
      </c>
    </row>
    <row r="68" spans="1:2" x14ac:dyDescent="0.25">
      <c r="A68" s="12">
        <v>44564</v>
      </c>
      <c r="B68" s="18">
        <v>16.559999000000001</v>
      </c>
    </row>
    <row r="69" spans="1:2" x14ac:dyDescent="0.25">
      <c r="A69" s="12">
        <v>44571</v>
      </c>
      <c r="B69" s="18">
        <v>16.010000000000002</v>
      </c>
    </row>
    <row r="70" spans="1:2" x14ac:dyDescent="0.25">
      <c r="A70" s="12">
        <v>44578</v>
      </c>
      <c r="B70" s="18">
        <v>13.53</v>
      </c>
    </row>
    <row r="71" spans="1:2" x14ac:dyDescent="0.25">
      <c r="A71" s="12">
        <v>44585</v>
      </c>
      <c r="B71" s="18">
        <v>12.71</v>
      </c>
    </row>
    <row r="72" spans="1:2" x14ac:dyDescent="0.25">
      <c r="A72" s="12">
        <v>44592</v>
      </c>
      <c r="B72" s="18">
        <v>12.94</v>
      </c>
    </row>
    <row r="73" spans="1:2" x14ac:dyDescent="0.25">
      <c r="A73" s="12">
        <v>44599</v>
      </c>
      <c r="B73" s="18">
        <v>13.13</v>
      </c>
    </row>
    <row r="74" spans="1:2" x14ac:dyDescent="0.25">
      <c r="A74" s="12">
        <v>44606</v>
      </c>
      <c r="B74" s="18">
        <v>11.02</v>
      </c>
    </row>
    <row r="75" spans="1:2" x14ac:dyDescent="0.25">
      <c r="A75" s="12">
        <v>44613</v>
      </c>
      <c r="B75" s="18">
        <v>11.47</v>
      </c>
    </row>
    <row r="76" spans="1:2" x14ac:dyDescent="0.25">
      <c r="A76" s="12">
        <v>44620</v>
      </c>
      <c r="B76" s="18">
        <v>10.96</v>
      </c>
    </row>
    <row r="77" spans="1:2" x14ac:dyDescent="0.25">
      <c r="A77" s="12">
        <v>44627</v>
      </c>
      <c r="B77" s="18">
        <v>11.39</v>
      </c>
    </row>
    <row r="78" spans="1:2" x14ac:dyDescent="0.25">
      <c r="A78" s="12">
        <v>44634</v>
      </c>
      <c r="B78" s="18">
        <v>12.82</v>
      </c>
    </row>
    <row r="79" spans="1:2" x14ac:dyDescent="0.25">
      <c r="A79" s="12">
        <v>44641</v>
      </c>
      <c r="B79" s="18">
        <v>12.97</v>
      </c>
    </row>
    <row r="80" spans="1:2" x14ac:dyDescent="0.25">
      <c r="A80" s="12">
        <v>44648</v>
      </c>
      <c r="B80" s="18">
        <v>13.83</v>
      </c>
    </row>
    <row r="81" spans="1:2" x14ac:dyDescent="0.25">
      <c r="A81" s="12">
        <v>44655</v>
      </c>
      <c r="B81" s="18">
        <v>12.7</v>
      </c>
    </row>
    <row r="82" spans="1:2" x14ac:dyDescent="0.25">
      <c r="A82" s="12">
        <v>44662</v>
      </c>
      <c r="B82" s="18">
        <v>12.42</v>
      </c>
    </row>
    <row r="83" spans="1:2" x14ac:dyDescent="0.25">
      <c r="A83" s="12">
        <v>44669</v>
      </c>
      <c r="B83" s="18">
        <v>11.96</v>
      </c>
    </row>
    <row r="84" spans="1:2" x14ac:dyDescent="0.25">
      <c r="A84" s="12">
        <v>44676</v>
      </c>
      <c r="B84" s="18">
        <v>10.4</v>
      </c>
    </row>
    <row r="85" spans="1:2" x14ac:dyDescent="0.25">
      <c r="A85" s="12">
        <v>44683</v>
      </c>
      <c r="B85" s="18">
        <v>9.48</v>
      </c>
    </row>
    <row r="86" spans="1:2" x14ac:dyDescent="0.25">
      <c r="A86" s="12">
        <v>44690</v>
      </c>
      <c r="B86" s="18">
        <v>8.34</v>
      </c>
    </row>
    <row r="87" spans="1:2" x14ac:dyDescent="0.25">
      <c r="A87" s="12">
        <v>44697</v>
      </c>
      <c r="B87" s="18">
        <v>8.08</v>
      </c>
    </row>
    <row r="88" spans="1:2" x14ac:dyDescent="0.25">
      <c r="A88" s="12">
        <v>44704</v>
      </c>
      <c r="B88" s="18">
        <v>8.85</v>
      </c>
    </row>
    <row r="89" spans="1:2" x14ac:dyDescent="0.25">
      <c r="A89" s="12">
        <v>44711</v>
      </c>
      <c r="B89" s="18">
        <v>8.94</v>
      </c>
    </row>
    <row r="90" spans="1:2" x14ac:dyDescent="0.25">
      <c r="A90" s="12">
        <v>44718</v>
      </c>
      <c r="B90" s="18">
        <v>8.26</v>
      </c>
    </row>
    <row r="91" spans="1:2" x14ac:dyDescent="0.25">
      <c r="A91" s="12">
        <v>44725</v>
      </c>
      <c r="B91" s="18">
        <v>8.24</v>
      </c>
    </row>
    <row r="92" spans="1:2" x14ac:dyDescent="0.25">
      <c r="A92" s="12">
        <v>44732</v>
      </c>
      <c r="B92" s="18">
        <v>10.19</v>
      </c>
    </row>
    <row r="93" spans="1:2" x14ac:dyDescent="0.25">
      <c r="A93" s="12">
        <v>44739</v>
      </c>
      <c r="B93" s="18">
        <v>9.27</v>
      </c>
    </row>
    <row r="94" spans="1:2" x14ac:dyDescent="0.25">
      <c r="A94" s="12">
        <v>44746</v>
      </c>
      <c r="B94" s="18">
        <v>10.17</v>
      </c>
    </row>
    <row r="95" spans="1:2" x14ac:dyDescent="0.25">
      <c r="A95" s="12">
        <v>44753</v>
      </c>
      <c r="B95" s="18">
        <v>9.0399999999999991</v>
      </c>
    </row>
    <row r="96" spans="1:2" x14ac:dyDescent="0.25">
      <c r="A96" s="12">
        <v>44760</v>
      </c>
      <c r="B96" s="18">
        <v>9.84</v>
      </c>
    </row>
    <row r="97" spans="1:2" x14ac:dyDescent="0.25">
      <c r="A97" s="12">
        <v>44767</v>
      </c>
      <c r="B97" s="18">
        <v>10.35</v>
      </c>
    </row>
    <row r="98" spans="1:2" x14ac:dyDescent="0.25">
      <c r="A98" s="12">
        <v>44774</v>
      </c>
      <c r="B98" s="18">
        <v>11.45</v>
      </c>
    </row>
    <row r="99" spans="1:2" x14ac:dyDescent="0.25">
      <c r="A99" s="12">
        <v>44781</v>
      </c>
      <c r="B99" s="18">
        <v>9.91</v>
      </c>
    </row>
    <row r="100" spans="1:2" x14ac:dyDescent="0.25">
      <c r="A100" s="12">
        <v>44788</v>
      </c>
      <c r="B100" s="18">
        <v>8.51</v>
      </c>
    </row>
    <row r="101" spans="1:2" x14ac:dyDescent="0.25">
      <c r="A101" s="12">
        <v>44795</v>
      </c>
      <c r="B101" s="18">
        <v>7.94</v>
      </c>
    </row>
    <row r="102" spans="1:2" x14ac:dyDescent="0.25">
      <c r="A102" s="12">
        <v>44802</v>
      </c>
      <c r="B102" s="18">
        <v>7.4</v>
      </c>
    </row>
    <row r="103" spans="1:2" x14ac:dyDescent="0.25">
      <c r="A103" s="12">
        <v>44809</v>
      </c>
      <c r="B103" s="18">
        <v>7.79</v>
      </c>
    </row>
    <row r="104" spans="1:2" x14ac:dyDescent="0.25">
      <c r="A104" s="12">
        <v>44816</v>
      </c>
      <c r="B104" s="18">
        <v>7.78</v>
      </c>
    </row>
    <row r="105" spans="1:2" x14ac:dyDescent="0.25">
      <c r="A105" s="12">
        <v>44823</v>
      </c>
      <c r="B105" s="18">
        <v>7.4</v>
      </c>
    </row>
    <row r="106" spans="1:2" x14ac:dyDescent="0.25">
      <c r="A106" s="12">
        <v>44830</v>
      </c>
      <c r="B106" s="18">
        <v>8.1300000000000008</v>
      </c>
    </row>
    <row r="107" spans="1:2" x14ac:dyDescent="0.25">
      <c r="A107" s="12">
        <v>44837</v>
      </c>
      <c r="B107" s="18">
        <v>8.15</v>
      </c>
    </row>
    <row r="108" spans="1:2" x14ac:dyDescent="0.25">
      <c r="A108" s="12">
        <v>44844</v>
      </c>
      <c r="B108" s="18">
        <v>7.53</v>
      </c>
    </row>
    <row r="109" spans="1:2" x14ac:dyDescent="0.25">
      <c r="A109" s="12">
        <v>44851</v>
      </c>
      <c r="B109" s="18">
        <v>8.2899999999999991</v>
      </c>
    </row>
    <row r="110" spans="1:2" x14ac:dyDescent="0.25">
      <c r="A110" s="12">
        <v>44858</v>
      </c>
      <c r="B110" s="18">
        <v>8.64</v>
      </c>
    </row>
    <row r="111" spans="1:2" x14ac:dyDescent="0.25">
      <c r="A111" s="12">
        <v>44865</v>
      </c>
      <c r="B111" s="18">
        <v>7.93</v>
      </c>
    </row>
    <row r="112" spans="1:2" x14ac:dyDescent="0.25">
      <c r="A112" s="12">
        <v>44872</v>
      </c>
      <c r="B112" s="18">
        <v>8.41</v>
      </c>
    </row>
    <row r="113" spans="1:2" x14ac:dyDescent="0.25">
      <c r="A113" s="12">
        <v>44879</v>
      </c>
      <c r="B113" s="18">
        <v>7.39</v>
      </c>
    </row>
    <row r="114" spans="1:2" x14ac:dyDescent="0.25">
      <c r="A114" s="12">
        <v>44886</v>
      </c>
      <c r="B114" s="18">
        <v>7.28</v>
      </c>
    </row>
    <row r="115" spans="1:2" x14ac:dyDescent="0.25">
      <c r="A115" s="12">
        <v>44893</v>
      </c>
      <c r="B115" s="18">
        <v>7.66</v>
      </c>
    </row>
    <row r="116" spans="1:2" x14ac:dyDescent="0.25">
      <c r="A116" s="12">
        <v>44900</v>
      </c>
      <c r="B116" s="18">
        <v>7.11</v>
      </c>
    </row>
    <row r="117" spans="1:2" x14ac:dyDescent="0.25">
      <c r="A117" s="12">
        <v>44907</v>
      </c>
      <c r="B117" s="18">
        <v>6.9</v>
      </c>
    </row>
    <row r="118" spans="1:2" x14ac:dyDescent="0.25">
      <c r="A118" s="12">
        <v>44914</v>
      </c>
      <c r="B118" s="18">
        <v>6.29</v>
      </c>
    </row>
    <row r="119" spans="1:2" x14ac:dyDescent="0.25">
      <c r="A119" s="12">
        <v>44921</v>
      </c>
      <c r="B119" s="18">
        <v>6.42</v>
      </c>
    </row>
    <row r="120" spans="1:2" x14ac:dyDescent="0.25">
      <c r="A120" s="12">
        <v>44928</v>
      </c>
      <c r="B120" s="18">
        <v>6.4</v>
      </c>
    </row>
    <row r="121" spans="1:2" x14ac:dyDescent="0.25">
      <c r="A121" s="12">
        <v>44935</v>
      </c>
      <c r="B121" s="18">
        <v>6.96</v>
      </c>
    </row>
    <row r="122" spans="1:2" x14ac:dyDescent="0.25">
      <c r="A122" s="12">
        <v>44942</v>
      </c>
      <c r="B122" s="18">
        <v>7.02</v>
      </c>
    </row>
    <row r="123" spans="1:2" x14ac:dyDescent="0.25">
      <c r="A123" s="12">
        <v>44949</v>
      </c>
      <c r="B123" s="18">
        <v>7.55</v>
      </c>
    </row>
    <row r="124" spans="1:2" x14ac:dyDescent="0.25">
      <c r="A124" s="12">
        <v>44956</v>
      </c>
      <c r="B124" s="18">
        <v>8.41</v>
      </c>
    </row>
    <row r="125" spans="1:2" x14ac:dyDescent="0.25">
      <c r="A125" s="12">
        <v>44963</v>
      </c>
      <c r="B125" s="18">
        <v>7.51</v>
      </c>
    </row>
    <row r="126" spans="1:2" x14ac:dyDescent="0.25">
      <c r="A126" s="12">
        <v>44970</v>
      </c>
      <c r="B126" s="18">
        <v>9.1999999999999993</v>
      </c>
    </row>
    <row r="127" spans="1:2" x14ac:dyDescent="0.25">
      <c r="A127" s="12">
        <v>44977</v>
      </c>
      <c r="B127" s="18">
        <v>8.09</v>
      </c>
    </row>
    <row r="128" spans="1:2" x14ac:dyDescent="0.25">
      <c r="A128" s="12">
        <v>44984</v>
      </c>
      <c r="B128" s="18">
        <v>8.33</v>
      </c>
    </row>
    <row r="129" spans="1:2" x14ac:dyDescent="0.25">
      <c r="A129" s="12">
        <v>44991</v>
      </c>
      <c r="B129" s="18">
        <v>7.35</v>
      </c>
    </row>
    <row r="130" spans="1:2" x14ac:dyDescent="0.25">
      <c r="A130" s="12">
        <v>44998</v>
      </c>
      <c r="B130" s="18">
        <v>7.88</v>
      </c>
    </row>
    <row r="131" spans="1:2" x14ac:dyDescent="0.25">
      <c r="A131" s="12">
        <v>45005</v>
      </c>
      <c r="B131" s="18">
        <v>8.1999999999999993</v>
      </c>
    </row>
    <row r="132" spans="1:2" x14ac:dyDescent="0.25">
      <c r="A132" s="12">
        <v>45012</v>
      </c>
      <c r="B132" s="18">
        <v>8.4499999999999993</v>
      </c>
    </row>
    <row r="133" spans="1:2" x14ac:dyDescent="0.25">
      <c r="A133" s="12">
        <v>45019</v>
      </c>
      <c r="B133" s="18">
        <v>8.09</v>
      </c>
    </row>
    <row r="134" spans="1:2" x14ac:dyDescent="0.25">
      <c r="A134" s="12">
        <v>45026</v>
      </c>
      <c r="B134" s="18">
        <v>8.81</v>
      </c>
    </row>
    <row r="135" spans="1:2" x14ac:dyDescent="0.25">
      <c r="A135" s="12">
        <v>45033</v>
      </c>
      <c r="B135" s="18">
        <v>8.18</v>
      </c>
    </row>
    <row r="136" spans="1:2" x14ac:dyDescent="0.25">
      <c r="A136" s="12">
        <v>45040</v>
      </c>
      <c r="B136" s="18">
        <v>7.75</v>
      </c>
    </row>
    <row r="137" spans="1:2" x14ac:dyDescent="0.25">
      <c r="A137" s="12">
        <v>45047</v>
      </c>
      <c r="B137" s="18">
        <v>7.41</v>
      </c>
    </row>
    <row r="138" spans="1:2" x14ac:dyDescent="0.25">
      <c r="A138" s="12">
        <v>45054</v>
      </c>
      <c r="B138" s="18">
        <v>9.5</v>
      </c>
    </row>
    <row r="139" spans="1:2" x14ac:dyDescent="0.25">
      <c r="A139" s="12">
        <v>45061</v>
      </c>
      <c r="B139" s="18">
        <v>11.71</v>
      </c>
    </row>
    <row r="140" spans="1:2" x14ac:dyDescent="0.25">
      <c r="A140" s="12">
        <v>45068</v>
      </c>
      <c r="B140" s="18">
        <v>13.65</v>
      </c>
    </row>
    <row r="141" spans="1:2" x14ac:dyDescent="0.25">
      <c r="A141" s="12">
        <v>45075</v>
      </c>
      <c r="B141" s="18">
        <v>14.52</v>
      </c>
    </row>
    <row r="142" spans="1:2" x14ac:dyDescent="0.25">
      <c r="A142" s="12">
        <v>45082</v>
      </c>
      <c r="B142" s="18">
        <v>15.02</v>
      </c>
    </row>
    <row r="143" spans="1:2" x14ac:dyDescent="0.25">
      <c r="A143" s="12">
        <v>45089</v>
      </c>
      <c r="B143" s="18">
        <v>16.299999</v>
      </c>
    </row>
    <row r="144" spans="1:2" x14ac:dyDescent="0.25">
      <c r="A144" s="12">
        <v>45096</v>
      </c>
      <c r="B144" s="18">
        <v>14.03</v>
      </c>
    </row>
    <row r="145" spans="1:2" x14ac:dyDescent="0.25">
      <c r="A145" s="12">
        <v>45103</v>
      </c>
      <c r="B145" s="18">
        <v>15.33</v>
      </c>
    </row>
    <row r="146" spans="1:2" x14ac:dyDescent="0.25">
      <c r="A146" s="12">
        <v>45110</v>
      </c>
      <c r="B146" s="18">
        <v>15.34</v>
      </c>
    </row>
    <row r="147" spans="1:2" x14ac:dyDescent="0.25">
      <c r="A147" s="12">
        <v>45117</v>
      </c>
      <c r="B147" s="18">
        <v>16.399999999999999</v>
      </c>
    </row>
    <row r="148" spans="1:2" x14ac:dyDescent="0.25">
      <c r="A148" s="12">
        <v>45124</v>
      </c>
      <c r="B148" s="18">
        <v>16.43</v>
      </c>
    </row>
    <row r="149" spans="1:2" x14ac:dyDescent="0.25">
      <c r="A149" s="12">
        <v>45131</v>
      </c>
      <c r="B149" s="18">
        <v>17.809999000000001</v>
      </c>
    </row>
    <row r="150" spans="1:2" x14ac:dyDescent="0.25">
      <c r="A150" s="12">
        <v>45138</v>
      </c>
      <c r="B150" s="18">
        <v>18.200001</v>
      </c>
    </row>
    <row r="151" spans="1:2" x14ac:dyDescent="0.25">
      <c r="A151" s="12">
        <v>45145</v>
      </c>
      <c r="B151" s="18">
        <v>15.41</v>
      </c>
    </row>
    <row r="152" spans="1:2" x14ac:dyDescent="0.25">
      <c r="A152" s="12">
        <v>45152</v>
      </c>
      <c r="B152" s="18">
        <v>14.4</v>
      </c>
    </row>
    <row r="153" spans="1:2" x14ac:dyDescent="0.25">
      <c r="A153" s="12">
        <v>45159</v>
      </c>
      <c r="B153" s="18">
        <v>14.53</v>
      </c>
    </row>
    <row r="154" spans="1:2" x14ac:dyDescent="0.25">
      <c r="A154" s="12">
        <v>45166</v>
      </c>
      <c r="B154" s="18">
        <v>15.18</v>
      </c>
    </row>
    <row r="155" spans="1:2" x14ac:dyDescent="0.25">
      <c r="A155" s="12">
        <v>45173</v>
      </c>
      <c r="B155" s="18">
        <v>15.13</v>
      </c>
    </row>
    <row r="156" spans="1:2" x14ac:dyDescent="0.25">
      <c r="A156" s="12">
        <v>45180</v>
      </c>
      <c r="B156" s="18">
        <v>15.33</v>
      </c>
    </row>
    <row r="157" spans="1:2" x14ac:dyDescent="0.25">
      <c r="A157" s="12">
        <v>45187</v>
      </c>
      <c r="B157" s="18">
        <v>14.13</v>
      </c>
    </row>
    <row r="158" spans="1:2" x14ac:dyDescent="0.25">
      <c r="A158" s="12">
        <v>45194</v>
      </c>
      <c r="B158" s="18">
        <v>16</v>
      </c>
    </row>
    <row r="159" spans="1:2" x14ac:dyDescent="0.25">
      <c r="A159" s="12">
        <v>45201</v>
      </c>
      <c r="B159" s="18">
        <v>16.610001</v>
      </c>
    </row>
    <row r="160" spans="1:2" x14ac:dyDescent="0.25">
      <c r="A160" s="12">
        <v>45208</v>
      </c>
      <c r="B160" s="18">
        <v>17.360001</v>
      </c>
    </row>
    <row r="161" spans="1:2" x14ac:dyDescent="0.25">
      <c r="A161" s="12">
        <v>45215</v>
      </c>
      <c r="B161" s="18">
        <v>16.110001</v>
      </c>
    </row>
    <row r="162" spans="1:2" x14ac:dyDescent="0.25">
      <c r="A162" s="12">
        <v>45222</v>
      </c>
      <c r="B162" s="18">
        <v>15.07</v>
      </c>
    </row>
    <row r="163" spans="1:2" x14ac:dyDescent="0.25">
      <c r="A163" s="12">
        <v>45229</v>
      </c>
      <c r="B163" s="18">
        <v>18.889999</v>
      </c>
    </row>
    <row r="164" spans="1:2" x14ac:dyDescent="0.25">
      <c r="A164" s="12">
        <v>45236</v>
      </c>
      <c r="B164" s="18">
        <v>19.670000000000002</v>
      </c>
    </row>
    <row r="165" spans="1:2" x14ac:dyDescent="0.25">
      <c r="A165" s="12">
        <v>45243</v>
      </c>
      <c r="B165" s="18">
        <v>20.49</v>
      </c>
    </row>
    <row r="166" spans="1:2" x14ac:dyDescent="0.25">
      <c r="A166" s="12">
        <v>45250</v>
      </c>
      <c r="B166" s="18">
        <v>19.200001</v>
      </c>
    </row>
    <row r="167" spans="1:2" x14ac:dyDescent="0.25">
      <c r="A167" s="12">
        <v>45257</v>
      </c>
      <c r="B167" s="18">
        <v>20.27</v>
      </c>
    </row>
    <row r="168" spans="1:2" x14ac:dyDescent="0.25">
      <c r="A168" s="12">
        <v>45264</v>
      </c>
      <c r="B168" s="18">
        <v>17.77</v>
      </c>
    </row>
    <row r="169" spans="1:2" x14ac:dyDescent="0.25">
      <c r="A169" s="12">
        <v>45271</v>
      </c>
      <c r="B169" s="18">
        <v>18.200001</v>
      </c>
    </row>
    <row r="170" spans="1:2" x14ac:dyDescent="0.25">
      <c r="A170" s="12">
        <v>45278</v>
      </c>
      <c r="B170" s="18">
        <v>17.41</v>
      </c>
    </row>
    <row r="171" spans="1:2" x14ac:dyDescent="0.25">
      <c r="A171" s="12">
        <v>45285</v>
      </c>
      <c r="B171" s="18">
        <v>17.170000000000002</v>
      </c>
    </row>
    <row r="172" spans="1:2" x14ac:dyDescent="0.25">
      <c r="A172" s="12">
        <v>45292</v>
      </c>
      <c r="B172" s="18">
        <v>15.98</v>
      </c>
    </row>
    <row r="173" spans="1:2" x14ac:dyDescent="0.25">
      <c r="A173" s="12">
        <v>45299</v>
      </c>
      <c r="B173" s="18">
        <v>16.760000000000002</v>
      </c>
    </row>
    <row r="174" spans="1:2" x14ac:dyDescent="0.25">
      <c r="A174" s="12">
        <v>45306</v>
      </c>
      <c r="B174" s="18">
        <v>16.780000999999999</v>
      </c>
    </row>
    <row r="175" spans="1:2" x14ac:dyDescent="0.25">
      <c r="A175" s="12">
        <v>45313</v>
      </c>
      <c r="B175" s="18">
        <v>16.350000000000001</v>
      </c>
    </row>
    <row r="176" spans="1:2" x14ac:dyDescent="0.25">
      <c r="A176" s="12">
        <v>45320</v>
      </c>
      <c r="B176" s="18">
        <v>17.02</v>
      </c>
    </row>
    <row r="177" spans="1:2" x14ac:dyDescent="0.25">
      <c r="A177" s="12">
        <v>45327</v>
      </c>
      <c r="B177" s="18">
        <v>24.379999000000002</v>
      </c>
    </row>
    <row r="178" spans="1:2" x14ac:dyDescent="0.25">
      <c r="A178" s="12">
        <v>45334</v>
      </c>
      <c r="B178" s="18">
        <v>24.440000999999999</v>
      </c>
    </row>
    <row r="179" spans="1:2" x14ac:dyDescent="0.25">
      <c r="A179" s="12">
        <v>45341</v>
      </c>
      <c r="B179" s="18">
        <v>22.969999000000001</v>
      </c>
    </row>
    <row r="180" spans="1:2" x14ac:dyDescent="0.25">
      <c r="A180" s="12">
        <v>45348</v>
      </c>
      <c r="B180" s="18">
        <v>24.93</v>
      </c>
    </row>
    <row r="181" spans="1:2" x14ac:dyDescent="0.25">
      <c r="A181" s="12">
        <v>45355</v>
      </c>
      <c r="B181" s="18">
        <v>26.040001</v>
      </c>
    </row>
    <row r="182" spans="1:2" x14ac:dyDescent="0.25">
      <c r="A182" s="12">
        <v>45362</v>
      </c>
      <c r="B182" s="18">
        <v>23.49</v>
      </c>
    </row>
    <row r="183" spans="1:2" x14ac:dyDescent="0.25">
      <c r="A183" s="12">
        <v>45369</v>
      </c>
      <c r="B183" s="18">
        <v>24.18</v>
      </c>
    </row>
    <row r="184" spans="1:2" x14ac:dyDescent="0.25">
      <c r="A184" s="12">
        <v>45376</v>
      </c>
      <c r="B184" s="18">
        <v>24.51</v>
      </c>
    </row>
    <row r="185" spans="1:2" x14ac:dyDescent="0.25">
      <c r="A185" s="12"/>
      <c r="B185" s="18"/>
    </row>
    <row r="186" spans="1:2" x14ac:dyDescent="0.25">
      <c r="A186" s="12"/>
      <c r="B186" s="18"/>
    </row>
    <row r="187" spans="1:2" x14ac:dyDescent="0.25">
      <c r="A187" s="12"/>
      <c r="B187" s="18"/>
    </row>
    <row r="188" spans="1:2" x14ac:dyDescent="0.25">
      <c r="A188" s="12"/>
      <c r="B188" s="18"/>
    </row>
    <row r="189" spans="1:2" x14ac:dyDescent="0.25">
      <c r="A189" s="12"/>
      <c r="B189" s="18"/>
    </row>
    <row r="190" spans="1:2" x14ac:dyDescent="0.25">
      <c r="A190" s="12"/>
      <c r="B190" s="18"/>
    </row>
    <row r="191" spans="1:2" x14ac:dyDescent="0.25">
      <c r="A191" s="12"/>
      <c r="B191" s="18"/>
    </row>
    <row r="192" spans="1:2" x14ac:dyDescent="0.25">
      <c r="A192" s="12"/>
      <c r="B192" s="18"/>
    </row>
    <row r="193" spans="1:2" x14ac:dyDescent="0.25">
      <c r="A193" s="12"/>
      <c r="B193" s="18"/>
    </row>
    <row r="194" spans="1:2" x14ac:dyDescent="0.25">
      <c r="A194" s="12"/>
      <c r="B194" s="18"/>
    </row>
    <row r="195" spans="1:2" x14ac:dyDescent="0.25">
      <c r="A195" s="12"/>
      <c r="B195" s="18"/>
    </row>
    <row r="196" spans="1:2" x14ac:dyDescent="0.25">
      <c r="A196" s="12"/>
      <c r="B196" s="18"/>
    </row>
    <row r="197" spans="1:2" x14ac:dyDescent="0.25">
      <c r="A197" s="12"/>
      <c r="B197" s="18"/>
    </row>
    <row r="198" spans="1:2" x14ac:dyDescent="0.25">
      <c r="A198" s="12"/>
      <c r="B198" s="18"/>
    </row>
    <row r="199" spans="1:2" x14ac:dyDescent="0.25">
      <c r="A199" s="12"/>
      <c r="B199" s="18"/>
    </row>
    <row r="200" spans="1:2" x14ac:dyDescent="0.25">
      <c r="A200" s="12"/>
      <c r="B200" s="18"/>
    </row>
    <row r="201" spans="1:2" x14ac:dyDescent="0.25">
      <c r="A201" s="12"/>
      <c r="B201" s="18"/>
    </row>
    <row r="202" spans="1:2" x14ac:dyDescent="0.25">
      <c r="A202" s="12"/>
      <c r="B202" s="18"/>
    </row>
    <row r="203" spans="1:2" x14ac:dyDescent="0.25">
      <c r="A203" s="12"/>
      <c r="B203" s="18"/>
    </row>
    <row r="204" spans="1:2" x14ac:dyDescent="0.25">
      <c r="A204" s="12"/>
      <c r="B204" s="18"/>
    </row>
    <row r="205" spans="1:2" x14ac:dyDescent="0.25">
      <c r="A205" s="12"/>
      <c r="B205" s="18"/>
    </row>
    <row r="206" spans="1:2" x14ac:dyDescent="0.25">
      <c r="A206" s="12"/>
      <c r="B206" s="18"/>
    </row>
    <row r="207" spans="1:2" x14ac:dyDescent="0.25">
      <c r="A207" s="12"/>
      <c r="B207" s="18"/>
    </row>
    <row r="208" spans="1:2" x14ac:dyDescent="0.25">
      <c r="A208" s="12"/>
      <c r="B208" s="18"/>
    </row>
    <row r="209" spans="1:2" x14ac:dyDescent="0.25">
      <c r="A209" s="12"/>
      <c r="B209" s="18"/>
    </row>
    <row r="210" spans="1:2" x14ac:dyDescent="0.25">
      <c r="A210" s="12"/>
      <c r="B210" s="18"/>
    </row>
    <row r="211" spans="1:2" x14ac:dyDescent="0.25">
      <c r="A211" s="12"/>
      <c r="B211" s="18"/>
    </row>
    <row r="212" spans="1:2" x14ac:dyDescent="0.25">
      <c r="A212" s="12"/>
      <c r="B212" s="18"/>
    </row>
    <row r="213" spans="1:2" x14ac:dyDescent="0.25">
      <c r="A213" s="12"/>
      <c r="B213" s="18"/>
    </row>
    <row r="214" spans="1:2" x14ac:dyDescent="0.25">
      <c r="A214" s="12"/>
      <c r="B214" s="18"/>
    </row>
    <row r="215" spans="1:2" x14ac:dyDescent="0.25">
      <c r="A215" s="12"/>
      <c r="B215" s="18"/>
    </row>
    <row r="216" spans="1:2" x14ac:dyDescent="0.25">
      <c r="A216" s="12"/>
      <c r="B216" s="18"/>
    </row>
    <row r="217" spans="1:2" x14ac:dyDescent="0.25">
      <c r="A217" s="12"/>
      <c r="B217" s="18"/>
    </row>
    <row r="218" spans="1:2" x14ac:dyDescent="0.25">
      <c r="A218" s="12"/>
      <c r="B218" s="18"/>
    </row>
    <row r="219" spans="1:2" x14ac:dyDescent="0.25">
      <c r="A219" s="12"/>
      <c r="B219" s="18"/>
    </row>
    <row r="220" spans="1:2" x14ac:dyDescent="0.25">
      <c r="A220" s="12"/>
      <c r="B220" s="18"/>
    </row>
    <row r="221" spans="1:2" x14ac:dyDescent="0.25">
      <c r="A221" s="12"/>
      <c r="B221" s="18"/>
    </row>
    <row r="222" spans="1:2" x14ac:dyDescent="0.25">
      <c r="A222" s="12"/>
      <c r="B222" s="18"/>
    </row>
    <row r="223" spans="1:2" x14ac:dyDescent="0.25">
      <c r="A223" s="12"/>
      <c r="B223" s="18"/>
    </row>
    <row r="224" spans="1:2" x14ac:dyDescent="0.25">
      <c r="A224" s="12"/>
      <c r="B224" s="18"/>
    </row>
    <row r="225" spans="1:2" x14ac:dyDescent="0.25">
      <c r="A225" s="12"/>
      <c r="B225" s="18"/>
    </row>
    <row r="226" spans="1:2" x14ac:dyDescent="0.25">
      <c r="A226" s="12"/>
      <c r="B226" s="18"/>
    </row>
    <row r="227" spans="1:2" x14ac:dyDescent="0.25">
      <c r="A227" s="12"/>
      <c r="B227" s="18"/>
    </row>
    <row r="228" spans="1:2" x14ac:dyDescent="0.25">
      <c r="A228" s="12"/>
      <c r="B228" s="18"/>
    </row>
    <row r="229" spans="1:2" x14ac:dyDescent="0.25">
      <c r="A229" s="12"/>
      <c r="B229" s="18"/>
    </row>
    <row r="230" spans="1:2" x14ac:dyDescent="0.25">
      <c r="A230" s="12"/>
      <c r="B230" s="18"/>
    </row>
    <row r="231" spans="1:2" x14ac:dyDescent="0.25">
      <c r="A231" s="12"/>
      <c r="B231" s="18"/>
    </row>
    <row r="232" spans="1:2" x14ac:dyDescent="0.25">
      <c r="A232" s="12"/>
      <c r="B232" s="18"/>
    </row>
    <row r="233" spans="1:2" x14ac:dyDescent="0.25">
      <c r="A233" s="12"/>
      <c r="B233" s="18"/>
    </row>
    <row r="234" spans="1:2" x14ac:dyDescent="0.25">
      <c r="A234" s="12"/>
      <c r="B234" s="18"/>
    </row>
    <row r="235" spans="1:2" x14ac:dyDescent="0.25">
      <c r="A235" s="12"/>
      <c r="B235" s="18"/>
    </row>
    <row r="236" spans="1:2" x14ac:dyDescent="0.25">
      <c r="A236" s="12"/>
      <c r="B236" s="18"/>
    </row>
    <row r="237" spans="1:2" x14ac:dyDescent="0.25">
      <c r="A237" s="12"/>
      <c r="B237" s="18"/>
    </row>
    <row r="238" spans="1:2" x14ac:dyDescent="0.25">
      <c r="A238" s="12"/>
      <c r="B238" s="18"/>
    </row>
    <row r="239" spans="1:2" x14ac:dyDescent="0.25">
      <c r="A239" s="12"/>
      <c r="B239" s="18"/>
    </row>
    <row r="240" spans="1:2" x14ac:dyDescent="0.25">
      <c r="A240" s="12"/>
      <c r="B240" s="18"/>
    </row>
    <row r="241" spans="1:2" x14ac:dyDescent="0.25">
      <c r="A241" s="12"/>
      <c r="B241" s="18"/>
    </row>
    <row r="242" spans="1:2" x14ac:dyDescent="0.25">
      <c r="A242" s="12"/>
      <c r="B242" s="18"/>
    </row>
    <row r="243" spans="1:2" x14ac:dyDescent="0.25">
      <c r="A243" s="12"/>
      <c r="B243" s="18"/>
    </row>
    <row r="244" spans="1:2" x14ac:dyDescent="0.25">
      <c r="A244" s="12"/>
      <c r="B244" s="18"/>
    </row>
    <row r="245" spans="1:2" x14ac:dyDescent="0.25">
      <c r="A245" s="12"/>
      <c r="B245" s="18"/>
    </row>
    <row r="246" spans="1:2" x14ac:dyDescent="0.25">
      <c r="A246" s="12"/>
      <c r="B246" s="18"/>
    </row>
    <row r="247" spans="1:2" x14ac:dyDescent="0.25">
      <c r="A247" s="12"/>
      <c r="B247" s="18"/>
    </row>
    <row r="248" spans="1:2" x14ac:dyDescent="0.25">
      <c r="A248" s="12"/>
      <c r="B248" s="18"/>
    </row>
    <row r="249" spans="1:2" x14ac:dyDescent="0.25">
      <c r="A249" s="12"/>
      <c r="B249" s="18"/>
    </row>
    <row r="250" spans="1:2" x14ac:dyDescent="0.25">
      <c r="A250" s="12"/>
      <c r="B250" s="18"/>
    </row>
    <row r="251" spans="1:2" x14ac:dyDescent="0.25">
      <c r="A251" s="12"/>
      <c r="B251" s="18"/>
    </row>
    <row r="252" spans="1:2" x14ac:dyDescent="0.25">
      <c r="A252" s="12"/>
      <c r="B252" s="18"/>
    </row>
    <row r="253" spans="1:2" x14ac:dyDescent="0.25">
      <c r="A253" s="12"/>
      <c r="B253" s="18"/>
    </row>
    <row r="254" spans="1:2" x14ac:dyDescent="0.25">
      <c r="A254" s="12"/>
      <c r="B254" s="18"/>
    </row>
    <row r="255" spans="1:2" x14ac:dyDescent="0.25">
      <c r="A255" s="12"/>
      <c r="B255" s="18"/>
    </row>
    <row r="256" spans="1:2" x14ac:dyDescent="0.25">
      <c r="A256" s="12"/>
      <c r="B256" s="18"/>
    </row>
    <row r="257" spans="1:2" x14ac:dyDescent="0.25">
      <c r="A257" s="12"/>
      <c r="B257" s="18"/>
    </row>
    <row r="258" spans="1:2" x14ac:dyDescent="0.25">
      <c r="A258" s="12"/>
      <c r="B258" s="18"/>
    </row>
    <row r="259" spans="1:2" x14ac:dyDescent="0.25">
      <c r="A259" s="12"/>
      <c r="B259" s="18"/>
    </row>
    <row r="260" spans="1:2" x14ac:dyDescent="0.25">
      <c r="A260" s="12"/>
      <c r="B260" s="18"/>
    </row>
    <row r="261" spans="1:2" x14ac:dyDescent="0.25">
      <c r="A261" s="12"/>
      <c r="B261" s="18"/>
    </row>
    <row r="262" spans="1:2" x14ac:dyDescent="0.25">
      <c r="A262" s="12"/>
      <c r="B262" s="18"/>
    </row>
    <row r="263" spans="1:2" x14ac:dyDescent="0.25">
      <c r="A263" s="12"/>
      <c r="B263" s="18"/>
    </row>
    <row r="264" spans="1:2" x14ac:dyDescent="0.25">
      <c r="A264" s="12"/>
      <c r="B264" s="18"/>
    </row>
    <row r="265" spans="1:2" x14ac:dyDescent="0.25">
      <c r="A265" s="12"/>
      <c r="B265" s="18"/>
    </row>
    <row r="266" spans="1:2" x14ac:dyDescent="0.25">
      <c r="A266" s="12"/>
      <c r="B266" s="18"/>
    </row>
    <row r="267" spans="1:2" x14ac:dyDescent="0.25">
      <c r="A267" s="12"/>
      <c r="B267" s="18"/>
    </row>
    <row r="268" spans="1:2" x14ac:dyDescent="0.25">
      <c r="A268" s="12"/>
      <c r="B268" s="18"/>
    </row>
    <row r="269" spans="1:2" x14ac:dyDescent="0.25">
      <c r="A269" s="12"/>
      <c r="B269" s="18"/>
    </row>
    <row r="270" spans="1:2" x14ac:dyDescent="0.25">
      <c r="A270" s="12"/>
      <c r="B270" s="18"/>
    </row>
    <row r="271" spans="1:2" x14ac:dyDescent="0.25">
      <c r="A271" s="12"/>
      <c r="B271" s="18"/>
    </row>
    <row r="272" spans="1:2" x14ac:dyDescent="0.25">
      <c r="A272" s="12"/>
      <c r="B272" s="18"/>
    </row>
    <row r="273" spans="1:2" x14ac:dyDescent="0.25">
      <c r="A273" s="12"/>
      <c r="B273" s="18"/>
    </row>
    <row r="274" spans="1:2" x14ac:dyDescent="0.25">
      <c r="A274" s="12"/>
      <c r="B274" s="18"/>
    </row>
    <row r="275" spans="1:2" x14ac:dyDescent="0.25">
      <c r="A275" s="12"/>
      <c r="B275" s="18"/>
    </row>
    <row r="276" spans="1:2" x14ac:dyDescent="0.25">
      <c r="A276" s="12"/>
      <c r="B276" s="18"/>
    </row>
    <row r="277" spans="1:2" x14ac:dyDescent="0.25">
      <c r="A277" s="12"/>
      <c r="B277" s="18"/>
    </row>
    <row r="278" spans="1:2" x14ac:dyDescent="0.25">
      <c r="A278" s="12"/>
      <c r="B278" s="18"/>
    </row>
    <row r="279" spans="1:2" x14ac:dyDescent="0.25">
      <c r="A279" s="12"/>
      <c r="B279" s="18"/>
    </row>
    <row r="280" spans="1:2" x14ac:dyDescent="0.25">
      <c r="A280" s="12"/>
      <c r="B280" s="18"/>
    </row>
    <row r="281" spans="1:2" x14ac:dyDescent="0.25">
      <c r="A281" s="12"/>
      <c r="B281" s="18"/>
    </row>
    <row r="282" spans="1:2" x14ac:dyDescent="0.25">
      <c r="A282" s="12"/>
      <c r="B282" s="18"/>
    </row>
    <row r="283" spans="1:2" x14ac:dyDescent="0.25">
      <c r="A283" s="12"/>
      <c r="B283" s="18"/>
    </row>
    <row r="284" spans="1:2" x14ac:dyDescent="0.25">
      <c r="A284" s="12"/>
      <c r="B284" s="18"/>
    </row>
    <row r="285" spans="1:2" x14ac:dyDescent="0.25">
      <c r="A285" s="12"/>
      <c r="B285" s="18"/>
    </row>
    <row r="286" spans="1:2" x14ac:dyDescent="0.25">
      <c r="A286" s="12"/>
      <c r="B286" s="18"/>
    </row>
    <row r="287" spans="1:2" x14ac:dyDescent="0.25">
      <c r="A287" s="12"/>
      <c r="B287" s="18"/>
    </row>
    <row r="288" spans="1:2" x14ac:dyDescent="0.25">
      <c r="A288" s="12"/>
      <c r="B288" s="18"/>
    </row>
    <row r="289" spans="1:2" x14ac:dyDescent="0.25">
      <c r="A289" s="12"/>
      <c r="B289" s="18"/>
    </row>
    <row r="290" spans="1:2" x14ac:dyDescent="0.25">
      <c r="A290" s="12"/>
      <c r="B290" s="18"/>
    </row>
    <row r="291" spans="1:2" x14ac:dyDescent="0.25">
      <c r="A291" s="12"/>
      <c r="B291" s="18"/>
    </row>
    <row r="292" spans="1:2" x14ac:dyDescent="0.25">
      <c r="A292" s="12"/>
      <c r="B292" s="18"/>
    </row>
    <row r="293" spans="1:2" x14ac:dyDescent="0.25">
      <c r="A293" s="12"/>
      <c r="B293" s="18"/>
    </row>
    <row r="294" spans="1:2" x14ac:dyDescent="0.25">
      <c r="A294" s="12"/>
      <c r="B294" s="18"/>
    </row>
    <row r="295" spans="1:2" x14ac:dyDescent="0.25">
      <c r="A295" s="12"/>
      <c r="B295" s="18"/>
    </row>
    <row r="296" spans="1:2" x14ac:dyDescent="0.25">
      <c r="A296" s="12"/>
      <c r="B296" s="18"/>
    </row>
    <row r="297" spans="1:2" x14ac:dyDescent="0.25">
      <c r="A297" s="12"/>
      <c r="B297" s="18"/>
    </row>
    <row r="298" spans="1:2" x14ac:dyDescent="0.25">
      <c r="A298" s="12"/>
      <c r="B298" s="18"/>
    </row>
    <row r="299" spans="1:2" x14ac:dyDescent="0.25">
      <c r="A299" s="12"/>
      <c r="B299" s="18"/>
    </row>
    <row r="300" spans="1:2" x14ac:dyDescent="0.25">
      <c r="A300" s="12"/>
      <c r="B300" s="18"/>
    </row>
    <row r="301" spans="1:2" x14ac:dyDescent="0.25">
      <c r="A301" s="12"/>
      <c r="B301" s="18"/>
    </row>
    <row r="302" spans="1:2" x14ac:dyDescent="0.25">
      <c r="A302" s="12"/>
      <c r="B302" s="18"/>
    </row>
    <row r="303" spans="1:2" x14ac:dyDescent="0.25">
      <c r="A303" s="12"/>
      <c r="B303" s="18"/>
    </row>
    <row r="304" spans="1:2" x14ac:dyDescent="0.25">
      <c r="A304" s="12"/>
      <c r="B304" s="18"/>
    </row>
    <row r="305" spans="1:2" x14ac:dyDescent="0.25">
      <c r="A305" s="12"/>
      <c r="B305" s="18"/>
    </row>
    <row r="306" spans="1:2" x14ac:dyDescent="0.25">
      <c r="A306" s="12"/>
      <c r="B306" s="18"/>
    </row>
    <row r="307" spans="1:2" x14ac:dyDescent="0.25">
      <c r="A307" s="12"/>
      <c r="B307" s="18"/>
    </row>
    <row r="308" spans="1:2" x14ac:dyDescent="0.25">
      <c r="A308" s="12"/>
      <c r="B308" s="18"/>
    </row>
    <row r="309" spans="1:2" x14ac:dyDescent="0.25">
      <c r="A309" s="12"/>
      <c r="B309" s="18"/>
    </row>
    <row r="310" spans="1:2" x14ac:dyDescent="0.25">
      <c r="A310" s="12"/>
      <c r="B310" s="18"/>
    </row>
    <row r="311" spans="1:2" x14ac:dyDescent="0.25">
      <c r="A311" s="12"/>
      <c r="B311" s="18"/>
    </row>
    <row r="312" spans="1:2" x14ac:dyDescent="0.25">
      <c r="A312" s="12"/>
      <c r="B312" s="18"/>
    </row>
    <row r="313" spans="1:2" x14ac:dyDescent="0.25">
      <c r="A313" s="12"/>
      <c r="B313" s="18"/>
    </row>
    <row r="314" spans="1:2" x14ac:dyDescent="0.25">
      <c r="A314" s="12"/>
      <c r="B314" s="18"/>
    </row>
    <row r="315" spans="1:2" x14ac:dyDescent="0.25">
      <c r="A315" s="12"/>
      <c r="B315" s="18"/>
    </row>
    <row r="316" spans="1:2" x14ac:dyDescent="0.25">
      <c r="A316" s="12"/>
      <c r="B316" s="18"/>
    </row>
    <row r="317" spans="1:2" x14ac:dyDescent="0.25">
      <c r="A317" s="12"/>
      <c r="B317" s="18"/>
    </row>
    <row r="318" spans="1:2" x14ac:dyDescent="0.25">
      <c r="A318" s="12"/>
      <c r="B318" s="18"/>
    </row>
    <row r="319" spans="1:2" x14ac:dyDescent="0.25">
      <c r="A319" s="12"/>
      <c r="B319" s="18"/>
    </row>
    <row r="320" spans="1:2" x14ac:dyDescent="0.25">
      <c r="A320" s="12"/>
      <c r="B320" s="18"/>
    </row>
    <row r="321" spans="1:2" x14ac:dyDescent="0.25">
      <c r="A321" s="12"/>
      <c r="B321" s="18"/>
    </row>
    <row r="322" spans="1:2" x14ac:dyDescent="0.25">
      <c r="A322" s="12"/>
      <c r="B322" s="18"/>
    </row>
    <row r="323" spans="1:2" x14ac:dyDescent="0.25">
      <c r="A323" s="12"/>
      <c r="B323" s="18"/>
    </row>
    <row r="324" spans="1:2" x14ac:dyDescent="0.25">
      <c r="A324" s="12"/>
      <c r="B324" s="18"/>
    </row>
    <row r="325" spans="1:2" x14ac:dyDescent="0.25">
      <c r="A325" s="12"/>
      <c r="B325" s="18"/>
    </row>
    <row r="326" spans="1:2" x14ac:dyDescent="0.25">
      <c r="A326" s="12"/>
      <c r="B326" s="18"/>
    </row>
    <row r="327" spans="1:2" x14ac:dyDescent="0.25">
      <c r="A327" s="12"/>
      <c r="B327" s="18"/>
    </row>
    <row r="328" spans="1:2" x14ac:dyDescent="0.25">
      <c r="A328" s="12"/>
      <c r="B328" s="18"/>
    </row>
    <row r="329" spans="1:2" x14ac:dyDescent="0.25">
      <c r="A329" s="12"/>
      <c r="B329" s="18"/>
    </row>
    <row r="330" spans="1:2" x14ac:dyDescent="0.25">
      <c r="A330" s="12"/>
      <c r="B330" s="18"/>
    </row>
    <row r="331" spans="1:2" x14ac:dyDescent="0.25">
      <c r="A331" s="12"/>
      <c r="B331" s="18"/>
    </row>
    <row r="332" spans="1:2" x14ac:dyDescent="0.25">
      <c r="A332" s="12"/>
      <c r="B332" s="18"/>
    </row>
    <row r="333" spans="1:2" x14ac:dyDescent="0.25">
      <c r="A333" s="12"/>
      <c r="B333" s="18"/>
    </row>
    <row r="334" spans="1:2" x14ac:dyDescent="0.25">
      <c r="A334" s="12"/>
      <c r="B334" s="18"/>
    </row>
    <row r="335" spans="1:2" x14ac:dyDescent="0.25">
      <c r="A335" s="12"/>
      <c r="B335" s="18"/>
    </row>
    <row r="336" spans="1:2" x14ac:dyDescent="0.25">
      <c r="A336" s="12"/>
      <c r="B336" s="18"/>
    </row>
    <row r="337" spans="1:2" x14ac:dyDescent="0.25">
      <c r="A337" s="12"/>
      <c r="B337" s="18"/>
    </row>
    <row r="338" spans="1:2" x14ac:dyDescent="0.25">
      <c r="A338" s="12"/>
      <c r="B338" s="18"/>
    </row>
    <row r="339" spans="1:2" x14ac:dyDescent="0.25">
      <c r="A339" s="12"/>
      <c r="B339" s="18"/>
    </row>
    <row r="340" spans="1:2" x14ac:dyDescent="0.25">
      <c r="A340" s="12"/>
      <c r="B340" s="18"/>
    </row>
    <row r="341" spans="1:2" x14ac:dyDescent="0.25">
      <c r="A341" s="12"/>
      <c r="B341" s="18"/>
    </row>
    <row r="342" spans="1:2" x14ac:dyDescent="0.25">
      <c r="A342" s="12"/>
      <c r="B342" s="18"/>
    </row>
    <row r="343" spans="1:2" x14ac:dyDescent="0.25">
      <c r="A343" s="12"/>
      <c r="B343" s="18"/>
    </row>
    <row r="344" spans="1:2" x14ac:dyDescent="0.25">
      <c r="A344" s="12"/>
      <c r="B344" s="18"/>
    </row>
    <row r="345" spans="1:2" x14ac:dyDescent="0.25">
      <c r="A345" s="12"/>
      <c r="B345" s="18"/>
    </row>
    <row r="346" spans="1:2" x14ac:dyDescent="0.25">
      <c r="A346" s="12"/>
      <c r="B346" s="18"/>
    </row>
    <row r="347" spans="1:2" x14ac:dyDescent="0.25">
      <c r="A347" s="12"/>
      <c r="B347" s="18"/>
    </row>
    <row r="348" spans="1:2" x14ac:dyDescent="0.25">
      <c r="A348" s="12"/>
      <c r="B348" s="18"/>
    </row>
    <row r="349" spans="1:2" x14ac:dyDescent="0.25">
      <c r="A349" s="12"/>
      <c r="B349" s="18"/>
    </row>
    <row r="350" spans="1:2" x14ac:dyDescent="0.25">
      <c r="A350" s="12"/>
      <c r="B350" s="18"/>
    </row>
    <row r="351" spans="1:2" x14ac:dyDescent="0.25">
      <c r="A351" s="12"/>
      <c r="B351" s="18"/>
    </row>
    <row r="352" spans="1:2" x14ac:dyDescent="0.25">
      <c r="A352" s="12"/>
      <c r="B352" s="18"/>
    </row>
    <row r="353" spans="1:2" x14ac:dyDescent="0.25">
      <c r="A353" s="12"/>
      <c r="B353" s="18"/>
    </row>
    <row r="354" spans="1:2" x14ac:dyDescent="0.25">
      <c r="A354" s="12"/>
      <c r="B354" s="18"/>
    </row>
    <row r="355" spans="1:2" x14ac:dyDescent="0.25">
      <c r="A355" s="12"/>
      <c r="B355" s="18"/>
    </row>
    <row r="356" spans="1:2" x14ac:dyDescent="0.25">
      <c r="A356" s="12"/>
      <c r="B356" s="18"/>
    </row>
    <row r="357" spans="1:2" x14ac:dyDescent="0.25">
      <c r="A357" s="12"/>
      <c r="B357" s="18"/>
    </row>
    <row r="358" spans="1:2" x14ac:dyDescent="0.25">
      <c r="A358" s="12"/>
      <c r="B358" s="18"/>
    </row>
    <row r="359" spans="1:2" x14ac:dyDescent="0.25">
      <c r="A359" s="12"/>
      <c r="B359" s="18"/>
    </row>
    <row r="360" spans="1:2" x14ac:dyDescent="0.25">
      <c r="A360" s="12"/>
      <c r="B360" s="18"/>
    </row>
    <row r="361" spans="1:2" x14ac:dyDescent="0.25">
      <c r="A361" s="12"/>
      <c r="B361" s="18"/>
    </row>
    <row r="362" spans="1:2" x14ac:dyDescent="0.25">
      <c r="A362" s="12"/>
      <c r="B362" s="18"/>
    </row>
    <row r="363" spans="1:2" x14ac:dyDescent="0.25">
      <c r="A363" s="12"/>
      <c r="B363" s="18"/>
    </row>
    <row r="364" spans="1:2" x14ac:dyDescent="0.25">
      <c r="A364" s="12"/>
      <c r="B364" s="18"/>
    </row>
    <row r="365" spans="1:2" x14ac:dyDescent="0.25">
      <c r="A365" s="12"/>
      <c r="B365" s="18"/>
    </row>
    <row r="366" spans="1:2" x14ac:dyDescent="0.25">
      <c r="A366" s="12"/>
      <c r="B366" s="18"/>
    </row>
    <row r="367" spans="1:2" x14ac:dyDescent="0.25">
      <c r="A367" s="12"/>
      <c r="B367" s="18"/>
    </row>
    <row r="368" spans="1:2" x14ac:dyDescent="0.25">
      <c r="A368" s="12"/>
      <c r="B368" s="18"/>
    </row>
    <row r="369" spans="1:2" x14ac:dyDescent="0.25">
      <c r="A369" s="12"/>
      <c r="B369" s="18"/>
    </row>
    <row r="370" spans="1:2" x14ac:dyDescent="0.25">
      <c r="A370" s="12"/>
      <c r="B370" s="18"/>
    </row>
    <row r="371" spans="1:2" x14ac:dyDescent="0.25">
      <c r="A371" s="12"/>
      <c r="B371" s="18"/>
    </row>
    <row r="372" spans="1:2" x14ac:dyDescent="0.25">
      <c r="A372" s="12"/>
      <c r="B372" s="18"/>
    </row>
    <row r="373" spans="1:2" x14ac:dyDescent="0.25">
      <c r="A373" s="12"/>
      <c r="B373" s="18"/>
    </row>
    <row r="374" spans="1:2" x14ac:dyDescent="0.25">
      <c r="A374" s="12"/>
      <c r="B374" s="18"/>
    </row>
    <row r="375" spans="1:2" x14ac:dyDescent="0.25">
      <c r="A375" s="12"/>
      <c r="B375" s="18"/>
    </row>
    <row r="376" spans="1:2" x14ac:dyDescent="0.25">
      <c r="A376" s="12"/>
      <c r="B376" s="18"/>
    </row>
    <row r="377" spans="1:2" x14ac:dyDescent="0.25">
      <c r="A377" s="12"/>
      <c r="B377" s="18"/>
    </row>
    <row r="378" spans="1:2" x14ac:dyDescent="0.25">
      <c r="A378" s="12"/>
      <c r="B378" s="18"/>
    </row>
    <row r="379" spans="1:2" x14ac:dyDescent="0.25">
      <c r="A379" s="12"/>
      <c r="B379" s="18"/>
    </row>
    <row r="380" spans="1:2" x14ac:dyDescent="0.25">
      <c r="A380" s="12"/>
      <c r="B380" s="18"/>
    </row>
    <row r="381" spans="1:2" x14ac:dyDescent="0.25">
      <c r="A381" s="12"/>
      <c r="B381" s="18"/>
    </row>
    <row r="382" spans="1:2" x14ac:dyDescent="0.25">
      <c r="A382" s="12"/>
      <c r="B382" s="18"/>
    </row>
    <row r="383" spans="1:2" x14ac:dyDescent="0.25">
      <c r="A383" s="12"/>
      <c r="B383" s="18"/>
    </row>
    <row r="384" spans="1:2" x14ac:dyDescent="0.25">
      <c r="A384" s="12"/>
      <c r="B384" s="18"/>
    </row>
    <row r="385" spans="1:2" x14ac:dyDescent="0.25">
      <c r="A385" s="12"/>
      <c r="B385" s="18"/>
    </row>
    <row r="386" spans="1:2" x14ac:dyDescent="0.25">
      <c r="A386" s="12"/>
      <c r="B386" s="18"/>
    </row>
    <row r="387" spans="1:2" x14ac:dyDescent="0.25">
      <c r="A387" s="12"/>
      <c r="B387" s="18"/>
    </row>
    <row r="388" spans="1:2" x14ac:dyDescent="0.25">
      <c r="A388" s="12"/>
      <c r="B388" s="18"/>
    </row>
    <row r="389" spans="1:2" x14ac:dyDescent="0.25">
      <c r="A389" s="12"/>
      <c r="B389" s="18"/>
    </row>
    <row r="390" spans="1:2" x14ac:dyDescent="0.25">
      <c r="A390" s="12"/>
      <c r="B390" s="18"/>
    </row>
    <row r="391" spans="1:2" x14ac:dyDescent="0.25">
      <c r="A391" s="12"/>
      <c r="B391" s="18"/>
    </row>
    <row r="392" spans="1:2" x14ac:dyDescent="0.25">
      <c r="A392" s="12"/>
      <c r="B392" s="18"/>
    </row>
    <row r="393" spans="1:2" x14ac:dyDescent="0.25">
      <c r="A393" s="12"/>
      <c r="B393" s="18"/>
    </row>
    <row r="394" spans="1:2" x14ac:dyDescent="0.25">
      <c r="A394" s="12"/>
      <c r="B394" s="18"/>
    </row>
    <row r="395" spans="1:2" x14ac:dyDescent="0.25">
      <c r="A395" s="12"/>
      <c r="B395" s="18"/>
    </row>
    <row r="396" spans="1:2" x14ac:dyDescent="0.25">
      <c r="A396" s="12"/>
      <c r="B396" s="18"/>
    </row>
    <row r="397" spans="1:2" x14ac:dyDescent="0.25">
      <c r="A397" s="12"/>
      <c r="B397" s="18"/>
    </row>
    <row r="398" spans="1:2" x14ac:dyDescent="0.25">
      <c r="A398" s="12"/>
      <c r="B398" s="18"/>
    </row>
    <row r="399" spans="1:2" x14ac:dyDescent="0.25">
      <c r="A399" s="12"/>
      <c r="B399" s="18"/>
    </row>
    <row r="400" spans="1:2" x14ac:dyDescent="0.25">
      <c r="A400" s="12"/>
      <c r="B400" s="18"/>
    </row>
    <row r="401" spans="1:2" x14ac:dyDescent="0.25">
      <c r="A401" s="12"/>
      <c r="B401" s="18"/>
    </row>
    <row r="402" spans="1:2" x14ac:dyDescent="0.25">
      <c r="A402" s="12"/>
      <c r="B402" s="18"/>
    </row>
    <row r="403" spans="1:2" x14ac:dyDescent="0.25">
      <c r="A403" s="12"/>
      <c r="B403" s="18"/>
    </row>
    <row r="404" spans="1:2" x14ac:dyDescent="0.25">
      <c r="A404" s="12"/>
      <c r="B404" s="18"/>
    </row>
    <row r="405" spans="1:2" x14ac:dyDescent="0.25">
      <c r="A405" s="12"/>
      <c r="B405" s="18"/>
    </row>
    <row r="406" spans="1:2" x14ac:dyDescent="0.25">
      <c r="A406" s="12"/>
      <c r="B406" s="18"/>
    </row>
    <row r="407" spans="1:2" x14ac:dyDescent="0.25">
      <c r="A407" s="12"/>
      <c r="B407" s="18"/>
    </row>
    <row r="408" spans="1:2" x14ac:dyDescent="0.25">
      <c r="A408" s="12"/>
      <c r="B408" s="18"/>
    </row>
    <row r="409" spans="1:2" x14ac:dyDescent="0.25">
      <c r="A409" s="12"/>
      <c r="B409" s="18"/>
    </row>
    <row r="410" spans="1:2" x14ac:dyDescent="0.25">
      <c r="A410" s="12"/>
      <c r="B410" s="18"/>
    </row>
    <row r="411" spans="1:2" x14ac:dyDescent="0.25">
      <c r="A411" s="12"/>
      <c r="B411" s="18"/>
    </row>
    <row r="412" spans="1:2" x14ac:dyDescent="0.25">
      <c r="A412" s="12"/>
      <c r="B412" s="18"/>
    </row>
    <row r="413" spans="1:2" x14ac:dyDescent="0.25">
      <c r="A413" s="12"/>
      <c r="B413" s="18"/>
    </row>
    <row r="414" spans="1:2" x14ac:dyDescent="0.25">
      <c r="A414" s="12"/>
      <c r="B414" s="18"/>
    </row>
    <row r="415" spans="1:2" x14ac:dyDescent="0.25">
      <c r="A415" s="12"/>
      <c r="B415" s="18"/>
    </row>
    <row r="416" spans="1:2" x14ac:dyDescent="0.25">
      <c r="A416" s="12"/>
      <c r="B416" s="18"/>
    </row>
    <row r="417" spans="1:2" x14ac:dyDescent="0.25">
      <c r="A417" s="12"/>
      <c r="B417" s="18"/>
    </row>
    <row r="418" spans="1:2" x14ac:dyDescent="0.25">
      <c r="A418" s="12"/>
      <c r="B418" s="18"/>
    </row>
    <row r="419" spans="1:2" x14ac:dyDescent="0.25">
      <c r="A419" s="12"/>
      <c r="B419" s="18"/>
    </row>
    <row r="420" spans="1:2" x14ac:dyDescent="0.25">
      <c r="A420" s="12"/>
      <c r="B420" s="18"/>
    </row>
    <row r="421" spans="1:2" x14ac:dyDescent="0.25">
      <c r="A421" s="12"/>
      <c r="B421" s="18"/>
    </row>
    <row r="422" spans="1:2" x14ac:dyDescent="0.25">
      <c r="A422" s="12"/>
      <c r="B422" s="18"/>
    </row>
    <row r="423" spans="1:2" x14ac:dyDescent="0.25">
      <c r="A423" s="12"/>
      <c r="B423" s="18"/>
    </row>
    <row r="424" spans="1:2" x14ac:dyDescent="0.25">
      <c r="A424" s="12"/>
      <c r="B424" s="18"/>
    </row>
    <row r="425" spans="1:2" x14ac:dyDescent="0.25">
      <c r="A425" s="12"/>
      <c r="B425" s="18"/>
    </row>
    <row r="426" spans="1:2" x14ac:dyDescent="0.25">
      <c r="A426" s="12"/>
      <c r="B426" s="18"/>
    </row>
    <row r="427" spans="1:2" x14ac:dyDescent="0.25">
      <c r="A427" s="12"/>
      <c r="B427" s="18"/>
    </row>
    <row r="428" spans="1:2" x14ac:dyDescent="0.25">
      <c r="A428" s="12"/>
      <c r="B428" s="18"/>
    </row>
    <row r="429" spans="1:2" x14ac:dyDescent="0.25">
      <c r="A429" s="12"/>
      <c r="B429" s="18"/>
    </row>
    <row r="430" spans="1:2" x14ac:dyDescent="0.25">
      <c r="A430" s="12"/>
      <c r="B430" s="18"/>
    </row>
    <row r="431" spans="1:2" x14ac:dyDescent="0.25">
      <c r="A431" s="12"/>
      <c r="B431" s="18"/>
    </row>
    <row r="432" spans="1:2" x14ac:dyDescent="0.25">
      <c r="A432" s="12"/>
      <c r="B432" s="18"/>
    </row>
    <row r="433" spans="1:2" x14ac:dyDescent="0.25">
      <c r="A433" s="12"/>
      <c r="B433" s="18"/>
    </row>
    <row r="434" spans="1:2" x14ac:dyDescent="0.25">
      <c r="A434" s="12"/>
      <c r="B434" s="18"/>
    </row>
    <row r="435" spans="1:2" x14ac:dyDescent="0.25">
      <c r="A435" s="12"/>
      <c r="B435" s="18"/>
    </row>
    <row r="436" spans="1:2" x14ac:dyDescent="0.25">
      <c r="A436" s="12"/>
      <c r="B436" s="18"/>
    </row>
    <row r="437" spans="1:2" x14ac:dyDescent="0.25">
      <c r="A437" s="12"/>
      <c r="B437" s="18"/>
    </row>
    <row r="438" spans="1:2" x14ac:dyDescent="0.25">
      <c r="A438" s="12"/>
      <c r="B438" s="18"/>
    </row>
    <row r="439" spans="1:2" x14ac:dyDescent="0.25">
      <c r="A439" s="12"/>
      <c r="B439" s="18"/>
    </row>
    <row r="440" spans="1:2" x14ac:dyDescent="0.25">
      <c r="A440" s="12"/>
      <c r="B440" s="18"/>
    </row>
    <row r="441" spans="1:2" x14ac:dyDescent="0.25">
      <c r="A441" s="12"/>
      <c r="B441" s="18"/>
    </row>
    <row r="442" spans="1:2" x14ac:dyDescent="0.25">
      <c r="A442" s="12"/>
      <c r="B442" s="18"/>
    </row>
    <row r="443" spans="1:2" x14ac:dyDescent="0.25">
      <c r="A443" s="12"/>
      <c r="B443" s="18"/>
    </row>
    <row r="444" spans="1:2" x14ac:dyDescent="0.25">
      <c r="A444" s="12"/>
      <c r="B444" s="18"/>
    </row>
    <row r="445" spans="1:2" x14ac:dyDescent="0.25">
      <c r="A445" s="12"/>
      <c r="B445" s="18"/>
    </row>
    <row r="446" spans="1:2" x14ac:dyDescent="0.25">
      <c r="A446" s="12"/>
      <c r="B446" s="18"/>
    </row>
    <row r="447" spans="1:2" x14ac:dyDescent="0.25">
      <c r="A447" s="12"/>
      <c r="B447" s="18"/>
    </row>
    <row r="448" spans="1:2" x14ac:dyDescent="0.25">
      <c r="A448" s="12"/>
      <c r="B448" s="18"/>
    </row>
    <row r="449" spans="1:2" x14ac:dyDescent="0.25">
      <c r="A449" s="12"/>
      <c r="B449" s="18"/>
    </row>
    <row r="450" spans="1:2" x14ac:dyDescent="0.25">
      <c r="A450" s="12"/>
      <c r="B450" s="18"/>
    </row>
    <row r="451" spans="1:2" x14ac:dyDescent="0.25">
      <c r="A451" s="12"/>
      <c r="B451" s="18"/>
    </row>
    <row r="452" spans="1:2" x14ac:dyDescent="0.25">
      <c r="A452" s="12"/>
      <c r="B452" s="18"/>
    </row>
    <row r="453" spans="1:2" x14ac:dyDescent="0.25">
      <c r="A453" s="12"/>
      <c r="B453" s="18"/>
    </row>
    <row r="454" spans="1:2" x14ac:dyDescent="0.25">
      <c r="A454" s="12"/>
      <c r="B454" s="18"/>
    </row>
    <row r="455" spans="1:2" x14ac:dyDescent="0.25">
      <c r="A455" s="12"/>
      <c r="B455" s="18"/>
    </row>
    <row r="456" spans="1:2" x14ac:dyDescent="0.25">
      <c r="A456" s="12"/>
      <c r="B456" s="18"/>
    </row>
    <row r="457" spans="1:2" x14ac:dyDescent="0.25">
      <c r="A457" s="12"/>
      <c r="B457" s="18"/>
    </row>
    <row r="458" spans="1:2" x14ac:dyDescent="0.25">
      <c r="A458" s="12"/>
      <c r="B458" s="18"/>
    </row>
    <row r="459" spans="1:2" x14ac:dyDescent="0.25">
      <c r="A459" s="12"/>
      <c r="B459" s="18"/>
    </row>
    <row r="460" spans="1:2" x14ac:dyDescent="0.25">
      <c r="A460" s="12"/>
      <c r="B460" s="18"/>
    </row>
    <row r="461" spans="1:2" x14ac:dyDescent="0.25">
      <c r="A461" s="12"/>
      <c r="B461" s="18"/>
    </row>
    <row r="462" spans="1:2" x14ac:dyDescent="0.25">
      <c r="A462" s="12"/>
      <c r="B462" s="18"/>
    </row>
    <row r="463" spans="1:2" x14ac:dyDescent="0.25">
      <c r="A463" s="12"/>
      <c r="B463" s="18"/>
    </row>
    <row r="464" spans="1:2" x14ac:dyDescent="0.25">
      <c r="A464" s="12"/>
      <c r="B464" s="18"/>
    </row>
    <row r="465" spans="1:2" x14ac:dyDescent="0.25">
      <c r="A465" s="12"/>
      <c r="B465" s="18"/>
    </row>
    <row r="466" spans="1:2" x14ac:dyDescent="0.25">
      <c r="A466" s="12"/>
      <c r="B466" s="18"/>
    </row>
    <row r="467" spans="1:2" x14ac:dyDescent="0.25">
      <c r="A467" s="12"/>
      <c r="B467" s="18"/>
    </row>
    <row r="468" spans="1:2" x14ac:dyDescent="0.25">
      <c r="A468" s="12"/>
      <c r="B468" s="18"/>
    </row>
    <row r="469" spans="1:2" x14ac:dyDescent="0.25">
      <c r="A469" s="12"/>
      <c r="B469" s="18"/>
    </row>
    <row r="470" spans="1:2" x14ac:dyDescent="0.25">
      <c r="A470" s="12"/>
      <c r="B470" s="18"/>
    </row>
    <row r="471" spans="1:2" x14ac:dyDescent="0.25">
      <c r="A471" s="12"/>
      <c r="B471" s="18"/>
    </row>
    <row r="472" spans="1:2" x14ac:dyDescent="0.25">
      <c r="A472" s="12"/>
      <c r="B472" s="18"/>
    </row>
    <row r="473" spans="1:2" x14ac:dyDescent="0.25">
      <c r="A473" s="12"/>
      <c r="B473" s="18"/>
    </row>
    <row r="474" spans="1:2" x14ac:dyDescent="0.25">
      <c r="A474" s="12"/>
      <c r="B474" s="18"/>
    </row>
    <row r="475" spans="1:2" x14ac:dyDescent="0.25">
      <c r="A475" s="12"/>
      <c r="B475" s="18"/>
    </row>
    <row r="476" spans="1:2" x14ac:dyDescent="0.25">
      <c r="A476" s="12"/>
      <c r="B476" s="18"/>
    </row>
    <row r="477" spans="1:2" x14ac:dyDescent="0.25">
      <c r="A477" s="12"/>
      <c r="B477" s="18"/>
    </row>
    <row r="478" spans="1:2" x14ac:dyDescent="0.25">
      <c r="A478" s="12"/>
      <c r="B478" s="18"/>
    </row>
    <row r="479" spans="1:2" x14ac:dyDescent="0.25">
      <c r="A479" s="12"/>
      <c r="B479" s="18"/>
    </row>
    <row r="480" spans="1:2" x14ac:dyDescent="0.25">
      <c r="A480" s="12"/>
      <c r="B480" s="18"/>
    </row>
    <row r="481" spans="1:2" x14ac:dyDescent="0.25">
      <c r="A481" s="12"/>
      <c r="B481" s="18"/>
    </row>
    <row r="482" spans="1:2" x14ac:dyDescent="0.25">
      <c r="A482" s="12"/>
      <c r="B482" s="18"/>
    </row>
    <row r="483" spans="1:2" x14ac:dyDescent="0.25">
      <c r="A483" s="12"/>
      <c r="B483" s="18"/>
    </row>
    <row r="484" spans="1:2" x14ac:dyDescent="0.25">
      <c r="A484" s="12"/>
      <c r="B484" s="18"/>
    </row>
    <row r="485" spans="1:2" x14ac:dyDescent="0.25">
      <c r="A485" s="12"/>
      <c r="B485" s="18"/>
    </row>
    <row r="486" spans="1:2" x14ac:dyDescent="0.25">
      <c r="A486" s="12"/>
      <c r="B486" s="18"/>
    </row>
    <row r="487" spans="1:2" x14ac:dyDescent="0.25">
      <c r="A487" s="12"/>
      <c r="B487" s="18"/>
    </row>
    <row r="488" spans="1:2" x14ac:dyDescent="0.25">
      <c r="A488" s="12"/>
      <c r="B488" s="18"/>
    </row>
    <row r="489" spans="1:2" x14ac:dyDescent="0.25">
      <c r="A489" s="12"/>
      <c r="B489" s="18"/>
    </row>
    <row r="490" spans="1:2" x14ac:dyDescent="0.25">
      <c r="A490" s="12"/>
      <c r="B490" s="18"/>
    </row>
    <row r="491" spans="1:2" x14ac:dyDescent="0.25">
      <c r="A491" s="12"/>
      <c r="B491" s="18"/>
    </row>
    <row r="492" spans="1:2" x14ac:dyDescent="0.25">
      <c r="A492" s="12"/>
      <c r="B492" s="18"/>
    </row>
    <row r="493" spans="1:2" x14ac:dyDescent="0.25">
      <c r="A493" s="12"/>
      <c r="B493" s="18"/>
    </row>
    <row r="494" spans="1:2" x14ac:dyDescent="0.25">
      <c r="A494" s="12"/>
      <c r="B494" s="18"/>
    </row>
    <row r="495" spans="1:2" x14ac:dyDescent="0.25">
      <c r="A495" s="12"/>
      <c r="B495" s="18"/>
    </row>
    <row r="496" spans="1:2" x14ac:dyDescent="0.25">
      <c r="A496" s="12"/>
      <c r="B496" s="18"/>
    </row>
    <row r="497" spans="1:2" x14ac:dyDescent="0.25">
      <c r="A497" s="12"/>
      <c r="B497" s="18"/>
    </row>
    <row r="498" spans="1:2" x14ac:dyDescent="0.25">
      <c r="A498" s="12"/>
      <c r="B498" s="18"/>
    </row>
    <row r="499" spans="1:2" x14ac:dyDescent="0.25">
      <c r="A499" s="12"/>
      <c r="B499" s="18"/>
    </row>
    <row r="500" spans="1:2" x14ac:dyDescent="0.25">
      <c r="A500" s="12"/>
      <c r="B500" s="18"/>
    </row>
    <row r="501" spans="1:2" x14ac:dyDescent="0.25">
      <c r="A501" s="12"/>
      <c r="B501" s="18"/>
    </row>
    <row r="502" spans="1:2" x14ac:dyDescent="0.25">
      <c r="A502" s="12"/>
      <c r="B502" s="18"/>
    </row>
    <row r="503" spans="1:2" x14ac:dyDescent="0.25">
      <c r="A503" s="12"/>
      <c r="B503" s="18"/>
    </row>
    <row r="504" spans="1:2" x14ac:dyDescent="0.25">
      <c r="A504" s="12"/>
      <c r="B504" s="18"/>
    </row>
    <row r="505" spans="1:2" x14ac:dyDescent="0.25">
      <c r="A505" s="12"/>
      <c r="B505" s="18"/>
    </row>
    <row r="506" spans="1:2" x14ac:dyDescent="0.25">
      <c r="A506" s="12"/>
      <c r="B506" s="18"/>
    </row>
    <row r="507" spans="1:2" x14ac:dyDescent="0.25">
      <c r="A507" s="12"/>
      <c r="B507" s="18"/>
    </row>
    <row r="508" spans="1:2" x14ac:dyDescent="0.25">
      <c r="A508" s="12"/>
      <c r="B508" s="18"/>
    </row>
    <row r="509" spans="1:2" x14ac:dyDescent="0.25">
      <c r="A509" s="12"/>
      <c r="B509" s="18"/>
    </row>
    <row r="510" spans="1:2" x14ac:dyDescent="0.25">
      <c r="A510" s="12"/>
      <c r="B510" s="18"/>
    </row>
    <row r="511" spans="1:2" x14ac:dyDescent="0.25">
      <c r="A511" s="12"/>
      <c r="B511" s="18"/>
    </row>
    <row r="512" spans="1:2" x14ac:dyDescent="0.25">
      <c r="A512" s="12"/>
      <c r="B512" s="18"/>
    </row>
    <row r="513" spans="1:2" x14ac:dyDescent="0.25">
      <c r="A513" s="12"/>
      <c r="B513" s="18"/>
    </row>
    <row r="514" spans="1:2" x14ac:dyDescent="0.25">
      <c r="A514" s="12"/>
      <c r="B514" s="18"/>
    </row>
    <row r="515" spans="1:2" x14ac:dyDescent="0.25">
      <c r="A515" s="12"/>
      <c r="B515" s="18"/>
    </row>
    <row r="516" spans="1:2" x14ac:dyDescent="0.25">
      <c r="A516" s="12"/>
      <c r="B516" s="18"/>
    </row>
    <row r="517" spans="1:2" x14ac:dyDescent="0.25">
      <c r="A517" s="12"/>
      <c r="B517" s="18"/>
    </row>
    <row r="518" spans="1:2" x14ac:dyDescent="0.25">
      <c r="A518" s="12"/>
      <c r="B518" s="18"/>
    </row>
    <row r="519" spans="1:2" x14ac:dyDescent="0.25">
      <c r="A519" s="12"/>
      <c r="B519" s="18"/>
    </row>
    <row r="520" spans="1:2" x14ac:dyDescent="0.25">
      <c r="A520" s="12"/>
      <c r="B520" s="18"/>
    </row>
    <row r="521" spans="1:2" x14ac:dyDescent="0.25">
      <c r="A521" s="12"/>
      <c r="B521" s="18"/>
    </row>
    <row r="522" spans="1:2" x14ac:dyDescent="0.25">
      <c r="A522" s="12"/>
      <c r="B522" s="18"/>
    </row>
    <row r="523" spans="1:2" x14ac:dyDescent="0.25">
      <c r="A523" s="12"/>
      <c r="B523" s="18"/>
    </row>
    <row r="524" spans="1:2" x14ac:dyDescent="0.25">
      <c r="A524" s="12"/>
      <c r="B524" s="18"/>
    </row>
    <row r="525" spans="1:2" x14ac:dyDescent="0.25">
      <c r="A525" s="12"/>
      <c r="B525" s="18"/>
    </row>
    <row r="526" spans="1:2" x14ac:dyDescent="0.25">
      <c r="A526" s="12"/>
      <c r="B526" s="18"/>
    </row>
    <row r="527" spans="1:2" x14ac:dyDescent="0.25">
      <c r="A527" s="12"/>
      <c r="B527" s="18"/>
    </row>
    <row r="528" spans="1:2" x14ac:dyDescent="0.25">
      <c r="A528" s="12"/>
      <c r="B528" s="18"/>
    </row>
    <row r="529" spans="1:2" x14ac:dyDescent="0.25">
      <c r="A529" s="12"/>
      <c r="B529" s="18"/>
    </row>
    <row r="530" spans="1:2" x14ac:dyDescent="0.25">
      <c r="A530" s="12"/>
      <c r="B530" s="18"/>
    </row>
    <row r="531" spans="1:2" x14ac:dyDescent="0.25">
      <c r="A531" s="12"/>
      <c r="B531" s="18"/>
    </row>
    <row r="532" spans="1:2" x14ac:dyDescent="0.25">
      <c r="A532" s="12"/>
      <c r="B532" s="18"/>
    </row>
    <row r="533" spans="1:2" x14ac:dyDescent="0.25">
      <c r="A533" s="12"/>
      <c r="B533" s="18"/>
    </row>
    <row r="534" spans="1:2" x14ac:dyDescent="0.25">
      <c r="A534" s="12"/>
      <c r="B534" s="18"/>
    </row>
    <row r="535" spans="1:2" x14ac:dyDescent="0.25">
      <c r="A535" s="12"/>
      <c r="B535" s="18"/>
    </row>
    <row r="536" spans="1:2" x14ac:dyDescent="0.25">
      <c r="A536" s="12"/>
      <c r="B536" s="18"/>
    </row>
    <row r="537" spans="1:2" x14ac:dyDescent="0.25">
      <c r="A537" s="12"/>
      <c r="B537" s="18"/>
    </row>
    <row r="538" spans="1:2" x14ac:dyDescent="0.25">
      <c r="A538" s="12"/>
      <c r="B538" s="18"/>
    </row>
    <row r="539" spans="1:2" x14ac:dyDescent="0.25">
      <c r="A539" s="12"/>
      <c r="B539" s="18"/>
    </row>
    <row r="540" spans="1:2" x14ac:dyDescent="0.25">
      <c r="A540" s="12"/>
      <c r="B540" s="18"/>
    </row>
    <row r="541" spans="1:2" x14ac:dyDescent="0.25">
      <c r="A541" s="12"/>
      <c r="B541" s="18"/>
    </row>
    <row r="542" spans="1:2" x14ac:dyDescent="0.25">
      <c r="A542" s="12"/>
      <c r="B542" s="18"/>
    </row>
    <row r="543" spans="1:2" x14ac:dyDescent="0.25">
      <c r="A543" s="12"/>
      <c r="B543" s="18"/>
    </row>
    <row r="544" spans="1:2" x14ac:dyDescent="0.25">
      <c r="A544" s="12"/>
      <c r="B544" s="18"/>
    </row>
    <row r="545" spans="1:2" x14ac:dyDescent="0.25">
      <c r="A545" s="12"/>
      <c r="B545" s="18"/>
    </row>
    <row r="546" spans="1:2" x14ac:dyDescent="0.25">
      <c r="A546" s="12"/>
      <c r="B546" s="18"/>
    </row>
    <row r="547" spans="1:2" x14ac:dyDescent="0.25">
      <c r="A547" s="12"/>
      <c r="B547" s="18"/>
    </row>
    <row r="548" spans="1:2" x14ac:dyDescent="0.25">
      <c r="A548" s="12"/>
      <c r="B548" s="18"/>
    </row>
    <row r="549" spans="1:2" x14ac:dyDescent="0.25">
      <c r="A549" s="12"/>
      <c r="B549" s="18"/>
    </row>
    <row r="550" spans="1:2" x14ac:dyDescent="0.25">
      <c r="A550" s="12"/>
      <c r="B550" s="18"/>
    </row>
    <row r="551" spans="1:2" x14ac:dyDescent="0.25">
      <c r="A551" s="12"/>
      <c r="B551" s="18"/>
    </row>
    <row r="552" spans="1:2" x14ac:dyDescent="0.25">
      <c r="A552" s="12"/>
      <c r="B552" s="18"/>
    </row>
    <row r="553" spans="1:2" x14ac:dyDescent="0.25">
      <c r="A553" s="12"/>
      <c r="B553" s="18"/>
    </row>
    <row r="554" spans="1:2" x14ac:dyDescent="0.25">
      <c r="A554" s="12"/>
      <c r="B554" s="18"/>
    </row>
    <row r="555" spans="1:2" x14ac:dyDescent="0.25">
      <c r="A555" s="12"/>
      <c r="B555" s="18"/>
    </row>
    <row r="556" spans="1:2" x14ac:dyDescent="0.25">
      <c r="A556" s="12"/>
      <c r="B556" s="18"/>
    </row>
    <row r="557" spans="1:2" x14ac:dyDescent="0.25">
      <c r="A557" s="12"/>
      <c r="B557" s="18"/>
    </row>
    <row r="558" spans="1:2" x14ac:dyDescent="0.25">
      <c r="A558" s="12"/>
      <c r="B558" s="18"/>
    </row>
    <row r="559" spans="1:2" x14ac:dyDescent="0.25">
      <c r="A559" s="12"/>
      <c r="B559" s="18"/>
    </row>
    <row r="560" spans="1:2" x14ac:dyDescent="0.25">
      <c r="A560" s="12"/>
      <c r="B560" s="18"/>
    </row>
    <row r="561" spans="1:2" x14ac:dyDescent="0.25">
      <c r="A561" s="12"/>
      <c r="B561" s="18"/>
    </row>
    <row r="562" spans="1:2" x14ac:dyDescent="0.25">
      <c r="A562" s="12"/>
      <c r="B562" s="18"/>
    </row>
    <row r="563" spans="1:2" x14ac:dyDescent="0.25">
      <c r="A563" s="12"/>
      <c r="B563" s="18"/>
    </row>
    <row r="564" spans="1:2" x14ac:dyDescent="0.25">
      <c r="A564" s="12"/>
      <c r="B564" s="18"/>
    </row>
    <row r="565" spans="1:2" x14ac:dyDescent="0.25">
      <c r="A565" s="12"/>
      <c r="B565" s="18"/>
    </row>
    <row r="566" spans="1:2" x14ac:dyDescent="0.25">
      <c r="A566" s="12"/>
      <c r="B566" s="18"/>
    </row>
    <row r="567" spans="1:2" x14ac:dyDescent="0.25">
      <c r="A567" s="12"/>
      <c r="B567" s="18"/>
    </row>
    <row r="568" spans="1:2" x14ac:dyDescent="0.25">
      <c r="A568" s="12"/>
      <c r="B568" s="18"/>
    </row>
    <row r="569" spans="1:2" x14ac:dyDescent="0.25">
      <c r="A569" s="12"/>
      <c r="B569" s="18"/>
    </row>
    <row r="570" spans="1:2" x14ac:dyDescent="0.25">
      <c r="A570" s="12"/>
      <c r="B570" s="18"/>
    </row>
    <row r="571" spans="1:2" x14ac:dyDescent="0.25">
      <c r="A571" s="12"/>
      <c r="B571" s="18"/>
    </row>
    <row r="572" spans="1:2" x14ac:dyDescent="0.25">
      <c r="A572" s="12"/>
      <c r="B572" s="18"/>
    </row>
    <row r="573" spans="1:2" x14ac:dyDescent="0.25">
      <c r="A573" s="12"/>
      <c r="B573" s="18"/>
    </row>
    <row r="574" spans="1:2" x14ac:dyDescent="0.25">
      <c r="A574" s="12"/>
      <c r="B574" s="18"/>
    </row>
    <row r="575" spans="1:2" x14ac:dyDescent="0.25">
      <c r="A575" s="12"/>
      <c r="B575" s="18"/>
    </row>
    <row r="576" spans="1:2" x14ac:dyDescent="0.25">
      <c r="A576" s="12"/>
      <c r="B576" s="18"/>
    </row>
    <row r="577" spans="1:2" x14ac:dyDescent="0.25">
      <c r="A577" s="12"/>
      <c r="B577" s="18"/>
    </row>
    <row r="578" spans="1:2" x14ac:dyDescent="0.25">
      <c r="A578" s="12"/>
      <c r="B578" s="18"/>
    </row>
    <row r="579" spans="1:2" x14ac:dyDescent="0.25">
      <c r="A579" s="12"/>
      <c r="B579" s="18"/>
    </row>
    <row r="580" spans="1:2" x14ac:dyDescent="0.25">
      <c r="A580" s="12"/>
      <c r="B580" s="18"/>
    </row>
    <row r="581" spans="1:2" x14ac:dyDescent="0.25">
      <c r="A581" s="12"/>
      <c r="B581" s="18"/>
    </row>
    <row r="582" spans="1:2" x14ac:dyDescent="0.25">
      <c r="A582" s="12"/>
      <c r="B582" s="18"/>
    </row>
    <row r="583" spans="1:2" x14ac:dyDescent="0.25">
      <c r="A583" s="12"/>
      <c r="B583" s="18"/>
    </row>
    <row r="584" spans="1:2" x14ac:dyDescent="0.25">
      <c r="A584" s="12"/>
      <c r="B584" s="18"/>
    </row>
    <row r="585" spans="1:2" x14ac:dyDescent="0.25">
      <c r="A585" s="12"/>
      <c r="B585" s="18"/>
    </row>
    <row r="586" spans="1:2" x14ac:dyDescent="0.25">
      <c r="A586" s="12"/>
      <c r="B586" s="18"/>
    </row>
    <row r="587" spans="1:2" x14ac:dyDescent="0.25">
      <c r="A587" s="12"/>
      <c r="B587" s="18"/>
    </row>
    <row r="588" spans="1:2" x14ac:dyDescent="0.25">
      <c r="A588" s="12"/>
      <c r="B588" s="18"/>
    </row>
    <row r="589" spans="1:2" x14ac:dyDescent="0.25">
      <c r="A589" s="12"/>
      <c r="B589" s="18"/>
    </row>
    <row r="590" spans="1:2" x14ac:dyDescent="0.25">
      <c r="A590" s="12"/>
      <c r="B590" s="18"/>
    </row>
    <row r="591" spans="1:2" x14ac:dyDescent="0.25">
      <c r="A591" s="12"/>
      <c r="B591" s="18"/>
    </row>
    <row r="592" spans="1:2" x14ac:dyDescent="0.25">
      <c r="A592" s="12"/>
      <c r="B592" s="18"/>
    </row>
    <row r="593" spans="1:2" x14ac:dyDescent="0.25">
      <c r="A593" s="12"/>
      <c r="B593" s="18"/>
    </row>
    <row r="594" spans="1:2" x14ac:dyDescent="0.25">
      <c r="A594" s="12"/>
      <c r="B594" s="18"/>
    </row>
    <row r="595" spans="1:2" x14ac:dyDescent="0.25">
      <c r="A595" s="12"/>
      <c r="B595" s="18"/>
    </row>
    <row r="596" spans="1:2" x14ac:dyDescent="0.25">
      <c r="A596" s="12"/>
      <c r="B596" s="18"/>
    </row>
    <row r="597" spans="1:2" x14ac:dyDescent="0.25">
      <c r="A597" s="12"/>
      <c r="B597" s="18"/>
    </row>
    <row r="598" spans="1:2" x14ac:dyDescent="0.25">
      <c r="A598" s="12"/>
      <c r="B598" s="18"/>
    </row>
    <row r="599" spans="1:2" x14ac:dyDescent="0.25">
      <c r="A599" s="12"/>
      <c r="B599" s="18"/>
    </row>
    <row r="600" spans="1:2" x14ac:dyDescent="0.25">
      <c r="A600" s="12"/>
      <c r="B600" s="18"/>
    </row>
    <row r="601" spans="1:2" x14ac:dyDescent="0.25">
      <c r="A601" s="12"/>
      <c r="B601" s="18"/>
    </row>
    <row r="602" spans="1:2" x14ac:dyDescent="0.25">
      <c r="A602" s="12"/>
      <c r="B602" s="18"/>
    </row>
    <row r="603" spans="1:2" x14ac:dyDescent="0.25">
      <c r="A603" s="12"/>
      <c r="B603" s="18"/>
    </row>
    <row r="604" spans="1:2" x14ac:dyDescent="0.25">
      <c r="A604" s="12"/>
      <c r="B604" s="18"/>
    </row>
    <row r="605" spans="1:2" x14ac:dyDescent="0.25">
      <c r="A605" s="12"/>
      <c r="B605" s="18"/>
    </row>
    <row r="606" spans="1:2" x14ac:dyDescent="0.25">
      <c r="A606" s="12"/>
      <c r="B606" s="18"/>
    </row>
    <row r="607" spans="1:2" x14ac:dyDescent="0.25">
      <c r="A607" s="12"/>
      <c r="B607" s="18"/>
    </row>
    <row r="608" spans="1:2" x14ac:dyDescent="0.25">
      <c r="A608" s="12"/>
      <c r="B608" s="18"/>
    </row>
    <row r="609" spans="1:2" x14ac:dyDescent="0.25">
      <c r="A609" s="12"/>
      <c r="B609" s="18"/>
    </row>
    <row r="610" spans="1:2" x14ac:dyDescent="0.25">
      <c r="A610" s="12"/>
      <c r="B610" s="18"/>
    </row>
    <row r="611" spans="1:2" x14ac:dyDescent="0.25">
      <c r="A611" s="12"/>
      <c r="B611" s="18"/>
    </row>
    <row r="612" spans="1:2" x14ac:dyDescent="0.25">
      <c r="A612" s="12"/>
      <c r="B612" s="18"/>
    </row>
    <row r="613" spans="1:2" x14ac:dyDescent="0.25">
      <c r="A613" s="12"/>
      <c r="B613" s="18"/>
    </row>
    <row r="614" spans="1:2" x14ac:dyDescent="0.25">
      <c r="A614" s="12"/>
      <c r="B614" s="18"/>
    </row>
    <row r="615" spans="1:2" x14ac:dyDescent="0.25">
      <c r="A615" s="12"/>
      <c r="B615" s="18"/>
    </row>
    <row r="616" spans="1:2" x14ac:dyDescent="0.25">
      <c r="A616" s="12"/>
      <c r="B616" s="18"/>
    </row>
    <row r="617" spans="1:2" x14ac:dyDescent="0.25">
      <c r="A617" s="12"/>
      <c r="B617" s="18"/>
    </row>
    <row r="618" spans="1:2" x14ac:dyDescent="0.25">
      <c r="A618" s="12"/>
      <c r="B618" s="18"/>
    </row>
    <row r="619" spans="1:2" x14ac:dyDescent="0.25">
      <c r="A619" s="12"/>
      <c r="B619" s="18"/>
    </row>
    <row r="620" spans="1:2" x14ac:dyDescent="0.25">
      <c r="A620" s="12"/>
      <c r="B620" s="18"/>
    </row>
    <row r="621" spans="1:2" x14ac:dyDescent="0.25">
      <c r="A621" s="12"/>
      <c r="B621" s="18"/>
    </row>
    <row r="622" spans="1:2" x14ac:dyDescent="0.25">
      <c r="A622" s="12"/>
      <c r="B622" s="18"/>
    </row>
    <row r="623" spans="1:2" x14ac:dyDescent="0.25">
      <c r="A623" s="12"/>
      <c r="B623" s="18"/>
    </row>
    <row r="624" spans="1:2" x14ac:dyDescent="0.25">
      <c r="A624" s="12"/>
      <c r="B624" s="18"/>
    </row>
    <row r="625" spans="1:2" x14ac:dyDescent="0.25">
      <c r="A625" s="12"/>
      <c r="B625" s="18"/>
    </row>
    <row r="626" spans="1:2" x14ac:dyDescent="0.25">
      <c r="A626" s="12"/>
      <c r="B626" s="18"/>
    </row>
    <row r="627" spans="1:2" x14ac:dyDescent="0.25">
      <c r="A627" s="12"/>
      <c r="B627" s="18"/>
    </row>
    <row r="628" spans="1:2" x14ac:dyDescent="0.25">
      <c r="A628" s="12"/>
      <c r="B628" s="18"/>
    </row>
    <row r="629" spans="1:2" x14ac:dyDescent="0.25">
      <c r="A629" s="12"/>
      <c r="B629" s="18"/>
    </row>
    <row r="630" spans="1:2" x14ac:dyDescent="0.25">
      <c r="A630" s="12"/>
      <c r="B630" s="18"/>
    </row>
    <row r="631" spans="1:2" x14ac:dyDescent="0.25">
      <c r="A631" s="12"/>
      <c r="B631" s="18"/>
    </row>
    <row r="632" spans="1:2" x14ac:dyDescent="0.25">
      <c r="A632" s="12"/>
      <c r="B632" s="18"/>
    </row>
    <row r="633" spans="1:2" x14ac:dyDescent="0.25">
      <c r="A633" s="12"/>
      <c r="B633" s="18"/>
    </row>
    <row r="634" spans="1:2" x14ac:dyDescent="0.25">
      <c r="A634" s="12"/>
      <c r="B634" s="18"/>
    </row>
    <row r="635" spans="1:2" x14ac:dyDescent="0.25">
      <c r="A635" s="12"/>
      <c r="B635" s="18"/>
    </row>
    <row r="636" spans="1:2" x14ac:dyDescent="0.25">
      <c r="A636" s="12"/>
      <c r="B636" s="18"/>
    </row>
    <row r="637" spans="1:2" x14ac:dyDescent="0.25">
      <c r="A637" s="12"/>
      <c r="B637" s="18"/>
    </row>
    <row r="638" spans="1:2" x14ac:dyDescent="0.25">
      <c r="A638" s="12"/>
      <c r="B638" s="18"/>
    </row>
    <row r="639" spans="1:2" x14ac:dyDescent="0.25">
      <c r="A639" s="12"/>
      <c r="B639" s="18"/>
    </row>
    <row r="640" spans="1:2" x14ac:dyDescent="0.25">
      <c r="A640" s="12"/>
      <c r="B640" s="18"/>
    </row>
    <row r="641" spans="1:2" x14ac:dyDescent="0.25">
      <c r="A641" s="12"/>
      <c r="B641" s="18"/>
    </row>
    <row r="642" spans="1:2" x14ac:dyDescent="0.25">
      <c r="A642" s="12"/>
      <c r="B642" s="18"/>
    </row>
    <row r="643" spans="1:2" x14ac:dyDescent="0.25">
      <c r="A643" s="12"/>
      <c r="B643" s="18"/>
    </row>
    <row r="644" spans="1:2" x14ac:dyDescent="0.25">
      <c r="A644" s="12"/>
      <c r="B644" s="18"/>
    </row>
    <row r="645" spans="1:2" x14ac:dyDescent="0.25">
      <c r="A645" s="12"/>
      <c r="B645" s="18"/>
    </row>
    <row r="646" spans="1:2" x14ac:dyDescent="0.25">
      <c r="A646" s="12"/>
      <c r="B646" s="18"/>
    </row>
    <row r="647" spans="1:2" x14ac:dyDescent="0.25">
      <c r="A647" s="12"/>
      <c r="B647" s="18"/>
    </row>
    <row r="648" spans="1:2" x14ac:dyDescent="0.25">
      <c r="A648" s="12"/>
      <c r="B648" s="18"/>
    </row>
    <row r="649" spans="1:2" x14ac:dyDescent="0.25">
      <c r="A649" s="12"/>
      <c r="B649" s="18"/>
    </row>
    <row r="650" spans="1:2" x14ac:dyDescent="0.25">
      <c r="A650" s="12"/>
      <c r="B650" s="18"/>
    </row>
    <row r="651" spans="1:2" x14ac:dyDescent="0.25">
      <c r="A651" s="12"/>
      <c r="B651" s="18"/>
    </row>
    <row r="652" spans="1:2" x14ac:dyDescent="0.25">
      <c r="A652" s="12"/>
      <c r="B652" s="18"/>
    </row>
    <row r="653" spans="1:2" x14ac:dyDescent="0.25">
      <c r="A653" s="12"/>
      <c r="B653" s="18"/>
    </row>
    <row r="654" spans="1:2" x14ac:dyDescent="0.25">
      <c r="A654" s="12"/>
      <c r="B654" s="18"/>
    </row>
    <row r="655" spans="1:2" x14ac:dyDescent="0.25">
      <c r="A655" s="12"/>
      <c r="B655" s="18"/>
    </row>
    <row r="656" spans="1:2" x14ac:dyDescent="0.25">
      <c r="A656" s="12"/>
      <c r="B656" s="18"/>
    </row>
    <row r="657" spans="1:2" x14ac:dyDescent="0.25">
      <c r="A657" s="12"/>
      <c r="B657" s="18"/>
    </row>
    <row r="658" spans="1:2" x14ac:dyDescent="0.25">
      <c r="A658" s="12"/>
      <c r="B658" s="18"/>
    </row>
    <row r="659" spans="1:2" x14ac:dyDescent="0.25">
      <c r="A659" s="12"/>
      <c r="B659" s="18"/>
    </row>
    <row r="660" spans="1:2" x14ac:dyDescent="0.25">
      <c r="A660" s="12"/>
      <c r="B660" s="18"/>
    </row>
    <row r="661" spans="1:2" x14ac:dyDescent="0.25">
      <c r="A661" s="12"/>
      <c r="B661" s="18"/>
    </row>
    <row r="662" spans="1:2" x14ac:dyDescent="0.25">
      <c r="A662" s="12"/>
      <c r="B662" s="18"/>
    </row>
    <row r="663" spans="1:2" x14ac:dyDescent="0.25">
      <c r="A663" s="12"/>
      <c r="B663" s="18"/>
    </row>
    <row r="664" spans="1:2" x14ac:dyDescent="0.25">
      <c r="A664" s="12"/>
      <c r="B664" s="18"/>
    </row>
    <row r="665" spans="1:2" x14ac:dyDescent="0.25">
      <c r="A665" s="12"/>
      <c r="B665" s="18"/>
    </row>
    <row r="666" spans="1:2" x14ac:dyDescent="0.25">
      <c r="A666" s="12"/>
      <c r="B666" s="18"/>
    </row>
    <row r="667" spans="1:2" x14ac:dyDescent="0.25">
      <c r="A667" s="12"/>
      <c r="B667" s="18"/>
    </row>
    <row r="668" spans="1:2" x14ac:dyDescent="0.25">
      <c r="A668" s="12"/>
      <c r="B668" s="18"/>
    </row>
    <row r="669" spans="1:2" x14ac:dyDescent="0.25">
      <c r="A669" s="12"/>
      <c r="B669" s="18"/>
    </row>
    <row r="670" spans="1:2" x14ac:dyDescent="0.25">
      <c r="A670" s="12"/>
      <c r="B670" s="18"/>
    </row>
    <row r="671" spans="1:2" x14ac:dyDescent="0.25">
      <c r="A671" s="12"/>
      <c r="B671" s="18"/>
    </row>
    <row r="672" spans="1:2" x14ac:dyDescent="0.25">
      <c r="A672" s="12"/>
      <c r="B672" s="18"/>
    </row>
    <row r="673" spans="1:2" x14ac:dyDescent="0.25">
      <c r="A673" s="12"/>
      <c r="B673" s="18"/>
    </row>
    <row r="674" spans="1:2" x14ac:dyDescent="0.25">
      <c r="A674" s="12"/>
      <c r="B674" s="18"/>
    </row>
    <row r="675" spans="1:2" x14ac:dyDescent="0.25">
      <c r="A675" s="12"/>
      <c r="B675" s="18"/>
    </row>
    <row r="676" spans="1:2" x14ac:dyDescent="0.25">
      <c r="A676" s="12"/>
      <c r="B676" s="18"/>
    </row>
    <row r="677" spans="1:2" x14ac:dyDescent="0.25">
      <c r="A677" s="12"/>
      <c r="B677" s="18"/>
    </row>
    <row r="678" spans="1:2" x14ac:dyDescent="0.25">
      <c r="A678" s="12"/>
      <c r="B678" s="18"/>
    </row>
    <row r="679" spans="1:2" x14ac:dyDescent="0.25">
      <c r="A679" s="12"/>
      <c r="B679" s="18"/>
    </row>
    <row r="680" spans="1:2" x14ac:dyDescent="0.25">
      <c r="A680" s="12"/>
      <c r="B680" s="18"/>
    </row>
    <row r="681" spans="1:2" x14ac:dyDescent="0.25">
      <c r="A681" s="12"/>
      <c r="B681" s="18"/>
    </row>
    <row r="682" spans="1:2" x14ac:dyDescent="0.25">
      <c r="A682" s="12"/>
      <c r="B682" s="18"/>
    </row>
    <row r="683" spans="1:2" x14ac:dyDescent="0.25">
      <c r="A683" s="12"/>
      <c r="B683" s="18"/>
    </row>
    <row r="684" spans="1:2" x14ac:dyDescent="0.25">
      <c r="A684" s="12"/>
      <c r="B684" s="18"/>
    </row>
    <row r="685" spans="1:2" x14ac:dyDescent="0.25">
      <c r="A685" s="12"/>
      <c r="B685" s="18"/>
    </row>
    <row r="686" spans="1:2" x14ac:dyDescent="0.25">
      <c r="A686" s="12"/>
      <c r="B686" s="18"/>
    </row>
    <row r="687" spans="1:2" x14ac:dyDescent="0.25">
      <c r="A687" s="12"/>
      <c r="B687" s="18"/>
    </row>
    <row r="688" spans="1:2" x14ac:dyDescent="0.25">
      <c r="A688" s="12"/>
      <c r="B688" s="18"/>
    </row>
    <row r="689" spans="1:2" x14ac:dyDescent="0.25">
      <c r="A689" s="12"/>
      <c r="B689" s="18"/>
    </row>
    <row r="690" spans="1:2" x14ac:dyDescent="0.25">
      <c r="A690" s="12"/>
      <c r="B690" s="18"/>
    </row>
    <row r="691" spans="1:2" x14ac:dyDescent="0.25">
      <c r="A691" s="12"/>
      <c r="B691" s="18"/>
    </row>
    <row r="692" spans="1:2" x14ac:dyDescent="0.25">
      <c r="A692" s="12"/>
      <c r="B692" s="18"/>
    </row>
    <row r="693" spans="1:2" x14ac:dyDescent="0.25">
      <c r="A693" s="12"/>
      <c r="B693" s="18"/>
    </row>
    <row r="694" spans="1:2" x14ac:dyDescent="0.25">
      <c r="A694" s="12"/>
      <c r="B694" s="18"/>
    </row>
    <row r="695" spans="1:2" x14ac:dyDescent="0.25">
      <c r="A695" s="12"/>
      <c r="B695" s="18"/>
    </row>
    <row r="696" spans="1:2" x14ac:dyDescent="0.25">
      <c r="A696" s="12"/>
      <c r="B696" s="18"/>
    </row>
    <row r="697" spans="1:2" x14ac:dyDescent="0.25">
      <c r="A697" s="12"/>
      <c r="B697" s="18"/>
    </row>
    <row r="698" spans="1:2" x14ac:dyDescent="0.25">
      <c r="A698" s="12"/>
      <c r="B698" s="18"/>
    </row>
    <row r="699" spans="1:2" x14ac:dyDescent="0.25">
      <c r="A699" s="12"/>
      <c r="B699" s="18"/>
    </row>
    <row r="700" spans="1:2" x14ac:dyDescent="0.25">
      <c r="A700" s="12"/>
      <c r="B700" s="18"/>
    </row>
    <row r="701" spans="1:2" x14ac:dyDescent="0.25">
      <c r="A701" s="12"/>
      <c r="B701" s="18"/>
    </row>
    <row r="702" spans="1:2" x14ac:dyDescent="0.25">
      <c r="A702" s="12"/>
      <c r="B702" s="18"/>
    </row>
    <row r="703" spans="1:2" x14ac:dyDescent="0.25">
      <c r="A703" s="12"/>
      <c r="B703" s="18"/>
    </row>
    <row r="704" spans="1:2" x14ac:dyDescent="0.25">
      <c r="A704" s="12"/>
      <c r="B704" s="18"/>
    </row>
    <row r="705" spans="1:2" x14ac:dyDescent="0.25">
      <c r="A705" s="12"/>
      <c r="B705" s="18"/>
    </row>
    <row r="706" spans="1:2" x14ac:dyDescent="0.25">
      <c r="A706" s="12"/>
      <c r="B706" s="18"/>
    </row>
    <row r="707" spans="1:2" x14ac:dyDescent="0.25">
      <c r="A707" s="12"/>
      <c r="B707" s="18"/>
    </row>
    <row r="708" spans="1:2" x14ac:dyDescent="0.25">
      <c r="A708" s="12"/>
      <c r="B708" s="18"/>
    </row>
    <row r="709" spans="1:2" x14ac:dyDescent="0.25">
      <c r="A709" s="12"/>
      <c r="B709" s="18"/>
    </row>
    <row r="710" spans="1:2" x14ac:dyDescent="0.25">
      <c r="A710" s="12"/>
      <c r="B710" s="18"/>
    </row>
    <row r="711" spans="1:2" x14ac:dyDescent="0.25">
      <c r="A711" s="12"/>
      <c r="B711" s="18"/>
    </row>
    <row r="712" spans="1:2" x14ac:dyDescent="0.25">
      <c r="A712" s="12"/>
      <c r="B712" s="18"/>
    </row>
    <row r="713" spans="1:2" x14ac:dyDescent="0.25">
      <c r="A713" s="12"/>
      <c r="B713" s="18"/>
    </row>
    <row r="714" spans="1:2" x14ac:dyDescent="0.25">
      <c r="A714" s="12"/>
      <c r="B714" s="18"/>
    </row>
    <row r="715" spans="1:2" x14ac:dyDescent="0.25">
      <c r="A715" s="12"/>
      <c r="B715" s="18"/>
    </row>
    <row r="716" spans="1:2" x14ac:dyDescent="0.25">
      <c r="A716" s="12"/>
      <c r="B716" s="18"/>
    </row>
    <row r="717" spans="1:2" x14ac:dyDescent="0.25">
      <c r="A717" s="12"/>
      <c r="B717" s="18"/>
    </row>
    <row r="718" spans="1:2" x14ac:dyDescent="0.25">
      <c r="A718" s="12"/>
      <c r="B718" s="18"/>
    </row>
    <row r="719" spans="1:2" x14ac:dyDescent="0.25">
      <c r="A719" s="12"/>
      <c r="B719" s="18"/>
    </row>
    <row r="720" spans="1:2" x14ac:dyDescent="0.25">
      <c r="A720" s="12"/>
      <c r="B720" s="18"/>
    </row>
    <row r="721" spans="1:2" x14ac:dyDescent="0.25">
      <c r="A721" s="12"/>
      <c r="B721" s="18"/>
    </row>
    <row r="722" spans="1:2" x14ac:dyDescent="0.25">
      <c r="A722" s="12"/>
      <c r="B722" s="18"/>
    </row>
    <row r="723" spans="1:2" x14ac:dyDescent="0.25">
      <c r="A723" s="12"/>
      <c r="B723" s="18"/>
    </row>
    <row r="724" spans="1:2" x14ac:dyDescent="0.25">
      <c r="A724" s="12"/>
      <c r="B724" s="18"/>
    </row>
    <row r="725" spans="1:2" x14ac:dyDescent="0.25">
      <c r="A725" s="12"/>
      <c r="B725" s="18"/>
    </row>
    <row r="726" spans="1:2" x14ac:dyDescent="0.25">
      <c r="A726" s="12"/>
      <c r="B726" s="18"/>
    </row>
    <row r="727" spans="1:2" x14ac:dyDescent="0.25">
      <c r="A727" s="12"/>
      <c r="B727" s="18"/>
    </row>
    <row r="728" spans="1:2" x14ac:dyDescent="0.25">
      <c r="A728" s="12"/>
      <c r="B728" s="18"/>
    </row>
    <row r="729" spans="1:2" x14ac:dyDescent="0.25">
      <c r="A729" s="12"/>
      <c r="B729" s="18"/>
    </row>
    <row r="730" spans="1:2" x14ac:dyDescent="0.25">
      <c r="A730" s="12"/>
      <c r="B730" s="18"/>
    </row>
    <row r="731" spans="1:2" x14ac:dyDescent="0.25">
      <c r="A731" s="12"/>
      <c r="B731" s="18"/>
    </row>
    <row r="732" spans="1:2" x14ac:dyDescent="0.25">
      <c r="A732" s="12"/>
      <c r="B732" s="18"/>
    </row>
    <row r="733" spans="1:2" x14ac:dyDescent="0.25">
      <c r="A733" s="12"/>
      <c r="B733" s="18"/>
    </row>
    <row r="734" spans="1:2" x14ac:dyDescent="0.25">
      <c r="A734" s="12"/>
      <c r="B734" s="18"/>
    </row>
    <row r="735" spans="1:2" x14ac:dyDescent="0.25">
      <c r="A735" s="12"/>
      <c r="B735" s="18"/>
    </row>
    <row r="736" spans="1:2" x14ac:dyDescent="0.25">
      <c r="A736" s="12"/>
      <c r="B736" s="18"/>
    </row>
    <row r="737" spans="1:2" x14ac:dyDescent="0.25">
      <c r="A737" s="12"/>
      <c r="B737" s="18"/>
    </row>
    <row r="738" spans="1:2" x14ac:dyDescent="0.25">
      <c r="A738" s="12"/>
      <c r="B738" s="18"/>
    </row>
    <row r="739" spans="1:2" x14ac:dyDescent="0.25">
      <c r="A739" s="12"/>
      <c r="B739" s="18"/>
    </row>
    <row r="740" spans="1:2" x14ac:dyDescent="0.25">
      <c r="A740" s="12"/>
      <c r="B740" s="18"/>
    </row>
    <row r="741" spans="1:2" x14ac:dyDescent="0.25">
      <c r="A741" s="12"/>
      <c r="B741" s="18"/>
    </row>
    <row r="742" spans="1:2" x14ac:dyDescent="0.25">
      <c r="A742" s="12"/>
      <c r="B742" s="18"/>
    </row>
    <row r="743" spans="1:2" x14ac:dyDescent="0.25">
      <c r="A743" s="12"/>
      <c r="B743" s="18"/>
    </row>
    <row r="744" spans="1:2" x14ac:dyDescent="0.25">
      <c r="A744" s="12"/>
      <c r="B744" s="18"/>
    </row>
    <row r="745" spans="1:2" x14ac:dyDescent="0.25">
      <c r="A745" s="12"/>
      <c r="B745" s="18"/>
    </row>
    <row r="746" spans="1:2" x14ac:dyDescent="0.25">
      <c r="A746" s="12"/>
      <c r="B746" s="18"/>
    </row>
    <row r="747" spans="1:2" x14ac:dyDescent="0.25">
      <c r="A747" s="12"/>
      <c r="B747" s="18"/>
    </row>
    <row r="748" spans="1:2" x14ac:dyDescent="0.25">
      <c r="A748" s="12"/>
      <c r="B748" s="18"/>
    </row>
    <row r="749" spans="1:2" x14ac:dyDescent="0.25">
      <c r="A749" s="12"/>
      <c r="B749" s="18"/>
    </row>
    <row r="750" spans="1:2" x14ac:dyDescent="0.25">
      <c r="A750" s="12"/>
      <c r="B750" s="18"/>
    </row>
    <row r="751" spans="1:2" x14ac:dyDescent="0.25">
      <c r="A751" s="12"/>
      <c r="B751" s="18"/>
    </row>
    <row r="752" spans="1:2" x14ac:dyDescent="0.25">
      <c r="A752" s="12"/>
      <c r="B752" s="18"/>
    </row>
    <row r="753" spans="1:2" x14ac:dyDescent="0.25">
      <c r="A753" s="12"/>
      <c r="B753" s="18"/>
    </row>
    <row r="754" spans="1:2" x14ac:dyDescent="0.25">
      <c r="A754" s="12"/>
      <c r="B754" s="18"/>
    </row>
    <row r="755" spans="1:2" x14ac:dyDescent="0.25">
      <c r="A755" s="12"/>
      <c r="B755" s="18"/>
    </row>
    <row r="756" spans="1:2" x14ac:dyDescent="0.25">
      <c r="A756" s="12"/>
      <c r="B756" s="18"/>
    </row>
    <row r="757" spans="1:2" x14ac:dyDescent="0.25">
      <c r="A757" s="12"/>
      <c r="B757" s="18"/>
    </row>
    <row r="758" spans="1:2" x14ac:dyDescent="0.25">
      <c r="A758" s="12"/>
      <c r="B758" s="18"/>
    </row>
    <row r="759" spans="1:2" x14ac:dyDescent="0.25">
      <c r="A759" s="12"/>
      <c r="B759" s="18"/>
    </row>
    <row r="760" spans="1:2" x14ac:dyDescent="0.25">
      <c r="A760" s="12"/>
      <c r="B760" s="18"/>
    </row>
    <row r="761" spans="1:2" x14ac:dyDescent="0.25">
      <c r="A761" s="12"/>
      <c r="B761" s="18"/>
    </row>
    <row r="762" spans="1:2" x14ac:dyDescent="0.25">
      <c r="A762" s="12"/>
      <c r="B762" s="18"/>
    </row>
    <row r="763" spans="1:2" x14ac:dyDescent="0.25">
      <c r="A763" s="12"/>
      <c r="B763" s="18"/>
    </row>
    <row r="764" spans="1:2" x14ac:dyDescent="0.25">
      <c r="A764" s="12"/>
      <c r="B764" s="18"/>
    </row>
    <row r="765" spans="1:2" x14ac:dyDescent="0.25">
      <c r="A765" s="12"/>
      <c r="B765" s="18"/>
    </row>
    <row r="766" spans="1:2" x14ac:dyDescent="0.25">
      <c r="A766" s="12"/>
      <c r="B766" s="18"/>
    </row>
    <row r="767" spans="1:2" x14ac:dyDescent="0.25">
      <c r="A767" s="12"/>
      <c r="B767" s="18"/>
    </row>
    <row r="768" spans="1:2" x14ac:dyDescent="0.25">
      <c r="A768" s="12"/>
      <c r="B768" s="18"/>
    </row>
    <row r="769" spans="1:2" x14ac:dyDescent="0.25">
      <c r="A769" s="12"/>
      <c r="B769" s="18"/>
    </row>
    <row r="770" spans="1:2" x14ac:dyDescent="0.25">
      <c r="A770" s="12"/>
      <c r="B770" s="18"/>
    </row>
    <row r="771" spans="1:2" x14ac:dyDescent="0.25">
      <c r="A771" s="12"/>
      <c r="B771" s="18"/>
    </row>
    <row r="772" spans="1:2" x14ac:dyDescent="0.25">
      <c r="A772" s="12"/>
      <c r="B772" s="18"/>
    </row>
    <row r="773" spans="1:2" x14ac:dyDescent="0.25">
      <c r="A773" s="12"/>
      <c r="B773" s="18"/>
    </row>
    <row r="774" spans="1:2" x14ac:dyDescent="0.25">
      <c r="A774" s="12"/>
      <c r="B774" s="18"/>
    </row>
    <row r="775" spans="1:2" x14ac:dyDescent="0.25">
      <c r="A775" s="12"/>
      <c r="B775" s="18"/>
    </row>
    <row r="776" spans="1:2" x14ac:dyDescent="0.25">
      <c r="A776" s="12"/>
      <c r="B776" s="18"/>
    </row>
    <row r="777" spans="1:2" x14ac:dyDescent="0.25">
      <c r="A777" s="12"/>
      <c r="B777" s="18"/>
    </row>
    <row r="778" spans="1:2" x14ac:dyDescent="0.25">
      <c r="A778" s="12"/>
      <c r="B778" s="18"/>
    </row>
    <row r="779" spans="1:2" x14ac:dyDescent="0.25">
      <c r="A779" s="12"/>
      <c r="B779" s="18"/>
    </row>
    <row r="780" spans="1:2" x14ac:dyDescent="0.25">
      <c r="A780" s="12"/>
      <c r="B780" s="18"/>
    </row>
    <row r="781" spans="1:2" x14ac:dyDescent="0.25">
      <c r="A781" s="12"/>
      <c r="B781" s="18"/>
    </row>
    <row r="782" spans="1:2" x14ac:dyDescent="0.25">
      <c r="A782" s="12"/>
      <c r="B782" s="18"/>
    </row>
    <row r="783" spans="1:2" x14ac:dyDescent="0.25">
      <c r="A783" s="12"/>
      <c r="B783" s="18"/>
    </row>
    <row r="784" spans="1:2" x14ac:dyDescent="0.25">
      <c r="A784" s="12"/>
      <c r="B784" s="18"/>
    </row>
    <row r="785" spans="1:2" x14ac:dyDescent="0.25">
      <c r="A785" s="12"/>
      <c r="B785" s="18"/>
    </row>
    <row r="786" spans="1:2" x14ac:dyDescent="0.25">
      <c r="A786" s="12"/>
      <c r="B786" s="18"/>
    </row>
    <row r="787" spans="1:2" x14ac:dyDescent="0.25">
      <c r="A787" s="12"/>
      <c r="B787" s="18"/>
    </row>
    <row r="788" spans="1:2" x14ac:dyDescent="0.25">
      <c r="A788" s="12"/>
      <c r="B788" s="18"/>
    </row>
    <row r="789" spans="1:2" x14ac:dyDescent="0.25">
      <c r="A789" s="12"/>
      <c r="B789" s="18"/>
    </row>
    <row r="790" spans="1:2" x14ac:dyDescent="0.25">
      <c r="A790" s="12"/>
      <c r="B790" s="18"/>
    </row>
    <row r="791" spans="1:2" x14ac:dyDescent="0.25">
      <c r="A791" s="12"/>
      <c r="B791" s="18"/>
    </row>
    <row r="792" spans="1:2" x14ac:dyDescent="0.25">
      <c r="A792" s="12"/>
      <c r="B792" s="18"/>
    </row>
    <row r="793" spans="1:2" x14ac:dyDescent="0.25">
      <c r="A793" s="12"/>
      <c r="B793" s="18"/>
    </row>
    <row r="794" spans="1:2" x14ac:dyDescent="0.25">
      <c r="A794" s="12"/>
      <c r="B794" s="18"/>
    </row>
    <row r="795" spans="1:2" x14ac:dyDescent="0.25">
      <c r="A795" s="12"/>
      <c r="B795" s="18"/>
    </row>
    <row r="796" spans="1:2" x14ac:dyDescent="0.25">
      <c r="A796" s="12"/>
      <c r="B796" s="18"/>
    </row>
    <row r="797" spans="1:2" x14ac:dyDescent="0.25">
      <c r="A797" s="12"/>
      <c r="B797" s="18"/>
    </row>
    <row r="798" spans="1:2" x14ac:dyDescent="0.25">
      <c r="A798" s="12"/>
      <c r="B798" s="18"/>
    </row>
    <row r="799" spans="1:2" x14ac:dyDescent="0.25">
      <c r="A799" s="12"/>
      <c r="B799" s="18"/>
    </row>
    <row r="800" spans="1:2" x14ac:dyDescent="0.25">
      <c r="A800" s="12"/>
      <c r="B800" s="18"/>
    </row>
    <row r="801" spans="1:2" x14ac:dyDescent="0.25">
      <c r="A801" s="12"/>
      <c r="B801" s="18"/>
    </row>
    <row r="802" spans="1:2" x14ac:dyDescent="0.25">
      <c r="A802" s="12"/>
      <c r="B802" s="18"/>
    </row>
    <row r="803" spans="1:2" x14ac:dyDescent="0.25">
      <c r="A803" s="12"/>
      <c r="B803" s="18"/>
    </row>
    <row r="804" spans="1:2" x14ac:dyDescent="0.25">
      <c r="A804" s="12"/>
      <c r="B804" s="18"/>
    </row>
    <row r="805" spans="1:2" x14ac:dyDescent="0.25">
      <c r="A805" s="12"/>
      <c r="B805" s="18"/>
    </row>
    <row r="806" spans="1:2" x14ac:dyDescent="0.25">
      <c r="A806" s="12"/>
      <c r="B806" s="18"/>
    </row>
    <row r="807" spans="1:2" x14ac:dyDescent="0.25">
      <c r="A807" s="12"/>
      <c r="B807" s="18"/>
    </row>
    <row r="808" spans="1:2" x14ac:dyDescent="0.25">
      <c r="A808" s="12"/>
      <c r="B808" s="18"/>
    </row>
    <row r="809" spans="1:2" x14ac:dyDescent="0.25">
      <c r="A809" s="12"/>
      <c r="B809" s="18"/>
    </row>
    <row r="810" spans="1:2" x14ac:dyDescent="0.25">
      <c r="A810" s="12"/>
      <c r="B810" s="18"/>
    </row>
    <row r="811" spans="1:2" x14ac:dyDescent="0.25">
      <c r="A811" s="12"/>
      <c r="B811" s="18"/>
    </row>
    <row r="812" spans="1:2" x14ac:dyDescent="0.25">
      <c r="A812" s="12"/>
      <c r="B812" s="18"/>
    </row>
    <row r="813" spans="1:2" x14ac:dyDescent="0.25">
      <c r="A813" s="12"/>
      <c r="B813" s="18"/>
    </row>
    <row r="814" spans="1:2" x14ac:dyDescent="0.25">
      <c r="A814" s="12"/>
      <c r="B814" s="18"/>
    </row>
    <row r="815" spans="1:2" x14ac:dyDescent="0.25">
      <c r="A815" s="12"/>
      <c r="B815" s="18"/>
    </row>
    <row r="816" spans="1:2" x14ac:dyDescent="0.25">
      <c r="A816" s="12"/>
      <c r="B816" s="18"/>
    </row>
    <row r="817" spans="1:2" x14ac:dyDescent="0.25">
      <c r="A817" s="12"/>
      <c r="B817" s="18"/>
    </row>
    <row r="818" spans="1:2" x14ac:dyDescent="0.25">
      <c r="A818" s="12"/>
      <c r="B818" s="18"/>
    </row>
    <row r="819" spans="1:2" x14ac:dyDescent="0.25">
      <c r="A819" s="12"/>
      <c r="B819" s="18"/>
    </row>
    <row r="820" spans="1:2" x14ac:dyDescent="0.25">
      <c r="A820" s="12"/>
      <c r="B820" s="18"/>
    </row>
    <row r="821" spans="1:2" x14ac:dyDescent="0.25">
      <c r="A821" s="12"/>
      <c r="B821" s="18"/>
    </row>
    <row r="822" spans="1:2" x14ac:dyDescent="0.25">
      <c r="A822" s="12"/>
      <c r="B822" s="18"/>
    </row>
    <row r="823" spans="1:2" x14ac:dyDescent="0.25">
      <c r="A823" s="12"/>
      <c r="B823" s="18"/>
    </row>
    <row r="824" spans="1:2" x14ac:dyDescent="0.25">
      <c r="A824" s="12"/>
      <c r="B824" s="18"/>
    </row>
    <row r="825" spans="1:2" x14ac:dyDescent="0.25">
      <c r="A825" s="12"/>
      <c r="B825" s="18"/>
    </row>
    <row r="826" spans="1:2" x14ac:dyDescent="0.25">
      <c r="A826" s="12"/>
      <c r="B826" s="18"/>
    </row>
    <row r="827" spans="1:2" x14ac:dyDescent="0.25">
      <c r="A827" s="12"/>
      <c r="B827" s="18"/>
    </row>
    <row r="828" spans="1:2" x14ac:dyDescent="0.25">
      <c r="A828" s="12"/>
      <c r="B828" s="18"/>
    </row>
    <row r="829" spans="1:2" x14ac:dyDescent="0.25">
      <c r="A829" s="12"/>
      <c r="B829" s="18"/>
    </row>
    <row r="830" spans="1:2" x14ac:dyDescent="0.25">
      <c r="A830" s="12"/>
      <c r="B830" s="18"/>
    </row>
    <row r="831" spans="1:2" x14ac:dyDescent="0.25">
      <c r="A831" s="12"/>
      <c r="B831" s="18"/>
    </row>
    <row r="832" spans="1:2" x14ac:dyDescent="0.25">
      <c r="A832" s="12"/>
      <c r="B832" s="18"/>
    </row>
    <row r="833" spans="1:2" x14ac:dyDescent="0.25">
      <c r="A833" s="12"/>
      <c r="B833" s="18"/>
    </row>
    <row r="834" spans="1:2" x14ac:dyDescent="0.25">
      <c r="A834" s="12"/>
      <c r="B834" s="18"/>
    </row>
    <row r="835" spans="1:2" x14ac:dyDescent="0.25">
      <c r="A835" s="12"/>
      <c r="B835" s="18"/>
    </row>
    <row r="836" spans="1:2" x14ac:dyDescent="0.25">
      <c r="A836" s="12"/>
      <c r="B836" s="18"/>
    </row>
    <row r="837" spans="1:2" x14ac:dyDescent="0.25">
      <c r="A837" s="12"/>
      <c r="B837" s="18"/>
    </row>
    <row r="838" spans="1:2" x14ac:dyDescent="0.25">
      <c r="A838" s="12"/>
      <c r="B838" s="18"/>
    </row>
    <row r="839" spans="1:2" x14ac:dyDescent="0.25">
      <c r="A839" s="12"/>
      <c r="B839" s="18"/>
    </row>
    <row r="840" spans="1:2" x14ac:dyDescent="0.25">
      <c r="A840" s="12"/>
      <c r="B840" s="18"/>
    </row>
    <row r="841" spans="1:2" x14ac:dyDescent="0.25">
      <c r="A841" s="12"/>
      <c r="B841" s="18"/>
    </row>
    <row r="842" spans="1:2" x14ac:dyDescent="0.25">
      <c r="A842" s="12"/>
      <c r="B842" s="18"/>
    </row>
    <row r="843" spans="1:2" x14ac:dyDescent="0.25">
      <c r="A843" s="12"/>
      <c r="B843" s="18"/>
    </row>
    <row r="844" spans="1:2" x14ac:dyDescent="0.25">
      <c r="A844" s="12"/>
      <c r="B844" s="18"/>
    </row>
    <row r="845" spans="1:2" x14ac:dyDescent="0.25">
      <c r="A845" s="12"/>
      <c r="B845" s="18"/>
    </row>
    <row r="846" spans="1:2" x14ac:dyDescent="0.25">
      <c r="A846" s="12"/>
      <c r="B846" s="18"/>
    </row>
    <row r="847" spans="1:2" x14ac:dyDescent="0.25">
      <c r="A847" s="12"/>
      <c r="B847" s="18"/>
    </row>
    <row r="848" spans="1:2" x14ac:dyDescent="0.25">
      <c r="A848" s="12"/>
      <c r="B848" s="18"/>
    </row>
    <row r="849" spans="1:2" x14ac:dyDescent="0.25">
      <c r="A849" s="12"/>
      <c r="B849" s="18"/>
    </row>
    <row r="850" spans="1:2" x14ac:dyDescent="0.25">
      <c r="A850" s="12"/>
      <c r="B850" s="18"/>
    </row>
    <row r="851" spans="1:2" x14ac:dyDescent="0.25">
      <c r="A851" s="12"/>
      <c r="B851" s="18"/>
    </row>
    <row r="852" spans="1:2" x14ac:dyDescent="0.25">
      <c r="A852" s="12"/>
      <c r="B852" s="18"/>
    </row>
    <row r="853" spans="1:2" x14ac:dyDescent="0.25">
      <c r="A853" s="12"/>
      <c r="B853" s="18"/>
    </row>
    <row r="854" spans="1:2" x14ac:dyDescent="0.25">
      <c r="A854" s="12"/>
      <c r="B854" s="18"/>
    </row>
    <row r="855" spans="1:2" x14ac:dyDescent="0.25">
      <c r="A855" s="12"/>
      <c r="B855" s="18"/>
    </row>
    <row r="856" spans="1:2" x14ac:dyDescent="0.25">
      <c r="A856" s="12"/>
      <c r="B856" s="18"/>
    </row>
    <row r="857" spans="1:2" x14ac:dyDescent="0.25">
      <c r="A857" s="12"/>
      <c r="B857" s="18"/>
    </row>
    <row r="858" spans="1:2" x14ac:dyDescent="0.25">
      <c r="A858" s="12"/>
      <c r="B858" s="18"/>
    </row>
    <row r="859" spans="1:2" x14ac:dyDescent="0.25">
      <c r="A859" s="12"/>
      <c r="B859" s="18"/>
    </row>
    <row r="860" spans="1:2" x14ac:dyDescent="0.25">
      <c r="A860" s="12"/>
      <c r="B860" s="18"/>
    </row>
    <row r="861" spans="1:2" x14ac:dyDescent="0.25">
      <c r="A861" s="12"/>
      <c r="B861" s="18"/>
    </row>
    <row r="862" spans="1:2" x14ac:dyDescent="0.25">
      <c r="A862" s="12"/>
      <c r="B862" s="18"/>
    </row>
    <row r="863" spans="1:2" x14ac:dyDescent="0.25">
      <c r="A863" s="12"/>
      <c r="B863" s="18"/>
    </row>
    <row r="864" spans="1:2" x14ac:dyDescent="0.25">
      <c r="A864" s="12"/>
      <c r="B864" s="18"/>
    </row>
    <row r="865" spans="1:2" x14ac:dyDescent="0.25">
      <c r="A865" s="12"/>
      <c r="B865" s="18"/>
    </row>
    <row r="866" spans="1:2" x14ac:dyDescent="0.25">
      <c r="A866" s="12"/>
      <c r="B866" s="18"/>
    </row>
    <row r="867" spans="1:2" x14ac:dyDescent="0.25">
      <c r="A867" s="12"/>
      <c r="B867" s="18"/>
    </row>
    <row r="868" spans="1:2" x14ac:dyDescent="0.25">
      <c r="A868" s="12"/>
      <c r="B868" s="18"/>
    </row>
    <row r="869" spans="1:2" x14ac:dyDescent="0.25">
      <c r="A869" s="12"/>
      <c r="B869" s="18"/>
    </row>
    <row r="870" spans="1:2" x14ac:dyDescent="0.25">
      <c r="A870" s="12"/>
      <c r="B870" s="18"/>
    </row>
    <row r="871" spans="1:2" x14ac:dyDescent="0.25">
      <c r="A871" s="12"/>
      <c r="B871" s="18"/>
    </row>
    <row r="872" spans="1:2" x14ac:dyDescent="0.25">
      <c r="A872" s="12"/>
      <c r="B872" s="18"/>
    </row>
    <row r="873" spans="1:2" x14ac:dyDescent="0.25">
      <c r="A873" s="12"/>
      <c r="B873" s="18"/>
    </row>
    <row r="874" spans="1:2" x14ac:dyDescent="0.25">
      <c r="A874" s="12"/>
      <c r="B874" s="18"/>
    </row>
    <row r="875" spans="1:2" x14ac:dyDescent="0.25">
      <c r="A875" s="12"/>
      <c r="B875" s="18"/>
    </row>
    <row r="876" spans="1:2" x14ac:dyDescent="0.25">
      <c r="A876" s="12"/>
      <c r="B876" s="18"/>
    </row>
    <row r="877" spans="1:2" x14ac:dyDescent="0.25">
      <c r="A877" s="12"/>
      <c r="B877" s="18"/>
    </row>
    <row r="878" spans="1:2" x14ac:dyDescent="0.25">
      <c r="A878" s="12"/>
      <c r="B878" s="18"/>
    </row>
    <row r="879" spans="1:2" x14ac:dyDescent="0.25">
      <c r="A879" s="12"/>
      <c r="B879" s="18"/>
    </row>
    <row r="880" spans="1:2" x14ac:dyDescent="0.25">
      <c r="A880" s="12"/>
      <c r="B880" s="18"/>
    </row>
    <row r="881" spans="1:2" x14ac:dyDescent="0.25">
      <c r="A881" s="12"/>
      <c r="B881" s="18"/>
    </row>
    <row r="882" spans="1:2" x14ac:dyDescent="0.25">
      <c r="A882" s="12"/>
      <c r="B882" s="18"/>
    </row>
    <row r="883" spans="1:2" x14ac:dyDescent="0.25">
      <c r="A883" s="12"/>
      <c r="B883" s="18"/>
    </row>
    <row r="884" spans="1:2" x14ac:dyDescent="0.25">
      <c r="A884" s="12"/>
      <c r="B884" s="18"/>
    </row>
    <row r="885" spans="1:2" x14ac:dyDescent="0.25">
      <c r="A885" s="12"/>
      <c r="B885" s="18"/>
    </row>
    <row r="886" spans="1:2" x14ac:dyDescent="0.25">
      <c r="A886" s="12"/>
      <c r="B886" s="18"/>
    </row>
    <row r="887" spans="1:2" x14ac:dyDescent="0.25">
      <c r="A887" s="12"/>
      <c r="B887" s="18"/>
    </row>
    <row r="888" spans="1:2" x14ac:dyDescent="0.25">
      <c r="A888" s="12"/>
      <c r="B888" s="18"/>
    </row>
    <row r="889" spans="1:2" x14ac:dyDescent="0.25">
      <c r="A889" s="12"/>
      <c r="B889" s="18"/>
    </row>
    <row r="890" spans="1:2" x14ac:dyDescent="0.25">
      <c r="A890" s="12"/>
      <c r="B890" s="18"/>
    </row>
    <row r="891" spans="1:2" x14ac:dyDescent="0.25">
      <c r="A891" s="12"/>
      <c r="B891" s="18"/>
    </row>
    <row r="892" spans="1:2" x14ac:dyDescent="0.25">
      <c r="A892" s="12"/>
      <c r="B892" s="18"/>
    </row>
    <row r="893" spans="1:2" x14ac:dyDescent="0.25">
      <c r="A893" s="12"/>
      <c r="B893" s="18"/>
    </row>
    <row r="894" spans="1:2" x14ac:dyDescent="0.25">
      <c r="A894" s="12"/>
      <c r="B894" s="18"/>
    </row>
    <row r="895" spans="1:2" x14ac:dyDescent="0.25">
      <c r="A895" s="12"/>
      <c r="B895" s="18"/>
    </row>
    <row r="896" spans="1:2" x14ac:dyDescent="0.25">
      <c r="A896" s="12"/>
      <c r="B896" s="18"/>
    </row>
    <row r="897" spans="1:2" x14ac:dyDescent="0.25">
      <c r="A897" s="12"/>
      <c r="B897" s="18"/>
    </row>
    <row r="898" spans="1:2" x14ac:dyDescent="0.25">
      <c r="A898" s="12"/>
      <c r="B898" s="18"/>
    </row>
    <row r="899" spans="1:2" x14ac:dyDescent="0.25">
      <c r="A899" s="12"/>
      <c r="B899" s="18"/>
    </row>
    <row r="900" spans="1:2" x14ac:dyDescent="0.25">
      <c r="A900" s="12"/>
      <c r="B900" s="18"/>
    </row>
    <row r="901" spans="1:2" x14ac:dyDescent="0.25">
      <c r="A901" s="12"/>
      <c r="B901" s="18"/>
    </row>
    <row r="902" spans="1:2" x14ac:dyDescent="0.25">
      <c r="A902" s="12"/>
      <c r="B902" s="18"/>
    </row>
    <row r="903" spans="1:2" x14ac:dyDescent="0.25">
      <c r="A903" s="12"/>
      <c r="B903" s="18"/>
    </row>
    <row r="904" spans="1:2" x14ac:dyDescent="0.25">
      <c r="A904" s="12"/>
      <c r="B904" s="18"/>
    </row>
    <row r="905" spans="1:2" x14ac:dyDescent="0.25">
      <c r="A905" s="12"/>
      <c r="B905" s="18"/>
    </row>
    <row r="906" spans="1:2" x14ac:dyDescent="0.25">
      <c r="A906" s="12"/>
      <c r="B906" s="18"/>
    </row>
    <row r="907" spans="1:2" x14ac:dyDescent="0.25">
      <c r="A907" s="12"/>
      <c r="B907" s="18"/>
    </row>
    <row r="908" spans="1:2" x14ac:dyDescent="0.25">
      <c r="A908" s="12"/>
      <c r="B908" s="18"/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P188"/>
  <sheetViews>
    <sheetView topLeftCell="A33" workbookViewId="0">
      <selection activeCell="H61" sqref="H61"/>
    </sheetView>
  </sheetViews>
  <sheetFormatPr defaultRowHeight="15" x14ac:dyDescent="0.25"/>
  <cols>
    <col min="1" max="1" width="10.140625" bestFit="1" customWidth="1"/>
    <col min="7" max="7" width="18.140625" bestFit="1" customWidth="1"/>
    <col min="8" max="8" width="13.140625" customWidth="1"/>
    <col min="9" max="9" width="15.7109375" customWidth="1"/>
    <col min="10" max="10" width="23.5703125" customWidth="1"/>
    <col min="11" max="11" width="25.7109375" bestFit="1" customWidth="1"/>
    <col min="12" max="12" width="22" bestFit="1" customWidth="1"/>
  </cols>
  <sheetData>
    <row r="1" spans="1:16" ht="16.5" thickBot="1" x14ac:dyDescent="0.3">
      <c r="A1" t="s">
        <v>51</v>
      </c>
      <c r="B1" t="s">
        <v>0</v>
      </c>
      <c r="C1" t="s">
        <v>94</v>
      </c>
      <c r="G1" s="135" t="s">
        <v>134</v>
      </c>
      <c r="H1" s="136"/>
      <c r="I1" s="136"/>
      <c r="J1" s="136"/>
      <c r="K1" s="136"/>
      <c r="L1" s="137"/>
    </row>
    <row r="2" spans="1:16" ht="15.75" thickBot="1" x14ac:dyDescent="0.3">
      <c r="A2" s="12">
        <v>45404</v>
      </c>
      <c r="B2" s="18">
        <v>21.59</v>
      </c>
      <c r="C2" s="116">
        <f>B2/B3-1</f>
        <v>5.4714215925744991E-2</v>
      </c>
      <c r="G2" s="53"/>
      <c r="H2" s="54"/>
      <c r="I2" s="54"/>
      <c r="J2" s="54"/>
      <c r="K2" s="54"/>
      <c r="L2" s="55"/>
    </row>
    <row r="3" spans="1:16" ht="15.75" thickBot="1" x14ac:dyDescent="0.3">
      <c r="A3" s="12">
        <v>45397</v>
      </c>
      <c r="B3" s="18">
        <v>20.47</v>
      </c>
      <c r="C3" s="116">
        <f>B3/B4-1</f>
        <v>-9.7044552271724815E-2</v>
      </c>
      <c r="G3" s="56" t="s">
        <v>109</v>
      </c>
      <c r="H3" s="75" t="s">
        <v>110</v>
      </c>
      <c r="I3" s="57" t="s">
        <v>111</v>
      </c>
      <c r="J3" s="58" t="s">
        <v>104</v>
      </c>
      <c r="K3" s="58" t="s">
        <v>112</v>
      </c>
      <c r="L3" s="59" t="s">
        <v>113</v>
      </c>
      <c r="P3" t="s">
        <v>133</v>
      </c>
    </row>
    <row r="4" spans="1:16" x14ac:dyDescent="0.25">
      <c r="A4" s="12">
        <v>45390</v>
      </c>
      <c r="B4" s="18">
        <v>22.67</v>
      </c>
      <c r="C4" s="116">
        <f t="shared" ref="C4:C67" si="0">B4/B5-1</f>
        <v>-1.2630662020905903E-2</v>
      </c>
      <c r="G4" s="60">
        <f>$H$19-3*$H$23</f>
        <v>-0.30196155743324171</v>
      </c>
      <c r="H4" s="61">
        <f>G4</f>
        <v>-0.30196155743324171</v>
      </c>
      <c r="I4" s="62">
        <f>COUNTIF(C:C,"&lt;="&amp;G4)</f>
        <v>0</v>
      </c>
      <c r="J4" s="62" t="str">
        <f>"Less than "&amp;TEXT(G4,"0,00%")</f>
        <v>Less than -30,20%</v>
      </c>
      <c r="K4" s="63">
        <f>I4/$H$31</f>
        <v>0</v>
      </c>
      <c r="L4" s="64">
        <f>K4</f>
        <v>0</v>
      </c>
    </row>
    <row r="5" spans="1:16" x14ac:dyDescent="0.25">
      <c r="A5" s="12">
        <v>45383</v>
      </c>
      <c r="B5" s="18">
        <v>22.96</v>
      </c>
      <c r="C5" s="116">
        <f t="shared" si="0"/>
        <v>-2.1729682746631784E-3</v>
      </c>
      <c r="G5" s="65">
        <f>$H$19-2.4*$H$23</f>
        <v>-0.2395044379089247</v>
      </c>
      <c r="H5" s="66">
        <f>G5</f>
        <v>-0.2395044379089247</v>
      </c>
      <c r="I5" s="67">
        <f>COUNTIFS(C:C,"&lt;="&amp;G5,C:C,"&gt;"&amp;G4)</f>
        <v>0</v>
      </c>
      <c r="J5" s="68" t="str">
        <f t="shared" ref="J5:J14" si="1">TEXT(G4,"0,00%")&amp;" to "&amp;TEXT(G5,"0,00%")</f>
        <v>-30,20% to -23,95%</v>
      </c>
      <c r="K5" s="69">
        <f>I5/$H$31</f>
        <v>0</v>
      </c>
      <c r="L5" s="70">
        <f>L4+K5</f>
        <v>0</v>
      </c>
    </row>
    <row r="6" spans="1:16" x14ac:dyDescent="0.25">
      <c r="A6" s="12">
        <v>45376</v>
      </c>
      <c r="B6" s="18">
        <v>23.01</v>
      </c>
      <c r="C6" s="116">
        <f t="shared" si="0"/>
        <v>-4.8387096774193505E-2</v>
      </c>
      <c r="G6" s="65">
        <f>$H$19-1.8*$H$23</f>
        <v>-0.17704731838460766</v>
      </c>
      <c r="H6" s="66">
        <f t="shared" ref="H6:H14" si="2">G6</f>
        <v>-0.17704731838460766</v>
      </c>
      <c r="I6" s="67">
        <f t="shared" ref="I6:I14" si="3">COUNTIFS(C:C,"&lt;="&amp;G6,C:C,"&gt;"&amp;G5)</f>
        <v>0</v>
      </c>
      <c r="J6" s="68" t="str">
        <f t="shared" si="1"/>
        <v>-23,95% to -17,70%</v>
      </c>
      <c r="K6" s="69">
        <f t="shared" ref="K6:K15" si="4">I6/$H$31</f>
        <v>0</v>
      </c>
      <c r="L6" s="70">
        <f t="shared" ref="L6:L15" si="5">L5+K6</f>
        <v>0</v>
      </c>
    </row>
    <row r="7" spans="1:16" x14ac:dyDescent="0.25">
      <c r="A7" s="12">
        <v>45369</v>
      </c>
      <c r="B7" s="18">
        <v>24.18</v>
      </c>
      <c r="C7" s="116">
        <f t="shared" si="0"/>
        <v>2.9374201787994991E-2</v>
      </c>
      <c r="G7" s="65">
        <f>$H$19-1.2*$H$23</f>
        <v>-0.11459019886029058</v>
      </c>
      <c r="H7" s="66">
        <f t="shared" si="2"/>
        <v>-0.11459019886029058</v>
      </c>
      <c r="I7" s="67">
        <f t="shared" si="3"/>
        <v>18</v>
      </c>
      <c r="J7" s="68" t="str">
        <f t="shared" si="1"/>
        <v>-17,70% to -11,46%</v>
      </c>
      <c r="K7" s="69">
        <f t="shared" si="4"/>
        <v>9.9447513812154692E-2</v>
      </c>
      <c r="L7" s="70">
        <f t="shared" si="5"/>
        <v>9.9447513812154692E-2</v>
      </c>
    </row>
    <row r="8" spans="1:16" x14ac:dyDescent="0.25">
      <c r="A8" s="12">
        <v>45362</v>
      </c>
      <c r="B8" s="18">
        <v>23.49</v>
      </c>
      <c r="C8" s="116">
        <f t="shared" si="0"/>
        <v>-9.7926301922953152E-2</v>
      </c>
      <c r="G8" s="65">
        <f>$H$19-0.6*$H$23</f>
        <v>-5.2133079335973533E-2</v>
      </c>
      <c r="H8" s="66">
        <f t="shared" si="2"/>
        <v>-5.2133079335973533E-2</v>
      </c>
      <c r="I8" s="67">
        <f t="shared" si="3"/>
        <v>34</v>
      </c>
      <c r="J8" s="68" t="str">
        <f t="shared" si="1"/>
        <v>-11,46% to -5,21%</v>
      </c>
      <c r="K8" s="69">
        <f t="shared" si="4"/>
        <v>0.18784530386740331</v>
      </c>
      <c r="L8" s="70">
        <f t="shared" si="5"/>
        <v>0.287292817679558</v>
      </c>
    </row>
    <row r="9" spans="1:16" x14ac:dyDescent="0.25">
      <c r="A9" s="12">
        <v>45355</v>
      </c>
      <c r="B9" s="18">
        <v>26.040001</v>
      </c>
      <c r="C9" s="116">
        <f t="shared" si="0"/>
        <v>4.4524709185719935E-2</v>
      </c>
      <c r="G9" s="65">
        <f>$H$19</f>
        <v>1.0324040188343523E-2</v>
      </c>
      <c r="H9" s="66">
        <f t="shared" si="2"/>
        <v>1.0324040188343523E-2</v>
      </c>
      <c r="I9" s="67">
        <f t="shared" si="3"/>
        <v>47</v>
      </c>
      <c r="J9" s="68" t="str">
        <f t="shared" si="1"/>
        <v>-5,21% to 1,03%</v>
      </c>
      <c r="K9" s="69">
        <f t="shared" si="4"/>
        <v>0.25966850828729282</v>
      </c>
      <c r="L9" s="70">
        <f t="shared" si="5"/>
        <v>0.54696132596685088</v>
      </c>
    </row>
    <row r="10" spans="1:16" x14ac:dyDescent="0.25">
      <c r="A10" s="12">
        <v>45348</v>
      </c>
      <c r="B10" s="18">
        <v>24.93</v>
      </c>
      <c r="C10" s="116">
        <f t="shared" si="0"/>
        <v>8.5328736844960229E-2</v>
      </c>
      <c r="G10" s="65">
        <f>$H$19+0.6*$H$23</f>
        <v>7.2781159712660581E-2</v>
      </c>
      <c r="H10" s="66">
        <f t="shared" si="2"/>
        <v>7.2781159712660581E-2</v>
      </c>
      <c r="I10" s="67">
        <f t="shared" si="3"/>
        <v>52</v>
      </c>
      <c r="J10" s="68" t="str">
        <f t="shared" si="1"/>
        <v>1,03% to 7,28%</v>
      </c>
      <c r="K10" s="69">
        <f t="shared" si="4"/>
        <v>0.287292817679558</v>
      </c>
      <c r="L10" s="70">
        <f t="shared" si="5"/>
        <v>0.83425414364640882</v>
      </c>
    </row>
    <row r="11" spans="1:16" x14ac:dyDescent="0.25">
      <c r="A11" s="12">
        <v>45341</v>
      </c>
      <c r="B11" s="18">
        <v>22.969999000000001</v>
      </c>
      <c r="C11" s="116">
        <f t="shared" si="0"/>
        <v>-6.0147378881040048E-2</v>
      </c>
      <c r="G11" s="65">
        <f>$H$19+1.2*$H$23</f>
        <v>0.13523827923697762</v>
      </c>
      <c r="H11" s="66">
        <f t="shared" si="2"/>
        <v>0.13523827923697762</v>
      </c>
      <c r="I11" s="67">
        <f t="shared" si="3"/>
        <v>21</v>
      </c>
      <c r="J11" s="68" t="str">
        <f t="shared" si="1"/>
        <v>7,28% to 13,52%</v>
      </c>
      <c r="K11" s="69">
        <f t="shared" si="4"/>
        <v>0.11602209944751381</v>
      </c>
      <c r="L11" s="70">
        <f t="shared" si="5"/>
        <v>0.95027624309392267</v>
      </c>
    </row>
    <row r="12" spans="1:16" x14ac:dyDescent="0.25">
      <c r="A12" s="12">
        <v>45334</v>
      </c>
      <c r="B12" s="18">
        <v>24.440000999999999</v>
      </c>
      <c r="C12" s="116">
        <f t="shared" si="0"/>
        <v>2.4611157695288988E-3</v>
      </c>
      <c r="G12" s="65">
        <f>$H$19+1.8*$H$23</f>
        <v>0.19769539876129469</v>
      </c>
      <c r="H12" s="66">
        <f t="shared" si="2"/>
        <v>0.19769539876129469</v>
      </c>
      <c r="I12" s="67">
        <f t="shared" si="3"/>
        <v>5</v>
      </c>
      <c r="J12" s="68" t="str">
        <f t="shared" si="1"/>
        <v>13,52% to 19,77%</v>
      </c>
      <c r="K12" s="69">
        <f t="shared" si="4"/>
        <v>2.7624309392265192E-2</v>
      </c>
      <c r="L12" s="70">
        <f t="shared" si="5"/>
        <v>0.9779005524861879</v>
      </c>
    </row>
    <row r="13" spans="1:16" x14ac:dyDescent="0.25">
      <c r="A13" s="12">
        <v>45327</v>
      </c>
      <c r="B13" s="18">
        <v>24.379999000000002</v>
      </c>
      <c r="C13" s="116">
        <f t="shared" si="0"/>
        <v>0.43243237367802601</v>
      </c>
      <c r="G13" s="65">
        <f>$H$19+2.4*$H$23</f>
        <v>0.26015251828561176</v>
      </c>
      <c r="H13" s="66">
        <f t="shared" si="2"/>
        <v>0.26015251828561176</v>
      </c>
      <c r="I13" s="67">
        <f t="shared" si="3"/>
        <v>4</v>
      </c>
      <c r="J13" s="68" t="str">
        <f t="shared" si="1"/>
        <v>19,77% to 26,02%</v>
      </c>
      <c r="K13" s="69">
        <f t="shared" si="4"/>
        <v>2.2099447513812154E-2</v>
      </c>
      <c r="L13" s="70">
        <f t="shared" si="5"/>
        <v>1</v>
      </c>
    </row>
    <row r="14" spans="1:16" x14ac:dyDescent="0.25">
      <c r="A14" s="12">
        <v>45320</v>
      </c>
      <c r="B14" s="18">
        <v>17.02</v>
      </c>
      <c r="C14" s="116">
        <f t="shared" si="0"/>
        <v>4.0978593272171127E-2</v>
      </c>
      <c r="G14" s="65">
        <f>$H$19+3*$H$23</f>
        <v>0.3226096378099288</v>
      </c>
      <c r="H14" s="66">
        <f t="shared" si="2"/>
        <v>0.3226096378099288</v>
      </c>
      <c r="I14" s="67">
        <f t="shared" si="3"/>
        <v>2</v>
      </c>
      <c r="J14" s="68" t="str">
        <f t="shared" si="1"/>
        <v>26,02% to 32,26%</v>
      </c>
      <c r="K14" s="69">
        <f t="shared" si="4"/>
        <v>1.1049723756906077E-2</v>
      </c>
      <c r="L14" s="70">
        <f t="shared" si="5"/>
        <v>1.011049723756906</v>
      </c>
    </row>
    <row r="15" spans="1:16" ht="15.75" thickBot="1" x14ac:dyDescent="0.3">
      <c r="A15" s="12">
        <v>45313</v>
      </c>
      <c r="B15" s="18">
        <v>16.350000000000001</v>
      </c>
      <c r="C15" s="116">
        <f t="shared" si="0"/>
        <v>-2.5625803002037761E-2</v>
      </c>
      <c r="G15" s="71"/>
      <c r="H15" s="72" t="s">
        <v>114</v>
      </c>
      <c r="I15" s="72">
        <f>COUNTIF(C:C,"&gt;"&amp;G14)</f>
        <v>3</v>
      </c>
      <c r="J15" s="72" t="str">
        <f>"Greater than "&amp;TEXT(G14,"0,00%")</f>
        <v>Greater than 32,26%</v>
      </c>
      <c r="K15" s="74">
        <f t="shared" si="4"/>
        <v>1.6574585635359115E-2</v>
      </c>
      <c r="L15" s="74">
        <f t="shared" si="5"/>
        <v>1.0276243093922652</v>
      </c>
    </row>
    <row r="16" spans="1:16" ht="15.75" thickBot="1" x14ac:dyDescent="0.3">
      <c r="A16" s="12">
        <v>45306</v>
      </c>
      <c r="B16" s="18">
        <v>16.780000999999999</v>
      </c>
      <c r="C16" s="116">
        <f t="shared" si="0"/>
        <v>1.1933770883052475E-3</v>
      </c>
      <c r="G16" s="106"/>
      <c r="L16" s="78"/>
    </row>
    <row r="17" spans="1:12" x14ac:dyDescent="0.25">
      <c r="A17" s="12">
        <v>45299</v>
      </c>
      <c r="B17" s="18">
        <v>16.760000000000002</v>
      </c>
      <c r="C17" s="116">
        <f t="shared" si="0"/>
        <v>4.8811013767209088E-2</v>
      </c>
      <c r="G17" s="141" t="s">
        <v>95</v>
      </c>
      <c r="H17" s="142"/>
      <c r="L17" s="78"/>
    </row>
    <row r="18" spans="1:12" x14ac:dyDescent="0.25">
      <c r="A18" s="12">
        <v>45292</v>
      </c>
      <c r="B18" s="18">
        <v>15.98</v>
      </c>
      <c r="C18" s="116">
        <f t="shared" si="0"/>
        <v>-6.9306930693069368E-2</v>
      </c>
      <c r="G18" s="143"/>
      <c r="H18" s="144"/>
      <c r="L18" s="78"/>
    </row>
    <row r="19" spans="1:12" x14ac:dyDescent="0.25">
      <c r="A19" s="12">
        <v>45285</v>
      </c>
      <c r="B19" s="18">
        <v>17.170000000000002</v>
      </c>
      <c r="C19" s="116">
        <f t="shared" si="0"/>
        <v>-1.378518093049963E-2</v>
      </c>
      <c r="G19" s="111" t="s">
        <v>96</v>
      </c>
      <c r="H19" s="112">
        <v>1.0324040188343523E-2</v>
      </c>
      <c r="L19" s="78"/>
    </row>
    <row r="20" spans="1:12" x14ac:dyDescent="0.25">
      <c r="A20" s="12">
        <v>45278</v>
      </c>
      <c r="B20" s="18">
        <v>17.41</v>
      </c>
      <c r="C20" s="116">
        <f t="shared" si="0"/>
        <v>-4.3406645966667767E-2</v>
      </c>
      <c r="G20" s="111" t="s">
        <v>97</v>
      </c>
      <c r="H20" s="112">
        <v>7.7373352223140783E-3</v>
      </c>
      <c r="L20" s="78"/>
    </row>
    <row r="21" spans="1:12" x14ac:dyDescent="0.25">
      <c r="A21" s="12">
        <v>45271</v>
      </c>
      <c r="B21" s="18">
        <v>18.200001</v>
      </c>
      <c r="C21" s="116">
        <f t="shared" si="0"/>
        <v>2.4198142937535305E-2</v>
      </c>
      <c r="G21" s="111" t="s">
        <v>98</v>
      </c>
      <c r="H21" s="112">
        <v>5.0668357930372387E-3</v>
      </c>
      <c r="L21" s="78"/>
    </row>
    <row r="22" spans="1:12" x14ac:dyDescent="0.25">
      <c r="A22" s="12">
        <v>45264</v>
      </c>
      <c r="B22" s="18">
        <v>17.77</v>
      </c>
      <c r="C22" s="116">
        <f t="shared" si="0"/>
        <v>-0.12333497779970404</v>
      </c>
      <c r="G22" s="111" t="s">
        <v>99</v>
      </c>
      <c r="H22" s="112"/>
      <c r="L22" s="78"/>
    </row>
    <row r="23" spans="1:12" x14ac:dyDescent="0.25">
      <c r="A23" s="12">
        <v>45257</v>
      </c>
      <c r="B23" s="18">
        <v>20.27</v>
      </c>
      <c r="C23" s="116">
        <f t="shared" si="0"/>
        <v>5.5729111680775434E-2</v>
      </c>
      <c r="G23" s="111" t="s">
        <v>100</v>
      </c>
      <c r="H23" s="112">
        <v>0.10409519920719509</v>
      </c>
      <c r="L23" s="78"/>
    </row>
    <row r="24" spans="1:12" x14ac:dyDescent="0.25">
      <c r="A24" s="12">
        <v>45250</v>
      </c>
      <c r="B24" s="18">
        <v>19.200001</v>
      </c>
      <c r="C24" s="116">
        <f t="shared" si="0"/>
        <v>-6.2957491459248338E-2</v>
      </c>
      <c r="G24" s="111" t="s">
        <v>101</v>
      </c>
      <c r="H24" s="112">
        <v>1.0835810497985631E-2</v>
      </c>
      <c r="L24" s="78"/>
    </row>
    <row r="25" spans="1:12" x14ac:dyDescent="0.25">
      <c r="A25" s="12">
        <v>45243</v>
      </c>
      <c r="B25" s="18">
        <v>20.49</v>
      </c>
      <c r="C25" s="116">
        <f t="shared" si="0"/>
        <v>4.1687849517030751E-2</v>
      </c>
      <c r="G25" s="111" t="s">
        <v>102</v>
      </c>
      <c r="H25" s="113">
        <v>4.4499182088364986</v>
      </c>
      <c r="L25" s="78"/>
    </row>
    <row r="26" spans="1:12" x14ac:dyDescent="0.25">
      <c r="A26" s="12">
        <v>45236</v>
      </c>
      <c r="B26" s="18">
        <v>19.670000000000002</v>
      </c>
      <c r="C26" s="116">
        <f t="shared" si="0"/>
        <v>4.1291743848160145E-2</v>
      </c>
      <c r="G26" s="111" t="s">
        <v>103</v>
      </c>
      <c r="H26" s="113">
        <v>1.4086978788475739</v>
      </c>
      <c r="L26" s="78"/>
    </row>
    <row r="27" spans="1:12" x14ac:dyDescent="0.25">
      <c r="A27" s="12">
        <v>45229</v>
      </c>
      <c r="B27" s="18">
        <v>18.889999</v>
      </c>
      <c r="C27" s="116">
        <f t="shared" si="0"/>
        <v>0.25348367617783674</v>
      </c>
      <c r="G27" s="111" t="s">
        <v>104</v>
      </c>
      <c r="H27" s="112">
        <v>0.69982901111427775</v>
      </c>
      <c r="L27" s="78"/>
    </row>
    <row r="28" spans="1:12" x14ac:dyDescent="0.25">
      <c r="A28" s="12">
        <v>45222</v>
      </c>
      <c r="B28" s="18">
        <v>15.07</v>
      </c>
      <c r="C28" s="116">
        <f t="shared" si="0"/>
        <v>-6.4556234354051223E-2</v>
      </c>
      <c r="G28" s="111" t="s">
        <v>105</v>
      </c>
      <c r="H28" s="112">
        <v>-0.17586206896551726</v>
      </c>
      <c r="L28" s="78"/>
    </row>
    <row r="29" spans="1:12" x14ac:dyDescent="0.25">
      <c r="A29" s="12">
        <v>45215</v>
      </c>
      <c r="B29" s="18">
        <v>16.110001</v>
      </c>
      <c r="C29" s="116">
        <f t="shared" si="0"/>
        <v>-7.2004604147200224E-2</v>
      </c>
      <c r="G29" s="111" t="s">
        <v>106</v>
      </c>
      <c r="H29" s="112">
        <v>0.5239669421487605</v>
      </c>
      <c r="L29" s="78"/>
    </row>
    <row r="30" spans="1:12" x14ac:dyDescent="0.25">
      <c r="A30" s="12">
        <v>45208</v>
      </c>
      <c r="B30" s="18">
        <v>17.360001</v>
      </c>
      <c r="C30" s="116">
        <f t="shared" si="0"/>
        <v>4.5153519256260211E-2</v>
      </c>
      <c r="G30" s="111" t="s">
        <v>107</v>
      </c>
      <c r="H30" s="113">
        <v>1.8686512740901775</v>
      </c>
      <c r="L30" s="78"/>
    </row>
    <row r="31" spans="1:12" ht="15.75" thickBot="1" x14ac:dyDescent="0.3">
      <c r="A31" s="12">
        <v>45201</v>
      </c>
      <c r="B31" s="18">
        <v>16.610001</v>
      </c>
      <c r="C31" s="116">
        <f t="shared" si="0"/>
        <v>3.8125062500000029E-2</v>
      </c>
      <c r="G31" s="110" t="s">
        <v>108</v>
      </c>
      <c r="H31" s="92">
        <v>181</v>
      </c>
      <c r="L31" s="78"/>
    </row>
    <row r="32" spans="1:12" ht="15.75" thickBot="1" x14ac:dyDescent="0.3">
      <c r="A32" s="12">
        <v>45194</v>
      </c>
      <c r="B32" s="18">
        <v>16</v>
      </c>
      <c r="C32" s="116">
        <f t="shared" si="0"/>
        <v>0.13234253361641901</v>
      </c>
      <c r="G32" s="109"/>
      <c r="L32" s="78"/>
    </row>
    <row r="33" spans="1:12" x14ac:dyDescent="0.25">
      <c r="A33" s="12">
        <v>45187</v>
      </c>
      <c r="B33" s="18">
        <v>14.13</v>
      </c>
      <c r="C33" s="116">
        <f t="shared" si="0"/>
        <v>-7.8277886497064575E-2</v>
      </c>
      <c r="G33" s="107"/>
      <c r="H33" s="76" t="s">
        <v>115</v>
      </c>
      <c r="I33" s="76" t="s">
        <v>108</v>
      </c>
      <c r="J33" s="76" t="s">
        <v>116</v>
      </c>
      <c r="K33" s="77" t="s">
        <v>117</v>
      </c>
      <c r="L33" s="78"/>
    </row>
    <row r="34" spans="1:12" x14ac:dyDescent="0.25">
      <c r="A34" s="12">
        <v>45180</v>
      </c>
      <c r="B34" s="18">
        <v>15.33</v>
      </c>
      <c r="C34" s="116">
        <f t="shared" si="0"/>
        <v>1.3218770654329193E-2</v>
      </c>
      <c r="G34" s="104" t="s">
        <v>118</v>
      </c>
      <c r="H34" s="69">
        <f>AVERAGEIF(C:C,"&gt;0")</f>
        <v>7.8537793421395052E-2</v>
      </c>
      <c r="I34" s="67">
        <f>COUNTIF(C:C,"&gt;0")</f>
        <v>99</v>
      </c>
      <c r="J34" s="69">
        <f>I34/$H$31</f>
        <v>0.54696132596685088</v>
      </c>
      <c r="K34" s="70">
        <f>J34*H34</f>
        <v>4.2957135628276855E-2</v>
      </c>
      <c r="L34" s="78"/>
    </row>
    <row r="35" spans="1:12" x14ac:dyDescent="0.25">
      <c r="A35" s="12">
        <v>45173</v>
      </c>
      <c r="B35" s="18">
        <v>15.13</v>
      </c>
      <c r="C35" s="116">
        <f t="shared" si="0"/>
        <v>-3.2938076416336726E-3</v>
      </c>
      <c r="G35" s="104" t="s">
        <v>119</v>
      </c>
      <c r="H35" s="69">
        <f>AVERAGEIF(C:C,"&lt;0")</f>
        <v>-6.9104728023490519E-2</v>
      </c>
      <c r="I35" s="67">
        <f>COUNTIF(C:C,"&lt;0")</f>
        <v>87</v>
      </c>
      <c r="J35" s="69">
        <f>I35/$H$31</f>
        <v>0.48066298342541436</v>
      </c>
      <c r="K35" s="70">
        <f t="shared" ref="K35:K36" si="6">J35*H35</f>
        <v>-3.321608474057279E-2</v>
      </c>
      <c r="L35" s="78"/>
    </row>
    <row r="36" spans="1:12" ht="15.75" thickBot="1" x14ac:dyDescent="0.3">
      <c r="A36" s="12">
        <v>45166</v>
      </c>
      <c r="B36" s="18">
        <v>15.18</v>
      </c>
      <c r="C36" s="116">
        <f t="shared" si="0"/>
        <v>4.4735030970405987E-2</v>
      </c>
      <c r="G36" s="108" t="s">
        <v>120</v>
      </c>
      <c r="H36" s="72">
        <v>0</v>
      </c>
      <c r="I36" s="72">
        <f>COUNTIF(C:C,"0")</f>
        <v>0</v>
      </c>
      <c r="J36" s="73">
        <f>I36/$H$31</f>
        <v>0</v>
      </c>
      <c r="K36" s="74">
        <f t="shared" si="6"/>
        <v>0</v>
      </c>
      <c r="L36" s="78"/>
    </row>
    <row r="37" spans="1:12" ht="15.75" thickBot="1" x14ac:dyDescent="0.3">
      <c r="A37" s="12">
        <v>45159</v>
      </c>
      <c r="B37" s="18">
        <v>14.53</v>
      </c>
      <c r="C37" s="116">
        <f t="shared" si="0"/>
        <v>9.0277777777776347E-3</v>
      </c>
      <c r="G37" s="109"/>
      <c r="H37" s="79"/>
      <c r="I37" s="79"/>
      <c r="J37" s="79"/>
      <c r="K37" s="79"/>
      <c r="L37" s="78"/>
    </row>
    <row r="38" spans="1:12" x14ac:dyDescent="0.25">
      <c r="A38" s="12">
        <v>45152</v>
      </c>
      <c r="B38" s="18">
        <v>14.4</v>
      </c>
      <c r="C38" s="116">
        <f t="shared" si="0"/>
        <v>-6.5541855937702787E-2</v>
      </c>
      <c r="G38" s="60" t="s">
        <v>121</v>
      </c>
      <c r="H38" s="76" t="s">
        <v>122</v>
      </c>
      <c r="I38" s="76" t="s">
        <v>123</v>
      </c>
      <c r="J38" s="76" t="s">
        <v>124</v>
      </c>
      <c r="K38" s="76" t="s">
        <v>125</v>
      </c>
      <c r="L38" s="77" t="s">
        <v>126</v>
      </c>
    </row>
    <row r="39" spans="1:12" x14ac:dyDescent="0.25">
      <c r="A39" s="12">
        <v>45145</v>
      </c>
      <c r="B39" s="18">
        <v>15.41</v>
      </c>
      <c r="C39" s="116">
        <f t="shared" si="0"/>
        <v>-0.15329674981885988</v>
      </c>
      <c r="G39" s="105">
        <v>1</v>
      </c>
      <c r="H39" s="69">
        <f>$H$19+($G39*$H$23)</f>
        <v>0.11441923939553862</v>
      </c>
      <c r="I39" s="69">
        <f>$H$19-($G39*$H$23)</f>
        <v>-9.3771159018851566E-2</v>
      </c>
      <c r="J39" s="67">
        <f>COUNTIFS(C:C,"&lt;"&amp;H39,C:C,"&gt;"&amp;I39)</f>
        <v>145</v>
      </c>
      <c r="K39" s="69">
        <f>J39/$H$31</f>
        <v>0.80110497237569056</v>
      </c>
      <c r="L39" s="70">
        <v>0.68269999999999997</v>
      </c>
    </row>
    <row r="40" spans="1:12" x14ac:dyDescent="0.25">
      <c r="A40" s="12">
        <v>45138</v>
      </c>
      <c r="B40" s="18">
        <v>18.200001</v>
      </c>
      <c r="C40" s="116">
        <f t="shared" si="0"/>
        <v>2.1897923744970349E-2</v>
      </c>
      <c r="G40" s="105">
        <v>2</v>
      </c>
      <c r="H40" s="69">
        <f>$H$19+($G40*$H$23)</f>
        <v>0.2185144386027337</v>
      </c>
      <c r="I40" s="69">
        <f>$H$19-($G40*$H$23)</f>
        <v>-0.19786635822604667</v>
      </c>
      <c r="J40" s="67">
        <f>COUNTIFS(C:C,"&lt;"&amp;H40,C:C,"&gt;"&amp;I40)</f>
        <v>177</v>
      </c>
      <c r="K40" s="69">
        <f>J40/$H$31</f>
        <v>0.97790055248618779</v>
      </c>
      <c r="L40" s="70">
        <v>0.95450000000000002</v>
      </c>
    </row>
    <row r="41" spans="1:12" x14ac:dyDescent="0.25">
      <c r="A41" s="12">
        <v>45131</v>
      </c>
      <c r="B41" s="18">
        <v>17.809999000000001</v>
      </c>
      <c r="C41" s="116">
        <f t="shared" si="0"/>
        <v>8.3992635423006723E-2</v>
      </c>
      <c r="G41" s="105">
        <v>3</v>
      </c>
      <c r="H41" s="69">
        <f>$H$19+($G41*$H$23)</f>
        <v>0.3226096378099288</v>
      </c>
      <c r="I41" s="69">
        <f>$H$19-($G41*$H$23)</f>
        <v>-0.30196155743324171</v>
      </c>
      <c r="J41" s="67">
        <f>COUNTIFS(C:C,"&lt;"&amp;H41,C:C,"&gt;"&amp;I41)</f>
        <v>183</v>
      </c>
      <c r="K41" s="69">
        <f>J41/$H$31</f>
        <v>1.011049723756906</v>
      </c>
      <c r="L41" s="80">
        <v>0.99729999999999996</v>
      </c>
    </row>
    <row r="42" spans="1:12" ht="15.75" thickBot="1" x14ac:dyDescent="0.3">
      <c r="A42" s="12">
        <v>45124</v>
      </c>
      <c r="B42" s="18">
        <v>16.43</v>
      </c>
      <c r="C42" s="116">
        <f t="shared" si="0"/>
        <v>1.8292682926830395E-3</v>
      </c>
      <c r="G42" s="65"/>
      <c r="L42" s="80"/>
    </row>
    <row r="43" spans="1:12" ht="15.75" thickBot="1" x14ac:dyDescent="0.3">
      <c r="A43" s="12">
        <v>45117</v>
      </c>
      <c r="B43" s="18">
        <v>16.399999999999999</v>
      </c>
      <c r="C43" s="116">
        <f t="shared" si="0"/>
        <v>6.9100391134289341E-2</v>
      </c>
      <c r="G43" s="138" t="s">
        <v>127</v>
      </c>
      <c r="H43" s="139"/>
      <c r="I43" s="139"/>
      <c r="J43" s="139"/>
      <c r="K43" s="139"/>
      <c r="L43" s="140"/>
    </row>
    <row r="44" spans="1:12" x14ac:dyDescent="0.25">
      <c r="A44" s="12">
        <v>45110</v>
      </c>
      <c r="B44" s="18">
        <v>15.34</v>
      </c>
      <c r="C44" s="116">
        <f t="shared" si="0"/>
        <v>6.5231572080892697E-4</v>
      </c>
      <c r="G44" s="81">
        <v>0.01</v>
      </c>
      <c r="H44" s="82">
        <f t="shared" ref="H44:H58" si="7">_xlfn.PERCENTILE.INC(C:C,G44)</f>
        <v>-0.15577281050067249</v>
      </c>
      <c r="I44" s="83">
        <v>0.2</v>
      </c>
      <c r="J44" s="82">
        <f t="shared" ref="J44:J56" si="8">_xlfn.PERCENTILE.INC(C:C,I44)</f>
        <v>-7.1801566579634435E-2</v>
      </c>
      <c r="K44" s="83">
        <v>0.85</v>
      </c>
      <c r="L44" s="84">
        <f t="shared" ref="L44:L58" si="9">_xlfn.PERCENTILE.INC(C:C,K44)</f>
        <v>8.7748893805309702E-2</v>
      </c>
    </row>
    <row r="45" spans="1:12" x14ac:dyDescent="0.25">
      <c r="A45" s="12">
        <v>45103</v>
      </c>
      <c r="B45" s="18">
        <v>15.33</v>
      </c>
      <c r="C45" s="116">
        <f t="shared" si="0"/>
        <v>9.2658588738417702E-2</v>
      </c>
      <c r="G45" s="85">
        <v>0.02</v>
      </c>
      <c r="H45" s="86">
        <f t="shared" si="7"/>
        <v>-0.15193499611682915</v>
      </c>
      <c r="I45" s="87">
        <v>0.25</v>
      </c>
      <c r="J45" s="86">
        <f t="shared" si="8"/>
        <v>-6.2930299672620704E-2</v>
      </c>
      <c r="K45" s="87">
        <v>0.86</v>
      </c>
      <c r="L45" s="88">
        <f t="shared" si="9"/>
        <v>8.9345454895718879E-2</v>
      </c>
    </row>
    <row r="46" spans="1:12" x14ac:dyDescent="0.25">
      <c r="A46" s="12">
        <v>45096</v>
      </c>
      <c r="B46" s="18">
        <v>14.03</v>
      </c>
      <c r="C46" s="116">
        <f t="shared" si="0"/>
        <v>-0.13926375087507681</v>
      </c>
      <c r="G46" s="85">
        <v>0.03</v>
      </c>
      <c r="H46" s="86">
        <f t="shared" si="7"/>
        <v>-0.14518649309289436</v>
      </c>
      <c r="I46" s="87">
        <v>0.3</v>
      </c>
      <c r="J46" s="86">
        <f t="shared" si="8"/>
        <v>-4.4842239379774329E-2</v>
      </c>
      <c r="K46" s="87">
        <v>0.87</v>
      </c>
      <c r="L46" s="88">
        <f t="shared" si="9"/>
        <v>9.2648942991630623E-2</v>
      </c>
    </row>
    <row r="47" spans="1:12" x14ac:dyDescent="0.25">
      <c r="A47" s="12">
        <v>45089</v>
      </c>
      <c r="B47" s="18">
        <v>16.299999</v>
      </c>
      <c r="C47" s="116">
        <f t="shared" si="0"/>
        <v>8.5219640479360814E-2</v>
      </c>
      <c r="G47" s="85">
        <v>0.04</v>
      </c>
      <c r="H47" s="86">
        <f t="shared" si="7"/>
        <v>-0.14046836614215991</v>
      </c>
      <c r="I47" s="87">
        <v>0.35</v>
      </c>
      <c r="J47" s="86">
        <f t="shared" si="8"/>
        <v>-3.2393539088661938E-2</v>
      </c>
      <c r="K47" s="87">
        <v>0.88</v>
      </c>
      <c r="L47" s="88">
        <f t="shared" si="9"/>
        <v>9.6729308853215401E-2</v>
      </c>
    </row>
    <row r="48" spans="1:12" x14ac:dyDescent="0.25">
      <c r="A48" s="12">
        <v>45082</v>
      </c>
      <c r="B48" s="18">
        <v>15.02</v>
      </c>
      <c r="C48" s="116">
        <f t="shared" si="0"/>
        <v>3.4435261707989051E-2</v>
      </c>
      <c r="G48" s="85">
        <v>0.05</v>
      </c>
      <c r="H48" s="86">
        <f t="shared" si="7"/>
        <v>-0.13693248017884035</v>
      </c>
      <c r="I48" s="87">
        <v>0.4</v>
      </c>
      <c r="J48" s="86">
        <f t="shared" si="8"/>
        <v>-1.4884979702300294E-2</v>
      </c>
      <c r="K48" s="87">
        <v>0.89</v>
      </c>
      <c r="L48" s="88">
        <f t="shared" si="9"/>
        <v>0.10013127669502167</v>
      </c>
    </row>
    <row r="49" spans="1:12" x14ac:dyDescent="0.25">
      <c r="A49" s="12">
        <v>45075</v>
      </c>
      <c r="B49" s="18">
        <v>14.52</v>
      </c>
      <c r="C49" s="116">
        <f t="shared" si="0"/>
        <v>6.3736263736263732E-2</v>
      </c>
      <c r="G49" s="85">
        <v>0.06</v>
      </c>
      <c r="H49" s="86">
        <f t="shared" si="7"/>
        <v>-0.12972480212779652</v>
      </c>
      <c r="I49" s="87">
        <v>0.45</v>
      </c>
      <c r="J49" s="86">
        <f t="shared" si="8"/>
        <v>-2.3592226982056819E-3</v>
      </c>
      <c r="K49" s="87">
        <v>0.9</v>
      </c>
      <c r="L49" s="88">
        <f t="shared" si="9"/>
        <v>0.10615216890751411</v>
      </c>
    </row>
    <row r="50" spans="1:12" x14ac:dyDescent="0.25">
      <c r="A50" s="12">
        <v>45068</v>
      </c>
      <c r="B50" s="18">
        <v>13.65</v>
      </c>
      <c r="C50" s="116">
        <f t="shared" si="0"/>
        <v>0.16567036720751482</v>
      </c>
      <c r="G50" s="85">
        <v>7.0000000000000007E-2</v>
      </c>
      <c r="H50" s="86">
        <f t="shared" si="7"/>
        <v>-0.12199367196690837</v>
      </c>
      <c r="I50" s="87">
        <v>0.5</v>
      </c>
      <c r="J50" s="86">
        <f t="shared" si="8"/>
        <v>3.5489698754295196E-3</v>
      </c>
      <c r="K50" s="87">
        <v>0.91</v>
      </c>
      <c r="L50" s="88">
        <f t="shared" si="9"/>
        <v>0.11744264142907022</v>
      </c>
    </row>
    <row r="51" spans="1:12" x14ac:dyDescent="0.25">
      <c r="A51" s="12">
        <v>45061</v>
      </c>
      <c r="B51" s="18">
        <v>11.71</v>
      </c>
      <c r="C51" s="116">
        <f t="shared" si="0"/>
        <v>0.23263157894736852</v>
      </c>
      <c r="G51" s="85">
        <v>0.08</v>
      </c>
      <c r="H51" s="86">
        <f t="shared" si="7"/>
        <v>-0.12077857622912676</v>
      </c>
      <c r="I51" s="87">
        <v>0.55000000000000004</v>
      </c>
      <c r="J51" s="86">
        <f t="shared" si="8"/>
        <v>1.6202433823097856E-2</v>
      </c>
      <c r="K51" s="87">
        <v>0.92</v>
      </c>
      <c r="L51" s="88">
        <f t="shared" si="9"/>
        <v>0.12690748828605822</v>
      </c>
    </row>
    <row r="52" spans="1:12" x14ac:dyDescent="0.25">
      <c r="A52" s="12">
        <v>45054</v>
      </c>
      <c r="B52" s="18">
        <v>9.5</v>
      </c>
      <c r="C52" s="116">
        <f t="shared" si="0"/>
        <v>0.28205128205128194</v>
      </c>
      <c r="G52" s="85">
        <v>0.09</v>
      </c>
      <c r="H52" s="86">
        <f t="shared" si="7"/>
        <v>-0.11855919583023088</v>
      </c>
      <c r="I52" s="87">
        <v>0.6</v>
      </c>
      <c r="J52" s="86">
        <f t="shared" si="8"/>
        <v>2.4198142937535305E-2</v>
      </c>
      <c r="K52" s="87">
        <v>0.93</v>
      </c>
      <c r="L52" s="88">
        <f t="shared" si="9"/>
        <v>0.14049594015645436</v>
      </c>
    </row>
    <row r="53" spans="1:12" x14ac:dyDescent="0.25">
      <c r="A53" s="12">
        <v>45047</v>
      </c>
      <c r="B53" s="18">
        <v>7.41</v>
      </c>
      <c r="C53" s="116">
        <f t="shared" si="0"/>
        <v>-4.387096774193544E-2</v>
      </c>
      <c r="G53" s="85">
        <v>0.1</v>
      </c>
      <c r="H53" s="86">
        <f t="shared" si="7"/>
        <v>-0.10906328444972918</v>
      </c>
      <c r="I53" s="87">
        <v>0.65</v>
      </c>
      <c r="J53" s="86">
        <f t="shared" si="8"/>
        <v>3.8402191035583955E-2</v>
      </c>
      <c r="K53" s="87">
        <v>0.94</v>
      </c>
      <c r="L53" s="88">
        <f t="shared" si="9"/>
        <v>0.14231505653632257</v>
      </c>
    </row>
    <row r="54" spans="1:12" x14ac:dyDescent="0.25">
      <c r="A54" s="12">
        <v>45040</v>
      </c>
      <c r="B54" s="18">
        <v>7.75</v>
      </c>
      <c r="C54" s="116">
        <f t="shared" si="0"/>
        <v>-5.2567237163814173E-2</v>
      </c>
      <c r="G54" s="85">
        <v>0.11</v>
      </c>
      <c r="H54" s="86">
        <f t="shared" si="7"/>
        <v>-9.7770038041743515E-2</v>
      </c>
      <c r="I54" s="87">
        <v>0.7</v>
      </c>
      <c r="J54" s="86">
        <f t="shared" si="8"/>
        <v>4.3372125401062722E-2</v>
      </c>
      <c r="K54" s="87">
        <v>0.95</v>
      </c>
      <c r="L54" s="88">
        <f t="shared" si="9"/>
        <v>0.16143631970943356</v>
      </c>
    </row>
    <row r="55" spans="1:12" x14ac:dyDescent="0.25">
      <c r="A55" s="12">
        <v>45033</v>
      </c>
      <c r="B55" s="18">
        <v>8.18</v>
      </c>
      <c r="C55" s="116">
        <f t="shared" si="0"/>
        <v>-7.1509648127128345E-2</v>
      </c>
      <c r="G55" s="85">
        <v>0.12</v>
      </c>
      <c r="H55" s="86">
        <f t="shared" si="7"/>
        <v>-9.6952135130901423E-2</v>
      </c>
      <c r="I55" s="87">
        <v>0.75</v>
      </c>
      <c r="J55" s="86">
        <f t="shared" si="8"/>
        <v>5.5361642602520578E-2</v>
      </c>
      <c r="K55" s="87">
        <v>0.96</v>
      </c>
      <c r="L55" s="88">
        <f t="shared" si="9"/>
        <v>0.22959226294764878</v>
      </c>
    </row>
    <row r="56" spans="1:12" x14ac:dyDescent="0.25">
      <c r="A56" s="12">
        <v>45026</v>
      </c>
      <c r="B56" s="18">
        <v>8.81</v>
      </c>
      <c r="C56" s="116">
        <f t="shared" si="0"/>
        <v>8.8998763906056988E-2</v>
      </c>
      <c r="G56" s="85">
        <v>0.13</v>
      </c>
      <c r="H56" s="86">
        <f t="shared" si="7"/>
        <v>-9.1164761931798441E-2</v>
      </c>
      <c r="I56" s="87">
        <v>0.8</v>
      </c>
      <c r="J56" s="86">
        <f t="shared" si="8"/>
        <v>7.0063782168313438E-2</v>
      </c>
      <c r="K56" s="87">
        <v>0.97</v>
      </c>
      <c r="L56" s="88">
        <f t="shared" si="9"/>
        <v>0.24422542127031757</v>
      </c>
    </row>
    <row r="57" spans="1:12" x14ac:dyDescent="0.25">
      <c r="A57" s="12">
        <v>45019</v>
      </c>
      <c r="B57" s="18">
        <v>8.09</v>
      </c>
      <c r="C57" s="116">
        <f t="shared" si="0"/>
        <v>-4.2603550295857939E-2</v>
      </c>
      <c r="G57" s="85">
        <v>0.14000000000000001</v>
      </c>
      <c r="H57" s="86">
        <f t="shared" si="7"/>
        <v>-9.0317089480707519E-2</v>
      </c>
      <c r="I57" s="87"/>
      <c r="J57" s="86"/>
      <c r="K57" s="87">
        <v>0.98</v>
      </c>
      <c r="L57" s="88">
        <f t="shared" si="9"/>
        <v>0.27408505269142452</v>
      </c>
    </row>
    <row r="58" spans="1:12" ht="15.75" thickBot="1" x14ac:dyDescent="0.3">
      <c r="A58" s="12">
        <v>45012</v>
      </c>
      <c r="B58" s="18">
        <v>8.4499999999999993</v>
      </c>
      <c r="C58" s="116">
        <f t="shared" si="0"/>
        <v>3.0487804878048808E-2</v>
      </c>
      <c r="G58" s="89">
        <v>0.15</v>
      </c>
      <c r="H58" s="90">
        <f t="shared" si="7"/>
        <v>-8.8419732441471638E-2</v>
      </c>
      <c r="I58" s="91"/>
      <c r="J58" s="92"/>
      <c r="K58" s="93">
        <v>0.99</v>
      </c>
      <c r="L58" s="94">
        <f t="shared" si="9"/>
        <v>0.37532882446236554</v>
      </c>
    </row>
    <row r="59" spans="1:12" ht="15.75" thickBot="1" x14ac:dyDescent="0.3">
      <c r="A59" s="12">
        <v>45005</v>
      </c>
      <c r="B59" s="18">
        <v>8.1999999999999993</v>
      </c>
      <c r="C59" s="116">
        <f t="shared" si="0"/>
        <v>4.0609137055837463E-2</v>
      </c>
    </row>
    <row r="60" spans="1:12" x14ac:dyDescent="0.25">
      <c r="A60" s="12">
        <v>44998</v>
      </c>
      <c r="B60" s="18">
        <v>7.88</v>
      </c>
      <c r="C60" s="116">
        <f t="shared" si="0"/>
        <v>7.210884353741509E-2</v>
      </c>
      <c r="G60" s="95" t="s">
        <v>128</v>
      </c>
      <c r="H60" s="96">
        <v>0.11</v>
      </c>
    </row>
    <row r="61" spans="1:12" ht="15.75" thickBot="1" x14ac:dyDescent="0.3">
      <c r="A61" s="12">
        <v>44991</v>
      </c>
      <c r="B61" s="18">
        <v>7.35</v>
      </c>
      <c r="C61" s="116">
        <f t="shared" si="0"/>
        <v>-0.11764705882352944</v>
      </c>
      <c r="G61" s="97" t="s">
        <v>129</v>
      </c>
      <c r="H61" s="98">
        <v>0.35</v>
      </c>
    </row>
    <row r="62" spans="1:12" ht="15.75" thickBot="1" x14ac:dyDescent="0.3">
      <c r="A62" s="12">
        <v>44984</v>
      </c>
      <c r="B62" s="18">
        <v>8.33</v>
      </c>
      <c r="C62" s="116">
        <f t="shared" si="0"/>
        <v>2.9666254635352329E-2</v>
      </c>
      <c r="G62" s="99"/>
    </row>
    <row r="63" spans="1:12" x14ac:dyDescent="0.25">
      <c r="A63" s="12">
        <v>44977</v>
      </c>
      <c r="B63" s="18">
        <v>8.09</v>
      </c>
      <c r="C63" s="116">
        <f t="shared" si="0"/>
        <v>-0.12065217391304339</v>
      </c>
      <c r="G63" s="95" t="s">
        <v>130</v>
      </c>
      <c r="H63" s="100">
        <v>22.66</v>
      </c>
    </row>
    <row r="64" spans="1:12" x14ac:dyDescent="0.25">
      <c r="A64" s="12">
        <v>44970</v>
      </c>
      <c r="B64" s="18">
        <v>9.1999999999999993</v>
      </c>
      <c r="C64" s="116">
        <f t="shared" si="0"/>
        <v>0.22503328894806929</v>
      </c>
      <c r="G64" s="101" t="s">
        <v>131</v>
      </c>
      <c r="H64" s="102">
        <f>H63*(1-H60)</f>
        <v>20.167400000000001</v>
      </c>
    </row>
    <row r="65" spans="1:8" ht="15.75" thickBot="1" x14ac:dyDescent="0.3">
      <c r="A65" s="12">
        <v>44963</v>
      </c>
      <c r="B65" s="18">
        <v>7.51</v>
      </c>
      <c r="C65" s="116">
        <f t="shared" si="0"/>
        <v>-0.1070154577883472</v>
      </c>
      <c r="G65" s="97" t="s">
        <v>132</v>
      </c>
      <c r="H65" s="103">
        <f>H63*(1+H61)</f>
        <v>30.591000000000001</v>
      </c>
    </row>
    <row r="66" spans="1:8" x14ac:dyDescent="0.25">
      <c r="A66" s="12">
        <v>44956</v>
      </c>
      <c r="B66" s="18">
        <v>8.41</v>
      </c>
      <c r="C66" s="116">
        <f t="shared" si="0"/>
        <v>0.11390728476821188</v>
      </c>
    </row>
    <row r="67" spans="1:8" x14ac:dyDescent="0.25">
      <c r="A67" s="12">
        <v>44949</v>
      </c>
      <c r="B67" s="18">
        <v>7.55</v>
      </c>
      <c r="C67" s="116">
        <f t="shared" si="0"/>
        <v>7.5498575498575526E-2</v>
      </c>
    </row>
    <row r="68" spans="1:8" x14ac:dyDescent="0.25">
      <c r="A68" s="12">
        <v>44942</v>
      </c>
      <c r="B68" s="18">
        <v>7.02</v>
      </c>
      <c r="C68" s="116">
        <f t="shared" ref="C68:C131" si="10">B68/B69-1</f>
        <v>8.6206896551723755E-3</v>
      </c>
    </row>
    <row r="69" spans="1:8" x14ac:dyDescent="0.25">
      <c r="A69" s="12">
        <v>44935</v>
      </c>
      <c r="B69" s="18">
        <v>6.96</v>
      </c>
      <c r="C69" s="116">
        <f t="shared" si="10"/>
        <v>8.7499999999999911E-2</v>
      </c>
    </row>
    <row r="70" spans="1:8" x14ac:dyDescent="0.25">
      <c r="A70" s="12">
        <v>44928</v>
      </c>
      <c r="B70" s="18">
        <v>6.4</v>
      </c>
      <c r="C70" s="116">
        <f t="shared" si="10"/>
        <v>-3.1152647975076775E-3</v>
      </c>
    </row>
    <row r="71" spans="1:8" x14ac:dyDescent="0.25">
      <c r="A71" s="12">
        <v>44921</v>
      </c>
      <c r="B71" s="18">
        <v>6.42</v>
      </c>
      <c r="C71" s="116">
        <f t="shared" si="10"/>
        <v>2.0667726550079424E-2</v>
      </c>
    </row>
    <row r="72" spans="1:8" x14ac:dyDescent="0.25">
      <c r="A72" s="12">
        <v>44914</v>
      </c>
      <c r="B72" s="18">
        <v>6.29</v>
      </c>
      <c r="C72" s="116">
        <f t="shared" si="10"/>
        <v>-8.8405797101449357E-2</v>
      </c>
    </row>
    <row r="73" spans="1:8" x14ac:dyDescent="0.25">
      <c r="A73" s="12">
        <v>44907</v>
      </c>
      <c r="B73" s="18">
        <v>6.9</v>
      </c>
      <c r="C73" s="116">
        <f t="shared" si="10"/>
        <v>-2.9535864978902926E-2</v>
      </c>
    </row>
    <row r="74" spans="1:8" x14ac:dyDescent="0.25">
      <c r="A74" s="12">
        <v>44900</v>
      </c>
      <c r="B74" s="18">
        <v>7.11</v>
      </c>
      <c r="C74" s="116">
        <f t="shared" si="10"/>
        <v>-7.1801566579634435E-2</v>
      </c>
    </row>
    <row r="75" spans="1:8" x14ac:dyDescent="0.25">
      <c r="A75" s="12">
        <v>44893</v>
      </c>
      <c r="B75" s="18">
        <v>7.66</v>
      </c>
      <c r="C75" s="116">
        <f t="shared" si="10"/>
        <v>5.2197802197802234E-2</v>
      </c>
    </row>
    <row r="76" spans="1:8" x14ac:dyDescent="0.25">
      <c r="A76" s="12">
        <v>44886</v>
      </c>
      <c r="B76" s="18">
        <v>7.28</v>
      </c>
      <c r="C76" s="116">
        <f t="shared" si="10"/>
        <v>-1.4884979702300294E-2</v>
      </c>
    </row>
    <row r="77" spans="1:8" x14ac:dyDescent="0.25">
      <c r="A77" s="12">
        <v>44879</v>
      </c>
      <c r="B77" s="18">
        <v>7.39</v>
      </c>
      <c r="C77" s="116">
        <f t="shared" si="10"/>
        <v>-0.12128418549346021</v>
      </c>
    </row>
    <row r="78" spans="1:8" x14ac:dyDescent="0.25">
      <c r="A78" s="12">
        <v>44872</v>
      </c>
      <c r="B78" s="18">
        <v>8.41</v>
      </c>
      <c r="C78" s="116">
        <f t="shared" si="10"/>
        <v>6.0529634300126256E-2</v>
      </c>
    </row>
    <row r="79" spans="1:8" x14ac:dyDescent="0.25">
      <c r="A79" s="12">
        <v>44865</v>
      </c>
      <c r="B79" s="18">
        <v>7.93</v>
      </c>
      <c r="C79" s="116">
        <f t="shared" si="10"/>
        <v>-8.2175925925926041E-2</v>
      </c>
    </row>
    <row r="80" spans="1:8" x14ac:dyDescent="0.25">
      <c r="A80" s="12">
        <v>44858</v>
      </c>
      <c r="B80" s="18">
        <v>8.64</v>
      </c>
      <c r="C80" s="116">
        <f t="shared" si="10"/>
        <v>4.2219541616405509E-2</v>
      </c>
    </row>
    <row r="81" spans="1:3" x14ac:dyDescent="0.25">
      <c r="A81" s="12">
        <v>44851</v>
      </c>
      <c r="B81" s="18">
        <v>8.2899999999999991</v>
      </c>
      <c r="C81" s="116">
        <f t="shared" si="10"/>
        <v>0.10092961487383789</v>
      </c>
    </row>
    <row r="82" spans="1:3" x14ac:dyDescent="0.25">
      <c r="A82" s="12">
        <v>44844</v>
      </c>
      <c r="B82" s="18">
        <v>7.53</v>
      </c>
      <c r="C82" s="116">
        <f t="shared" si="10"/>
        <v>-7.6073619631901845E-2</v>
      </c>
    </row>
    <row r="83" spans="1:3" x14ac:dyDescent="0.25">
      <c r="A83" s="12">
        <v>44837</v>
      </c>
      <c r="B83" s="18">
        <v>8.15</v>
      </c>
      <c r="C83" s="116">
        <f t="shared" si="10"/>
        <v>2.4600246002459691E-3</v>
      </c>
    </row>
    <row r="84" spans="1:3" x14ac:dyDescent="0.25">
      <c r="A84" s="12">
        <v>44830</v>
      </c>
      <c r="B84" s="18">
        <v>8.1300000000000008</v>
      </c>
      <c r="C84" s="116">
        <f t="shared" si="10"/>
        <v>9.864864864864864E-2</v>
      </c>
    </row>
    <row r="85" spans="1:3" x14ac:dyDescent="0.25">
      <c r="A85" s="12">
        <v>44823</v>
      </c>
      <c r="B85" s="18">
        <v>7.4</v>
      </c>
      <c r="C85" s="116">
        <f t="shared" si="10"/>
        <v>-4.8843187660668419E-2</v>
      </c>
    </row>
    <row r="86" spans="1:3" x14ac:dyDescent="0.25">
      <c r="A86" s="12">
        <v>44816</v>
      </c>
      <c r="B86" s="18">
        <v>7.78</v>
      </c>
      <c r="C86" s="116">
        <f t="shared" si="10"/>
        <v>-1.2836970474967568E-3</v>
      </c>
    </row>
    <row r="87" spans="1:3" x14ac:dyDescent="0.25">
      <c r="A87" s="12">
        <v>44809</v>
      </c>
      <c r="B87" s="18">
        <v>7.79</v>
      </c>
      <c r="C87" s="116">
        <f t="shared" si="10"/>
        <v>5.270270270270272E-2</v>
      </c>
    </row>
    <row r="88" spans="1:3" x14ac:dyDescent="0.25">
      <c r="A88" s="12">
        <v>44802</v>
      </c>
      <c r="B88" s="18">
        <v>7.4</v>
      </c>
      <c r="C88" s="116">
        <f t="shared" si="10"/>
        <v>-6.801007556675065E-2</v>
      </c>
    </row>
    <row r="89" spans="1:3" x14ac:dyDescent="0.25">
      <c r="A89" s="12">
        <v>44795</v>
      </c>
      <c r="B89" s="18">
        <v>7.94</v>
      </c>
      <c r="C89" s="116">
        <f t="shared" si="10"/>
        <v>-6.6980023501762576E-2</v>
      </c>
    </row>
    <row r="90" spans="1:3" x14ac:dyDescent="0.25">
      <c r="A90" s="12">
        <v>44788</v>
      </c>
      <c r="B90" s="18">
        <v>8.51</v>
      </c>
      <c r="C90" s="116">
        <f t="shared" si="10"/>
        <v>-0.14127144298688199</v>
      </c>
    </row>
    <row r="91" spans="1:3" x14ac:dyDescent="0.25">
      <c r="A91" s="12">
        <v>44781</v>
      </c>
      <c r="B91" s="18">
        <v>9.91</v>
      </c>
      <c r="C91" s="116">
        <f t="shared" si="10"/>
        <v>-0.13449781659388638</v>
      </c>
    </row>
    <row r="92" spans="1:3" x14ac:dyDescent="0.25">
      <c r="A92" s="12">
        <v>44774</v>
      </c>
      <c r="B92" s="18">
        <v>11.45</v>
      </c>
      <c r="C92" s="116">
        <f t="shared" si="10"/>
        <v>0.106280193236715</v>
      </c>
    </row>
    <row r="93" spans="1:3" x14ac:dyDescent="0.25">
      <c r="A93" s="12">
        <v>44767</v>
      </c>
      <c r="B93" s="18">
        <v>10.35</v>
      </c>
      <c r="C93" s="116">
        <f t="shared" si="10"/>
        <v>5.1829268292682862E-2</v>
      </c>
    </row>
    <row r="94" spans="1:3" x14ac:dyDescent="0.25">
      <c r="A94" s="12">
        <v>44760</v>
      </c>
      <c r="B94" s="18">
        <v>9.84</v>
      </c>
      <c r="C94" s="116">
        <f t="shared" si="10"/>
        <v>8.8495575221239076E-2</v>
      </c>
    </row>
    <row r="95" spans="1:3" x14ac:dyDescent="0.25">
      <c r="A95" s="12">
        <v>44753</v>
      </c>
      <c r="B95" s="18">
        <v>9.0399999999999991</v>
      </c>
      <c r="C95" s="116">
        <f t="shared" si="10"/>
        <v>-0.11111111111111116</v>
      </c>
    </row>
    <row r="96" spans="1:3" x14ac:dyDescent="0.25">
      <c r="A96" s="12">
        <v>44746</v>
      </c>
      <c r="B96" s="18">
        <v>10.17</v>
      </c>
      <c r="C96" s="116">
        <f t="shared" si="10"/>
        <v>9.7087378640776656E-2</v>
      </c>
    </row>
    <row r="97" spans="1:3" x14ac:dyDescent="0.25">
      <c r="A97" s="12">
        <v>44739</v>
      </c>
      <c r="B97" s="18">
        <v>9.27</v>
      </c>
      <c r="C97" s="116">
        <f t="shared" si="10"/>
        <v>-9.0284592737978397E-2</v>
      </c>
    </row>
    <row r="98" spans="1:3" x14ac:dyDescent="0.25">
      <c r="A98" s="12">
        <v>44732</v>
      </c>
      <c r="B98" s="18">
        <v>10.19</v>
      </c>
      <c r="C98" s="116">
        <f t="shared" si="10"/>
        <v>0.23665048543689315</v>
      </c>
    </row>
    <row r="99" spans="1:3" x14ac:dyDescent="0.25">
      <c r="A99" s="12">
        <v>44725</v>
      </c>
      <c r="B99" s="18">
        <v>8.24</v>
      </c>
      <c r="C99" s="116">
        <f t="shared" si="10"/>
        <v>-2.421307506053183E-3</v>
      </c>
    </row>
    <row r="100" spans="1:3" x14ac:dyDescent="0.25">
      <c r="A100" s="12">
        <v>44718</v>
      </c>
      <c r="B100" s="18">
        <v>8.26</v>
      </c>
      <c r="C100" s="116">
        <f t="shared" si="10"/>
        <v>-7.606263982102901E-2</v>
      </c>
    </row>
    <row r="101" spans="1:3" x14ac:dyDescent="0.25">
      <c r="A101" s="12">
        <v>44711</v>
      </c>
      <c r="B101" s="18">
        <v>8.94</v>
      </c>
      <c r="C101" s="116">
        <f t="shared" si="10"/>
        <v>1.0169491525423791E-2</v>
      </c>
    </row>
    <row r="102" spans="1:3" x14ac:dyDescent="0.25">
      <c r="A102" s="12">
        <v>44704</v>
      </c>
      <c r="B102" s="18">
        <v>8.85</v>
      </c>
      <c r="C102" s="116">
        <f t="shared" si="10"/>
        <v>9.5297029702970271E-2</v>
      </c>
    </row>
    <row r="103" spans="1:3" x14ac:dyDescent="0.25">
      <c r="A103" s="12">
        <v>44697</v>
      </c>
      <c r="B103" s="18">
        <v>8.08</v>
      </c>
      <c r="C103" s="116">
        <f t="shared" si="10"/>
        <v>-3.1175059952038398E-2</v>
      </c>
    </row>
    <row r="104" spans="1:3" x14ac:dyDescent="0.25">
      <c r="A104" s="12">
        <v>44690</v>
      </c>
      <c r="B104" s="18">
        <v>8.34</v>
      </c>
      <c r="C104" s="116">
        <f t="shared" si="10"/>
        <v>-0.12025316455696211</v>
      </c>
    </row>
    <row r="105" spans="1:3" x14ac:dyDescent="0.25">
      <c r="A105" s="12">
        <v>44683</v>
      </c>
      <c r="B105" s="18">
        <v>9.48</v>
      </c>
      <c r="C105" s="116">
        <f t="shared" si="10"/>
        <v>-8.846153846153848E-2</v>
      </c>
    </row>
    <row r="106" spans="1:3" x14ac:dyDescent="0.25">
      <c r="A106" s="12">
        <v>44676</v>
      </c>
      <c r="B106" s="18">
        <v>10.4</v>
      </c>
      <c r="C106" s="116">
        <f t="shared" si="10"/>
        <v>-0.13043478260869568</v>
      </c>
    </row>
    <row r="107" spans="1:3" x14ac:dyDescent="0.25">
      <c r="A107" s="12">
        <v>44669</v>
      </c>
      <c r="B107" s="18">
        <v>11.96</v>
      </c>
      <c r="C107" s="116">
        <f t="shared" si="10"/>
        <v>-3.7037037037036979E-2</v>
      </c>
    </row>
    <row r="108" spans="1:3" x14ac:dyDescent="0.25">
      <c r="A108" s="12">
        <v>44662</v>
      </c>
      <c r="B108" s="18">
        <v>12.42</v>
      </c>
      <c r="C108" s="116">
        <f t="shared" si="10"/>
        <v>-2.2047244094488105E-2</v>
      </c>
    </row>
    <row r="109" spans="1:3" x14ac:dyDescent="0.25">
      <c r="A109" s="12">
        <v>44655</v>
      </c>
      <c r="B109" s="18">
        <v>12.7</v>
      </c>
      <c r="C109" s="116">
        <f t="shared" si="10"/>
        <v>-8.1706435285611057E-2</v>
      </c>
    </row>
    <row r="110" spans="1:3" x14ac:dyDescent="0.25">
      <c r="A110" s="12">
        <v>44648</v>
      </c>
      <c r="B110" s="18">
        <v>13.83</v>
      </c>
      <c r="C110" s="116">
        <f t="shared" si="10"/>
        <v>6.6306861989205768E-2</v>
      </c>
    </row>
    <row r="111" spans="1:3" x14ac:dyDescent="0.25">
      <c r="A111" s="12">
        <v>44641</v>
      </c>
      <c r="B111" s="18">
        <v>12.97</v>
      </c>
      <c r="C111" s="116">
        <f t="shared" si="10"/>
        <v>1.1700468018720711E-2</v>
      </c>
    </row>
    <row r="112" spans="1:3" x14ac:dyDescent="0.25">
      <c r="A112" s="12">
        <v>44634</v>
      </c>
      <c r="B112" s="18">
        <v>12.82</v>
      </c>
      <c r="C112" s="116">
        <f t="shared" si="10"/>
        <v>0.12554872695346786</v>
      </c>
    </row>
    <row r="113" spans="1:3" x14ac:dyDescent="0.25">
      <c r="A113" s="12">
        <v>44627</v>
      </c>
      <c r="B113" s="18">
        <v>11.39</v>
      </c>
      <c r="C113" s="116">
        <f t="shared" si="10"/>
        <v>3.9233576642335732E-2</v>
      </c>
    </row>
    <row r="114" spans="1:3" x14ac:dyDescent="0.25">
      <c r="A114" s="12">
        <v>44620</v>
      </c>
      <c r="B114" s="18">
        <v>10.96</v>
      </c>
      <c r="C114" s="116">
        <f t="shared" si="10"/>
        <v>-4.4463818657367038E-2</v>
      </c>
    </row>
    <row r="115" spans="1:3" x14ac:dyDescent="0.25">
      <c r="A115" s="12">
        <v>44613</v>
      </c>
      <c r="B115" s="18">
        <v>11.47</v>
      </c>
      <c r="C115" s="116">
        <f t="shared" si="10"/>
        <v>4.0834845735027381E-2</v>
      </c>
    </row>
    <row r="116" spans="1:3" x14ac:dyDescent="0.25">
      <c r="A116" s="12">
        <v>44606</v>
      </c>
      <c r="B116" s="18">
        <v>11.02</v>
      </c>
      <c r="C116" s="116">
        <f t="shared" si="10"/>
        <v>-0.16070068545316074</v>
      </c>
    </row>
    <row r="117" spans="1:3" x14ac:dyDescent="0.25">
      <c r="A117" s="12">
        <v>44599</v>
      </c>
      <c r="B117" s="18">
        <v>13.13</v>
      </c>
      <c r="C117" s="116">
        <f t="shared" si="10"/>
        <v>1.4683153013910433E-2</v>
      </c>
    </row>
    <row r="118" spans="1:3" x14ac:dyDescent="0.25">
      <c r="A118" s="12">
        <v>44592</v>
      </c>
      <c r="B118" s="18">
        <v>12.94</v>
      </c>
      <c r="C118" s="116">
        <f t="shared" si="10"/>
        <v>1.8095987411486991E-2</v>
      </c>
    </row>
    <row r="119" spans="1:3" x14ac:dyDescent="0.25">
      <c r="A119" s="12">
        <v>44585</v>
      </c>
      <c r="B119" s="18">
        <v>12.71</v>
      </c>
      <c r="C119" s="116">
        <f t="shared" si="10"/>
        <v>-6.0606060606060552E-2</v>
      </c>
    </row>
    <row r="120" spans="1:3" x14ac:dyDescent="0.25">
      <c r="A120" s="12">
        <v>44578</v>
      </c>
      <c r="B120" s="18">
        <v>13.53</v>
      </c>
      <c r="C120" s="116">
        <f t="shared" si="10"/>
        <v>-0.15490318550905691</v>
      </c>
    </row>
    <row r="121" spans="1:3" x14ac:dyDescent="0.25">
      <c r="A121" s="12">
        <v>44571</v>
      </c>
      <c r="B121" s="18">
        <v>16.010000000000002</v>
      </c>
      <c r="C121" s="116">
        <f t="shared" si="10"/>
        <v>-3.3212502005585898E-2</v>
      </c>
    </row>
    <row r="122" spans="1:3" x14ac:dyDescent="0.25">
      <c r="A122" s="12">
        <v>44564</v>
      </c>
      <c r="B122" s="18">
        <v>16.559999000000001</v>
      </c>
      <c r="C122" s="116">
        <f t="shared" si="10"/>
        <v>-9.0609560165269554E-2</v>
      </c>
    </row>
    <row r="123" spans="1:3" x14ac:dyDescent="0.25">
      <c r="A123" s="12">
        <v>44557</v>
      </c>
      <c r="B123" s="18">
        <v>18.209999</v>
      </c>
      <c r="C123" s="116">
        <f t="shared" si="10"/>
        <v>-3.8034918119387195E-2</v>
      </c>
    </row>
    <row r="124" spans="1:3" x14ac:dyDescent="0.25">
      <c r="A124" s="12">
        <v>44550</v>
      </c>
      <c r="B124" s="18">
        <v>18.93</v>
      </c>
      <c r="C124" s="116">
        <f t="shared" si="10"/>
        <v>-6.8205145236367448E-3</v>
      </c>
    </row>
    <row r="125" spans="1:3" x14ac:dyDescent="0.25">
      <c r="A125" s="12">
        <v>44543</v>
      </c>
      <c r="B125" s="18">
        <v>19.059999000000001</v>
      </c>
      <c r="C125" s="116">
        <f t="shared" si="10"/>
        <v>6.3356913233532097E-3</v>
      </c>
    </row>
    <row r="126" spans="1:3" x14ac:dyDescent="0.25">
      <c r="A126" s="12">
        <v>44536</v>
      </c>
      <c r="B126" s="18">
        <v>18.940000999999999</v>
      </c>
      <c r="C126" s="116">
        <f t="shared" si="10"/>
        <v>-2.1074288724974855E-3</v>
      </c>
    </row>
    <row r="127" spans="1:3" x14ac:dyDescent="0.25">
      <c r="A127" s="12">
        <v>44529</v>
      </c>
      <c r="B127" s="18">
        <v>18.98</v>
      </c>
      <c r="C127" s="116">
        <f t="shared" si="10"/>
        <v>-9.747983369092561E-2</v>
      </c>
    </row>
    <row r="128" spans="1:3" x14ac:dyDescent="0.25">
      <c r="A128" s="12">
        <v>44522</v>
      </c>
      <c r="B128" s="18">
        <v>21.030000999999999</v>
      </c>
      <c r="C128" s="116">
        <f t="shared" si="10"/>
        <v>-1.7748668846333526E-2</v>
      </c>
    </row>
    <row r="129" spans="1:3" x14ac:dyDescent="0.25">
      <c r="A129" s="12">
        <v>44515</v>
      </c>
      <c r="B129" s="18">
        <v>21.41</v>
      </c>
      <c r="C129" s="116">
        <f t="shared" si="10"/>
        <v>-6.219886114761275E-2</v>
      </c>
    </row>
    <row r="130" spans="1:3" x14ac:dyDescent="0.25">
      <c r="A130" s="12">
        <v>44508</v>
      </c>
      <c r="B130" s="18">
        <v>22.83</v>
      </c>
      <c r="C130" s="116">
        <f t="shared" si="10"/>
        <v>-0.12192307692307702</v>
      </c>
    </row>
    <row r="131" spans="1:3" x14ac:dyDescent="0.25">
      <c r="A131" s="12">
        <v>44501</v>
      </c>
      <c r="B131" s="18">
        <v>26</v>
      </c>
      <c r="C131" s="116">
        <f t="shared" si="10"/>
        <v>4.6368239813301404E-3</v>
      </c>
    </row>
    <row r="132" spans="1:3" x14ac:dyDescent="0.25">
      <c r="A132" s="12">
        <v>44494</v>
      </c>
      <c r="B132" s="18">
        <v>25.879999000000002</v>
      </c>
      <c r="C132" s="116">
        <f t="shared" ref="C132:C187" si="11">B132/B133-1</f>
        <v>5.9353213262382409E-2</v>
      </c>
    </row>
    <row r="133" spans="1:3" x14ac:dyDescent="0.25">
      <c r="A133" s="12">
        <v>44487</v>
      </c>
      <c r="B133" s="18">
        <v>24.43</v>
      </c>
      <c r="C133" s="116">
        <f t="shared" si="11"/>
        <v>1.7916666666666581E-2</v>
      </c>
    </row>
    <row r="134" spans="1:3" x14ac:dyDescent="0.25">
      <c r="A134" s="12">
        <v>44480</v>
      </c>
      <c r="B134" s="18">
        <v>24</v>
      </c>
      <c r="C134" s="116">
        <f t="shared" si="11"/>
        <v>2.1276595744680771E-2</v>
      </c>
    </row>
    <row r="135" spans="1:3" x14ac:dyDescent="0.25">
      <c r="A135" s="12">
        <v>44473</v>
      </c>
      <c r="B135" s="18">
        <v>23.5</v>
      </c>
      <c r="C135" s="116">
        <f t="shared" si="11"/>
        <v>-3.4114262227702308E-2</v>
      </c>
    </row>
    <row r="136" spans="1:3" x14ac:dyDescent="0.25">
      <c r="A136" s="12">
        <v>44466</v>
      </c>
      <c r="B136" s="18">
        <v>24.33</v>
      </c>
      <c r="C136" s="116">
        <f t="shared" si="11"/>
        <v>-0.14810921386937037</v>
      </c>
    </row>
    <row r="137" spans="1:3" x14ac:dyDescent="0.25">
      <c r="A137" s="12">
        <v>44459</v>
      </c>
      <c r="B137" s="18">
        <v>28.559999000000001</v>
      </c>
      <c r="C137" s="116">
        <f t="shared" si="11"/>
        <v>-5.2246605790546852E-3</v>
      </c>
    </row>
    <row r="138" spans="1:3" x14ac:dyDescent="0.25">
      <c r="A138" s="12">
        <v>44452</v>
      </c>
      <c r="B138" s="18">
        <v>28.709999</v>
      </c>
      <c r="C138" s="116">
        <f t="shared" si="11"/>
        <v>9.2465673802676118E-2</v>
      </c>
    </row>
    <row r="139" spans="1:3" x14ac:dyDescent="0.25">
      <c r="A139" s="12">
        <v>44445</v>
      </c>
      <c r="B139" s="18">
        <v>26.280000999999999</v>
      </c>
      <c r="C139" s="116">
        <f t="shared" si="11"/>
        <v>-1.3513438945699674E-2</v>
      </c>
    </row>
    <row r="140" spans="1:3" x14ac:dyDescent="0.25">
      <c r="A140" s="12">
        <v>44438</v>
      </c>
      <c r="B140" s="18">
        <v>26.639999</v>
      </c>
      <c r="C140" s="116">
        <f t="shared" si="11"/>
        <v>3.6172696856191955E-2</v>
      </c>
    </row>
    <row r="141" spans="1:3" x14ac:dyDescent="0.25">
      <c r="A141" s="12">
        <v>44431</v>
      </c>
      <c r="B141" s="18">
        <v>25.709999</v>
      </c>
      <c r="C141" s="116">
        <f t="shared" si="11"/>
        <v>7.0803790087463403E-2</v>
      </c>
    </row>
    <row r="142" spans="1:3" x14ac:dyDescent="0.25">
      <c r="A142" s="12">
        <v>44424</v>
      </c>
      <c r="B142" s="18">
        <v>24.01</v>
      </c>
      <c r="C142" s="116">
        <f t="shared" si="11"/>
        <v>-3.5742971887550046E-2</v>
      </c>
    </row>
    <row r="143" spans="1:3" x14ac:dyDescent="0.25">
      <c r="A143" s="12">
        <v>44417</v>
      </c>
      <c r="B143" s="18">
        <v>24.9</v>
      </c>
      <c r="C143" s="116">
        <f t="shared" si="11"/>
        <v>0.14115490375801998</v>
      </c>
    </row>
    <row r="144" spans="1:3" x14ac:dyDescent="0.25">
      <c r="A144" s="12">
        <v>44410</v>
      </c>
      <c r="B144" s="18">
        <v>21.82</v>
      </c>
      <c r="C144" s="116">
        <f t="shared" si="11"/>
        <v>5.0668357930372387E-3</v>
      </c>
    </row>
    <row r="145" spans="1:3" x14ac:dyDescent="0.25">
      <c r="A145" s="12">
        <v>44403</v>
      </c>
      <c r="B145" s="18">
        <v>21.709999</v>
      </c>
      <c r="C145" s="116">
        <f t="shared" si="11"/>
        <v>-4.5850529383335559E-3</v>
      </c>
    </row>
    <row r="146" spans="1:3" x14ac:dyDescent="0.25">
      <c r="A146" s="12">
        <v>44396</v>
      </c>
      <c r="B146" s="18">
        <v>21.809999000000001</v>
      </c>
      <c r="C146" s="116">
        <f t="shared" si="11"/>
        <v>2.0589517052432615E-2</v>
      </c>
    </row>
    <row r="147" spans="1:3" x14ac:dyDescent="0.25">
      <c r="A147" s="12">
        <v>44389</v>
      </c>
      <c r="B147" s="18">
        <v>21.370000999999998</v>
      </c>
      <c r="C147" s="116">
        <f t="shared" si="11"/>
        <v>-8.2438811402369749E-2</v>
      </c>
    </row>
    <row r="148" spans="1:3" x14ac:dyDescent="0.25">
      <c r="A148" s="12">
        <v>44382</v>
      </c>
      <c r="B148" s="18">
        <v>23.290001</v>
      </c>
      <c r="C148" s="116">
        <f t="shared" si="11"/>
        <v>-4.7054007894680505E-2</v>
      </c>
    </row>
    <row r="149" spans="1:3" x14ac:dyDescent="0.25">
      <c r="A149" s="12">
        <v>44375</v>
      </c>
      <c r="B149" s="18">
        <v>24.440000999999999</v>
      </c>
      <c r="C149" s="116">
        <f t="shared" si="11"/>
        <v>-8.7378637513867208E-2</v>
      </c>
    </row>
    <row r="150" spans="1:3" x14ac:dyDescent="0.25">
      <c r="A150" s="12">
        <v>44368</v>
      </c>
      <c r="B150" s="18">
        <v>26.780000999999999</v>
      </c>
      <c r="C150" s="116">
        <f t="shared" si="11"/>
        <v>5.5577451494779107E-2</v>
      </c>
    </row>
    <row r="151" spans="1:3" x14ac:dyDescent="0.25">
      <c r="A151" s="12">
        <v>44361</v>
      </c>
      <c r="B151" s="18">
        <v>25.370000999999998</v>
      </c>
      <c r="C151" s="116">
        <f t="shared" si="11"/>
        <v>2.8374584515605816E-2</v>
      </c>
    </row>
    <row r="152" spans="1:3" x14ac:dyDescent="0.25">
      <c r="A152" s="12">
        <v>44354</v>
      </c>
      <c r="B152" s="18">
        <v>24.67</v>
      </c>
      <c r="C152" s="116">
        <f t="shared" si="11"/>
        <v>2.6633332224996753E-2</v>
      </c>
    </row>
    <row r="153" spans="1:3" x14ac:dyDescent="0.25">
      <c r="A153" s="12">
        <v>44347</v>
      </c>
      <c r="B153" s="18">
        <v>24.030000999999999</v>
      </c>
      <c r="C153" s="116">
        <f t="shared" si="11"/>
        <v>4.7058821478918489E-2</v>
      </c>
    </row>
    <row r="154" spans="1:3" x14ac:dyDescent="0.25">
      <c r="A154" s="12">
        <v>44340</v>
      </c>
      <c r="B154" s="18">
        <v>22.950001</v>
      </c>
      <c r="C154" s="116">
        <f t="shared" si="11"/>
        <v>0.10602414457831322</v>
      </c>
    </row>
    <row r="155" spans="1:3" x14ac:dyDescent="0.25">
      <c r="A155" s="12">
        <v>44333</v>
      </c>
      <c r="B155" s="18">
        <v>20.75</v>
      </c>
      <c r="C155" s="116">
        <f t="shared" si="11"/>
        <v>3.3366533864541914E-2</v>
      </c>
    </row>
    <row r="156" spans="1:3" x14ac:dyDescent="0.25">
      <c r="A156" s="12">
        <v>44326</v>
      </c>
      <c r="B156" s="18">
        <v>20.079999999999998</v>
      </c>
      <c r="C156" s="116">
        <f t="shared" si="11"/>
        <v>1.6708860759493627E-2</v>
      </c>
    </row>
    <row r="157" spans="1:3" x14ac:dyDescent="0.25">
      <c r="A157" s="12">
        <v>44319</v>
      </c>
      <c r="B157" s="18">
        <v>19.75</v>
      </c>
      <c r="C157" s="116">
        <f t="shared" si="11"/>
        <v>-0.14279517609395942</v>
      </c>
    </row>
    <row r="158" spans="1:3" x14ac:dyDescent="0.25">
      <c r="A158" s="12">
        <v>44312</v>
      </c>
      <c r="B158" s="18">
        <v>23.040001</v>
      </c>
      <c r="C158" s="116">
        <f t="shared" si="11"/>
        <v>-1.5805168731311436E-2</v>
      </c>
    </row>
    <row r="159" spans="1:3" x14ac:dyDescent="0.25">
      <c r="A159" s="12">
        <v>44305</v>
      </c>
      <c r="B159" s="18">
        <v>23.41</v>
      </c>
      <c r="C159" s="116">
        <f t="shared" si="11"/>
        <v>4.183360221778365E-2</v>
      </c>
    </row>
    <row r="160" spans="1:3" x14ac:dyDescent="0.25">
      <c r="A160" s="12">
        <v>44298</v>
      </c>
      <c r="B160" s="18">
        <v>22.469999000000001</v>
      </c>
      <c r="C160" s="116">
        <f t="shared" si="11"/>
        <v>-6.5307900777541561E-2</v>
      </c>
    </row>
    <row r="161" spans="1:3" x14ac:dyDescent="0.25">
      <c r="A161" s="12">
        <v>44291</v>
      </c>
      <c r="B161" s="18">
        <v>24.040001</v>
      </c>
      <c r="C161" s="116">
        <f t="shared" si="11"/>
        <v>4.2045990463805749E-2</v>
      </c>
    </row>
    <row r="162" spans="1:3" x14ac:dyDescent="0.25">
      <c r="A162" s="12">
        <v>44284</v>
      </c>
      <c r="B162" s="18">
        <v>23.07</v>
      </c>
      <c r="C162" s="116">
        <f t="shared" si="11"/>
        <v>2.1700620017714778E-2</v>
      </c>
    </row>
    <row r="163" spans="1:3" x14ac:dyDescent="0.25">
      <c r="A163" s="12">
        <v>44277</v>
      </c>
      <c r="B163" s="18">
        <v>22.58</v>
      </c>
      <c r="C163" s="116">
        <f t="shared" si="11"/>
        <v>-7.1546052631578982E-2</v>
      </c>
    </row>
    <row r="164" spans="1:3" x14ac:dyDescent="0.25">
      <c r="A164" s="12">
        <v>44270</v>
      </c>
      <c r="B164" s="18">
        <v>24.32</v>
      </c>
      <c r="C164" s="116">
        <f t="shared" si="11"/>
        <v>-9.6582466567607828E-2</v>
      </c>
    </row>
    <row r="165" spans="1:3" x14ac:dyDescent="0.25">
      <c r="A165" s="12">
        <v>44263</v>
      </c>
      <c r="B165" s="18">
        <v>26.92</v>
      </c>
      <c r="C165" s="116">
        <f t="shared" si="11"/>
        <v>0.12400830379923589</v>
      </c>
    </row>
    <row r="166" spans="1:3" x14ac:dyDescent="0.25">
      <c r="A166" s="12">
        <v>44256</v>
      </c>
      <c r="B166" s="18">
        <v>23.950001</v>
      </c>
      <c r="C166" s="116">
        <f t="shared" si="11"/>
        <v>2.0920920502092155E-3</v>
      </c>
    </row>
    <row r="167" spans="1:3" x14ac:dyDescent="0.25">
      <c r="A167" s="12">
        <v>44249</v>
      </c>
      <c r="B167" s="18">
        <v>23.9</v>
      </c>
      <c r="C167" s="116">
        <f t="shared" si="11"/>
        <v>-0.17586206896551726</v>
      </c>
    </row>
    <row r="168" spans="1:3" x14ac:dyDescent="0.25">
      <c r="A168" s="12">
        <v>44242</v>
      </c>
      <c r="B168" s="18">
        <v>29</v>
      </c>
      <c r="C168" s="116">
        <f t="shared" si="11"/>
        <v>-9.1193983077405227E-2</v>
      </c>
    </row>
    <row r="169" spans="1:3" x14ac:dyDescent="0.25">
      <c r="A169" s="12">
        <v>44235</v>
      </c>
      <c r="B169" s="18">
        <v>31.91</v>
      </c>
      <c r="C169" s="116">
        <f t="shared" si="11"/>
        <v>-6.2848724312737803E-2</v>
      </c>
    </row>
    <row r="170" spans="1:3" x14ac:dyDescent="0.25">
      <c r="A170" s="12">
        <v>44228</v>
      </c>
      <c r="B170" s="18">
        <v>34.049999</v>
      </c>
      <c r="C170" s="116">
        <f t="shared" si="11"/>
        <v>-3.2120551449687285E-2</v>
      </c>
    </row>
    <row r="171" spans="1:3" x14ac:dyDescent="0.25">
      <c r="A171" s="12">
        <v>44221</v>
      </c>
      <c r="B171" s="18">
        <v>35.18</v>
      </c>
      <c r="C171" s="116">
        <f t="shared" si="11"/>
        <v>7.9803494180264334E-2</v>
      </c>
    </row>
    <row r="172" spans="1:3" x14ac:dyDescent="0.25">
      <c r="A172" s="12">
        <v>44214</v>
      </c>
      <c r="B172" s="18">
        <v>32.580002</v>
      </c>
      <c r="C172" s="116">
        <f t="shared" si="11"/>
        <v>0.27067095439434308</v>
      </c>
    </row>
    <row r="173" spans="1:3" x14ac:dyDescent="0.25">
      <c r="A173" s="12">
        <v>44207</v>
      </c>
      <c r="B173" s="18">
        <v>25.639999</v>
      </c>
      <c r="C173" s="116">
        <f t="shared" si="11"/>
        <v>1.746023740237157E-2</v>
      </c>
    </row>
    <row r="174" spans="1:3" x14ac:dyDescent="0.25">
      <c r="A174" s="12">
        <v>44200</v>
      </c>
      <c r="B174" s="18">
        <v>25.200001</v>
      </c>
      <c r="C174" s="116">
        <f t="shared" si="11"/>
        <v>7.0063782168313438E-2</v>
      </c>
    </row>
    <row r="175" spans="1:3" x14ac:dyDescent="0.25">
      <c r="A175" s="12">
        <v>44193</v>
      </c>
      <c r="B175" s="18">
        <v>23.549999</v>
      </c>
      <c r="C175" s="116">
        <f t="shared" si="11"/>
        <v>-0.1513513873873874</v>
      </c>
    </row>
    <row r="176" spans="1:3" x14ac:dyDescent="0.25">
      <c r="A176" s="12">
        <v>44186</v>
      </c>
      <c r="B176" s="18">
        <v>27.75</v>
      </c>
      <c r="C176" s="116">
        <f t="shared" si="11"/>
        <v>6.8540664941881602E-2</v>
      </c>
    </row>
    <row r="177" spans="1:3" x14ac:dyDescent="0.25">
      <c r="A177" s="12">
        <v>44179</v>
      </c>
      <c r="B177" s="18">
        <v>25.969999000000001</v>
      </c>
      <c r="C177" s="116">
        <f t="shared" si="11"/>
        <v>-4.522066010218162E-2</v>
      </c>
    </row>
    <row r="178" spans="1:3" x14ac:dyDescent="0.25">
      <c r="A178" s="12">
        <v>44172</v>
      </c>
      <c r="B178" s="18">
        <v>27.200001</v>
      </c>
      <c r="C178" s="116">
        <f t="shared" si="11"/>
        <v>0.1404612578616351</v>
      </c>
    </row>
    <row r="179" spans="1:3" x14ac:dyDescent="0.25">
      <c r="A179" s="12">
        <v>44165</v>
      </c>
      <c r="B179" s="18">
        <v>23.85</v>
      </c>
      <c r="C179" s="116">
        <f t="shared" si="11"/>
        <v>-0.13774403470715835</v>
      </c>
    </row>
    <row r="180" spans="1:3" x14ac:dyDescent="0.25">
      <c r="A180" s="12">
        <v>44158</v>
      </c>
      <c r="B180" s="18">
        <v>27.66</v>
      </c>
      <c r="C180" s="116">
        <f t="shared" si="11"/>
        <v>0.5239669421487605</v>
      </c>
    </row>
    <row r="181" spans="1:3" x14ac:dyDescent="0.25">
      <c r="A181" s="12">
        <v>44151</v>
      </c>
      <c r="B181" s="18">
        <v>18.149999999999999</v>
      </c>
      <c r="C181" s="116">
        <f t="shared" si="11"/>
        <v>0.14873417721518978</v>
      </c>
    </row>
    <row r="182" spans="1:3" x14ac:dyDescent="0.25">
      <c r="A182" s="12">
        <v>44144</v>
      </c>
      <c r="B182" s="18">
        <v>15.8</v>
      </c>
      <c r="C182" s="116">
        <f t="shared" si="11"/>
        <v>0.14244396240057844</v>
      </c>
    </row>
    <row r="183" spans="1:3" x14ac:dyDescent="0.25">
      <c r="A183" s="12">
        <v>44137</v>
      </c>
      <c r="B183" s="18">
        <v>13.83</v>
      </c>
      <c r="C183" s="116">
        <f t="shared" si="11"/>
        <v>0.36525172754195445</v>
      </c>
    </row>
    <row r="184" spans="1:3" x14ac:dyDescent="0.25">
      <c r="A184" s="12">
        <v>44130</v>
      </c>
      <c r="B184" s="18">
        <v>10.130000000000001</v>
      </c>
      <c r="C184" s="116">
        <f t="shared" si="11"/>
        <v>6.7439409905163394E-2</v>
      </c>
    </row>
    <row r="185" spans="1:3" x14ac:dyDescent="0.25">
      <c r="A185" s="12">
        <v>44123</v>
      </c>
      <c r="B185" s="18">
        <v>9.49</v>
      </c>
      <c r="C185" s="116">
        <f t="shared" si="11"/>
        <v>-2.2657054582904235E-2</v>
      </c>
    </row>
    <row r="186" spans="1:3" x14ac:dyDescent="0.25">
      <c r="A186" s="12">
        <v>44116</v>
      </c>
      <c r="B186" s="18">
        <v>9.7100000000000009</v>
      </c>
      <c r="C186" s="116">
        <f t="shared" si="11"/>
        <v>-2.4120603015075237E-2</v>
      </c>
    </row>
    <row r="187" spans="1:3" x14ac:dyDescent="0.25">
      <c r="A187" s="12">
        <v>44109</v>
      </c>
      <c r="B187" s="18">
        <v>9.9499999999999993</v>
      </c>
      <c r="C187" s="116">
        <f t="shared" si="11"/>
        <v>8.1521739130434812E-2</v>
      </c>
    </row>
    <row r="188" spans="1:3" x14ac:dyDescent="0.25">
      <c r="A188" s="12">
        <v>44102</v>
      </c>
      <c r="B188" s="18">
        <v>9.1999999999999993</v>
      </c>
    </row>
  </sheetData>
  <autoFilter ref="A1:C1" xr:uid="{366AC5E7-7FF6-4287-9F23-7D3A6FE15A5F}">
    <sortState xmlns:xlrd2="http://schemas.microsoft.com/office/spreadsheetml/2017/richdata2" ref="A2:C183">
      <sortCondition descending="1" ref="A1"/>
    </sortState>
  </autoFilter>
  <mergeCells count="4">
    <mergeCell ref="G1:L1"/>
    <mergeCell ref="G43:L43"/>
    <mergeCell ref="G17:H17"/>
    <mergeCell ref="G18:H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2025-02-07T04:13:39Z</dcterms:modified>
</cp:coreProperties>
</file>