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9ABB3757-0F0D-4A01-A989-07D57A9E33CC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Model-graph" sheetId="3" r:id="rId3"/>
    <sheet name="KPI" sheetId="6" r:id="rId4"/>
    <sheet name="Catalysts" sheetId="4" r:id="rId5"/>
    <sheet name="DoR" sheetId="7" r:id="rId6"/>
  </sheets>
  <definedNames>
    <definedName name="_xlnm._FilterDatabase" localSheetId="5" hidden="1">DoR!$B$1:$C$1</definedName>
    <definedName name="_xlchart.v1.0" hidden="1">Model!$A$21</definedName>
    <definedName name="_xlchart.v1.1" hidden="1">Model!$A$22</definedName>
    <definedName name="_xlchart.v1.2" hidden="1">Model!$B$21:$Q$21</definedName>
    <definedName name="_xlchart.v1.3" hidden="1">Model!$B$22:$Q$22</definedName>
    <definedName name="_xlchart.v1.4" hidden="1">Model!$B$2:$Q$2</definedName>
    <definedName name="_xlchart.v1.5" hidden="1">Model!$A$3</definedName>
    <definedName name="_xlchart.v1.6" hidden="1">Model!$A$4</definedName>
    <definedName name="_xlchart.v1.7" hidden="1">Model!$B$2:$Q$2</definedName>
    <definedName name="_xlchart.v1.8" hidden="1">Model!$B$3:$Q$3</definedName>
    <definedName name="_xlchart.v1.9" hidden="1">Model!$B$4:$Q$4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I35" i="7" s="1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2" i="7"/>
  <c r="I19" i="7"/>
  <c r="I65" i="7"/>
  <c r="I64" i="7"/>
  <c r="I34" i="7" l="1"/>
  <c r="M57" i="7"/>
  <c r="J36" i="7"/>
  <c r="J35" i="7"/>
  <c r="I30" i="7"/>
  <c r="I29" i="7"/>
  <c r="J34" i="7"/>
  <c r="I22" i="7"/>
  <c r="I20" i="7"/>
  <c r="I24" i="7"/>
  <c r="I28" i="7"/>
  <c r="M45" i="7"/>
  <c r="M47" i="7"/>
  <c r="M49" i="7"/>
  <c r="M51" i="7"/>
  <c r="M53" i="7"/>
  <c r="M55" i="7"/>
  <c r="I58" i="7"/>
  <c r="I44" i="7"/>
  <c r="I46" i="7"/>
  <c r="I48" i="7"/>
  <c r="I50" i="7"/>
  <c r="I52" i="7"/>
  <c r="I54" i="7"/>
  <c r="I56" i="7"/>
  <c r="M58" i="7"/>
  <c r="K44" i="7"/>
  <c r="K46" i="7"/>
  <c r="K48" i="7"/>
  <c r="K50" i="7"/>
  <c r="K52" i="7"/>
  <c r="K54" i="7"/>
  <c r="K56" i="7"/>
  <c r="M44" i="7"/>
  <c r="M46" i="7"/>
  <c r="M48" i="7"/>
  <c r="M50" i="7"/>
  <c r="M52" i="7"/>
  <c r="M54" i="7"/>
  <c r="M56" i="7"/>
  <c r="I21" i="7"/>
  <c r="I25" i="7"/>
  <c r="I26" i="7"/>
  <c r="I23" i="7"/>
  <c r="H4" i="7" s="1"/>
  <c r="I31" i="7"/>
  <c r="K35" i="7" s="1"/>
  <c r="L35" i="7" s="1"/>
  <c r="I45" i="7"/>
  <c r="I47" i="7"/>
  <c r="I49" i="7"/>
  <c r="I51" i="7"/>
  <c r="I53" i="7"/>
  <c r="I55" i="7"/>
  <c r="I57" i="7"/>
  <c r="K45" i="7"/>
  <c r="K47" i="7"/>
  <c r="K49" i="7"/>
  <c r="K51" i="7"/>
  <c r="K53" i="7"/>
  <c r="K55" i="7"/>
  <c r="I27" i="7" l="1"/>
  <c r="H5" i="7"/>
  <c r="J40" i="7"/>
  <c r="I40" i="7"/>
  <c r="H7" i="7"/>
  <c r="H9" i="7"/>
  <c r="H10" i="7"/>
  <c r="H11" i="7"/>
  <c r="J41" i="7"/>
  <c r="H8" i="7"/>
  <c r="I41" i="7"/>
  <c r="J39" i="7"/>
  <c r="I39" i="7"/>
  <c r="H12" i="7"/>
  <c r="H13" i="7"/>
  <c r="H14" i="7"/>
  <c r="H6" i="7"/>
  <c r="K34" i="7"/>
  <c r="L34" i="7" s="1"/>
  <c r="K36" i="7"/>
  <c r="L36" i="7" s="1"/>
  <c r="K41" i="7" l="1"/>
  <c r="L41" i="7" s="1"/>
  <c r="K40" i="7"/>
  <c r="L40" i="7" s="1"/>
  <c r="I8" i="7"/>
  <c r="K9" i="7"/>
  <c r="J8" i="7"/>
  <c r="L8" i="7" s="1"/>
  <c r="K6" i="7"/>
  <c r="J5" i="7"/>
  <c r="L5" i="7" s="1"/>
  <c r="I5" i="7"/>
  <c r="K7" i="7"/>
  <c r="J6" i="7"/>
  <c r="L6" i="7" s="1"/>
  <c r="I6" i="7"/>
  <c r="K14" i="7"/>
  <c r="J13" i="7"/>
  <c r="L13" i="7" s="1"/>
  <c r="I13" i="7"/>
  <c r="K12" i="7"/>
  <c r="J11" i="7"/>
  <c r="L11" i="7" s="1"/>
  <c r="I11" i="7"/>
  <c r="K4" i="7"/>
  <c r="K5" i="7"/>
  <c r="J4" i="7"/>
  <c r="L4" i="7" s="1"/>
  <c r="M4" i="7" s="1"/>
  <c r="I4" i="7"/>
  <c r="I10" i="7"/>
  <c r="K11" i="7"/>
  <c r="J10" i="7"/>
  <c r="L10" i="7" s="1"/>
  <c r="K13" i="7"/>
  <c r="J12" i="7"/>
  <c r="L12" i="7" s="1"/>
  <c r="I12" i="7"/>
  <c r="K10" i="7"/>
  <c r="J9" i="7"/>
  <c r="L9" i="7" s="1"/>
  <c r="I9" i="7"/>
  <c r="J15" i="7"/>
  <c r="L15" i="7" s="1"/>
  <c r="J14" i="7"/>
  <c r="L14" i="7" s="1"/>
  <c r="I14" i="7"/>
  <c r="K15" i="7"/>
  <c r="K39" i="7"/>
  <c r="L39" i="7" s="1"/>
  <c r="K8" i="7"/>
  <c r="J7" i="7"/>
  <c r="L7" i="7" s="1"/>
  <c r="I7" i="7"/>
  <c r="M5" i="7" l="1"/>
  <c r="M6" i="7" s="1"/>
  <c r="M7" i="7" l="1"/>
  <c r="M8" i="7" s="1"/>
  <c r="M9" i="7" s="1"/>
  <c r="M10" i="7" s="1"/>
  <c r="M11" i="7" s="1"/>
  <c r="M12" i="7" s="1"/>
  <c r="M13" i="7" s="1"/>
  <c r="M14" i="7" s="1"/>
  <c r="M15" i="7" s="1"/>
  <c r="C6" i="6"/>
  <c r="B6" i="6"/>
  <c r="V54" i="2"/>
  <c r="V37" i="2"/>
  <c r="U15" i="2"/>
  <c r="U12" i="2"/>
  <c r="U10" i="2"/>
  <c r="U18" i="2" s="1"/>
  <c r="U9" i="2"/>
  <c r="V27" i="2"/>
  <c r="W27" i="2"/>
  <c r="V21" i="2"/>
  <c r="V10" i="2"/>
  <c r="V18" i="2"/>
  <c r="V15" i="2"/>
  <c r="W3" i="2"/>
  <c r="F11" i="6"/>
  <c r="E11" i="6"/>
  <c r="Y50" i="2"/>
  <c r="Y53" i="2" s="1"/>
  <c r="Y40" i="2"/>
  <c r="Y45" i="2" s="1"/>
  <c r="D6" i="6"/>
  <c r="E6" i="6"/>
  <c r="F6" i="6"/>
  <c r="AA30" i="2"/>
  <c r="AA27" i="2"/>
  <c r="R27" i="2"/>
  <c r="C7" i="1"/>
  <c r="J7" i="1" s="1"/>
  <c r="P28" i="2"/>
  <c r="O28" i="2"/>
  <c r="N28" i="2"/>
  <c r="M28" i="2"/>
  <c r="L28" i="2"/>
  <c r="K28" i="2"/>
  <c r="J28" i="2"/>
  <c r="I28" i="2"/>
  <c r="H28" i="2"/>
  <c r="G28" i="2"/>
  <c r="F28" i="2"/>
  <c r="B9" i="2"/>
  <c r="Q15" i="2"/>
  <c r="Y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6" i="2"/>
  <c r="C18" i="2"/>
  <c r="C23" i="2" s="1"/>
  <c r="D18" i="2"/>
  <c r="D23" i="2" s="1"/>
  <c r="E18" i="2"/>
  <c r="E23" i="2" s="1"/>
  <c r="G18" i="2"/>
  <c r="G23" i="2" s="1"/>
  <c r="H18" i="2"/>
  <c r="H23" i="2" s="1"/>
  <c r="I18" i="2"/>
  <c r="I23" i="2" s="1"/>
  <c r="J18" i="2"/>
  <c r="J23" i="2" s="1"/>
  <c r="K18" i="2"/>
  <c r="K23" i="2" s="1"/>
  <c r="L18" i="2"/>
  <c r="L23" i="2" s="1"/>
  <c r="M18" i="2"/>
  <c r="M23" i="2" s="1"/>
  <c r="N18" i="2"/>
  <c r="N23" i="2" s="1"/>
  <c r="O18" i="2"/>
  <c r="O23" i="2" s="1"/>
  <c r="P18" i="2"/>
  <c r="P23" i="2" s="1"/>
  <c r="B18" i="2"/>
  <c r="B23" i="2" s="1"/>
  <c r="V25" i="2"/>
  <c r="Y17" i="2"/>
  <c r="X17" i="2"/>
  <c r="Y14" i="2"/>
  <c r="Y11" i="2"/>
  <c r="Y8" i="2"/>
  <c r="Y33" i="2" s="1"/>
  <c r="Y7" i="2"/>
  <c r="Y6" i="2"/>
  <c r="Y5" i="2"/>
  <c r="Y3" i="2"/>
  <c r="Z27" i="2" s="1"/>
  <c r="P27" i="2"/>
  <c r="P25" i="2"/>
  <c r="P9" i="2"/>
  <c r="P12" i="2" s="1"/>
  <c r="P15" i="2" s="1"/>
  <c r="O27" i="2"/>
  <c r="X3" i="2"/>
  <c r="X36" i="2"/>
  <c r="X14" i="2"/>
  <c r="X11" i="2"/>
  <c r="X8" i="2"/>
  <c r="X7" i="2"/>
  <c r="X32" i="2" s="1"/>
  <c r="X6" i="2"/>
  <c r="X31" i="2" s="1"/>
  <c r="X5" i="2"/>
  <c r="W5" i="2"/>
  <c r="W11" i="2"/>
  <c r="W6" i="2"/>
  <c r="W7" i="2"/>
  <c r="W8" i="2"/>
  <c r="W51" i="2"/>
  <c r="W49" i="2"/>
  <c r="W42" i="2"/>
  <c r="W43" i="2"/>
  <c r="W36" i="2"/>
  <c r="V51" i="2"/>
  <c r="V42" i="2"/>
  <c r="V43" i="2"/>
  <c r="V36" i="2"/>
  <c r="G25" i="2"/>
  <c r="H25" i="2"/>
  <c r="I25" i="2"/>
  <c r="J25" i="2"/>
  <c r="K25" i="2"/>
  <c r="L25" i="2"/>
  <c r="M25" i="2"/>
  <c r="N25" i="2"/>
  <c r="O25" i="2"/>
  <c r="B25" i="2"/>
  <c r="C25" i="2"/>
  <c r="D25" i="2"/>
  <c r="E25" i="2"/>
  <c r="F25" i="2"/>
  <c r="F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Z15" i="2"/>
  <c r="C17" i="1"/>
  <c r="C16" i="1"/>
  <c r="Q27" i="2"/>
  <c r="X33" i="2" l="1"/>
  <c r="Y31" i="2"/>
  <c r="W31" i="2"/>
  <c r="W33" i="2"/>
  <c r="W32" i="2"/>
  <c r="Y32" i="2"/>
  <c r="Y54" i="2"/>
  <c r="J6" i="1"/>
  <c r="J3" i="1"/>
  <c r="J12" i="1"/>
  <c r="J4" i="1"/>
  <c r="J11" i="1"/>
  <c r="J10" i="1"/>
  <c r="J13" i="1"/>
  <c r="J9" i="1"/>
  <c r="J5" i="1"/>
  <c r="J8" i="1"/>
  <c r="P21" i="2"/>
  <c r="B29" i="2"/>
  <c r="X25" i="2"/>
  <c r="W25" i="2"/>
  <c r="Y25" i="2"/>
  <c r="Y27" i="2"/>
  <c r="Y9" i="2"/>
  <c r="P26" i="2"/>
  <c r="P29" i="2"/>
  <c r="X9" i="2"/>
  <c r="C9" i="1"/>
  <c r="C10" i="1"/>
  <c r="N50" i="2"/>
  <c r="M50" i="2"/>
  <c r="X27" i="2"/>
  <c r="K50" i="2"/>
  <c r="F27" i="2"/>
  <c r="G27" i="2"/>
  <c r="I27" i="2"/>
  <c r="J27" i="2"/>
  <c r="K27" i="2"/>
  <c r="M27" i="2"/>
  <c r="N27" i="2"/>
  <c r="V50" i="2"/>
  <c r="V53" i="2" s="1"/>
  <c r="W50" i="2"/>
  <c r="X50" i="2"/>
  <c r="X53" i="2" s="1"/>
  <c r="V40" i="2"/>
  <c r="V45" i="2" s="1"/>
  <c r="W40" i="2"/>
  <c r="W45" i="2" s="1"/>
  <c r="X40" i="2"/>
  <c r="X45" i="2" s="1"/>
  <c r="B45" i="2"/>
  <c r="B50" i="2"/>
  <c r="B53" i="2" s="1"/>
  <c r="C50" i="2"/>
  <c r="C53" i="2" s="1"/>
  <c r="E50" i="2"/>
  <c r="F50" i="2"/>
  <c r="F53" i="2" s="1"/>
  <c r="G50" i="2"/>
  <c r="G53" i="2" s="1"/>
  <c r="I50" i="2"/>
  <c r="C45" i="2"/>
  <c r="E45" i="2"/>
  <c r="F45" i="2"/>
  <c r="G45" i="2"/>
  <c r="I45" i="2"/>
  <c r="J45" i="2"/>
  <c r="K45" i="2"/>
  <c r="M45" i="2"/>
  <c r="N45" i="2"/>
  <c r="O45" i="2"/>
  <c r="W9" i="2"/>
  <c r="V9" i="2"/>
  <c r="V12" i="2" s="1"/>
  <c r="C9" i="2"/>
  <c r="E9" i="2"/>
  <c r="E12" i="2" s="1"/>
  <c r="E15" i="2" s="1"/>
  <c r="G9" i="2"/>
  <c r="I9" i="2"/>
  <c r="I12" i="2" s="1"/>
  <c r="I15" i="2" s="1"/>
  <c r="J9" i="2"/>
  <c r="J12" i="2" s="1"/>
  <c r="J15" i="2" s="1"/>
  <c r="K9" i="2"/>
  <c r="K12" i="2" s="1"/>
  <c r="K15" i="2" s="1"/>
  <c r="M9" i="2"/>
  <c r="M12" i="2" s="1"/>
  <c r="M15" i="2" s="1"/>
  <c r="N9" i="2"/>
  <c r="N12" i="2" s="1"/>
  <c r="N15" i="2" s="1"/>
  <c r="O9" i="2"/>
  <c r="O12" i="2" s="1"/>
  <c r="O15" i="2" s="1"/>
  <c r="B12" i="2"/>
  <c r="B15" i="2" s="1"/>
  <c r="B21" i="2" s="1"/>
  <c r="Y12" i="2" l="1"/>
  <c r="Y15" i="2" s="1"/>
  <c r="Y26" i="2" s="1"/>
  <c r="Y10" i="2"/>
  <c r="Y18" i="2" s="1"/>
  <c r="Y23" i="2" s="1"/>
  <c r="X12" i="2"/>
  <c r="X15" i="2" s="1"/>
  <c r="X21" i="2" s="1"/>
  <c r="C13" i="1" s="1"/>
  <c r="X10" i="2"/>
  <c r="X18" i="2" s="1"/>
  <c r="X23" i="2" s="1"/>
  <c r="O30" i="2"/>
  <c r="W12" i="2"/>
  <c r="W15" i="2" s="1"/>
  <c r="W21" i="2" s="1"/>
  <c r="W10" i="2"/>
  <c r="W18" i="2" s="1"/>
  <c r="W23" i="2" s="1"/>
  <c r="X54" i="2"/>
  <c r="Y21" i="2"/>
  <c r="Z30" i="2" s="1"/>
  <c r="E29" i="2"/>
  <c r="E21" i="2"/>
  <c r="N29" i="2"/>
  <c r="N21" i="2"/>
  <c r="R30" i="2" s="1"/>
  <c r="M21" i="2"/>
  <c r="Q30" i="2" s="1"/>
  <c r="M29" i="2"/>
  <c r="Y29" i="2"/>
  <c r="K21" i="2"/>
  <c r="K29" i="2"/>
  <c r="O21" i="2"/>
  <c r="O29" i="2"/>
  <c r="X29" i="2"/>
  <c r="J29" i="2"/>
  <c r="J21" i="2"/>
  <c r="I29" i="2"/>
  <c r="I21" i="2"/>
  <c r="G12" i="2"/>
  <c r="G15" i="2" s="1"/>
  <c r="G21" i="2" s="1"/>
  <c r="F12" i="2"/>
  <c r="C12" i="2"/>
  <c r="C15" i="2" s="1"/>
  <c r="C21" i="2" s="1"/>
  <c r="O50" i="2"/>
  <c r="O53" i="2" s="1"/>
  <c r="J50" i="2"/>
  <c r="J53" i="2" s="1"/>
  <c r="W53" i="2"/>
  <c r="W54" i="2" s="1"/>
  <c r="D45" i="2"/>
  <c r="C11" i="1"/>
  <c r="N53" i="2"/>
  <c r="M53" i="2"/>
  <c r="H9" i="2"/>
  <c r="H27" i="2"/>
  <c r="L27" i="2"/>
  <c r="L9" i="2"/>
  <c r="L12" i="2" s="1"/>
  <c r="L15" i="2" s="1"/>
  <c r="P30" i="2" s="1"/>
  <c r="L50" i="2"/>
  <c r="L53" i="2" s="1"/>
  <c r="L45" i="2"/>
  <c r="K53" i="2"/>
  <c r="I53" i="2"/>
  <c r="H50" i="2"/>
  <c r="H53" i="2" s="1"/>
  <c r="D50" i="2"/>
  <c r="D53" i="2" s="1"/>
  <c r="H45" i="2"/>
  <c r="E53" i="2"/>
  <c r="D9" i="2"/>
  <c r="C8" i="1"/>
  <c r="C12" i="1" s="1"/>
  <c r="Y30" i="2" l="1"/>
  <c r="W29" i="2"/>
  <c r="F15" i="2"/>
  <c r="F21" i="2" s="1"/>
  <c r="F18" i="2"/>
  <c r="F23" i="2" s="1"/>
  <c r="C29" i="2"/>
  <c r="L29" i="2"/>
  <c r="L21" i="2"/>
  <c r="G30" i="2"/>
  <c r="G29" i="2"/>
  <c r="H12" i="2"/>
  <c r="D12" i="2"/>
  <c r="D15" i="2" s="1"/>
  <c r="D21" i="2" s="1"/>
  <c r="J26" i="2"/>
  <c r="N30" i="2"/>
  <c r="O26" i="2"/>
  <c r="I26" i="2"/>
  <c r="I30" i="2"/>
  <c r="X26" i="2"/>
  <c r="N26" i="2"/>
  <c r="M26" i="2"/>
  <c r="M30" i="2"/>
  <c r="W30" i="2"/>
  <c r="X30" i="2"/>
  <c r="W26" i="2"/>
  <c r="G26" i="2"/>
  <c r="E26" i="2"/>
  <c r="V26" i="2"/>
  <c r="C26" i="2"/>
  <c r="B26" i="2"/>
  <c r="J30" i="2" l="1"/>
  <c r="F30" i="2"/>
  <c r="F26" i="2"/>
  <c r="F29" i="2"/>
  <c r="H29" i="2"/>
  <c r="H15" i="2"/>
  <c r="H26" i="2" s="1"/>
  <c r="L26" i="2"/>
  <c r="K26" i="2"/>
  <c r="K30" i="2"/>
  <c r="L30" i="2" l="1"/>
  <c r="D26" i="2"/>
  <c r="D29" i="2"/>
  <c r="H30" i="2"/>
  <c r="H21" i="2" l="1"/>
</calcChain>
</file>

<file path=xl/sharedStrings.xml><?xml version="1.0" encoding="utf-8"?>
<sst xmlns="http://schemas.openxmlformats.org/spreadsheetml/2006/main" count="222" uniqueCount="197">
  <si>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</si>
  <si>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</si>
  <si>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</si>
  <si>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</si>
  <si>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</si>
  <si>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</si>
  <si>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</si>
  <si>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</si>
  <si>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</si>
  <si>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</si>
  <si>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</si>
  <si>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</si>
  <si>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</si>
  <si>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</si>
  <si>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</si>
  <si>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</si>
  <si>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</si>
  <si>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</si>
  <si>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</si>
  <si>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</si>
  <si>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</si>
  <si>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</si>
  <si>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</si>
  <si>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</si>
  <si>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</si>
  <si>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</si>
  <si>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</si>
  <si>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</si>
  <si>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</si>
  <si>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</si>
  <si>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</si>
  <si>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</si>
  <si>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</si>
  <si>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</si>
  <si>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</si>
  <si>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</si>
  <si>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</si>
  <si>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</si>
  <si>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</si>
  <si>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</si>
  <si>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</si>
  <si>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</si>
  <si>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</si>
  <si>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</si>
  <si>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</si>
  <si>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</si>
  <si>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</si>
  <si>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</si>
  <si>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</si>
  <si>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</si>
  <si>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</si>
  <si>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</si>
  <si>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</si>
  <si>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</si>
  <si>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</si>
  <si>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</si>
  <si>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</si>
  <si>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</si>
  <si>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</si>
  <si>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</si>
  <si>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</si>
  <si>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</si>
  <si>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</si>
  <si>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</si>
  <si>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</si>
  <si>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</si>
  <si>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</si>
  <si>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</si>
  <si>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</si>
  <si>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</si>
  <si>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</si>
  <si>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</si>
  <si>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</si>
  <si>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</si>
  <si>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</si>
  <si>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</si>
  <si>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</si>
  <si>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</si>
  <si>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</si>
  <si>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</si>
  <si>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</si>
  <si>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</si>
  <si>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</si>
  <si>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</si>
  <si>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Morgan Stanley</t>
  </si>
  <si>
    <t>R&amp;D</t>
  </si>
  <si>
    <t>Financial Income/Exp</t>
  </si>
  <si>
    <t>PP&amp;E</t>
  </si>
  <si>
    <t>Right-of-use Asset</t>
  </si>
  <si>
    <t>Share-based comp</t>
  </si>
  <si>
    <t>adj. EBITDA</t>
  </si>
  <si>
    <t>adj. EBITDA Margin</t>
  </si>
  <si>
    <t>MNDY</t>
  </si>
  <si>
    <t>Co-Founder, Co-CEO &amp; Director</t>
  </si>
  <si>
    <t>Chief Financial Officer</t>
  </si>
  <si>
    <t>Chief Product &amp; Technology Officer</t>
  </si>
  <si>
    <t>Chief Revenue Officer</t>
  </si>
  <si>
    <t>Vice President of Operations</t>
  </si>
  <si>
    <t>Ms. Shiran Nawi</t>
  </si>
  <si>
    <t>Chief People &amp; Legal Officer</t>
  </si>
  <si>
    <t>GM of North America &amp; Senior VP of Sales</t>
  </si>
  <si>
    <t>Eran Zinman</t>
  </si>
  <si>
    <t>Roy Mann</t>
  </si>
  <si>
    <t>Eliran Glazer</t>
  </si>
  <si>
    <t>Daniel Lereya</t>
  </si>
  <si>
    <t>Yoni Osherov</t>
  </si>
  <si>
    <t>Ouriel Weisz</t>
  </si>
  <si>
    <t>Jamison Powell</t>
  </si>
  <si>
    <t>Sonnipe Ltd</t>
  </si>
  <si>
    <t>8.61%</t>
  </si>
  <si>
    <t>Price (T.Rowe) Associates Inc</t>
  </si>
  <si>
    <t>6.49%</t>
  </si>
  <si>
    <t>Franklin Resources, Inc.</t>
  </si>
  <si>
    <t>4.54%</t>
  </si>
  <si>
    <t>Voya Investment Management LLC</t>
  </si>
  <si>
    <t>3.39%</t>
  </si>
  <si>
    <t>Insight Holdings Group, LLC</t>
  </si>
  <si>
    <t>3.35%</t>
  </si>
  <si>
    <t>2.68%</t>
  </si>
  <si>
    <t>Blackrock Inc.</t>
  </si>
  <si>
    <t>2.32%</t>
  </si>
  <si>
    <t>Whale Rock Capital Management LLC</t>
  </si>
  <si>
    <t>2.17%</t>
  </si>
  <si>
    <t>Renaissance Technologies, LLC</t>
  </si>
  <si>
    <t>2.09%</t>
  </si>
  <si>
    <t>1832 Asset Management L.P.</t>
  </si>
  <si>
    <t>1.78%</t>
  </si>
  <si>
    <t>Sales &amp; Marketing</t>
  </si>
  <si>
    <t>G&amp;A</t>
  </si>
  <si>
    <t>Dividends</t>
  </si>
  <si>
    <t>Non-GAAP EPS</t>
  </si>
  <si>
    <t>Prepaid Expense + other</t>
  </si>
  <si>
    <t>Operating Lease</t>
  </si>
  <si>
    <t>Accrued Expense + other</t>
  </si>
  <si>
    <t>Deferred Revenue</t>
  </si>
  <si>
    <t>Sales &amp; Marketing y/y</t>
  </si>
  <si>
    <t>Non-GAAP Shares</t>
  </si>
  <si>
    <t>Q224</t>
  </si>
  <si>
    <t>FY25</t>
  </si>
  <si>
    <t>USA</t>
  </si>
  <si>
    <t>EMEA</t>
  </si>
  <si>
    <t>UK</t>
  </si>
  <si>
    <t>RoW</t>
  </si>
  <si>
    <t>Equity</t>
  </si>
  <si>
    <t>ARR</t>
  </si>
  <si>
    <t>Customer Growth</t>
  </si>
  <si>
    <t>Shiran Nawi</t>
  </si>
  <si>
    <t>Avishai Abrahami</t>
  </si>
  <si>
    <t>Aviad Eyal</t>
  </si>
  <si>
    <t>Jeff Horing</t>
  </si>
  <si>
    <t>Ronen Faier</t>
  </si>
  <si>
    <t>Gili Iohan</t>
  </si>
  <si>
    <t>R&amp;D part of Rev</t>
  </si>
  <si>
    <t>S&amp;M part of Rev</t>
  </si>
  <si>
    <t>G&amp;A part of Rev</t>
  </si>
  <si>
    <t>Non-GAAP OpInc</t>
  </si>
  <si>
    <t>FY19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</si>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</sst>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7" borderId="9" applyNumberFormat="0" applyAlignment="0" applyProtection="0"/>
  </cellStyleXfs>
  <cellXfs count="127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6" borderId="0" xfId="0" applyFill="1"/>
    <xf numFmtId="3" fontId="0" fillId="6" borderId="0" xfId="0" applyNumberFormat="1" applyFill="1"/>
    <xf numFmtId="0" fontId="2" fillId="6" borderId="0" xfId="0" applyFont="1" applyFill="1"/>
    <xf numFmtId="3" fontId="2" fillId="6" borderId="0" xfId="0" applyNumberFormat="1" applyFont="1" applyFill="1"/>
    <xf numFmtId="3" fontId="0" fillId="6" borderId="2" xfId="0" applyNumberFormat="1" applyFill="1" applyBorder="1"/>
    <xf numFmtId="3" fontId="2" fillId="6" borderId="2" xfId="0" applyNumberFormat="1" applyFont="1" applyFill="1" applyBorder="1"/>
    <xf numFmtId="0" fontId="5" fillId="0" borderId="2" xfId="0" applyFont="1" applyBorder="1"/>
    <xf numFmtId="0" fontId="0" fillId="3" borderId="7" xfId="0" applyFill="1" applyBorder="1" applyAlignment="1">
      <alignment horizontal="right"/>
    </xf>
    <xf numFmtId="1" fontId="0" fillId="0" borderId="0" xfId="1" applyNumberFormat="1" applyFont="1"/>
    <xf numFmtId="10" fontId="0" fillId="0" borderId="0" xfId="1" applyNumberFormat="1" applyFont="1"/>
    <xf numFmtId="0" fontId="8" fillId="9" borderId="13" xfId="0" applyFont="1" applyFill="1" applyBorder="1"/>
    <xf numFmtId="0" fontId="8" fillId="9" borderId="14" xfId="0" applyFont="1" applyFill="1" applyBorder="1"/>
    <xf numFmtId="0" fontId="8" fillId="9" borderId="15" xfId="0" applyFont="1" applyFill="1" applyBorder="1"/>
    <xf numFmtId="0" fontId="8" fillId="9" borderId="16" xfId="0" applyFont="1" applyFill="1" applyBorder="1"/>
    <xf numFmtId="0" fontId="9" fillId="9" borderId="17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9" borderId="19" xfId="0" applyFont="1" applyFill="1" applyBorder="1"/>
    <xf numFmtId="0" fontId="8" fillId="9" borderId="20" xfId="0" applyFont="1" applyFill="1" applyBorder="1"/>
    <xf numFmtId="166" fontId="8" fillId="9" borderId="21" xfId="0" applyNumberFormat="1" applyFont="1" applyFill="1" applyBorder="1"/>
    <xf numFmtId="166" fontId="8" fillId="9" borderId="22" xfId="0" applyNumberFormat="1" applyFont="1" applyFill="1" applyBorder="1"/>
    <xf numFmtId="0" fontId="8" fillId="9" borderId="22" xfId="0" applyFont="1" applyFill="1" applyBorder="1"/>
    <xf numFmtId="10" fontId="8" fillId="9" borderId="22" xfId="0" applyNumberFormat="1" applyFont="1" applyFill="1" applyBorder="1"/>
    <xf numFmtId="10" fontId="8" fillId="9" borderId="23" xfId="0" applyNumberFormat="1" applyFont="1" applyFill="1" applyBorder="1"/>
    <xf numFmtId="166" fontId="8" fillId="9" borderId="24" xfId="0" applyNumberFormat="1" applyFont="1" applyFill="1" applyBorder="1"/>
    <xf numFmtId="166" fontId="8" fillId="9" borderId="25" xfId="0" applyNumberFormat="1" applyFont="1" applyFill="1" applyBorder="1"/>
    <xf numFmtId="0" fontId="8" fillId="9" borderId="25" xfId="0" applyFont="1" applyFill="1" applyBorder="1"/>
    <xf numFmtId="0" fontId="8" fillId="9" borderId="25" xfId="0" quotePrefix="1" applyFont="1" applyFill="1" applyBorder="1"/>
    <xf numFmtId="10" fontId="8" fillId="9" borderId="25" xfId="0" applyNumberFormat="1" applyFont="1" applyFill="1" applyBorder="1"/>
    <xf numFmtId="10" fontId="8" fillId="9" borderId="26" xfId="0" applyNumberFormat="1" applyFont="1" applyFill="1" applyBorder="1"/>
    <xf numFmtId="0" fontId="8" fillId="9" borderId="27" xfId="0" applyFont="1" applyFill="1" applyBorder="1"/>
    <xf numFmtId="0" fontId="8" fillId="9" borderId="28" xfId="0" applyFont="1" applyFill="1" applyBorder="1"/>
    <xf numFmtId="10" fontId="8" fillId="9" borderId="29" xfId="0" applyNumberFormat="1" applyFont="1" applyFill="1" applyBorder="1"/>
    <xf numFmtId="166" fontId="8" fillId="9" borderId="30" xfId="0" applyNumberFormat="1" applyFont="1" applyFill="1" applyBorder="1"/>
    <xf numFmtId="0" fontId="8" fillId="9" borderId="31" xfId="0" applyFont="1" applyFill="1" applyBorder="1"/>
    <xf numFmtId="166" fontId="8" fillId="9" borderId="35" xfId="0" applyNumberFormat="1" applyFont="1" applyFill="1" applyBorder="1"/>
    <xf numFmtId="166" fontId="8" fillId="9" borderId="13" xfId="0" applyNumberFormat="1" applyFont="1" applyFill="1" applyBorder="1"/>
    <xf numFmtId="166" fontId="8" fillId="9" borderId="36" xfId="0" applyNumberFormat="1" applyFont="1" applyFill="1" applyBorder="1"/>
    <xf numFmtId="166" fontId="8" fillId="9" borderId="37" xfId="0" applyNumberFormat="1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166" fontId="10" fillId="9" borderId="24" xfId="0" applyNumberFormat="1" applyFont="1" applyFill="1" applyBorder="1"/>
    <xf numFmtId="166" fontId="10" fillId="9" borderId="30" xfId="0" applyNumberFormat="1" applyFont="1" applyFill="1" applyBorder="1"/>
    <xf numFmtId="10" fontId="8" fillId="9" borderId="28" xfId="0" applyNumberFormat="1" applyFont="1" applyFill="1" applyBorder="1"/>
    <xf numFmtId="0" fontId="8" fillId="9" borderId="0" xfId="0" applyFont="1" applyFill="1"/>
    <xf numFmtId="1" fontId="8" fillId="9" borderId="24" xfId="0" applyNumberFormat="1" applyFont="1" applyFill="1" applyBorder="1"/>
    <xf numFmtId="10" fontId="8" fillId="9" borderId="38" xfId="0" applyNumberFormat="1" applyFont="1" applyFill="1" applyBorder="1"/>
    <xf numFmtId="9" fontId="10" fillId="9" borderId="39" xfId="0" applyNumberFormat="1" applyFont="1" applyFill="1" applyBorder="1"/>
    <xf numFmtId="10" fontId="0" fillId="9" borderId="41" xfId="0" applyNumberFormat="1" applyFill="1" applyBorder="1" applyAlignment="1">
      <alignment horizontal="centerContinuous"/>
    </xf>
    <xf numFmtId="9" fontId="10" fillId="9" borderId="42" xfId="0" applyNumberFormat="1" applyFont="1" applyFill="1" applyBorder="1"/>
    <xf numFmtId="10" fontId="0" fillId="9" borderId="40" xfId="0" applyNumberFormat="1" applyFill="1" applyBorder="1" applyAlignment="1">
      <alignment horizontal="centerContinuous"/>
    </xf>
    <xf numFmtId="9" fontId="10" fillId="9" borderId="35" xfId="0" applyNumberFormat="1" applyFont="1" applyFill="1" applyBorder="1"/>
    <xf numFmtId="10" fontId="0" fillId="9" borderId="2" xfId="0" applyNumberFormat="1" applyFill="1" applyBorder="1" applyAlignment="1">
      <alignment horizontal="centerContinuous"/>
    </xf>
    <xf numFmtId="9" fontId="10" fillId="9" borderId="1" xfId="0" applyNumberFormat="1" applyFont="1" applyFill="1" applyBorder="1"/>
    <xf numFmtId="10" fontId="0" fillId="9" borderId="31" xfId="0" applyNumberFormat="1" applyFill="1" applyBorder="1" applyAlignment="1">
      <alignment horizontal="centerContinuous"/>
    </xf>
    <xf numFmtId="9" fontId="10" fillId="9" borderId="13" xfId="0" applyNumberFormat="1" applyFont="1" applyFill="1" applyBorder="1"/>
    <xf numFmtId="10" fontId="0" fillId="9" borderId="43" xfId="0" applyNumberFormat="1" applyFill="1" applyBorder="1" applyAlignment="1">
      <alignment horizontal="centerContinuous"/>
    </xf>
    <xf numFmtId="0" fontId="8" fillId="9" borderId="44" xfId="0" applyFont="1" applyFill="1" applyBorder="1"/>
    <xf numFmtId="0" fontId="0" fillId="9" borderId="43" xfId="0" applyFill="1" applyBorder="1"/>
    <xf numFmtId="9" fontId="10" fillId="9" borderId="44" xfId="0" applyNumberFormat="1" applyFont="1" applyFill="1" applyBorder="1"/>
    <xf numFmtId="10" fontId="0" fillId="9" borderId="15" xfId="0" applyNumberFormat="1" applyFill="1" applyBorder="1" applyAlignment="1">
      <alignment horizontal="centerContinuous"/>
    </xf>
    <xf numFmtId="0" fontId="10" fillId="0" borderId="21" xfId="0" applyFont="1" applyBorder="1"/>
    <xf numFmtId="9" fontId="6" fillId="7" borderId="23" xfId="3" applyNumberFormat="1" applyBorder="1"/>
    <xf numFmtId="0" fontId="10" fillId="0" borderId="27" xfId="0" applyFont="1" applyBorder="1"/>
    <xf numFmtId="9" fontId="6" fillId="7" borderId="29" xfId="3" applyNumberFormat="1" applyBorder="1"/>
    <xf numFmtId="0" fontId="8" fillId="0" borderId="0" xfId="0" applyFont="1"/>
    <xf numFmtId="2" fontId="6" fillId="7" borderId="23" xfId="3" applyNumberFormat="1" applyBorder="1"/>
    <xf numFmtId="0" fontId="10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65" fontId="8" fillId="9" borderId="2" xfId="0" applyNumberFormat="1" applyFont="1" applyFill="1" applyBorder="1"/>
    <xf numFmtId="2" fontId="8" fillId="9" borderId="2" xfId="0" applyNumberFormat="1" applyFont="1" applyFill="1" applyBorder="1"/>
    <xf numFmtId="0" fontId="8" fillId="9" borderId="43" xfId="0" applyFont="1" applyFill="1" applyBorder="1"/>
    <xf numFmtId="0" fontId="7" fillId="8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166" fontId="8" fillId="9" borderId="32" xfId="0" applyNumberFormat="1" applyFont="1" applyFill="1" applyBorder="1" applyAlignment="1">
      <alignment horizontal="center"/>
    </xf>
    <xf numFmtId="166" fontId="8" fillId="9" borderId="33" xfId="0" applyNumberFormat="1" applyFont="1" applyFill="1" applyBorder="1" applyAlignment="1">
      <alignment horizontal="center"/>
    </xf>
    <xf numFmtId="166" fontId="8" fillId="9" borderId="34" xfId="0" applyNumberFormat="1" applyFont="1" applyFill="1" applyBorder="1" applyAlignment="1">
      <alignment horizontal="center"/>
    </xf>
    <xf numFmtId="166" fontId="8" fillId="9" borderId="4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Model!$B$3:$Q$3</c:f>
              <c:numCache>
                <c:formatCode>#,##0</c:formatCode>
                <c:ptCount val="16"/>
                <c:pt idx="0">
                  <c:v>36460</c:v>
                </c:pt>
                <c:pt idx="1">
                  <c:v>42592</c:v>
                </c:pt>
                <c:pt idx="2">
                  <c:v>50142</c:v>
                </c:pt>
                <c:pt idx="3">
                  <c:v>58972</c:v>
                </c:pt>
                <c:pt idx="4">
                  <c:v>70615</c:v>
                </c:pt>
                <c:pt idx="5">
                  <c:v>83018</c:v>
                </c:pt>
                <c:pt idx="6">
                  <c:v>95545</c:v>
                </c:pt>
                <c:pt idx="7">
                  <c:v>108497</c:v>
                </c:pt>
                <c:pt idx="8">
                  <c:v>123718</c:v>
                </c:pt>
                <c:pt idx="9">
                  <c:v>136893</c:v>
                </c:pt>
                <c:pt idx="10">
                  <c:v>149921</c:v>
                </c:pt>
                <c:pt idx="11">
                  <c:v>162256</c:v>
                </c:pt>
                <c:pt idx="12">
                  <c:v>175679</c:v>
                </c:pt>
                <c:pt idx="13">
                  <c:v>189190</c:v>
                </c:pt>
                <c:pt idx="14">
                  <c:v>202570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Model!$B$27:$Q$27</c:f>
              <c:numCache>
                <c:formatCode>0%</c:formatCode>
                <c:ptCount val="16"/>
                <c:pt idx="4">
                  <c:v>0.93678003291278111</c:v>
                </c:pt>
                <c:pt idx="5">
                  <c:v>0.94914537941397437</c:v>
                </c:pt>
                <c:pt idx="6">
                  <c:v>0.90548841290734305</c:v>
                </c:pt>
                <c:pt idx="7">
                  <c:v>0.83980533134368862</c:v>
                </c:pt>
                <c:pt idx="8">
                  <c:v>0.75200736387453082</c:v>
                </c:pt>
                <c:pt idx="9">
                  <c:v>0.64895564817268547</c:v>
                </c:pt>
                <c:pt idx="10">
                  <c:v>0.56911403003820182</c:v>
                </c:pt>
                <c:pt idx="11">
                  <c:v>0.4954883545167148</c:v>
                </c:pt>
                <c:pt idx="12">
                  <c:v>0.41999547357700573</c:v>
                </c:pt>
                <c:pt idx="13">
                  <c:v>0.38202829947477235</c:v>
                </c:pt>
                <c:pt idx="14">
                  <c:v>0.3511782872312752</c:v>
                </c:pt>
                <c:pt idx="15">
                  <c:v>0.29739424119909286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F-4096-8FF9-727230ECFF2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F-4096-8FF9-727230ECF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Model!$V$2:$Z$2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Model!$V$3:$Z$3</c:f>
              <c:numCache>
                <c:formatCode>#,##0</c:formatCode>
                <c:ptCount val="5"/>
                <c:pt idx="0">
                  <c:v>161123</c:v>
                </c:pt>
                <c:pt idx="1">
                  <c:v>308150</c:v>
                </c:pt>
                <c:pt idx="2">
                  <c:v>519029</c:v>
                </c:pt>
                <c:pt idx="3">
                  <c:v>729695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Model!$V$27:$Z$27</c:f>
              <c:numCache>
                <c:formatCode>0%</c:formatCode>
                <c:ptCount val="5"/>
                <c:pt idx="0">
                  <c:v>1.0633251802430559</c:v>
                </c:pt>
                <c:pt idx="1">
                  <c:v>0.91251404206724063</c:v>
                </c:pt>
                <c:pt idx="2">
                  <c:v>0.6843387960408891</c:v>
                </c:pt>
                <c:pt idx="3">
                  <c:v>0.4058848349514188</c:v>
                </c:pt>
                <c:pt idx="4">
                  <c:v>0.28241251481783491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8-46A6-8464-D8F7768AA34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8-46A6-8464-D8F7768AA3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Model!$B$15:$Q$15</c:f>
              <c:numCache>
                <c:formatCode>#,##0</c:formatCode>
                <c:ptCount val="16"/>
                <c:pt idx="0">
                  <c:v>-33065</c:v>
                </c:pt>
                <c:pt idx="1">
                  <c:v>-45796</c:v>
                </c:pt>
                <c:pt idx="2">
                  <c:v>-67578</c:v>
                </c:pt>
                <c:pt idx="3">
                  <c:v>-43566</c:v>
                </c:pt>
                <c:pt idx="4">
                  <c:v>-32480</c:v>
                </c:pt>
                <c:pt idx="5">
                  <c:v>-28846</c:v>
                </c:pt>
                <c:pt idx="6">
                  <c:v>-32605</c:v>
                </c:pt>
                <c:pt idx="7">
                  <c:v>-66678</c:v>
                </c:pt>
                <c:pt idx="8">
                  <c:v>-45671</c:v>
                </c:pt>
                <c:pt idx="9">
                  <c:v>-23030</c:v>
                </c:pt>
                <c:pt idx="10">
                  <c:v>-1488</c:v>
                </c:pt>
                <c:pt idx="11">
                  <c:v>-14667</c:v>
                </c:pt>
                <c:pt idx="12">
                  <c:v>-7035</c:v>
                </c:pt>
                <c:pt idx="13">
                  <c:v>7488</c:v>
                </c:pt>
                <c:pt idx="14">
                  <c:v>12337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Model!$B$25:$Q$25</c:f>
              <c:numCache>
                <c:formatCode>0%</c:formatCode>
                <c:ptCount val="16"/>
                <c:pt idx="0">
                  <c:v>0.86607240811848607</c:v>
                </c:pt>
                <c:pt idx="1">
                  <c:v>0.85131010518407213</c:v>
                </c:pt>
                <c:pt idx="2">
                  <c:v>0.86675840612660049</c:v>
                </c:pt>
                <c:pt idx="3">
                  <c:v>0.86563114698500987</c:v>
                </c:pt>
                <c:pt idx="4">
                  <c:v>0.87101890533172832</c:v>
                </c:pt>
                <c:pt idx="5">
                  <c:v>0.87697848659326894</c:v>
                </c:pt>
                <c:pt idx="6">
                  <c:v>0.8768329059605422</c:v>
                </c:pt>
                <c:pt idx="7">
                  <c:v>0.86535111569905165</c:v>
                </c:pt>
                <c:pt idx="8">
                  <c:v>0.86477311304741433</c:v>
                </c:pt>
                <c:pt idx="9">
                  <c:v>0.86975228828354989</c:v>
                </c:pt>
                <c:pt idx="10">
                  <c:v>0.884212351838635</c:v>
                </c:pt>
                <c:pt idx="11">
                  <c:v>0.89514101173454297</c:v>
                </c:pt>
                <c:pt idx="12">
                  <c:v>0.88891102522213816</c:v>
                </c:pt>
                <c:pt idx="13">
                  <c:v>0.88526349172789254</c:v>
                </c:pt>
                <c:pt idx="14">
                  <c:v>0.88938144838821143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Model!$V$2:$Z$2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Model!$V$15:$Z$15</c:f>
              <c:numCache>
                <c:formatCode>#,##0</c:formatCode>
                <c:ptCount val="5"/>
                <c:pt idx="0">
                  <c:v>-152203</c:v>
                </c:pt>
                <c:pt idx="1">
                  <c:v>-129294</c:v>
                </c:pt>
                <c:pt idx="2">
                  <c:v>-136867</c:v>
                </c:pt>
                <c:pt idx="3">
                  <c:v>-1877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Model!$V$30:$Z$30</c:f>
              <c:numCache>
                <c:formatCode>0%</c:formatCode>
                <c:ptCount val="5"/>
                <c:pt idx="1">
                  <c:v>0.15051608706792896</c:v>
                </c:pt>
                <c:pt idx="2">
                  <c:v>-5.8571936826148141E-2</c:v>
                </c:pt>
                <c:pt idx="3">
                  <c:v>0.98628595643946315</c:v>
                </c:pt>
                <c:pt idx="4">
                  <c:v>-47.639927639850825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Model!$A$31</c:f>
              <c:strCache>
                <c:ptCount val="1"/>
                <c:pt idx="0">
                  <c:v>R&amp;D part of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Model!$W$2:$Y$2</c:f>
              <c:strCache>
                <c:ptCount val="3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</c:strCache>
            </c:strRef>
          </c:cat>
          <c:val>
            <c:numRef>
              <c:f>Model!$W$31:$Y$31</c:f>
              <c:numCache>
                <c:formatCode>0%</c:formatCode>
                <c:ptCount val="3"/>
                <c:pt idx="0">
                  <c:v>0.239123803342528</c:v>
                </c:pt>
                <c:pt idx="1">
                  <c:v>0.24477823011816296</c:v>
                </c:pt>
                <c:pt idx="2">
                  <c:v>0.21447317029717897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3-446A-92E2-3D45DE374127}"/>
            </c:ext>
          </c:extLst>
        </c:ser>
        <c:ser>
          <c:idx val="1"/>
          <c:order val="1"/>
          <c:tx>
            <c:strRef>
              <c:f>Model!$A$32</c:f>
              <c:strCache>
                <c:ptCount val="1"/>
                <c:pt idx="0">
                  <c:v>S&amp;M part of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Model!$W$2:$Y$2</c:f>
              <c:strCache>
                <c:ptCount val="3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</c:strCache>
            </c:strRef>
          </c:cat>
          <c:val>
            <c:numRef>
              <c:f>Model!$W$32:$Y$32</c:f>
              <c:numCache>
                <c:formatCode>0%</c:formatCode>
                <c:ptCount val="3"/>
                <c:pt idx="0">
                  <c:v>0.86997566120395908</c:v>
                </c:pt>
                <c:pt idx="1">
                  <c:v>0.75538746389893441</c:v>
                </c:pt>
                <c:pt idx="2">
                  <c:v>0.60080170482187767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3-446A-92E2-3D45DE374127}"/>
            </c:ext>
          </c:extLst>
        </c:ser>
        <c:ser>
          <c:idx val="2"/>
          <c:order val="2"/>
          <c:tx>
            <c:strRef>
              <c:f>Model!$A$33</c:f>
              <c:strCache>
                <c:ptCount val="1"/>
                <c:pt idx="0">
                  <c:v>G&amp;A part of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Model!$W$2:$Y$2</c:f>
              <c:strCache>
                <c:ptCount val="3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</c:strCache>
            </c:strRef>
          </c:cat>
          <c:val>
            <c:numRef>
              <c:f>Model!$W$33:$Y$33</c:f>
              <c:numCache>
                <c:formatCode>0%</c:formatCode>
                <c:ptCount val="3"/>
                <c:pt idx="0">
                  <c:v>0.17359402888203798</c:v>
                </c:pt>
                <c:pt idx="1">
                  <c:v>0.16453993900148162</c:v>
                </c:pt>
                <c:pt idx="2">
                  <c:v>0.12708460384133097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3-446A-92E2-3D45DE3741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44375</c:v>
                </c:pt>
                <c:pt idx="4">
                  <c:v>44382</c:v>
                </c:pt>
                <c:pt idx="5">
                  <c:v>44389</c:v>
                </c:pt>
                <c:pt idx="6">
                  <c:v>44396</c:v>
                </c:pt>
                <c:pt idx="7">
                  <c:v>44403</c:v>
                </c:pt>
                <c:pt idx="8">
                  <c:v>44410</c:v>
                </c:pt>
                <c:pt idx="9">
                  <c:v>44417</c:v>
                </c:pt>
                <c:pt idx="10">
                  <c:v>44424</c:v>
                </c:pt>
                <c:pt idx="11">
                  <c:v>44431</c:v>
                </c:pt>
                <c:pt idx="12">
                  <c:v>44438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44466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44494</c:v>
                </c:pt>
                <c:pt idx="21">
                  <c:v>44501</c:v>
                </c:pt>
                <c:pt idx="22">
                  <c:v>44508</c:v>
                </c:pt>
                <c:pt idx="23">
                  <c:v>44515</c:v>
                </c:pt>
                <c:pt idx="24">
                  <c:v>44522</c:v>
                </c:pt>
                <c:pt idx="25">
                  <c:v>44529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44564</c:v>
                </c:pt>
                <c:pt idx="31">
                  <c:v>44571</c:v>
                </c:pt>
                <c:pt idx="32">
                  <c:v>44578</c:v>
                </c:pt>
                <c:pt idx="33">
                  <c:v>44585</c:v>
                </c:pt>
                <c:pt idx="34">
                  <c:v>44592</c:v>
                </c:pt>
                <c:pt idx="35">
                  <c:v>44599</c:v>
                </c:pt>
                <c:pt idx="36">
                  <c:v>44606</c:v>
                </c:pt>
                <c:pt idx="37">
                  <c:v>44613</c:v>
                </c:pt>
                <c:pt idx="38">
                  <c:v>44620</c:v>
                </c:pt>
                <c:pt idx="39">
                  <c:v>44627</c:v>
                </c:pt>
                <c:pt idx="40">
                  <c:v>44634</c:v>
                </c:pt>
                <c:pt idx="41">
                  <c:v>44641</c:v>
                </c:pt>
                <c:pt idx="42">
                  <c:v>44648</c:v>
                </c:pt>
                <c:pt idx="43">
                  <c:v>44655</c:v>
                </c:pt>
                <c:pt idx="44">
                  <c:v>44662</c:v>
                </c:pt>
                <c:pt idx="45">
                  <c:v>44669</c:v>
                </c:pt>
                <c:pt idx="46">
                  <c:v>44676</c:v>
                </c:pt>
                <c:pt idx="47">
                  <c:v>44683</c:v>
                </c:pt>
                <c:pt idx="48">
                  <c:v>44690</c:v>
                </c:pt>
                <c:pt idx="49">
                  <c:v>44697</c:v>
                </c:pt>
                <c:pt idx="50">
                  <c:v>44704</c:v>
                </c:pt>
                <c:pt idx="51">
                  <c:v>44711</c:v>
                </c:pt>
                <c:pt idx="52">
                  <c:v>44718</c:v>
                </c:pt>
                <c:pt idx="53">
                  <c:v>44725</c:v>
                </c:pt>
                <c:pt idx="54">
                  <c:v>44732</c:v>
                </c:pt>
                <c:pt idx="55">
                  <c:v>44739</c:v>
                </c:pt>
                <c:pt idx="56">
                  <c:v>44746</c:v>
                </c:pt>
                <c:pt idx="57">
                  <c:v>44753</c:v>
                </c:pt>
                <c:pt idx="58">
                  <c:v>44760</c:v>
                </c:pt>
                <c:pt idx="59">
                  <c:v>44767</c:v>
                </c:pt>
                <c:pt idx="60">
                  <c:v>44774</c:v>
                </c:pt>
                <c:pt idx="61">
                  <c:v>44781</c:v>
                </c:pt>
                <c:pt idx="62">
                  <c:v>44788</c:v>
                </c:pt>
                <c:pt idx="63">
                  <c:v>44795</c:v>
                </c:pt>
                <c:pt idx="64">
                  <c:v>44802</c:v>
                </c:pt>
                <c:pt idx="65">
                  <c:v>44809</c:v>
                </c:pt>
                <c:pt idx="66">
                  <c:v>44816</c:v>
                </c:pt>
                <c:pt idx="67">
                  <c:v>44823</c:v>
                </c:pt>
                <c:pt idx="68">
                  <c:v>44830</c:v>
                </c:pt>
                <c:pt idx="69">
                  <c:v>44837</c:v>
                </c:pt>
                <c:pt idx="70">
                  <c:v>44844</c:v>
                </c:pt>
                <c:pt idx="71">
                  <c:v>44851</c:v>
                </c:pt>
                <c:pt idx="72">
                  <c:v>44858</c:v>
                </c:pt>
                <c:pt idx="73">
                  <c:v>44865</c:v>
                </c:pt>
                <c:pt idx="74">
                  <c:v>44872</c:v>
                </c:pt>
                <c:pt idx="75">
                  <c:v>44879</c:v>
                </c:pt>
                <c:pt idx="76">
                  <c:v>44886</c:v>
                </c:pt>
                <c:pt idx="77">
                  <c:v>44893</c:v>
                </c:pt>
                <c:pt idx="78">
                  <c:v>44900</c:v>
                </c:pt>
                <c:pt idx="79">
                  <c:v>44907</c:v>
                </c:pt>
                <c:pt idx="80">
                  <c:v>44914</c:v>
                </c:pt>
                <c:pt idx="81">
                  <c:v>44921</c:v>
                </c:pt>
                <c:pt idx="82">
                  <c:v>44928</c:v>
                </c:pt>
                <c:pt idx="83">
                  <c:v>44935</c:v>
                </c:pt>
                <c:pt idx="84">
                  <c:v>44942</c:v>
                </c:pt>
                <c:pt idx="85">
                  <c:v>44949</c:v>
                </c:pt>
                <c:pt idx="86">
                  <c:v>44956</c:v>
                </c:pt>
                <c:pt idx="87">
                  <c:v>44963</c:v>
                </c:pt>
                <c:pt idx="88">
                  <c:v>44970</c:v>
                </c:pt>
                <c:pt idx="89">
                  <c:v>44977</c:v>
                </c:pt>
                <c:pt idx="90">
                  <c:v>44984</c:v>
                </c:pt>
                <c:pt idx="91">
                  <c:v>44991</c:v>
                </c:pt>
                <c:pt idx="92">
                  <c:v>44998</c:v>
                </c:pt>
                <c:pt idx="93">
                  <c:v>45005</c:v>
                </c:pt>
                <c:pt idx="94">
                  <c:v>45012</c:v>
                </c:pt>
                <c:pt idx="95">
                  <c:v>45019</c:v>
                </c:pt>
                <c:pt idx="96">
                  <c:v>45026</c:v>
                </c:pt>
                <c:pt idx="97">
                  <c:v>45033</c:v>
                </c:pt>
                <c:pt idx="98">
                  <c:v>45040</c:v>
                </c:pt>
                <c:pt idx="99">
                  <c:v>45047</c:v>
                </c:pt>
                <c:pt idx="100">
                  <c:v>45054</c:v>
                </c:pt>
                <c:pt idx="101">
                  <c:v>45061</c:v>
                </c:pt>
                <c:pt idx="102">
                  <c:v>45068</c:v>
                </c:pt>
                <c:pt idx="103">
                  <c:v>45075</c:v>
                </c:pt>
                <c:pt idx="104">
                  <c:v>45082</c:v>
                </c:pt>
                <c:pt idx="105">
                  <c:v>45089</c:v>
                </c:pt>
                <c:pt idx="106">
                  <c:v>45096</c:v>
                </c:pt>
                <c:pt idx="107">
                  <c:v>45103</c:v>
                </c:pt>
                <c:pt idx="108">
                  <c:v>45110</c:v>
                </c:pt>
                <c:pt idx="109">
                  <c:v>45117</c:v>
                </c:pt>
                <c:pt idx="110">
                  <c:v>45124</c:v>
                </c:pt>
                <c:pt idx="111">
                  <c:v>45131</c:v>
                </c:pt>
                <c:pt idx="112">
                  <c:v>45138</c:v>
                </c:pt>
                <c:pt idx="113">
                  <c:v>45145</c:v>
                </c:pt>
                <c:pt idx="114">
                  <c:v>45152</c:v>
                </c:pt>
                <c:pt idx="115">
                  <c:v>45159</c:v>
                </c:pt>
                <c:pt idx="116">
                  <c:v>45166</c:v>
                </c:pt>
                <c:pt idx="117">
                  <c:v>45173</c:v>
                </c:pt>
                <c:pt idx="118">
                  <c:v>45180</c:v>
                </c:pt>
                <c:pt idx="119">
                  <c:v>45187</c:v>
                </c:pt>
                <c:pt idx="120">
                  <c:v>45194</c:v>
                </c:pt>
                <c:pt idx="121">
                  <c:v>45201</c:v>
                </c:pt>
                <c:pt idx="122">
                  <c:v>45208</c:v>
                </c:pt>
                <c:pt idx="123">
                  <c:v>45215</c:v>
                </c:pt>
                <c:pt idx="124">
                  <c:v>45222</c:v>
                </c:pt>
                <c:pt idx="125">
                  <c:v>45229</c:v>
                </c:pt>
                <c:pt idx="126">
                  <c:v>45236</c:v>
                </c:pt>
                <c:pt idx="127">
                  <c:v>45243</c:v>
                </c:pt>
                <c:pt idx="128">
                  <c:v>45250</c:v>
                </c:pt>
                <c:pt idx="129">
                  <c:v>45257</c:v>
                </c:pt>
                <c:pt idx="130">
                  <c:v>45264</c:v>
                </c:pt>
                <c:pt idx="131">
                  <c:v>45271</c:v>
                </c:pt>
                <c:pt idx="132">
                  <c:v>45278</c:v>
                </c:pt>
                <c:pt idx="133">
                  <c:v>45285</c:v>
                </c:pt>
                <c:pt idx="134">
                  <c:v>45292</c:v>
                </c:pt>
                <c:pt idx="135">
                  <c:v>45299</c:v>
                </c:pt>
                <c:pt idx="136">
                  <c:v>45306</c:v>
                </c:pt>
                <c:pt idx="137">
                  <c:v>45313</c:v>
                </c:pt>
                <c:pt idx="138">
                  <c:v>45320</c:v>
                </c:pt>
                <c:pt idx="139">
                  <c:v>45327</c:v>
                </c:pt>
                <c:pt idx="140">
                  <c:v>45334</c:v>
                </c:pt>
                <c:pt idx="141">
                  <c:v>45341</c:v>
                </c:pt>
                <c:pt idx="142">
                  <c:v>45348</c:v>
                </c:pt>
                <c:pt idx="143">
                  <c:v>45355</c:v>
                </c:pt>
                <c:pt idx="144">
                  <c:v>45362</c:v>
                </c:pt>
                <c:pt idx="145">
                  <c:v>45369</c:v>
                </c:pt>
                <c:pt idx="146">
                  <c:v>45376</c:v>
                </c:pt>
                <c:pt idx="147">
                  <c:v>45383</c:v>
                </c:pt>
                <c:pt idx="148">
                  <c:v>45390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189.30999800000001</c:v>
                </c:pt>
                <c:pt idx="1">
                  <c:v>232.509995</c:v>
                </c:pt>
                <c:pt idx="2">
                  <c:v>232.36999499999999</c:v>
                </c:pt>
                <c:pt idx="3">
                  <c:v>229.229996</c:v>
                </c:pt>
                <c:pt idx="4">
                  <c:v>232.03999300000001</c:v>
                </c:pt>
                <c:pt idx="5">
                  <c:v>198.979996</c:v>
                </c:pt>
                <c:pt idx="6">
                  <c:v>204.929993</c:v>
                </c:pt>
                <c:pt idx="7">
                  <c:v>221.28999300000001</c:v>
                </c:pt>
                <c:pt idx="8">
                  <c:v>226</c:v>
                </c:pt>
                <c:pt idx="9">
                  <c:v>267.89999399999999</c:v>
                </c:pt>
                <c:pt idx="10">
                  <c:v>352.27999899999998</c:v>
                </c:pt>
                <c:pt idx="11">
                  <c:v>357.19000199999999</c:v>
                </c:pt>
                <c:pt idx="12">
                  <c:v>379.80999800000001</c:v>
                </c:pt>
                <c:pt idx="13">
                  <c:v>371.97000100000002</c:v>
                </c:pt>
                <c:pt idx="14">
                  <c:v>374.14999399999999</c:v>
                </c:pt>
                <c:pt idx="15">
                  <c:v>366.98998999999998</c:v>
                </c:pt>
                <c:pt idx="16">
                  <c:v>332.91000400000001</c:v>
                </c:pt>
                <c:pt idx="17">
                  <c:v>339.60000600000001</c:v>
                </c:pt>
                <c:pt idx="18">
                  <c:v>358.709991</c:v>
                </c:pt>
                <c:pt idx="19">
                  <c:v>379.26001000000002</c:v>
                </c:pt>
                <c:pt idx="20">
                  <c:v>371.82998700000002</c:v>
                </c:pt>
                <c:pt idx="21">
                  <c:v>350.73998999999998</c:v>
                </c:pt>
                <c:pt idx="22">
                  <c:v>363.92001299999998</c:v>
                </c:pt>
                <c:pt idx="23">
                  <c:v>371.25</c:v>
                </c:pt>
                <c:pt idx="24">
                  <c:v>339.35998499999999</c:v>
                </c:pt>
                <c:pt idx="25">
                  <c:v>275.76001000000002</c:v>
                </c:pt>
                <c:pt idx="26">
                  <c:v>307.94000199999999</c:v>
                </c:pt>
                <c:pt idx="27">
                  <c:v>292.08999599999999</c:v>
                </c:pt>
                <c:pt idx="28">
                  <c:v>304.36999500000002</c:v>
                </c:pt>
                <c:pt idx="29">
                  <c:v>308.72000100000002</c:v>
                </c:pt>
                <c:pt idx="30">
                  <c:v>237.38000500000001</c:v>
                </c:pt>
                <c:pt idx="31">
                  <c:v>215.63999899999999</c:v>
                </c:pt>
                <c:pt idx="32">
                  <c:v>198.5</c:v>
                </c:pt>
                <c:pt idx="33">
                  <c:v>188.479996</c:v>
                </c:pt>
                <c:pt idx="34">
                  <c:v>186.520004</c:v>
                </c:pt>
                <c:pt idx="35">
                  <c:v>218.91000399999999</c:v>
                </c:pt>
                <c:pt idx="36">
                  <c:v>194.759995</c:v>
                </c:pt>
                <c:pt idx="37">
                  <c:v>155.240005</c:v>
                </c:pt>
                <c:pt idx="38">
                  <c:v>135.91000399999999</c:v>
                </c:pt>
                <c:pt idx="39">
                  <c:v>122.05999799999999</c:v>
                </c:pt>
                <c:pt idx="40">
                  <c:v>170.5</c:v>
                </c:pt>
                <c:pt idx="41">
                  <c:v>150.449997</c:v>
                </c:pt>
                <c:pt idx="42">
                  <c:v>165.38999899999999</c:v>
                </c:pt>
                <c:pt idx="43">
                  <c:v>140.759995</c:v>
                </c:pt>
                <c:pt idx="44">
                  <c:v>137.16999799999999</c:v>
                </c:pt>
                <c:pt idx="45">
                  <c:v>137.63000500000001</c:v>
                </c:pt>
                <c:pt idx="46">
                  <c:v>129.39999399999999</c:v>
                </c:pt>
                <c:pt idx="47">
                  <c:v>123.550003</c:v>
                </c:pt>
                <c:pt idx="48">
                  <c:v>110.379997</c:v>
                </c:pt>
                <c:pt idx="49">
                  <c:v>114.269997</c:v>
                </c:pt>
                <c:pt idx="50">
                  <c:v>115.010002</c:v>
                </c:pt>
                <c:pt idx="51">
                  <c:v>116.089996</c:v>
                </c:pt>
                <c:pt idx="52">
                  <c:v>97.349997999999999</c:v>
                </c:pt>
                <c:pt idx="53">
                  <c:v>97.599997999999999</c:v>
                </c:pt>
                <c:pt idx="54">
                  <c:v>122.360001</c:v>
                </c:pt>
                <c:pt idx="55">
                  <c:v>108.790001</c:v>
                </c:pt>
                <c:pt idx="56">
                  <c:v>114.230003</c:v>
                </c:pt>
                <c:pt idx="57">
                  <c:v>92.309997999999993</c:v>
                </c:pt>
                <c:pt idx="58">
                  <c:v>102.760002</c:v>
                </c:pt>
                <c:pt idx="59">
                  <c:v>102.730003</c:v>
                </c:pt>
                <c:pt idx="60">
                  <c:v>127.83000199999999</c:v>
                </c:pt>
                <c:pt idx="61">
                  <c:v>137.10000600000001</c:v>
                </c:pt>
                <c:pt idx="62">
                  <c:v>126.389999</c:v>
                </c:pt>
                <c:pt idx="63">
                  <c:v>117.910004</c:v>
                </c:pt>
                <c:pt idx="64">
                  <c:v>110.800003</c:v>
                </c:pt>
                <c:pt idx="65">
                  <c:v>130.33999600000001</c:v>
                </c:pt>
                <c:pt idx="66">
                  <c:v>133.270004</c:v>
                </c:pt>
                <c:pt idx="67">
                  <c:v>119.43</c:v>
                </c:pt>
                <c:pt idx="68">
                  <c:v>113.339996</c:v>
                </c:pt>
                <c:pt idx="69">
                  <c:v>109.230003</c:v>
                </c:pt>
                <c:pt idx="70">
                  <c:v>91.489998</c:v>
                </c:pt>
                <c:pt idx="71">
                  <c:v>99.519997000000004</c:v>
                </c:pt>
                <c:pt idx="72">
                  <c:v>107.379997</c:v>
                </c:pt>
                <c:pt idx="73">
                  <c:v>80.989998</c:v>
                </c:pt>
                <c:pt idx="74">
                  <c:v>95.190002000000007</c:v>
                </c:pt>
                <c:pt idx="75">
                  <c:v>96.769997000000004</c:v>
                </c:pt>
                <c:pt idx="76">
                  <c:v>97.830001999999993</c:v>
                </c:pt>
                <c:pt idx="77">
                  <c:v>108.07</c:v>
                </c:pt>
                <c:pt idx="78">
                  <c:v>109.824997</c:v>
                </c:pt>
                <c:pt idx="79">
                  <c:v>122.639999</c:v>
                </c:pt>
                <c:pt idx="80">
                  <c:v>113.489998</c:v>
                </c:pt>
                <c:pt idx="81">
                  <c:v>122</c:v>
                </c:pt>
                <c:pt idx="82">
                  <c:v>100.5</c:v>
                </c:pt>
                <c:pt idx="83">
                  <c:v>115.949997</c:v>
                </c:pt>
                <c:pt idx="84">
                  <c:v>116.970001</c:v>
                </c:pt>
                <c:pt idx="85">
                  <c:v>129.740005</c:v>
                </c:pt>
                <c:pt idx="86">
                  <c:v>140.80999800000001</c:v>
                </c:pt>
                <c:pt idx="87">
                  <c:v>131.179993</c:v>
                </c:pt>
                <c:pt idx="88">
                  <c:v>153.11000100000001</c:v>
                </c:pt>
                <c:pt idx="89">
                  <c:v>154.699997</c:v>
                </c:pt>
                <c:pt idx="90">
                  <c:v>156.279999</c:v>
                </c:pt>
                <c:pt idx="91">
                  <c:v>129.449997</c:v>
                </c:pt>
                <c:pt idx="92">
                  <c:v>135.770004</c:v>
                </c:pt>
                <c:pt idx="93">
                  <c:v>135.78999300000001</c:v>
                </c:pt>
                <c:pt idx="94">
                  <c:v>142.75</c:v>
                </c:pt>
                <c:pt idx="95">
                  <c:v>133.86999499999999</c:v>
                </c:pt>
                <c:pt idx="96">
                  <c:v>130.91999799999999</c:v>
                </c:pt>
                <c:pt idx="97">
                  <c:v>130.320007</c:v>
                </c:pt>
                <c:pt idx="98">
                  <c:v>121.91999800000001</c:v>
                </c:pt>
                <c:pt idx="99">
                  <c:v>116.25</c:v>
                </c:pt>
                <c:pt idx="100">
                  <c:v>131.10000600000001</c:v>
                </c:pt>
                <c:pt idx="101">
                  <c:v>149.779999</c:v>
                </c:pt>
                <c:pt idx="102">
                  <c:v>167.199997</c:v>
                </c:pt>
                <c:pt idx="103">
                  <c:v>175</c:v>
                </c:pt>
                <c:pt idx="104">
                  <c:v>174.720001</c:v>
                </c:pt>
                <c:pt idx="105">
                  <c:v>178.80999800000001</c:v>
                </c:pt>
                <c:pt idx="106">
                  <c:v>169.520004</c:v>
                </c:pt>
                <c:pt idx="107">
                  <c:v>171.220001</c:v>
                </c:pt>
                <c:pt idx="108">
                  <c:v>161.86000100000001</c:v>
                </c:pt>
                <c:pt idx="109">
                  <c:v>174.55999800000001</c:v>
                </c:pt>
                <c:pt idx="110">
                  <c:v>173.220001</c:v>
                </c:pt>
                <c:pt idx="111">
                  <c:v>179.229996</c:v>
                </c:pt>
                <c:pt idx="112">
                  <c:v>160.990005</c:v>
                </c:pt>
                <c:pt idx="113">
                  <c:v>155.83999600000001</c:v>
                </c:pt>
                <c:pt idx="114">
                  <c:v>161.070007</c:v>
                </c:pt>
                <c:pt idx="115">
                  <c:v>169.19000199999999</c:v>
                </c:pt>
                <c:pt idx="116">
                  <c:v>176.58999600000001</c:v>
                </c:pt>
                <c:pt idx="117">
                  <c:v>171.199997</c:v>
                </c:pt>
                <c:pt idx="118">
                  <c:v>163.38000500000001</c:v>
                </c:pt>
                <c:pt idx="119">
                  <c:v>157</c:v>
                </c:pt>
                <c:pt idx="120">
                  <c:v>159.220001</c:v>
                </c:pt>
                <c:pt idx="121">
                  <c:v>158.61999499999999</c:v>
                </c:pt>
                <c:pt idx="122">
                  <c:v>140.08000200000001</c:v>
                </c:pt>
                <c:pt idx="123">
                  <c:v>132.009995</c:v>
                </c:pt>
                <c:pt idx="124">
                  <c:v>129.240005</c:v>
                </c:pt>
                <c:pt idx="125">
                  <c:v>131.96000699999999</c:v>
                </c:pt>
                <c:pt idx="126">
                  <c:v>140.11999499999999</c:v>
                </c:pt>
                <c:pt idx="127">
                  <c:v>169.699997</c:v>
                </c:pt>
                <c:pt idx="128">
                  <c:v>175.050003</c:v>
                </c:pt>
                <c:pt idx="129">
                  <c:v>176.36999499999999</c:v>
                </c:pt>
                <c:pt idx="130">
                  <c:v>175.029999</c:v>
                </c:pt>
                <c:pt idx="131">
                  <c:v>189.070007</c:v>
                </c:pt>
                <c:pt idx="132">
                  <c:v>189.46000699999999</c:v>
                </c:pt>
                <c:pt idx="133">
                  <c:v>187.80999800000001</c:v>
                </c:pt>
                <c:pt idx="134">
                  <c:v>176.78999300000001</c:v>
                </c:pt>
                <c:pt idx="135">
                  <c:v>190.71000699999999</c:v>
                </c:pt>
                <c:pt idx="136">
                  <c:v>195.63000500000001</c:v>
                </c:pt>
                <c:pt idx="137">
                  <c:v>208.63000500000001</c:v>
                </c:pt>
                <c:pt idx="138">
                  <c:v>214.05999800000001</c:v>
                </c:pt>
                <c:pt idx="139">
                  <c:v>235.91999799999999</c:v>
                </c:pt>
                <c:pt idx="140">
                  <c:v>225.300003</c:v>
                </c:pt>
                <c:pt idx="141">
                  <c:v>207.89999399999999</c:v>
                </c:pt>
                <c:pt idx="142">
                  <c:v>228.91999799999999</c:v>
                </c:pt>
                <c:pt idx="143">
                  <c:v>220.449997</c:v>
                </c:pt>
                <c:pt idx="144">
                  <c:v>217</c:v>
                </c:pt>
                <c:pt idx="145">
                  <c:v>228</c:v>
                </c:pt>
                <c:pt idx="146">
                  <c:v>225.86999499999999</c:v>
                </c:pt>
                <c:pt idx="147">
                  <c:v>217</c:v>
                </c:pt>
                <c:pt idx="148">
                  <c:v>215.75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-29,82%</c:v>
                </c:pt>
                <c:pt idx="1">
                  <c:v>-29,82% to -23,74%</c:v>
                </c:pt>
                <c:pt idx="2">
                  <c:v>-23,74% to -17,66%</c:v>
                </c:pt>
                <c:pt idx="3">
                  <c:v>-17,66% to -11,57%</c:v>
                </c:pt>
                <c:pt idx="4">
                  <c:v>-11,57% to -5,49%</c:v>
                </c:pt>
                <c:pt idx="5">
                  <c:v>-5,49% to 0,59%</c:v>
                </c:pt>
                <c:pt idx="6">
                  <c:v>0,59% to 6,67%</c:v>
                </c:pt>
                <c:pt idx="7">
                  <c:v>6,67% to 12,75%</c:v>
                </c:pt>
                <c:pt idx="8">
                  <c:v>12,75% to 18,83%</c:v>
                </c:pt>
                <c:pt idx="9">
                  <c:v>18,83% to 24,91%</c:v>
                </c:pt>
                <c:pt idx="10">
                  <c:v>24,91% to 30,99%</c:v>
                </c:pt>
                <c:pt idx="11">
                  <c:v>Greater than 30,99%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22</c:v>
                </c:pt>
                <c:pt idx="5">
                  <c:v>39</c:v>
                </c:pt>
                <c:pt idx="6">
                  <c:v>41</c:v>
                </c:pt>
                <c:pt idx="7">
                  <c:v>18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4-4179-A9F4-3C6CE0CC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8CC0A-DA66-4C96-A31D-75DF9BBD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E22" sqref="E22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30.85546875" customWidth="1"/>
    <col min="14" max="14" width="39.42578125" customWidth="1"/>
  </cols>
  <sheetData>
    <row r="2" spans="2:14" x14ac:dyDescent="0.25">
      <c r="B2" s="33" t="s">
        <v>92</v>
      </c>
      <c r="C2" s="19"/>
      <c r="E2" s="24" t="s">
        <v>67</v>
      </c>
      <c r="F2" s="52" t="s">
        <v>68</v>
      </c>
      <c r="G2" s="25"/>
      <c r="H2" s="26" t="s">
        <v>75</v>
      </c>
      <c r="I2" s="26" t="s">
        <v>1</v>
      </c>
      <c r="J2" s="27" t="s">
        <v>68</v>
      </c>
      <c r="L2" s="29" t="s">
        <v>61</v>
      </c>
      <c r="M2" s="30" t="s">
        <v>77</v>
      </c>
      <c r="N2" s="31" t="s">
        <v>76</v>
      </c>
    </row>
    <row r="3" spans="2:14" x14ac:dyDescent="0.25">
      <c r="B3" s="5" t="s">
        <v>60</v>
      </c>
      <c r="C3" s="20">
        <v>45337</v>
      </c>
      <c r="E3" s="5" t="s">
        <v>108</v>
      </c>
      <c r="F3" t="s">
        <v>109</v>
      </c>
      <c r="H3" s="10" t="s">
        <v>102</v>
      </c>
      <c r="I3" s="10">
        <v>5481.89</v>
      </c>
      <c r="J3" s="42">
        <f>I3/$C$7</f>
        <v>0.11234301991966555</v>
      </c>
      <c r="L3" s="5" t="s">
        <v>101</v>
      </c>
      <c r="M3" t="s">
        <v>93</v>
      </c>
      <c r="N3" s="37"/>
    </row>
    <row r="4" spans="2:14" x14ac:dyDescent="0.25">
      <c r="B4" s="5"/>
      <c r="C4" s="21">
        <v>0.67361111111111116</v>
      </c>
      <c r="E4" s="5" t="s">
        <v>110</v>
      </c>
      <c r="F4" t="s">
        <v>111</v>
      </c>
      <c r="H4" t="s">
        <v>101</v>
      </c>
      <c r="I4" s="10">
        <v>2148.0700000000002</v>
      </c>
      <c r="J4" s="42">
        <f t="shared" ref="J4:J13" si="0">I4/$C$7</f>
        <v>4.4021436183293718E-2</v>
      </c>
      <c r="L4" s="5" t="s">
        <v>102</v>
      </c>
      <c r="M4" t="s">
        <v>93</v>
      </c>
      <c r="N4" s="13"/>
    </row>
    <row r="5" spans="2:14" x14ac:dyDescent="0.25">
      <c r="B5" s="5"/>
      <c r="C5" s="13"/>
      <c r="E5" s="5" t="s">
        <v>112</v>
      </c>
      <c r="F5" t="s">
        <v>113</v>
      </c>
      <c r="H5" t="s">
        <v>103</v>
      </c>
      <c r="I5" s="10">
        <v>30.055</v>
      </c>
      <c r="J5" s="42">
        <f t="shared" si="0"/>
        <v>6.1593163374047048E-4</v>
      </c>
      <c r="L5" s="5" t="s">
        <v>103</v>
      </c>
      <c r="M5" t="s">
        <v>94</v>
      </c>
      <c r="N5" s="13"/>
    </row>
    <row r="6" spans="2:14" x14ac:dyDescent="0.25">
      <c r="B6" s="5" t="s">
        <v>0</v>
      </c>
      <c r="C6" s="13">
        <v>220.23</v>
      </c>
      <c r="E6" s="5" t="s">
        <v>114</v>
      </c>
      <c r="F6" t="s">
        <v>115</v>
      </c>
      <c r="H6" t="s">
        <v>104</v>
      </c>
      <c r="I6" s="10">
        <v>96.75</v>
      </c>
      <c r="J6" s="42">
        <f t="shared" si="0"/>
        <v>1.9827444872530537E-3</v>
      </c>
      <c r="L6" s="5" t="s">
        <v>104</v>
      </c>
      <c r="M6" t="s">
        <v>95</v>
      </c>
      <c r="N6" s="13"/>
    </row>
    <row r="7" spans="2:14" x14ac:dyDescent="0.25">
      <c r="B7" s="5" t="s">
        <v>1</v>
      </c>
      <c r="C7" s="15">
        <f>Model!P19</f>
        <v>48796</v>
      </c>
      <c r="E7" s="5" t="s">
        <v>116</v>
      </c>
      <c r="F7" t="s">
        <v>117</v>
      </c>
      <c r="H7" t="s">
        <v>105</v>
      </c>
      <c r="I7" s="10">
        <v>71.694999999999993</v>
      </c>
      <c r="J7" s="42">
        <f t="shared" si="0"/>
        <v>1.4692802688744979E-3</v>
      </c>
      <c r="L7" s="5" t="s">
        <v>105</v>
      </c>
      <c r="M7" t="s">
        <v>96</v>
      </c>
      <c r="N7" s="13"/>
    </row>
    <row r="8" spans="2:14" x14ac:dyDescent="0.25">
      <c r="B8" s="5" t="s">
        <v>2</v>
      </c>
      <c r="C8" s="15">
        <f>C6*C7</f>
        <v>10746343.08</v>
      </c>
      <c r="E8" s="5" t="s">
        <v>84</v>
      </c>
      <c r="F8" t="s">
        <v>118</v>
      </c>
      <c r="H8" t="s">
        <v>146</v>
      </c>
      <c r="I8" s="10">
        <v>46.188000000000002</v>
      </c>
      <c r="J8" s="42">
        <f t="shared" si="0"/>
        <v>9.4655299614722528E-4</v>
      </c>
      <c r="L8" s="5" t="s">
        <v>106</v>
      </c>
      <c r="M8" t="s">
        <v>97</v>
      </c>
      <c r="N8" s="13"/>
    </row>
    <row r="9" spans="2:14" x14ac:dyDescent="0.25">
      <c r="B9" s="5" t="s">
        <v>3</v>
      </c>
      <c r="C9" s="15">
        <f>Model!O37+Model!O38+Model!O39</f>
        <v>0</v>
      </c>
      <c r="E9" s="5" t="s">
        <v>119</v>
      </c>
      <c r="F9" t="s">
        <v>120</v>
      </c>
      <c r="H9" t="s">
        <v>147</v>
      </c>
      <c r="I9" s="10">
        <v>497.45800000000003</v>
      </c>
      <c r="J9" s="42">
        <f t="shared" si="0"/>
        <v>1.0194647102221495E-2</v>
      </c>
      <c r="L9" s="5" t="s">
        <v>98</v>
      </c>
      <c r="M9" t="s">
        <v>99</v>
      </c>
      <c r="N9" s="13"/>
    </row>
    <row r="10" spans="2:14" x14ac:dyDescent="0.25">
      <c r="B10" s="5" t="s">
        <v>4</v>
      </c>
      <c r="C10" s="15" t="e">
        <f>Model!O46+Model!O47+Model!#REF!</f>
        <v>#REF!</v>
      </c>
      <c r="E10" s="5" t="s">
        <v>121</v>
      </c>
      <c r="F10" t="s">
        <v>122</v>
      </c>
      <c r="H10" t="s">
        <v>148</v>
      </c>
      <c r="I10" s="10">
        <v>247.37</v>
      </c>
      <c r="J10" s="42">
        <f t="shared" si="0"/>
        <v>5.069472907615378E-3</v>
      </c>
      <c r="L10" s="5" t="s">
        <v>107</v>
      </c>
      <c r="M10" t="s">
        <v>100</v>
      </c>
      <c r="N10" s="13"/>
    </row>
    <row r="11" spans="2:14" x14ac:dyDescent="0.25">
      <c r="B11" s="5" t="s">
        <v>41</v>
      </c>
      <c r="C11" s="15" t="e">
        <f>C9-C10</f>
        <v>#REF!</v>
      </c>
      <c r="E11" s="5" t="s">
        <v>123</v>
      </c>
      <c r="F11" t="s">
        <v>124</v>
      </c>
      <c r="H11" t="s">
        <v>149</v>
      </c>
      <c r="I11" s="10">
        <v>3.1419999999999999</v>
      </c>
      <c r="J11" s="42">
        <f t="shared" si="0"/>
        <v>6.4390523813427324E-5</v>
      </c>
      <c r="L11" s="5"/>
      <c r="N11" s="13"/>
    </row>
    <row r="12" spans="2:14" x14ac:dyDescent="0.25">
      <c r="B12" s="5" t="s">
        <v>5</v>
      </c>
      <c r="C12" s="15" t="e">
        <f>C8-C9+C10</f>
        <v>#REF!</v>
      </c>
      <c r="E12" s="5" t="s">
        <v>125</v>
      </c>
      <c r="F12" t="s">
        <v>126</v>
      </c>
      <c r="H12" t="s">
        <v>150</v>
      </c>
      <c r="I12" s="10">
        <v>2.5739999999999998</v>
      </c>
      <c r="J12" s="42">
        <f t="shared" si="0"/>
        <v>5.2750225428313794E-5</v>
      </c>
      <c r="L12" s="5"/>
      <c r="N12" s="13"/>
    </row>
    <row r="13" spans="2:14" x14ac:dyDescent="0.25">
      <c r="B13" s="5" t="s">
        <v>66</v>
      </c>
      <c r="C13" s="36">
        <f>C6/Model!X21</f>
        <v>-73.70346514660217</v>
      </c>
      <c r="E13" s="5"/>
      <c r="H13" t="s">
        <v>151</v>
      </c>
      <c r="I13" s="10">
        <v>2.5739999999999998</v>
      </c>
      <c r="J13" s="42">
        <f t="shared" si="0"/>
        <v>5.2750225428313794E-5</v>
      </c>
      <c r="L13" s="5"/>
      <c r="N13" s="13"/>
    </row>
    <row r="14" spans="2:14" x14ac:dyDescent="0.25">
      <c r="B14" s="5" t="s">
        <v>62</v>
      </c>
      <c r="C14" s="6"/>
      <c r="E14" s="22"/>
      <c r="F14" s="28"/>
      <c r="G14" s="28"/>
      <c r="H14" s="28"/>
      <c r="I14" s="28"/>
      <c r="J14" s="23"/>
      <c r="L14" s="22"/>
      <c r="M14" s="28"/>
      <c r="N14" s="23"/>
    </row>
    <row r="15" spans="2:14" x14ac:dyDescent="0.25">
      <c r="B15" s="5" t="s">
        <v>63</v>
      </c>
      <c r="C15" s="13"/>
    </row>
    <row r="16" spans="2:14" x14ac:dyDescent="0.25">
      <c r="B16" s="5" t="s">
        <v>64</v>
      </c>
      <c r="C16" s="36" t="e">
        <f>C6/Model!Y22</f>
        <v>#DIV/0!</v>
      </c>
    </row>
    <row r="17" spans="2:5" x14ac:dyDescent="0.25">
      <c r="B17" s="22" t="s">
        <v>65</v>
      </c>
      <c r="C17" s="41">
        <f>C6/Model!Z22</f>
        <v>121.67403314917127</v>
      </c>
      <c r="E17" s="32" t="s">
        <v>73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6"/>
  <sheetViews>
    <sheetView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/>
    </sheetView>
  </sheetViews>
  <sheetFormatPr defaultColWidth="11.42578125" defaultRowHeight="15" x14ac:dyDescent="0.25"/>
  <cols>
    <col min="1" max="1" width="27.28515625" customWidth="1"/>
    <col min="16" max="16" width="11.42578125" style="13"/>
    <col min="25" max="25" width="11.42578125" style="13"/>
  </cols>
  <sheetData>
    <row r="1" spans="1:27" x14ac:dyDescent="0.25">
      <c r="A1" s="8" t="s">
        <v>42</v>
      </c>
    </row>
    <row r="2" spans="1:27" x14ac:dyDescent="0.25">
      <c r="B2" t="s">
        <v>38</v>
      </c>
      <c r="C2" t="s">
        <v>37</v>
      </c>
      <c r="D2" t="s">
        <v>36</v>
      </c>
      <c r="E2" t="s">
        <v>35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7</v>
      </c>
      <c r="L2" t="s">
        <v>8</v>
      </c>
      <c r="M2" t="s">
        <v>9</v>
      </c>
      <c r="N2" t="s">
        <v>40</v>
      </c>
      <c r="O2" t="s">
        <v>58</v>
      </c>
      <c r="P2" s="13" t="s">
        <v>59</v>
      </c>
      <c r="Q2" t="s">
        <v>81</v>
      </c>
      <c r="R2" t="s">
        <v>137</v>
      </c>
      <c r="U2" t="s">
        <v>156</v>
      </c>
      <c r="V2" t="s">
        <v>18</v>
      </c>
      <c r="W2" t="s">
        <v>14</v>
      </c>
      <c r="X2" t="s">
        <v>15</v>
      </c>
      <c r="Y2" s="13" t="s">
        <v>16</v>
      </c>
      <c r="Z2" t="s">
        <v>34</v>
      </c>
      <c r="AA2" t="s">
        <v>138</v>
      </c>
    </row>
    <row r="3" spans="1:27" x14ac:dyDescent="0.25">
      <c r="A3" t="s">
        <v>17</v>
      </c>
      <c r="B3" s="10">
        <v>36460</v>
      </c>
      <c r="C3" s="10">
        <v>42592</v>
      </c>
      <c r="D3" s="10">
        <v>50142</v>
      </c>
      <c r="E3" s="10">
        <v>58972</v>
      </c>
      <c r="F3" s="10">
        <v>70615</v>
      </c>
      <c r="G3" s="10">
        <v>83018</v>
      </c>
      <c r="H3" s="10">
        <v>95545</v>
      </c>
      <c r="I3" s="10">
        <v>108497</v>
      </c>
      <c r="J3" s="10">
        <v>123718</v>
      </c>
      <c r="K3" s="10">
        <v>136893</v>
      </c>
      <c r="L3" s="10">
        <v>149921</v>
      </c>
      <c r="M3" s="10">
        <v>162256</v>
      </c>
      <c r="N3" s="10">
        <v>175679</v>
      </c>
      <c r="O3" s="10">
        <v>189190</v>
      </c>
      <c r="P3" s="15">
        <v>202570</v>
      </c>
      <c r="Q3" s="10"/>
      <c r="U3" s="10">
        <v>78089</v>
      </c>
      <c r="V3" s="10">
        <v>161123</v>
      </c>
      <c r="W3" s="10">
        <f>SUM(E3:H3)</f>
        <v>308150</v>
      </c>
      <c r="X3" s="10">
        <f>SUM(I3:L3)</f>
        <v>519029</v>
      </c>
      <c r="Y3" s="15">
        <f>SUM(M3:P3)</f>
        <v>729695</v>
      </c>
      <c r="Z3" s="10"/>
    </row>
    <row r="4" spans="1:27" x14ac:dyDescent="0.25">
      <c r="A4" s="9" t="s">
        <v>83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3"/>
      <c r="Q4" s="10">
        <v>210510</v>
      </c>
      <c r="R4" s="10">
        <v>225200</v>
      </c>
      <c r="U4" s="10"/>
      <c r="V4" s="10"/>
      <c r="W4" s="10"/>
      <c r="X4" s="10"/>
      <c r="Y4" s="15"/>
      <c r="Z4" s="10">
        <v>935770</v>
      </c>
      <c r="AA4" s="10">
        <v>1190000</v>
      </c>
    </row>
    <row r="5" spans="1:27" x14ac:dyDescent="0.25">
      <c r="A5" t="s">
        <v>78</v>
      </c>
      <c r="B5" s="10">
        <v>4883</v>
      </c>
      <c r="C5" s="10">
        <v>6333</v>
      </c>
      <c r="D5" s="10">
        <v>6681</v>
      </c>
      <c r="E5" s="10">
        <v>7924</v>
      </c>
      <c r="F5" s="39">
        <v>9108</v>
      </c>
      <c r="G5" s="10">
        <v>10213</v>
      </c>
      <c r="H5" s="10">
        <v>11768</v>
      </c>
      <c r="I5" s="10">
        <v>14609</v>
      </c>
      <c r="J5" s="10">
        <v>16730</v>
      </c>
      <c r="K5" s="10">
        <v>17830</v>
      </c>
      <c r="L5" s="10">
        <v>17359</v>
      </c>
      <c r="M5" s="10">
        <v>17014</v>
      </c>
      <c r="N5" s="10">
        <v>19516</v>
      </c>
      <c r="O5" s="10">
        <v>21707</v>
      </c>
      <c r="P5" s="15">
        <v>22408</v>
      </c>
      <c r="U5" s="10">
        <v>11978</v>
      </c>
      <c r="V5" s="10">
        <v>22488</v>
      </c>
      <c r="W5" s="10">
        <f>SUM(E5:H5)</f>
        <v>39013</v>
      </c>
      <c r="X5" s="10">
        <f>SUM(I5:L5)</f>
        <v>66528</v>
      </c>
      <c r="Y5" s="15">
        <f>SUM(M5:P5)</f>
        <v>80645</v>
      </c>
      <c r="Z5" s="10"/>
    </row>
    <row r="6" spans="1:27" x14ac:dyDescent="0.25">
      <c r="A6" t="s">
        <v>85</v>
      </c>
      <c r="B6" s="10">
        <v>12781</v>
      </c>
      <c r="C6" s="10">
        <v>12620</v>
      </c>
      <c r="D6" s="10">
        <v>11428</v>
      </c>
      <c r="E6" s="10">
        <v>15581</v>
      </c>
      <c r="F6" s="10">
        <v>16271</v>
      </c>
      <c r="G6" s="10">
        <v>19875</v>
      </c>
      <c r="H6" s="10">
        <v>21959</v>
      </c>
      <c r="I6" s="10">
        <v>26541</v>
      </c>
      <c r="J6" s="10">
        <v>33962</v>
      </c>
      <c r="K6" s="10">
        <v>33984</v>
      </c>
      <c r="L6" s="10">
        <v>32560</v>
      </c>
      <c r="M6" s="10">
        <v>37063</v>
      </c>
      <c r="N6" s="10">
        <v>39106</v>
      </c>
      <c r="O6" s="10">
        <v>38433</v>
      </c>
      <c r="P6" s="15">
        <v>41898</v>
      </c>
      <c r="U6" s="10">
        <v>24637</v>
      </c>
      <c r="V6" s="10">
        <v>43480</v>
      </c>
      <c r="W6" s="10">
        <f t="shared" ref="W6:W11" si="0">SUM(E6:H6)</f>
        <v>73686</v>
      </c>
      <c r="X6" s="10">
        <f>SUM(I6:L6)</f>
        <v>127047</v>
      </c>
      <c r="Y6" s="15">
        <f>SUM(M6:P6)</f>
        <v>156500</v>
      </c>
      <c r="Z6" s="10"/>
    </row>
    <row r="7" spans="1:27" x14ac:dyDescent="0.25">
      <c r="A7" t="s">
        <v>127</v>
      </c>
      <c r="B7" s="10">
        <v>39636</v>
      </c>
      <c r="C7" s="10">
        <v>57871</v>
      </c>
      <c r="D7" s="10">
        <v>56901</v>
      </c>
      <c r="E7" s="10">
        <v>63048</v>
      </c>
      <c r="F7" s="10">
        <v>61057</v>
      </c>
      <c r="G7" s="10">
        <v>67443</v>
      </c>
      <c r="H7" s="10">
        <v>76535</v>
      </c>
      <c r="I7" s="10">
        <v>115973</v>
      </c>
      <c r="J7" s="10">
        <v>96740</v>
      </c>
      <c r="K7" s="10">
        <v>90970</v>
      </c>
      <c r="L7" s="10">
        <v>88385</v>
      </c>
      <c r="M7" s="10">
        <v>107680</v>
      </c>
      <c r="N7" s="10">
        <v>107443</v>
      </c>
      <c r="O7" s="10">
        <v>108360</v>
      </c>
      <c r="P7" s="15">
        <v>114919</v>
      </c>
      <c r="U7" s="10">
        <v>118534</v>
      </c>
      <c r="V7" s="10">
        <v>191353</v>
      </c>
      <c r="W7" s="10">
        <f t="shared" si="0"/>
        <v>268083</v>
      </c>
      <c r="X7" s="10">
        <f>SUM(I7:L7)</f>
        <v>392068</v>
      </c>
      <c r="Y7" s="15">
        <f>SUM(M7:P7)</f>
        <v>438402</v>
      </c>
      <c r="Z7" s="10"/>
    </row>
    <row r="8" spans="1:27" x14ac:dyDescent="0.25">
      <c r="A8" t="s">
        <v>128</v>
      </c>
      <c r="B8" s="10">
        <v>7351</v>
      </c>
      <c r="C8" s="10">
        <v>6415</v>
      </c>
      <c r="D8" s="10">
        <v>36828</v>
      </c>
      <c r="E8" s="10">
        <v>10266</v>
      </c>
      <c r="F8" s="10">
        <v>11648</v>
      </c>
      <c r="G8" s="10">
        <v>14698</v>
      </c>
      <c r="H8" s="10">
        <v>16881</v>
      </c>
      <c r="I8" s="10">
        <v>18870</v>
      </c>
      <c r="J8" s="10">
        <v>22466</v>
      </c>
      <c r="K8" s="10">
        <v>22348</v>
      </c>
      <c r="L8" s="10">
        <v>21717</v>
      </c>
      <c r="M8" s="10">
        <v>23251</v>
      </c>
      <c r="N8" s="10">
        <v>21781</v>
      </c>
      <c r="O8" s="10">
        <v>23211</v>
      </c>
      <c r="P8" s="15">
        <v>24490</v>
      </c>
      <c r="U8" s="10">
        <v>15458</v>
      </c>
      <c r="V8" s="10">
        <v>54339</v>
      </c>
      <c r="W8" s="10">
        <f t="shared" si="0"/>
        <v>53493</v>
      </c>
      <c r="X8" s="10">
        <f>SUM(I8:L8)</f>
        <v>85401</v>
      </c>
      <c r="Y8" s="15">
        <f>SUM(M8:P8)</f>
        <v>92733</v>
      </c>
      <c r="Z8" s="10"/>
    </row>
    <row r="9" spans="1:27" s="1" customFormat="1" x14ac:dyDescent="0.25">
      <c r="A9" s="1" t="s">
        <v>23</v>
      </c>
      <c r="B9" s="11">
        <f>B3-B5-B6-B7-B8</f>
        <v>-28191</v>
      </c>
      <c r="C9" s="11">
        <f t="shared" ref="C9:P9" si="1">C3-C5-C6-C7-C8</f>
        <v>-40647</v>
      </c>
      <c r="D9" s="11">
        <f t="shared" si="1"/>
        <v>-61696</v>
      </c>
      <c r="E9" s="11">
        <f t="shared" si="1"/>
        <v>-37847</v>
      </c>
      <c r="F9" s="11">
        <f>F3-F5-F6-F7-F8</f>
        <v>-27469</v>
      </c>
      <c r="G9" s="11">
        <f t="shared" si="1"/>
        <v>-29211</v>
      </c>
      <c r="H9" s="11">
        <f t="shared" si="1"/>
        <v>-31598</v>
      </c>
      <c r="I9" s="11">
        <f t="shared" si="1"/>
        <v>-67496</v>
      </c>
      <c r="J9" s="11">
        <f t="shared" si="1"/>
        <v>-46180</v>
      </c>
      <c r="K9" s="11">
        <f t="shared" si="1"/>
        <v>-28239</v>
      </c>
      <c r="L9" s="11">
        <f t="shared" si="1"/>
        <v>-10100</v>
      </c>
      <c r="M9" s="11">
        <f t="shared" si="1"/>
        <v>-22752</v>
      </c>
      <c r="N9" s="11">
        <f t="shared" si="1"/>
        <v>-12167</v>
      </c>
      <c r="O9" s="11">
        <f t="shared" si="1"/>
        <v>-2521</v>
      </c>
      <c r="P9" s="14">
        <f t="shared" si="1"/>
        <v>-1145</v>
      </c>
      <c r="U9" s="11">
        <f t="shared" ref="U9:Y9" si="2">U3-U5-U6-U7-U8</f>
        <v>-92518</v>
      </c>
      <c r="V9" s="11">
        <f t="shared" si="2"/>
        <v>-150537</v>
      </c>
      <c r="W9" s="11">
        <f t="shared" si="2"/>
        <v>-126125</v>
      </c>
      <c r="X9" s="11">
        <f t="shared" si="2"/>
        <v>-152015</v>
      </c>
      <c r="Y9" s="14">
        <f t="shared" si="2"/>
        <v>-38585</v>
      </c>
      <c r="Z9" s="11"/>
    </row>
    <row r="10" spans="1:27" s="1" customFormat="1" x14ac:dyDescent="0.25">
      <c r="A10" s="1" t="s">
        <v>155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4"/>
      <c r="U10" s="11">
        <f>U9+U16</f>
        <v>-70679</v>
      </c>
      <c r="V10" s="11">
        <f>V9+V16</f>
        <v>-86192</v>
      </c>
      <c r="W10" s="11">
        <f t="shared" ref="W10:X10" si="3">W9+W16</f>
        <v>-52596</v>
      </c>
      <c r="X10" s="11">
        <f t="shared" si="3"/>
        <v>-47095</v>
      </c>
      <c r="Y10" s="14">
        <f>Y9+Y16</f>
        <v>61601</v>
      </c>
      <c r="Z10" s="11"/>
    </row>
    <row r="11" spans="1:27" x14ac:dyDescent="0.25">
      <c r="A11" t="s">
        <v>86</v>
      </c>
      <c r="B11" s="10">
        <v>141</v>
      </c>
      <c r="C11" s="10">
        <v>239</v>
      </c>
      <c r="D11" s="10">
        <v>-203</v>
      </c>
      <c r="E11" s="10">
        <v>-406</v>
      </c>
      <c r="F11" s="10">
        <v>-359</v>
      </c>
      <c r="G11" s="10">
        <v>-220</v>
      </c>
      <c r="H11" s="10">
        <v>147</v>
      </c>
      <c r="I11" s="10">
        <v>1993</v>
      </c>
      <c r="J11" s="10">
        <v>2452</v>
      </c>
      <c r="K11" s="10">
        <v>6972</v>
      </c>
      <c r="L11" s="10">
        <v>11137</v>
      </c>
      <c r="M11" s="10">
        <v>9883</v>
      </c>
      <c r="N11" s="10">
        <v>7612</v>
      </c>
      <c r="O11" s="10">
        <v>11555</v>
      </c>
      <c r="P11" s="15">
        <v>12861</v>
      </c>
      <c r="U11" s="10">
        <v>1590</v>
      </c>
      <c r="V11" s="10">
        <v>526</v>
      </c>
      <c r="W11" s="10">
        <f t="shared" si="0"/>
        <v>-838</v>
      </c>
      <c r="X11" s="10">
        <f>SUM(I11:L11)</f>
        <v>22554</v>
      </c>
      <c r="Y11" s="15">
        <f>SUM(M11:P11)</f>
        <v>41911</v>
      </c>
      <c r="Z11" s="10"/>
    </row>
    <row r="12" spans="1:27" s="1" customFormat="1" x14ac:dyDescent="0.25">
      <c r="A12" s="1" t="s">
        <v>19</v>
      </c>
      <c r="B12" s="11">
        <f t="shared" ref="B12:P12" si="4">B9+B11</f>
        <v>-28050</v>
      </c>
      <c r="C12" s="11">
        <f t="shared" si="4"/>
        <v>-40408</v>
      </c>
      <c r="D12" s="11">
        <f t="shared" si="4"/>
        <v>-61899</v>
      </c>
      <c r="E12" s="11">
        <f t="shared" si="4"/>
        <v>-38253</v>
      </c>
      <c r="F12" s="11">
        <f t="shared" si="4"/>
        <v>-27828</v>
      </c>
      <c r="G12" s="11">
        <f t="shared" si="4"/>
        <v>-29431</v>
      </c>
      <c r="H12" s="11">
        <f t="shared" si="4"/>
        <v>-31451</v>
      </c>
      <c r="I12" s="11">
        <f t="shared" si="4"/>
        <v>-65503</v>
      </c>
      <c r="J12" s="11">
        <f t="shared" si="4"/>
        <v>-43728</v>
      </c>
      <c r="K12" s="11">
        <f t="shared" si="4"/>
        <v>-21267</v>
      </c>
      <c r="L12" s="11">
        <f t="shared" si="4"/>
        <v>1037</v>
      </c>
      <c r="M12" s="11">
        <f t="shared" si="4"/>
        <v>-12869</v>
      </c>
      <c r="N12" s="11">
        <f t="shared" si="4"/>
        <v>-4555</v>
      </c>
      <c r="O12" s="11">
        <f t="shared" si="4"/>
        <v>9034</v>
      </c>
      <c r="P12" s="14">
        <f t="shared" si="4"/>
        <v>11716</v>
      </c>
      <c r="U12" s="11">
        <f t="shared" ref="U12:X12" si="5">U9+U11</f>
        <v>-90928</v>
      </c>
      <c r="V12" s="11">
        <f t="shared" si="5"/>
        <v>-150011</v>
      </c>
      <c r="W12" s="11">
        <f t="shared" si="5"/>
        <v>-126963</v>
      </c>
      <c r="X12" s="11">
        <f t="shared" si="5"/>
        <v>-129461</v>
      </c>
      <c r="Y12" s="14">
        <f>Y9+Y11</f>
        <v>3326</v>
      </c>
      <c r="Z12" s="11"/>
    </row>
    <row r="13" spans="1:27" x14ac:dyDescent="0.25">
      <c r="A13" t="s">
        <v>20</v>
      </c>
      <c r="B13" s="10">
        <v>-350</v>
      </c>
      <c r="C13" s="10">
        <v>-671</v>
      </c>
      <c r="D13" s="10">
        <v>-962</v>
      </c>
      <c r="E13" s="10">
        <v>-699</v>
      </c>
      <c r="F13" s="10">
        <v>-1063</v>
      </c>
      <c r="G13" s="10">
        <v>585</v>
      </c>
      <c r="H13" s="10">
        <v>-1154</v>
      </c>
      <c r="I13" s="10">
        <v>-1175</v>
      </c>
      <c r="J13" s="10">
        <v>-1943</v>
      </c>
      <c r="K13" s="10">
        <v>-1763</v>
      </c>
      <c r="L13" s="10">
        <v>-2525</v>
      </c>
      <c r="M13" s="10">
        <v>-1798</v>
      </c>
      <c r="N13" s="10">
        <v>-2480</v>
      </c>
      <c r="O13" s="10">
        <v>-1546</v>
      </c>
      <c r="P13" s="15">
        <v>621</v>
      </c>
      <c r="U13" s="10">
        <v>-683</v>
      </c>
      <c r="V13" s="10">
        <v>-2192</v>
      </c>
      <c r="W13" s="10">
        <v>-2331</v>
      </c>
      <c r="X13" s="10">
        <v>-7406</v>
      </c>
      <c r="Y13" s="15">
        <v>-5203</v>
      </c>
      <c r="Z13" s="10"/>
    </row>
    <row r="14" spans="1:27" x14ac:dyDescent="0.25">
      <c r="A14" t="s">
        <v>129</v>
      </c>
      <c r="B14" s="10">
        <v>-4665</v>
      </c>
      <c r="C14" s="10">
        <v>-4717</v>
      </c>
      <c r="D14" s="10">
        <v>-4717</v>
      </c>
      <c r="E14" s="10">
        <v>-4614</v>
      </c>
      <c r="F14" s="10">
        <v>-3589</v>
      </c>
      <c r="G14" s="10"/>
      <c r="H14" s="10"/>
      <c r="I14" s="10"/>
      <c r="J14" s="10"/>
      <c r="K14" s="10"/>
      <c r="L14" s="10"/>
      <c r="M14" s="10"/>
      <c r="N14" s="10"/>
      <c r="O14" s="10"/>
      <c r="P14" s="15"/>
      <c r="U14" s="10"/>
      <c r="V14" s="10"/>
      <c r="W14" s="10"/>
      <c r="X14" s="10">
        <f>SUM(I14:L14)</f>
        <v>0</v>
      </c>
      <c r="Y14" s="15">
        <f>SUM(M14:P14)</f>
        <v>0</v>
      </c>
      <c r="Z14" s="10"/>
    </row>
    <row r="15" spans="1:27" s="1" customFormat="1" x14ac:dyDescent="0.25">
      <c r="A15" s="1" t="s">
        <v>21</v>
      </c>
      <c r="B15" s="11">
        <f>B12+B13+B14</f>
        <v>-33065</v>
      </c>
      <c r="C15" s="11">
        <f>C12+C13+C14</f>
        <v>-45796</v>
      </c>
      <c r="D15" s="11">
        <f>D12+D13+D14</f>
        <v>-67578</v>
      </c>
      <c r="E15" s="11">
        <f>E12+E13+E14</f>
        <v>-43566</v>
      </c>
      <c r="F15" s="11">
        <f>F12+F13+F14</f>
        <v>-32480</v>
      </c>
      <c r="G15" s="11">
        <f t="shared" ref="G15:Q15" si="6">G12+G13+G14</f>
        <v>-28846</v>
      </c>
      <c r="H15" s="11">
        <f t="shared" si="6"/>
        <v>-32605</v>
      </c>
      <c r="I15" s="11">
        <f t="shared" si="6"/>
        <v>-66678</v>
      </c>
      <c r="J15" s="11">
        <f t="shared" si="6"/>
        <v>-45671</v>
      </c>
      <c r="K15" s="11">
        <f t="shared" si="6"/>
        <v>-23030</v>
      </c>
      <c r="L15" s="11">
        <f t="shared" si="6"/>
        <v>-1488</v>
      </c>
      <c r="M15" s="11">
        <f t="shared" si="6"/>
        <v>-14667</v>
      </c>
      <c r="N15" s="11">
        <f t="shared" si="6"/>
        <v>-7035</v>
      </c>
      <c r="O15" s="11">
        <f t="shared" si="6"/>
        <v>7488</v>
      </c>
      <c r="P15" s="14">
        <f t="shared" si="6"/>
        <v>12337</v>
      </c>
      <c r="Q15" s="11">
        <f t="shared" si="6"/>
        <v>0</v>
      </c>
      <c r="R15" s="11"/>
      <c r="U15" s="11">
        <f>U12+U14+U13</f>
        <v>-91611</v>
      </c>
      <c r="V15" s="11">
        <f>V12+V14+V13</f>
        <v>-152203</v>
      </c>
      <c r="W15" s="11">
        <f>W12+W14+W13</f>
        <v>-129294</v>
      </c>
      <c r="X15" s="11">
        <f>X12+X14+X13</f>
        <v>-136867</v>
      </c>
      <c r="Y15" s="14">
        <f>Y12+Y14+Y13</f>
        <v>-1877</v>
      </c>
      <c r="Z15" s="11">
        <f t="shared" ref="Z15" si="7">Z12+Z14</f>
        <v>0</v>
      </c>
    </row>
    <row r="16" spans="1:27" x14ac:dyDescent="0.25">
      <c r="A16" s="45" t="s">
        <v>89</v>
      </c>
      <c r="B16" s="46"/>
      <c r="C16" s="46"/>
      <c r="D16" s="46"/>
      <c r="E16" s="46"/>
      <c r="F16" s="46">
        <v>17558</v>
      </c>
      <c r="G16" s="46"/>
      <c r="H16" s="46"/>
      <c r="I16" s="46"/>
      <c r="J16" s="46"/>
      <c r="K16" s="46"/>
      <c r="L16" s="46"/>
      <c r="M16" s="46"/>
      <c r="N16" s="46"/>
      <c r="O16" s="46"/>
      <c r="P16" s="49"/>
      <c r="Q16" s="46"/>
      <c r="R16" s="46"/>
      <c r="S16" s="45"/>
      <c r="T16" s="45"/>
      <c r="U16" s="46">
        <v>21839</v>
      </c>
      <c r="V16" s="46">
        <v>64345</v>
      </c>
      <c r="W16" s="46">
        <v>73529</v>
      </c>
      <c r="X16" s="46">
        <v>104920</v>
      </c>
      <c r="Y16" s="49">
        <v>100186</v>
      </c>
      <c r="Z16" s="46"/>
    </row>
    <row r="17" spans="1:27" x14ac:dyDescent="0.25">
      <c r="A17" s="45" t="s">
        <v>27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9"/>
      <c r="Q17" s="46"/>
      <c r="R17" s="46"/>
      <c r="S17" s="45"/>
      <c r="T17" s="45"/>
      <c r="U17" s="46"/>
      <c r="V17" s="46"/>
      <c r="W17" s="46"/>
      <c r="X17" s="46">
        <f>SUM(I17:L17)</f>
        <v>0</v>
      </c>
      <c r="Y17" s="49">
        <f>SUM(M17:P17)</f>
        <v>0</v>
      </c>
      <c r="Z17" s="46"/>
    </row>
    <row r="18" spans="1:27" s="1" customFormat="1" x14ac:dyDescent="0.25">
      <c r="A18" s="47" t="s">
        <v>90</v>
      </c>
      <c r="B18" s="48">
        <f>B16+B17</f>
        <v>0</v>
      </c>
      <c r="C18" s="48">
        <f t="shared" ref="C18:P18" si="8">C16+C17</f>
        <v>0</v>
      </c>
      <c r="D18" s="48">
        <f t="shared" si="8"/>
        <v>0</v>
      </c>
      <c r="E18" s="48">
        <f t="shared" si="8"/>
        <v>0</v>
      </c>
      <c r="F18" s="48">
        <f>F12++F13+F16+F17</f>
        <v>-11333</v>
      </c>
      <c r="G18" s="48">
        <f t="shared" si="8"/>
        <v>0</v>
      </c>
      <c r="H18" s="48">
        <f t="shared" si="8"/>
        <v>0</v>
      </c>
      <c r="I18" s="48">
        <f t="shared" si="8"/>
        <v>0</v>
      </c>
      <c r="J18" s="48">
        <f t="shared" si="8"/>
        <v>0</v>
      </c>
      <c r="K18" s="48">
        <f t="shared" si="8"/>
        <v>0</v>
      </c>
      <c r="L18" s="48">
        <f t="shared" si="8"/>
        <v>0</v>
      </c>
      <c r="M18" s="48">
        <f t="shared" si="8"/>
        <v>0</v>
      </c>
      <c r="N18" s="48">
        <f t="shared" si="8"/>
        <v>0</v>
      </c>
      <c r="O18" s="48">
        <f t="shared" si="8"/>
        <v>0</v>
      </c>
      <c r="P18" s="50">
        <f t="shared" si="8"/>
        <v>0</v>
      </c>
      <c r="Q18" s="48"/>
      <c r="R18" s="48"/>
      <c r="S18" s="47"/>
      <c r="T18" s="47"/>
      <c r="U18" s="48">
        <f>U10+U11+U13</f>
        <v>-69772</v>
      </c>
      <c r="V18" s="48">
        <f>V10+V11+V13</f>
        <v>-87858</v>
      </c>
      <c r="W18" s="48">
        <f>W10+W11+W13</f>
        <v>-55765</v>
      </c>
      <c r="X18" s="48">
        <f>X10+X11+X13</f>
        <v>-31947</v>
      </c>
      <c r="Y18" s="48">
        <f>Y10+Y11+Y13</f>
        <v>98309</v>
      </c>
      <c r="Z18" s="48"/>
    </row>
    <row r="19" spans="1:27" x14ac:dyDescent="0.25">
      <c r="A19" t="s">
        <v>1</v>
      </c>
      <c r="B19" s="10">
        <v>11836</v>
      </c>
      <c r="C19" s="10">
        <v>12240</v>
      </c>
      <c r="D19" s="10">
        <v>12334</v>
      </c>
      <c r="E19" s="10">
        <v>12392</v>
      </c>
      <c r="F19" s="10">
        <v>19417</v>
      </c>
      <c r="G19" s="10">
        <v>44267</v>
      </c>
      <c r="H19" s="10">
        <v>44741</v>
      </c>
      <c r="I19" s="10">
        <v>44978</v>
      </c>
      <c r="J19" s="10">
        <v>45074</v>
      </c>
      <c r="K19" s="10">
        <v>45477</v>
      </c>
      <c r="L19" s="10">
        <v>47659</v>
      </c>
      <c r="M19" s="10">
        <v>47912</v>
      </c>
      <c r="N19" s="10">
        <v>48209</v>
      </c>
      <c r="O19" s="10">
        <v>48536</v>
      </c>
      <c r="P19" s="15">
        <v>48796</v>
      </c>
      <c r="Q19" s="10"/>
      <c r="R19" s="10"/>
      <c r="U19" s="10"/>
      <c r="V19" s="10"/>
      <c r="W19" s="10">
        <v>30332.006000000001</v>
      </c>
      <c r="X19" s="10">
        <v>45804.714</v>
      </c>
      <c r="Y19" s="15">
        <v>48366.377999999997</v>
      </c>
      <c r="Z19" s="10"/>
    </row>
    <row r="20" spans="1:27" x14ac:dyDescent="0.25">
      <c r="A20" t="s">
        <v>136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5"/>
      <c r="Q20" s="10"/>
      <c r="R20" s="10"/>
      <c r="U20" s="10"/>
      <c r="V20" s="10"/>
      <c r="W20" s="10"/>
      <c r="X20" s="10"/>
      <c r="Y20" s="15"/>
      <c r="Z20" s="10"/>
    </row>
    <row r="21" spans="1:27" s="1" customFormat="1" x14ac:dyDescent="0.25">
      <c r="A21" s="1" t="s">
        <v>22</v>
      </c>
      <c r="B21" s="2">
        <f t="shared" ref="B21:P21" si="9">B15/B19</f>
        <v>-2.7935958093950659</v>
      </c>
      <c r="C21" s="2">
        <f t="shared" si="9"/>
        <v>-3.7415032679738562</v>
      </c>
      <c r="D21" s="2">
        <f t="shared" si="9"/>
        <v>-5.4790011350737799</v>
      </c>
      <c r="E21" s="2">
        <f t="shared" si="9"/>
        <v>-3.5156552614590058</v>
      </c>
      <c r="F21" s="2">
        <f t="shared" si="9"/>
        <v>-1.6727609826440748</v>
      </c>
      <c r="G21" s="2">
        <f t="shared" si="9"/>
        <v>-0.65163665936250481</v>
      </c>
      <c r="H21" s="2">
        <f t="shared" si="9"/>
        <v>-0.72874991618426055</v>
      </c>
      <c r="I21" s="2">
        <f t="shared" si="9"/>
        <v>-1.4824580906220819</v>
      </c>
      <c r="J21" s="2">
        <f t="shared" si="9"/>
        <v>-1.0132448861871588</v>
      </c>
      <c r="K21" s="2">
        <f t="shared" si="9"/>
        <v>-0.50640983354223013</v>
      </c>
      <c r="L21" s="2">
        <f t="shared" si="9"/>
        <v>-3.1221804905684131E-2</v>
      </c>
      <c r="M21" s="2">
        <f t="shared" si="9"/>
        <v>-0.30612372683252631</v>
      </c>
      <c r="N21" s="2">
        <f t="shared" si="9"/>
        <v>-0.14592710904602876</v>
      </c>
      <c r="O21" s="2">
        <f t="shared" si="9"/>
        <v>0.15427723751442229</v>
      </c>
      <c r="P21" s="35">
        <f t="shared" si="9"/>
        <v>0.25282810066398886</v>
      </c>
      <c r="Q21" s="34"/>
      <c r="R21" s="34"/>
      <c r="U21" s="2"/>
      <c r="V21" s="2" t="e">
        <f>V15/V19</f>
        <v>#DIV/0!</v>
      </c>
      <c r="W21" s="2">
        <f>W15/W19</f>
        <v>-4.2626260854623332</v>
      </c>
      <c r="X21" s="2">
        <f>X15/X19</f>
        <v>-2.9880548975810655</v>
      </c>
      <c r="Y21" s="35">
        <f>Y15/Y19</f>
        <v>-3.8807950432012919E-2</v>
      </c>
      <c r="Z21" s="2"/>
    </row>
    <row r="22" spans="1:27" s="1" customFormat="1" x14ac:dyDescent="0.25">
      <c r="A22" s="9" t="s">
        <v>82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4"/>
      <c r="Q22" s="34">
        <v>0.4</v>
      </c>
      <c r="R22" s="34">
        <v>0.48</v>
      </c>
      <c r="V22" s="2"/>
      <c r="W22" s="2"/>
      <c r="X22" s="2"/>
      <c r="Y22" s="35"/>
      <c r="Z22" s="2">
        <v>1.81</v>
      </c>
      <c r="AA22" s="1">
        <v>2.0099999999999998</v>
      </c>
    </row>
    <row r="23" spans="1:27" s="1" customFormat="1" x14ac:dyDescent="0.25">
      <c r="A23" s="9" t="s">
        <v>130</v>
      </c>
      <c r="B23" s="40">
        <f>B18/B19</f>
        <v>0</v>
      </c>
      <c r="C23" s="40">
        <f t="shared" ref="C23:O23" si="10">C18/C19</f>
        <v>0</v>
      </c>
      <c r="D23" s="40">
        <f t="shared" si="10"/>
        <v>0</v>
      </c>
      <c r="E23" s="40">
        <f t="shared" si="10"/>
        <v>0</v>
      </c>
      <c r="F23" s="40">
        <f>F18/F19</f>
        <v>-0.58366379976309424</v>
      </c>
      <c r="G23" s="40">
        <f t="shared" si="10"/>
        <v>0</v>
      </c>
      <c r="H23" s="40">
        <f t="shared" si="10"/>
        <v>0</v>
      </c>
      <c r="I23" s="40">
        <f t="shared" si="10"/>
        <v>0</v>
      </c>
      <c r="J23" s="40">
        <f t="shared" si="10"/>
        <v>0</v>
      </c>
      <c r="K23" s="40">
        <f t="shared" si="10"/>
        <v>0</v>
      </c>
      <c r="L23" s="40">
        <f t="shared" si="10"/>
        <v>0</v>
      </c>
      <c r="M23" s="40">
        <f t="shared" si="10"/>
        <v>0</v>
      </c>
      <c r="N23" s="40">
        <f t="shared" si="10"/>
        <v>0</v>
      </c>
      <c r="O23" s="40">
        <f t="shared" si="10"/>
        <v>0</v>
      </c>
      <c r="P23" s="44">
        <f>P18/P19</f>
        <v>0</v>
      </c>
      <c r="Q23" s="34"/>
      <c r="R23" s="34"/>
      <c r="V23" s="2"/>
      <c r="W23" s="2">
        <f>W18/W19</f>
        <v>-1.8384870423670627</v>
      </c>
      <c r="X23" s="2">
        <f t="shared" ref="X23" si="11">X18/X19</f>
        <v>-0.69746096438894911</v>
      </c>
      <c r="Y23" s="35">
        <f>Y18/Y19</f>
        <v>2.0325896638363123</v>
      </c>
      <c r="Z23" s="2"/>
    </row>
    <row r="24" spans="1:27" s="1" customFormat="1" x14ac:dyDescent="0.25">
      <c r="A24" s="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4"/>
      <c r="Q24" s="34"/>
      <c r="R24" s="34"/>
      <c r="V24" s="2"/>
      <c r="W24" s="2"/>
      <c r="X24" s="2"/>
      <c r="Y24" s="35"/>
      <c r="Z24" s="2"/>
    </row>
    <row r="25" spans="1:27" s="1" customFormat="1" x14ac:dyDescent="0.25">
      <c r="A25" t="s">
        <v>31</v>
      </c>
      <c r="B25" s="3">
        <f t="shared" ref="B25:P25" si="12">1-B5/B3</f>
        <v>0.86607240811848607</v>
      </c>
      <c r="C25" s="3">
        <f t="shared" si="12"/>
        <v>0.85131010518407213</v>
      </c>
      <c r="D25" s="3">
        <f t="shared" si="12"/>
        <v>0.86675840612660049</v>
      </c>
      <c r="E25" s="3">
        <f t="shared" si="12"/>
        <v>0.86563114698500987</v>
      </c>
      <c r="F25" s="3">
        <f t="shared" si="12"/>
        <v>0.87101890533172832</v>
      </c>
      <c r="G25" s="3">
        <f t="shared" si="12"/>
        <v>0.87697848659326894</v>
      </c>
      <c r="H25" s="3">
        <f t="shared" si="12"/>
        <v>0.8768329059605422</v>
      </c>
      <c r="I25" s="3">
        <f t="shared" si="12"/>
        <v>0.86535111569905165</v>
      </c>
      <c r="J25" s="3">
        <f t="shared" si="12"/>
        <v>0.86477311304741433</v>
      </c>
      <c r="K25" s="3">
        <f t="shared" si="12"/>
        <v>0.86975228828354989</v>
      </c>
      <c r="L25" s="3">
        <f t="shared" si="12"/>
        <v>0.884212351838635</v>
      </c>
      <c r="M25" s="3">
        <f t="shared" si="12"/>
        <v>0.89514101173454297</v>
      </c>
      <c r="N25" s="3">
        <f t="shared" si="12"/>
        <v>0.88891102522213816</v>
      </c>
      <c r="O25" s="38">
        <f t="shared" si="12"/>
        <v>0.88526349172789254</v>
      </c>
      <c r="P25" s="6">
        <f t="shared" si="12"/>
        <v>0.88938144838821143</v>
      </c>
      <c r="V25" s="3">
        <f>1-V5/V3</f>
        <v>0.86042960967707893</v>
      </c>
      <c r="W25" s="3">
        <f>1-W5/W3</f>
        <v>0.87339607334090541</v>
      </c>
      <c r="X25" s="3">
        <f>1-X5/X3</f>
        <v>0.87182219105290848</v>
      </c>
      <c r="Y25" s="6">
        <f>1-Y5/Y3</f>
        <v>0.88948122160628751</v>
      </c>
      <c r="Z25" s="3"/>
    </row>
    <row r="26" spans="1:27" x14ac:dyDescent="0.25">
      <c r="A26" t="s">
        <v>32</v>
      </c>
      <c r="B26" s="4">
        <f t="shared" ref="B26:P26" si="13">B15/B3</f>
        <v>-0.90688425671969286</v>
      </c>
      <c r="C26" s="4">
        <f t="shared" si="13"/>
        <v>-1.0752253944402705</v>
      </c>
      <c r="D26" s="4">
        <f t="shared" si="13"/>
        <v>-1.3477324398707671</v>
      </c>
      <c r="E26" s="4">
        <f t="shared" si="13"/>
        <v>-0.73875737638201178</v>
      </c>
      <c r="F26" s="4">
        <f t="shared" si="13"/>
        <v>-0.45995893223819301</v>
      </c>
      <c r="G26" s="4">
        <f t="shared" si="13"/>
        <v>-0.3474668144257872</v>
      </c>
      <c r="H26" s="4">
        <f t="shared" si="13"/>
        <v>-0.34125281281071745</v>
      </c>
      <c r="I26" s="4">
        <f t="shared" si="13"/>
        <v>-0.61456077126556496</v>
      </c>
      <c r="J26" s="4">
        <f t="shared" si="13"/>
        <v>-0.36915404387397144</v>
      </c>
      <c r="K26" s="4">
        <f t="shared" si="13"/>
        <v>-0.16823358389399021</v>
      </c>
      <c r="L26" s="4">
        <f t="shared" si="13"/>
        <v>-9.9252272863708212E-3</v>
      </c>
      <c r="M26" s="4">
        <f t="shared" si="13"/>
        <v>-9.0394191894290501E-2</v>
      </c>
      <c r="N26" s="4">
        <f t="shared" si="13"/>
        <v>-4.0044626847830417E-2</v>
      </c>
      <c r="O26" s="4">
        <f t="shared" si="13"/>
        <v>3.9579258946033091E-2</v>
      </c>
      <c r="P26" s="7">
        <f t="shared" si="13"/>
        <v>6.0902404107222197E-2</v>
      </c>
      <c r="V26" s="4">
        <f>V15/V3</f>
        <v>-0.94463856805049562</v>
      </c>
      <c r="W26" s="4">
        <f>W15/W3</f>
        <v>-0.4195813727080967</v>
      </c>
      <c r="X26" s="4">
        <f>X15/X3</f>
        <v>-0.26369817486113495</v>
      </c>
      <c r="Y26" s="7">
        <f>Y15/Y3</f>
        <v>-2.5723076079731942E-3</v>
      </c>
      <c r="Z26" s="4"/>
    </row>
    <row r="27" spans="1:27" x14ac:dyDescent="0.25">
      <c r="A27" t="s">
        <v>33</v>
      </c>
      <c r="B27" s="4"/>
      <c r="C27" s="4"/>
      <c r="D27" s="4"/>
      <c r="E27" s="4"/>
      <c r="F27" s="4">
        <f t="shared" ref="F27:P27" si="14">F3/B3-1</f>
        <v>0.93678003291278111</v>
      </c>
      <c r="G27" s="4">
        <f t="shared" si="14"/>
        <v>0.94914537941397437</v>
      </c>
      <c r="H27" s="4">
        <f t="shared" si="14"/>
        <v>0.90548841290734305</v>
      </c>
      <c r="I27" s="4">
        <f t="shared" si="14"/>
        <v>0.83980533134368862</v>
      </c>
      <c r="J27" s="4">
        <f t="shared" si="14"/>
        <v>0.75200736387453082</v>
      </c>
      <c r="K27" s="4">
        <f t="shared" si="14"/>
        <v>0.64895564817268547</v>
      </c>
      <c r="L27" s="4">
        <f t="shared" si="14"/>
        <v>0.56911403003820182</v>
      </c>
      <c r="M27" s="4">
        <f t="shared" si="14"/>
        <v>0.4954883545167148</v>
      </c>
      <c r="N27" s="4">
        <f t="shared" si="14"/>
        <v>0.41999547357700573</v>
      </c>
      <c r="O27" s="4">
        <f t="shared" si="14"/>
        <v>0.38202829947477235</v>
      </c>
      <c r="P27" s="7">
        <f t="shared" si="14"/>
        <v>0.3511782872312752</v>
      </c>
      <c r="Q27" s="4">
        <f>Q4/M3-1</f>
        <v>0.29739424119909286</v>
      </c>
      <c r="R27" s="4">
        <f>R4/N3-1</f>
        <v>0.28188343512884284</v>
      </c>
      <c r="V27" s="38">
        <f>V3/U3-1</f>
        <v>1.0633251802430559</v>
      </c>
      <c r="W27" s="38">
        <f>W3/V3-1</f>
        <v>0.91251404206724063</v>
      </c>
      <c r="X27" s="38">
        <f>X3/W3-1</f>
        <v>0.6843387960408891</v>
      </c>
      <c r="Y27" s="6">
        <f>Y3/X3-1</f>
        <v>0.4058848349514188</v>
      </c>
      <c r="Z27" s="4">
        <f>Z4/Y3-1</f>
        <v>0.28241251481783491</v>
      </c>
      <c r="AA27" s="4">
        <f>AA4/Z4-1</f>
        <v>0.2716800068392875</v>
      </c>
    </row>
    <row r="28" spans="1:27" x14ac:dyDescent="0.25">
      <c r="A28" t="s">
        <v>135</v>
      </c>
      <c r="B28" s="4"/>
      <c r="C28" s="4"/>
      <c r="D28" s="4"/>
      <c r="E28" s="4"/>
      <c r="F28" s="3">
        <f t="shared" ref="F28:P28" si="15">F7/F3</f>
        <v>0.86464632160305888</v>
      </c>
      <c r="G28" s="3">
        <f t="shared" si="15"/>
        <v>0.81239008407815172</v>
      </c>
      <c r="H28" s="3">
        <f t="shared" si="15"/>
        <v>0.80103616097127006</v>
      </c>
      <c r="I28" s="3">
        <f t="shared" si="15"/>
        <v>1.0689051310174476</v>
      </c>
      <c r="J28" s="3">
        <f t="shared" si="15"/>
        <v>0.78193957225302702</v>
      </c>
      <c r="K28" s="3">
        <f t="shared" si="15"/>
        <v>0.66453361384438936</v>
      </c>
      <c r="L28" s="3">
        <f t="shared" si="15"/>
        <v>0.58954382641524539</v>
      </c>
      <c r="M28" s="3">
        <f t="shared" si="15"/>
        <v>0.66364263879301844</v>
      </c>
      <c r="N28" s="3">
        <f t="shared" si="15"/>
        <v>0.61158704227596927</v>
      </c>
      <c r="O28" s="3">
        <f t="shared" si="15"/>
        <v>0.57275754532480572</v>
      </c>
      <c r="P28" s="3">
        <f t="shared" si="15"/>
        <v>0.56730512909117836</v>
      </c>
      <c r="Q28" s="4"/>
      <c r="V28" s="3"/>
      <c r="W28" s="3"/>
      <c r="X28" s="38"/>
      <c r="Y28" s="6"/>
      <c r="Z28" s="4"/>
    </row>
    <row r="29" spans="1:27" x14ac:dyDescent="0.25">
      <c r="A29" t="s">
        <v>91</v>
      </c>
      <c r="B29" s="3">
        <f t="shared" ref="B29:P29" si="16">B18/B3</f>
        <v>0</v>
      </c>
      <c r="C29" s="3">
        <f t="shared" si="16"/>
        <v>0</v>
      </c>
      <c r="D29" s="3">
        <f t="shared" si="16"/>
        <v>0</v>
      </c>
      <c r="E29" s="3">
        <f t="shared" si="16"/>
        <v>0</v>
      </c>
      <c r="F29" s="3">
        <f t="shared" si="16"/>
        <v>-0.16048998088224881</v>
      </c>
      <c r="G29" s="3">
        <f t="shared" si="16"/>
        <v>0</v>
      </c>
      <c r="H29" s="3">
        <f t="shared" si="16"/>
        <v>0</v>
      </c>
      <c r="I29" s="3">
        <f t="shared" si="16"/>
        <v>0</v>
      </c>
      <c r="J29" s="3">
        <f t="shared" si="16"/>
        <v>0</v>
      </c>
      <c r="K29" s="3">
        <f t="shared" si="16"/>
        <v>0</v>
      </c>
      <c r="L29" s="3">
        <f t="shared" si="16"/>
        <v>0</v>
      </c>
      <c r="M29" s="3">
        <f t="shared" si="16"/>
        <v>0</v>
      </c>
      <c r="N29" s="3">
        <f t="shared" si="16"/>
        <v>0</v>
      </c>
      <c r="O29" s="38">
        <f t="shared" si="16"/>
        <v>0</v>
      </c>
      <c r="P29" s="6">
        <f t="shared" si="16"/>
        <v>0</v>
      </c>
      <c r="W29" s="38">
        <f>W18/W3</f>
        <v>-0.18096706149602465</v>
      </c>
      <c r="X29" s="38">
        <f>X18/X3</f>
        <v>-6.1551474002416048E-2</v>
      </c>
      <c r="Y29" s="6">
        <f>Y18/Y3</f>
        <v>0.13472615270763813</v>
      </c>
    </row>
    <row r="30" spans="1:27" x14ac:dyDescent="0.25">
      <c r="A30" t="s">
        <v>39</v>
      </c>
      <c r="B30" s="4"/>
      <c r="C30" s="4"/>
      <c r="D30" s="4"/>
      <c r="E30" s="4"/>
      <c r="F30" s="4">
        <f t="shared" ref="F30:N30" si="17">F15/B15-1</f>
        <v>-1.7692424013307173E-2</v>
      </c>
      <c r="G30" s="4">
        <f t="shared" si="17"/>
        <v>-0.37011966110577343</v>
      </c>
      <c r="H30" s="4">
        <f t="shared" si="17"/>
        <v>-0.51752049483559737</v>
      </c>
      <c r="I30" s="4">
        <f t="shared" si="17"/>
        <v>0.53050544002203548</v>
      </c>
      <c r="J30" s="4">
        <f t="shared" si="17"/>
        <v>0.4061268472906403</v>
      </c>
      <c r="K30" s="4">
        <f t="shared" si="17"/>
        <v>-0.2016224086528462</v>
      </c>
      <c r="L30" s="4">
        <f t="shared" si="17"/>
        <v>-0.9543628277871492</v>
      </c>
      <c r="M30" s="4">
        <f t="shared" si="17"/>
        <v>-0.78003239449293615</v>
      </c>
      <c r="N30" s="4">
        <f t="shared" si="17"/>
        <v>-0.84596352170961886</v>
      </c>
      <c r="O30" s="4">
        <f>O15/K15-1</f>
        <v>-1.3251411202778984</v>
      </c>
      <c r="P30" s="7">
        <f>P15/L15-1</f>
        <v>-9.290994623655914</v>
      </c>
      <c r="Q30" s="4">
        <f>Q22/M21-1</f>
        <v>-2.3066612122451762</v>
      </c>
      <c r="R30" s="4">
        <f>R22/N21-1</f>
        <v>-4.2893134328358204</v>
      </c>
      <c r="V30" s="3"/>
      <c r="W30" s="3">
        <f>-(W15/V15-1)</f>
        <v>0.15051608706792896</v>
      </c>
      <c r="X30" s="38">
        <f>-(X15/W15-1)</f>
        <v>-5.8571936826148141E-2</v>
      </c>
      <c r="Y30" s="6">
        <f>-(Y15/X15-1)</f>
        <v>0.98628595643946315</v>
      </c>
      <c r="Z30" s="3">
        <f>Z22/Y21-1</f>
        <v>-47.639927639850825</v>
      </c>
      <c r="AA30" s="3">
        <f>AA22/Z22-1</f>
        <v>0.11049723756906071</v>
      </c>
    </row>
    <row r="31" spans="1:27" x14ac:dyDescent="0.25">
      <c r="A31" t="s">
        <v>152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7"/>
      <c r="Q31" s="4"/>
      <c r="R31" s="4"/>
      <c r="V31" s="3"/>
      <c r="W31" s="38">
        <f t="shared" ref="W31:X31" si="18">W6/W3</f>
        <v>0.239123803342528</v>
      </c>
      <c r="X31" s="38">
        <f t="shared" si="18"/>
        <v>0.24477823011816296</v>
      </c>
      <c r="Y31" s="6">
        <f>Y6/Y3</f>
        <v>0.21447317029717897</v>
      </c>
      <c r="Z31" s="3"/>
      <c r="AA31" s="3"/>
    </row>
    <row r="32" spans="1:27" x14ac:dyDescent="0.25">
      <c r="A32" t="s">
        <v>153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7"/>
      <c r="Q32" s="4"/>
      <c r="R32" s="4"/>
      <c r="V32" s="3"/>
      <c r="W32" s="38">
        <f t="shared" ref="W32:X32" si="19">W7/W3</f>
        <v>0.86997566120395908</v>
      </c>
      <c r="X32" s="38">
        <f t="shared" si="19"/>
        <v>0.75538746389893441</v>
      </c>
      <c r="Y32" s="6">
        <f>Y7/Y3</f>
        <v>0.60080170482187767</v>
      </c>
      <c r="Z32" s="3"/>
      <c r="AA32" s="3"/>
    </row>
    <row r="33" spans="1:27" x14ac:dyDescent="0.25">
      <c r="A33" t="s">
        <v>154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7"/>
      <c r="Q33" s="4"/>
      <c r="R33" s="4"/>
      <c r="V33" s="3"/>
      <c r="W33" s="38">
        <f t="shared" ref="W33:X33" si="20">W8/W3</f>
        <v>0.17359402888203798</v>
      </c>
      <c r="X33" s="38">
        <f t="shared" si="20"/>
        <v>0.16453993900148162</v>
      </c>
      <c r="Y33" s="6">
        <f>Y8/Y3</f>
        <v>0.12708460384133097</v>
      </c>
      <c r="Z33" s="3"/>
      <c r="AA33" s="3"/>
    </row>
    <row r="34" spans="1:27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8"/>
    </row>
    <row r="36" spans="1:27" s="1" customFormat="1" x14ac:dyDescent="0.25">
      <c r="A36" s="1" t="s">
        <v>43</v>
      </c>
      <c r="B36" s="11">
        <f>B37</f>
        <v>0</v>
      </c>
      <c r="C36" s="11">
        <f t="shared" ref="C36:P36" si="21">C37</f>
        <v>0</v>
      </c>
      <c r="D36" s="11">
        <f t="shared" si="21"/>
        <v>0</v>
      </c>
      <c r="E36" s="11">
        <f t="shared" si="21"/>
        <v>0</v>
      </c>
      <c r="F36" s="11">
        <f t="shared" si="21"/>
        <v>0</v>
      </c>
      <c r="G36" s="11">
        <f t="shared" si="21"/>
        <v>0</v>
      </c>
      <c r="H36" s="11">
        <f t="shared" si="21"/>
        <v>0</v>
      </c>
      <c r="I36" s="11">
        <f t="shared" si="21"/>
        <v>0</v>
      </c>
      <c r="J36" s="11">
        <f t="shared" si="21"/>
        <v>0</v>
      </c>
      <c r="K36" s="11">
        <f t="shared" si="21"/>
        <v>0</v>
      </c>
      <c r="L36" s="11">
        <f t="shared" si="21"/>
        <v>0</v>
      </c>
      <c r="M36" s="11">
        <f t="shared" si="21"/>
        <v>0</v>
      </c>
      <c r="N36" s="11">
        <f t="shared" si="21"/>
        <v>0</v>
      </c>
      <c r="O36" s="11">
        <f t="shared" si="21"/>
        <v>0</v>
      </c>
      <c r="P36" s="14">
        <f t="shared" si="21"/>
        <v>0</v>
      </c>
      <c r="V36" s="11">
        <f t="shared" ref="V36:Y36" si="22">V37</f>
        <v>139814</v>
      </c>
      <c r="W36" s="11">
        <f t="shared" si="22"/>
        <v>886812</v>
      </c>
      <c r="X36" s="11">
        <f t="shared" si="22"/>
        <v>885894</v>
      </c>
      <c r="Y36" s="14">
        <f t="shared" si="22"/>
        <v>1116128</v>
      </c>
    </row>
    <row r="37" spans="1:27" x14ac:dyDescent="0.25">
      <c r="A37" t="s">
        <v>25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V37" s="10">
        <f>129814+10000</f>
        <v>139814</v>
      </c>
      <c r="W37" s="10">
        <v>886812</v>
      </c>
      <c r="X37" s="10">
        <v>885894</v>
      </c>
      <c r="Y37" s="15">
        <v>1116128</v>
      </c>
    </row>
    <row r="38" spans="1:27" x14ac:dyDescent="0.25">
      <c r="A38" t="s">
        <v>26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V38" s="10">
        <v>3911</v>
      </c>
      <c r="W38" s="10">
        <v>8509</v>
      </c>
      <c r="X38" s="10">
        <v>13226</v>
      </c>
      <c r="Y38" s="15">
        <v>17911</v>
      </c>
    </row>
    <row r="39" spans="1:27" x14ac:dyDescent="0.25">
      <c r="A39" t="s">
        <v>131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V39" s="10">
        <v>3898</v>
      </c>
      <c r="W39" s="10">
        <v>18172</v>
      </c>
      <c r="X39" s="10">
        <v>24725</v>
      </c>
      <c r="Y39" s="15">
        <v>39103</v>
      </c>
    </row>
    <row r="40" spans="1:27" s="1" customFormat="1" x14ac:dyDescent="0.25">
      <c r="A40" s="1" t="s">
        <v>79</v>
      </c>
      <c r="B40" s="11">
        <f t="shared" ref="B40:O40" si="23">SUM(B37:B39)</f>
        <v>0</v>
      </c>
      <c r="C40" s="11">
        <f t="shared" si="23"/>
        <v>0</v>
      </c>
      <c r="D40" s="11">
        <f t="shared" si="23"/>
        <v>0</v>
      </c>
      <c r="E40" s="11">
        <f t="shared" si="23"/>
        <v>0</v>
      </c>
      <c r="F40" s="11">
        <f t="shared" si="23"/>
        <v>0</v>
      </c>
      <c r="G40" s="11">
        <f t="shared" si="23"/>
        <v>0</v>
      </c>
      <c r="H40" s="11">
        <f t="shared" si="23"/>
        <v>0</v>
      </c>
      <c r="I40" s="11">
        <f t="shared" si="23"/>
        <v>0</v>
      </c>
      <c r="J40" s="11">
        <f t="shared" si="23"/>
        <v>0</v>
      </c>
      <c r="K40" s="11">
        <f t="shared" si="23"/>
        <v>0</v>
      </c>
      <c r="L40" s="11">
        <f t="shared" si="23"/>
        <v>0</v>
      </c>
      <c r="M40" s="11">
        <f t="shared" si="23"/>
        <v>0</v>
      </c>
      <c r="N40" s="11">
        <f t="shared" si="23"/>
        <v>0</v>
      </c>
      <c r="O40" s="11">
        <f t="shared" si="23"/>
        <v>0</v>
      </c>
      <c r="P40" s="16"/>
      <c r="V40" s="11">
        <f>SUM(V37:V39)</f>
        <v>147623</v>
      </c>
      <c r="W40" s="11">
        <f>SUM(W37:W39)</f>
        <v>913493</v>
      </c>
      <c r="X40" s="11">
        <f>SUM(X37:X39)</f>
        <v>923845</v>
      </c>
      <c r="Y40" s="14">
        <f>SUM(Y37:Y39)</f>
        <v>1173142</v>
      </c>
    </row>
    <row r="41" spans="1:27" x14ac:dyDescent="0.25">
      <c r="A41" t="s">
        <v>87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V41" s="10">
        <v>7178</v>
      </c>
      <c r="W41" s="10">
        <v>19599</v>
      </c>
      <c r="X41" s="10">
        <v>34416</v>
      </c>
      <c r="Y41" s="15">
        <v>37418</v>
      </c>
    </row>
    <row r="42" spans="1:27" x14ac:dyDescent="0.25">
      <c r="A42" t="s">
        <v>88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V42" s="10">
        <f t="shared" ref="V42:V51" si="24">D42</f>
        <v>0</v>
      </c>
      <c r="W42" s="10">
        <f t="shared" ref="W42:W51" si="25">H42</f>
        <v>0</v>
      </c>
      <c r="X42" s="10">
        <v>80197</v>
      </c>
      <c r="Y42" s="15">
        <v>62280</v>
      </c>
    </row>
    <row r="43" spans="1:27" x14ac:dyDescent="0.25">
      <c r="A43" t="s">
        <v>132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V43" s="10">
        <f t="shared" si="24"/>
        <v>0</v>
      </c>
      <c r="W43" s="10">
        <f t="shared" si="25"/>
        <v>0</v>
      </c>
      <c r="X43" s="10"/>
      <c r="Y43" s="15"/>
    </row>
    <row r="44" spans="1:27" x14ac:dyDescent="0.25">
      <c r="A44" t="s">
        <v>27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V44" s="10">
        <v>2619</v>
      </c>
      <c r="W44" s="10">
        <v>100</v>
      </c>
      <c r="X44" s="10">
        <v>585</v>
      </c>
      <c r="Y44" s="15">
        <v>2816</v>
      </c>
    </row>
    <row r="45" spans="1:27" x14ac:dyDescent="0.25">
      <c r="A45" s="1" t="s">
        <v>28</v>
      </c>
      <c r="B45" s="11">
        <f t="shared" ref="B45:O45" si="26">SUM(B40:B44)</f>
        <v>0</v>
      </c>
      <c r="C45" s="11">
        <f t="shared" si="26"/>
        <v>0</v>
      </c>
      <c r="D45" s="11">
        <f t="shared" si="26"/>
        <v>0</v>
      </c>
      <c r="E45" s="11">
        <f t="shared" si="26"/>
        <v>0</v>
      </c>
      <c r="F45" s="11">
        <f t="shared" si="26"/>
        <v>0</v>
      </c>
      <c r="G45" s="11">
        <f t="shared" si="26"/>
        <v>0</v>
      </c>
      <c r="H45" s="11">
        <f t="shared" si="26"/>
        <v>0</v>
      </c>
      <c r="I45" s="11">
        <f t="shared" si="26"/>
        <v>0</v>
      </c>
      <c r="J45" s="11">
        <f t="shared" si="26"/>
        <v>0</v>
      </c>
      <c r="K45" s="11">
        <f t="shared" si="26"/>
        <v>0</v>
      </c>
      <c r="L45" s="11">
        <f t="shared" si="26"/>
        <v>0</v>
      </c>
      <c r="M45" s="11">
        <f t="shared" si="26"/>
        <v>0</v>
      </c>
      <c r="N45" s="11">
        <f t="shared" si="26"/>
        <v>0</v>
      </c>
      <c r="O45" s="11">
        <f t="shared" si="26"/>
        <v>0</v>
      </c>
      <c r="V45" s="11">
        <f>SUM(V40:V44)</f>
        <v>157420</v>
      </c>
      <c r="W45" s="11">
        <f>SUM(W40:W44)</f>
        <v>933192</v>
      </c>
      <c r="X45" s="11">
        <f>SUM(X40:X44)</f>
        <v>1039043</v>
      </c>
      <c r="Y45" s="14">
        <f>SUM(Y40:Y44)</f>
        <v>1275656</v>
      </c>
    </row>
    <row r="46" spans="1:27" x14ac:dyDescent="0.25">
      <c r="A46" t="s">
        <v>30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V46" s="10">
        <v>25734</v>
      </c>
      <c r="W46" s="10">
        <v>23612</v>
      </c>
      <c r="X46" s="10">
        <v>7335</v>
      </c>
      <c r="Y46" s="15">
        <v>24837</v>
      </c>
    </row>
    <row r="47" spans="1:27" x14ac:dyDescent="0.25">
      <c r="A47" t="s">
        <v>133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V47" s="10">
        <v>22967</v>
      </c>
      <c r="W47" s="10">
        <v>70135</v>
      </c>
      <c r="X47" s="10">
        <v>73706</v>
      </c>
      <c r="Y47" s="15">
        <v>106691</v>
      </c>
    </row>
    <row r="48" spans="1:27" x14ac:dyDescent="0.25">
      <c r="A48" t="s">
        <v>134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V48" s="10">
        <v>70719</v>
      </c>
      <c r="W48" s="10">
        <v>134438</v>
      </c>
      <c r="X48" s="10">
        <v>198099</v>
      </c>
      <c r="Y48" s="15">
        <v>266284</v>
      </c>
    </row>
    <row r="49" spans="1:25" x14ac:dyDescent="0.25">
      <c r="A49" t="s">
        <v>132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V49" s="10">
        <v>21016</v>
      </c>
      <c r="W49" s="10">
        <f t="shared" si="25"/>
        <v>0</v>
      </c>
      <c r="X49" s="10">
        <v>19083</v>
      </c>
      <c r="Y49" s="15">
        <v>18201</v>
      </c>
    </row>
    <row r="50" spans="1:25" s="1" customFormat="1" x14ac:dyDescent="0.25">
      <c r="A50" s="1" t="s">
        <v>80</v>
      </c>
      <c r="B50" s="11">
        <f t="shared" ref="B50:O50" si="27">SUM(B46:B49)</f>
        <v>0</v>
      </c>
      <c r="C50" s="11">
        <f t="shared" si="27"/>
        <v>0</v>
      </c>
      <c r="D50" s="11">
        <f t="shared" si="27"/>
        <v>0</v>
      </c>
      <c r="E50" s="11">
        <f t="shared" si="27"/>
        <v>0</v>
      </c>
      <c r="F50" s="11">
        <f t="shared" si="27"/>
        <v>0</v>
      </c>
      <c r="G50" s="11">
        <f t="shared" si="27"/>
        <v>0</v>
      </c>
      <c r="H50" s="11">
        <f t="shared" si="27"/>
        <v>0</v>
      </c>
      <c r="I50" s="11">
        <f t="shared" si="27"/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4"/>
      <c r="Q50" s="11"/>
      <c r="R50" s="11"/>
      <c r="S50" s="11"/>
      <c r="T50" s="11"/>
      <c r="U50" s="11"/>
      <c r="V50" s="11">
        <f>SUM(V46:V49)</f>
        <v>140436</v>
      </c>
      <c r="W50" s="11">
        <f>SUM(W46:W49)</f>
        <v>228185</v>
      </c>
      <c r="X50" s="11">
        <f>SUM(X46:X49)</f>
        <v>298223</v>
      </c>
      <c r="Y50" s="14">
        <f>SUM(Y46:Y49)</f>
        <v>416013</v>
      </c>
    </row>
    <row r="51" spans="1:25" x14ac:dyDescent="0.25">
      <c r="A51" t="s">
        <v>132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V51" s="10">
        <f t="shared" si="24"/>
        <v>0</v>
      </c>
      <c r="W51" s="10">
        <f t="shared" si="25"/>
        <v>0</v>
      </c>
      <c r="X51" s="10">
        <v>58638</v>
      </c>
      <c r="Y51" s="15">
        <v>42946</v>
      </c>
    </row>
    <row r="52" spans="1:25" x14ac:dyDescent="0.25">
      <c r="A52" t="s">
        <v>134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V52" s="10">
        <v>1045</v>
      </c>
      <c r="W52" s="10">
        <v>1612</v>
      </c>
      <c r="X52" s="10">
        <v>2442</v>
      </c>
      <c r="Y52" s="15">
        <v>3189</v>
      </c>
    </row>
    <row r="53" spans="1:25" x14ac:dyDescent="0.25">
      <c r="A53" s="1" t="s">
        <v>29</v>
      </c>
      <c r="B53" s="11">
        <f t="shared" ref="B53:O53" si="28">SUM(B50:B52)</f>
        <v>0</v>
      </c>
      <c r="C53" s="11">
        <f t="shared" si="28"/>
        <v>0</v>
      </c>
      <c r="D53" s="11">
        <f t="shared" si="28"/>
        <v>0</v>
      </c>
      <c r="E53" s="11">
        <f t="shared" si="28"/>
        <v>0</v>
      </c>
      <c r="F53" s="11">
        <f t="shared" si="28"/>
        <v>0</v>
      </c>
      <c r="G53" s="11">
        <f t="shared" si="28"/>
        <v>0</v>
      </c>
      <c r="H53" s="11">
        <f t="shared" si="28"/>
        <v>0</v>
      </c>
      <c r="I53" s="11">
        <f t="shared" si="28"/>
        <v>0</v>
      </c>
      <c r="J53" s="11">
        <f t="shared" si="28"/>
        <v>0</v>
      </c>
      <c r="K53" s="11">
        <f t="shared" si="28"/>
        <v>0</v>
      </c>
      <c r="L53" s="11">
        <f t="shared" si="28"/>
        <v>0</v>
      </c>
      <c r="M53" s="11">
        <f t="shared" si="28"/>
        <v>0</v>
      </c>
      <c r="N53" s="11">
        <f t="shared" si="28"/>
        <v>0</v>
      </c>
      <c r="O53" s="11">
        <f t="shared" si="28"/>
        <v>0</v>
      </c>
      <c r="V53" s="11">
        <f>SUM(V50:V52)</f>
        <v>141481</v>
      </c>
      <c r="W53" s="11">
        <f>SUM(W50:W52)</f>
        <v>229797</v>
      </c>
      <c r="X53" s="11">
        <f>SUM(X50:X52)</f>
        <v>359303</v>
      </c>
      <c r="Y53" s="14">
        <f>SUM(Y50:Y52)</f>
        <v>462148</v>
      </c>
    </row>
    <row r="54" spans="1:25" x14ac:dyDescent="0.25">
      <c r="A54" t="s">
        <v>143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V54" s="11">
        <f>V45-V53</f>
        <v>15939</v>
      </c>
      <c r="W54" s="11">
        <f t="shared" ref="W54:X54" si="29">W45-W53</f>
        <v>703395</v>
      </c>
      <c r="X54" s="11">
        <f t="shared" si="29"/>
        <v>679740</v>
      </c>
      <c r="Y54" s="14">
        <f>Y45-Y53</f>
        <v>813508</v>
      </c>
    </row>
    <row r="55" spans="1:25" x14ac:dyDescent="0.25">
      <c r="V55" s="11"/>
      <c r="W55" s="11"/>
      <c r="X55" s="11"/>
    </row>
    <row r="57" spans="1:25" s="1" customFormat="1" x14ac:dyDescent="0.25">
      <c r="A57" s="1" t="s">
        <v>57</v>
      </c>
      <c r="P57" s="16"/>
      <c r="Y57" s="16"/>
    </row>
    <row r="58" spans="1:25" x14ac:dyDescent="0.25">
      <c r="A58" t="s">
        <v>44</v>
      </c>
    </row>
    <row r="59" spans="1:25" x14ac:dyDescent="0.25">
      <c r="A59" t="s">
        <v>24</v>
      </c>
    </row>
    <row r="60" spans="1:25" x14ac:dyDescent="0.25">
      <c r="A60" t="s">
        <v>45</v>
      </c>
    </row>
    <row r="61" spans="1:25" x14ac:dyDescent="0.25">
      <c r="A61" t="s">
        <v>46</v>
      </c>
    </row>
    <row r="62" spans="1:25" x14ac:dyDescent="0.25">
      <c r="A62" t="s">
        <v>27</v>
      </c>
    </row>
    <row r="63" spans="1:25" x14ac:dyDescent="0.25">
      <c r="A63" t="s">
        <v>26</v>
      </c>
    </row>
    <row r="64" spans="1:25" x14ac:dyDescent="0.25">
      <c r="A64" t="s">
        <v>47</v>
      </c>
    </row>
    <row r="65" spans="1:25" x14ac:dyDescent="0.25">
      <c r="A65" t="s">
        <v>30</v>
      </c>
    </row>
    <row r="66" spans="1:25" x14ac:dyDescent="0.25">
      <c r="A66" t="s">
        <v>48</v>
      </c>
    </row>
    <row r="67" spans="1:25" x14ac:dyDescent="0.25">
      <c r="A67" t="s">
        <v>49</v>
      </c>
    </row>
    <row r="68" spans="1:25" x14ac:dyDescent="0.25">
      <c r="A68" t="s">
        <v>50</v>
      </c>
    </row>
    <row r="69" spans="1:25" x14ac:dyDescent="0.25">
      <c r="A69" t="s">
        <v>27</v>
      </c>
    </row>
    <row r="70" spans="1:25" x14ac:dyDescent="0.25">
      <c r="A70" t="s">
        <v>51</v>
      </c>
    </row>
    <row r="71" spans="1:25" x14ac:dyDescent="0.25">
      <c r="A71" t="s">
        <v>52</v>
      </c>
    </row>
    <row r="72" spans="1:25" x14ac:dyDescent="0.25">
      <c r="A72" t="s">
        <v>53</v>
      </c>
    </row>
    <row r="73" spans="1:25" x14ac:dyDescent="0.25">
      <c r="A73" t="s">
        <v>27</v>
      </c>
    </row>
    <row r="74" spans="1:25" x14ac:dyDescent="0.25">
      <c r="A74" t="s">
        <v>54</v>
      </c>
    </row>
    <row r="75" spans="1:25" s="9" customFormat="1" x14ac:dyDescent="0.25">
      <c r="A75" s="9" t="s">
        <v>55</v>
      </c>
      <c r="P75" s="51"/>
      <c r="Y75" s="51"/>
    </row>
    <row r="76" spans="1:25" s="1" customFormat="1" x14ac:dyDescent="0.25">
      <c r="A76" s="1" t="s">
        <v>56</v>
      </c>
      <c r="P76" s="16"/>
      <c r="Y76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Y17" sqref="Y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4F-29D3-4A78-A5E5-1177859C3989}">
  <dimension ref="A1:F11"/>
  <sheetViews>
    <sheetView workbookViewId="0">
      <selection activeCell="E15" sqref="E15"/>
    </sheetView>
  </sheetViews>
  <sheetFormatPr defaultRowHeight="15" x14ac:dyDescent="0.25"/>
  <cols>
    <col min="1" max="1" width="16.7109375" bestFit="1" customWidth="1"/>
  </cols>
  <sheetData>
    <row r="1" spans="1:6" x14ac:dyDescent="0.25"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139</v>
      </c>
      <c r="B2" s="10">
        <v>36439</v>
      </c>
      <c r="C2" s="10">
        <v>77933</v>
      </c>
      <c r="D2" s="10">
        <v>148291</v>
      </c>
      <c r="E2" s="10">
        <v>255495</v>
      </c>
      <c r="F2" s="10">
        <v>364070</v>
      </c>
    </row>
    <row r="3" spans="1:6" x14ac:dyDescent="0.25">
      <c r="A3" t="s">
        <v>140</v>
      </c>
      <c r="B3" s="10">
        <v>24809</v>
      </c>
      <c r="C3" s="10">
        <v>49747</v>
      </c>
      <c r="D3" s="10">
        <v>67121</v>
      </c>
      <c r="E3" s="10">
        <v>111854</v>
      </c>
      <c r="F3" s="10">
        <v>157134</v>
      </c>
    </row>
    <row r="4" spans="1:6" x14ac:dyDescent="0.25">
      <c r="A4" t="s">
        <v>141</v>
      </c>
      <c r="B4" s="10"/>
      <c r="C4" s="10"/>
      <c r="D4" s="10">
        <v>30171</v>
      </c>
      <c r="E4" s="10">
        <v>50625</v>
      </c>
      <c r="F4" s="10">
        <v>73236</v>
      </c>
    </row>
    <row r="5" spans="1:6" x14ac:dyDescent="0.25">
      <c r="A5" t="s">
        <v>142</v>
      </c>
      <c r="B5" s="10">
        <v>16841</v>
      </c>
      <c r="C5" s="10">
        <v>33443</v>
      </c>
      <c r="D5" s="10">
        <v>62567</v>
      </c>
      <c r="E5" s="10">
        <v>101055</v>
      </c>
      <c r="F5" s="10">
        <v>135255</v>
      </c>
    </row>
    <row r="6" spans="1:6" x14ac:dyDescent="0.25">
      <c r="B6" s="10">
        <f t="shared" ref="B6:C6" si="0">SUM(B2:B5)</f>
        <v>78089</v>
      </c>
      <c r="C6" s="10">
        <f t="shared" si="0"/>
        <v>161123</v>
      </c>
      <c r="D6" s="10">
        <f>SUM(D2:D5)</f>
        <v>308150</v>
      </c>
      <c r="E6" s="10">
        <f t="shared" ref="E6:F6" si="1">SUM(E2:E5)</f>
        <v>519029</v>
      </c>
      <c r="F6" s="10">
        <f t="shared" si="1"/>
        <v>729695</v>
      </c>
    </row>
    <row r="10" spans="1:6" x14ac:dyDescent="0.25">
      <c r="A10" t="s">
        <v>144</v>
      </c>
      <c r="B10" s="53"/>
      <c r="C10" s="53"/>
      <c r="D10" s="53">
        <v>793</v>
      </c>
      <c r="E10" s="53">
        <v>1474</v>
      </c>
      <c r="F10" s="53">
        <v>2295</v>
      </c>
    </row>
    <row r="11" spans="1:6" x14ac:dyDescent="0.25">
      <c r="A11" t="s">
        <v>145</v>
      </c>
      <c r="E11" s="54">
        <f>E10/D10-1</f>
        <v>0.85876418663303911</v>
      </c>
      <c r="F11" s="54">
        <f>F10/E10-1</f>
        <v>0.55698778833107188</v>
      </c>
    </row>
  </sheetData>
  <pageMargins left="0.7" right="0.7" top="0.75" bottom="0.75" header="0.3" footer="0.3"/>
  <pageSetup paperSize="9" orientation="portrait" r:id="rId1"/>
  <ignoredErrors>
    <ignoredError sqref="D6 E6:F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workbookViewId="0">
      <selection activeCell="D9" sqref="D9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69</v>
      </c>
      <c r="B1" s="17" t="s">
        <v>70</v>
      </c>
    </row>
    <row r="2" spans="1:12" x14ac:dyDescent="0.25">
      <c r="A2" s="12">
        <v>44354</v>
      </c>
      <c r="B2" s="18">
        <v>189.30999800000001</v>
      </c>
      <c r="D2" t="s">
        <v>69</v>
      </c>
      <c r="E2" t="s">
        <v>71</v>
      </c>
      <c r="L2" t="s">
        <v>72</v>
      </c>
    </row>
    <row r="3" spans="1:12" x14ac:dyDescent="0.25">
      <c r="A3" s="12">
        <v>44361</v>
      </c>
      <c r="B3" s="18">
        <v>232.509995</v>
      </c>
      <c r="D3" s="12">
        <v>45328</v>
      </c>
      <c r="E3" t="s">
        <v>74</v>
      </c>
      <c r="L3" s="12"/>
    </row>
    <row r="4" spans="1:12" x14ac:dyDescent="0.25">
      <c r="A4" s="12">
        <v>44368</v>
      </c>
      <c r="B4" s="18">
        <v>232.36999499999999</v>
      </c>
      <c r="D4" s="12">
        <v>45302</v>
      </c>
      <c r="E4" t="s">
        <v>74</v>
      </c>
      <c r="L4" s="12"/>
    </row>
    <row r="5" spans="1:12" x14ac:dyDescent="0.25">
      <c r="A5" s="12">
        <v>44375</v>
      </c>
      <c r="B5" s="18">
        <v>229.229996</v>
      </c>
      <c r="L5" s="12"/>
    </row>
    <row r="6" spans="1:12" x14ac:dyDescent="0.25">
      <c r="A6" s="12">
        <v>44382</v>
      </c>
      <c r="B6" s="18">
        <v>232.03999300000001</v>
      </c>
      <c r="L6" s="12"/>
    </row>
    <row r="7" spans="1:12" x14ac:dyDescent="0.25">
      <c r="A7" s="12">
        <v>44389</v>
      </c>
      <c r="B7" s="18">
        <v>198.979996</v>
      </c>
      <c r="L7" s="12"/>
    </row>
    <row r="8" spans="1:12" x14ac:dyDescent="0.25">
      <c r="A8" s="12">
        <v>44396</v>
      </c>
      <c r="B8" s="18">
        <v>204.929993</v>
      </c>
      <c r="L8" s="12"/>
    </row>
    <row r="9" spans="1:12" x14ac:dyDescent="0.25">
      <c r="A9" s="12">
        <v>44403</v>
      </c>
      <c r="B9" s="18">
        <v>221.28999300000001</v>
      </c>
      <c r="L9" s="12"/>
    </row>
    <row r="10" spans="1:12" x14ac:dyDescent="0.25">
      <c r="A10" s="12">
        <v>44410</v>
      </c>
      <c r="B10" s="18">
        <v>226</v>
      </c>
      <c r="L10" s="12"/>
    </row>
    <row r="11" spans="1:12" x14ac:dyDescent="0.25">
      <c r="A11" s="12">
        <v>44417</v>
      </c>
      <c r="B11" s="18">
        <v>267.89999399999999</v>
      </c>
      <c r="L11" s="12"/>
    </row>
    <row r="12" spans="1:12" x14ac:dyDescent="0.25">
      <c r="A12" s="12">
        <v>44424</v>
      </c>
      <c r="B12" s="18">
        <v>352.27999899999998</v>
      </c>
      <c r="L12" s="12"/>
    </row>
    <row r="13" spans="1:12" x14ac:dyDescent="0.25">
      <c r="A13" s="12">
        <v>44431</v>
      </c>
      <c r="B13" s="18">
        <v>357.19000199999999</v>
      </c>
    </row>
    <row r="14" spans="1:12" x14ac:dyDescent="0.25">
      <c r="A14" s="12">
        <v>44438</v>
      </c>
      <c r="B14" s="18">
        <v>379.80999800000001</v>
      </c>
    </row>
    <row r="15" spans="1:12" x14ac:dyDescent="0.25">
      <c r="A15" s="12">
        <v>44445</v>
      </c>
      <c r="B15" s="18">
        <v>371.97000100000002</v>
      </c>
    </row>
    <row r="16" spans="1:12" x14ac:dyDescent="0.25">
      <c r="A16" s="12">
        <v>44452</v>
      </c>
      <c r="B16" s="18">
        <v>374.14999399999999</v>
      </c>
    </row>
    <row r="17" spans="1:2" x14ac:dyDescent="0.25">
      <c r="A17" s="12">
        <v>44459</v>
      </c>
      <c r="B17" s="18">
        <v>366.98998999999998</v>
      </c>
    </row>
    <row r="18" spans="1:2" x14ac:dyDescent="0.25">
      <c r="A18" s="12">
        <v>44466</v>
      </c>
      <c r="B18" s="18">
        <v>332.91000400000001</v>
      </c>
    </row>
    <row r="19" spans="1:2" x14ac:dyDescent="0.25">
      <c r="A19" s="12">
        <v>44473</v>
      </c>
      <c r="B19" s="18">
        <v>339.60000600000001</v>
      </c>
    </row>
    <row r="20" spans="1:2" x14ac:dyDescent="0.25">
      <c r="A20" s="12">
        <v>44480</v>
      </c>
      <c r="B20" s="18">
        <v>358.709991</v>
      </c>
    </row>
    <row r="21" spans="1:2" x14ac:dyDescent="0.25">
      <c r="A21" s="12">
        <v>44487</v>
      </c>
      <c r="B21" s="18">
        <v>379.26001000000002</v>
      </c>
    </row>
    <row r="22" spans="1:2" x14ac:dyDescent="0.25">
      <c r="A22" s="12">
        <v>44494</v>
      </c>
      <c r="B22" s="18">
        <v>371.82998700000002</v>
      </c>
    </row>
    <row r="23" spans="1:2" x14ac:dyDescent="0.25">
      <c r="A23" s="12">
        <v>44501</v>
      </c>
      <c r="B23" s="18">
        <v>350.73998999999998</v>
      </c>
    </row>
    <row r="24" spans="1:2" x14ac:dyDescent="0.25">
      <c r="A24" s="12">
        <v>44508</v>
      </c>
      <c r="B24" s="18">
        <v>363.92001299999998</v>
      </c>
    </row>
    <row r="25" spans="1:2" x14ac:dyDescent="0.25">
      <c r="A25" s="12">
        <v>44515</v>
      </c>
      <c r="B25" s="18">
        <v>371.25</v>
      </c>
    </row>
    <row r="26" spans="1:2" x14ac:dyDescent="0.25">
      <c r="A26" s="12">
        <v>44522</v>
      </c>
      <c r="B26" s="18">
        <v>339.35998499999999</v>
      </c>
    </row>
    <row r="27" spans="1:2" x14ac:dyDescent="0.25">
      <c r="A27" s="12">
        <v>44529</v>
      </c>
      <c r="B27" s="18">
        <v>275.76001000000002</v>
      </c>
    </row>
    <row r="28" spans="1:2" x14ac:dyDescent="0.25">
      <c r="A28" s="12">
        <v>44536</v>
      </c>
      <c r="B28" s="18">
        <v>307.94000199999999</v>
      </c>
    </row>
    <row r="29" spans="1:2" x14ac:dyDescent="0.25">
      <c r="A29" s="12">
        <v>44543</v>
      </c>
      <c r="B29" s="18">
        <v>292.08999599999999</v>
      </c>
    </row>
    <row r="30" spans="1:2" x14ac:dyDescent="0.25">
      <c r="A30" s="12">
        <v>44550</v>
      </c>
      <c r="B30" s="18">
        <v>304.36999500000002</v>
      </c>
    </row>
    <row r="31" spans="1:2" x14ac:dyDescent="0.25">
      <c r="A31" s="12">
        <v>44557</v>
      </c>
      <c r="B31" s="18">
        <v>308.72000100000002</v>
      </c>
    </row>
    <row r="32" spans="1:2" x14ac:dyDescent="0.25">
      <c r="A32" s="12">
        <v>44564</v>
      </c>
      <c r="B32" s="18">
        <v>237.38000500000001</v>
      </c>
    </row>
    <row r="33" spans="1:2" x14ac:dyDescent="0.25">
      <c r="A33" s="12">
        <v>44571</v>
      </c>
      <c r="B33" s="18">
        <v>215.63999899999999</v>
      </c>
    </row>
    <row r="34" spans="1:2" x14ac:dyDescent="0.25">
      <c r="A34" s="12">
        <v>44578</v>
      </c>
      <c r="B34" s="18">
        <v>198.5</v>
      </c>
    </row>
    <row r="35" spans="1:2" x14ac:dyDescent="0.25">
      <c r="A35" s="12">
        <v>44585</v>
      </c>
      <c r="B35" s="18">
        <v>188.479996</v>
      </c>
    </row>
    <row r="36" spans="1:2" x14ac:dyDescent="0.25">
      <c r="A36" s="12">
        <v>44592</v>
      </c>
      <c r="B36" s="18">
        <v>186.520004</v>
      </c>
    </row>
    <row r="37" spans="1:2" x14ac:dyDescent="0.25">
      <c r="A37" s="12">
        <v>44599</v>
      </c>
      <c r="B37" s="18">
        <v>218.91000399999999</v>
      </c>
    </row>
    <row r="38" spans="1:2" x14ac:dyDescent="0.25">
      <c r="A38" s="12">
        <v>44606</v>
      </c>
      <c r="B38" s="18">
        <v>194.759995</v>
      </c>
    </row>
    <row r="39" spans="1:2" x14ac:dyDescent="0.25">
      <c r="A39" s="12">
        <v>44613</v>
      </c>
      <c r="B39" s="18">
        <v>155.240005</v>
      </c>
    </row>
    <row r="40" spans="1:2" x14ac:dyDescent="0.25">
      <c r="A40" s="12">
        <v>44620</v>
      </c>
      <c r="B40" s="18">
        <v>135.91000399999999</v>
      </c>
    </row>
    <row r="41" spans="1:2" x14ac:dyDescent="0.25">
      <c r="A41" s="12">
        <v>44627</v>
      </c>
      <c r="B41" s="18">
        <v>122.05999799999999</v>
      </c>
    </row>
    <row r="42" spans="1:2" x14ac:dyDescent="0.25">
      <c r="A42" s="12">
        <v>44634</v>
      </c>
      <c r="B42" s="18">
        <v>170.5</v>
      </c>
    </row>
    <row r="43" spans="1:2" x14ac:dyDescent="0.25">
      <c r="A43" s="12">
        <v>44641</v>
      </c>
      <c r="B43" s="18">
        <v>150.449997</v>
      </c>
    </row>
    <row r="44" spans="1:2" x14ac:dyDescent="0.25">
      <c r="A44" s="12">
        <v>44648</v>
      </c>
      <c r="B44" s="18">
        <v>165.38999899999999</v>
      </c>
    </row>
    <row r="45" spans="1:2" x14ac:dyDescent="0.25">
      <c r="A45" s="12">
        <v>44655</v>
      </c>
      <c r="B45" s="18">
        <v>140.759995</v>
      </c>
    </row>
    <row r="46" spans="1:2" x14ac:dyDescent="0.25">
      <c r="A46" s="12">
        <v>44662</v>
      </c>
      <c r="B46" s="18">
        <v>137.16999799999999</v>
      </c>
    </row>
    <row r="47" spans="1:2" x14ac:dyDescent="0.25">
      <c r="A47" s="12">
        <v>44669</v>
      </c>
      <c r="B47" s="18">
        <v>137.63000500000001</v>
      </c>
    </row>
    <row r="48" spans="1:2" x14ac:dyDescent="0.25">
      <c r="A48" s="12">
        <v>44676</v>
      </c>
      <c r="B48" s="18">
        <v>129.39999399999999</v>
      </c>
    </row>
    <row r="49" spans="1:2" x14ac:dyDescent="0.25">
      <c r="A49" s="12">
        <v>44683</v>
      </c>
      <c r="B49" s="18">
        <v>123.550003</v>
      </c>
    </row>
    <row r="50" spans="1:2" x14ac:dyDescent="0.25">
      <c r="A50" s="12">
        <v>44690</v>
      </c>
      <c r="B50" s="18">
        <v>110.379997</v>
      </c>
    </row>
    <row r="51" spans="1:2" x14ac:dyDescent="0.25">
      <c r="A51" s="12">
        <v>44697</v>
      </c>
      <c r="B51" s="18">
        <v>114.269997</v>
      </c>
    </row>
    <row r="52" spans="1:2" x14ac:dyDescent="0.25">
      <c r="A52" s="12">
        <v>44704</v>
      </c>
      <c r="B52" s="18">
        <v>115.010002</v>
      </c>
    </row>
    <row r="53" spans="1:2" x14ac:dyDescent="0.25">
      <c r="A53" s="12">
        <v>44711</v>
      </c>
      <c r="B53" s="18">
        <v>116.089996</v>
      </c>
    </row>
    <row r="54" spans="1:2" x14ac:dyDescent="0.25">
      <c r="A54" s="12">
        <v>44718</v>
      </c>
      <c r="B54" s="18">
        <v>97.349997999999999</v>
      </c>
    </row>
    <row r="55" spans="1:2" x14ac:dyDescent="0.25">
      <c r="A55" s="12">
        <v>44725</v>
      </c>
      <c r="B55" s="18">
        <v>97.599997999999999</v>
      </c>
    </row>
    <row r="56" spans="1:2" x14ac:dyDescent="0.25">
      <c r="A56" s="12">
        <v>44732</v>
      </c>
      <c r="B56" s="18">
        <v>122.360001</v>
      </c>
    </row>
    <row r="57" spans="1:2" x14ac:dyDescent="0.25">
      <c r="A57" s="12">
        <v>44739</v>
      </c>
      <c r="B57" s="18">
        <v>108.790001</v>
      </c>
    </row>
    <row r="58" spans="1:2" x14ac:dyDescent="0.25">
      <c r="A58" s="12">
        <v>44746</v>
      </c>
      <c r="B58" s="18">
        <v>114.230003</v>
      </c>
    </row>
    <row r="59" spans="1:2" x14ac:dyDescent="0.25">
      <c r="A59" s="12">
        <v>44753</v>
      </c>
      <c r="B59" s="18">
        <v>92.309997999999993</v>
      </c>
    </row>
    <row r="60" spans="1:2" x14ac:dyDescent="0.25">
      <c r="A60" s="12">
        <v>44760</v>
      </c>
      <c r="B60" s="18">
        <v>102.760002</v>
      </c>
    </row>
    <row r="61" spans="1:2" x14ac:dyDescent="0.25">
      <c r="A61" s="12">
        <v>44767</v>
      </c>
      <c r="B61" s="18">
        <v>102.730003</v>
      </c>
    </row>
    <row r="62" spans="1:2" x14ac:dyDescent="0.25">
      <c r="A62" s="12">
        <v>44774</v>
      </c>
      <c r="B62" s="18">
        <v>127.83000199999999</v>
      </c>
    </row>
    <row r="63" spans="1:2" x14ac:dyDescent="0.25">
      <c r="A63" s="12">
        <v>44781</v>
      </c>
      <c r="B63" s="18">
        <v>137.10000600000001</v>
      </c>
    </row>
    <row r="64" spans="1:2" x14ac:dyDescent="0.25">
      <c r="A64" s="12">
        <v>44788</v>
      </c>
      <c r="B64" s="18">
        <v>126.389999</v>
      </c>
    </row>
    <row r="65" spans="1:2" x14ac:dyDescent="0.25">
      <c r="A65" s="12">
        <v>44795</v>
      </c>
      <c r="B65" s="18">
        <v>117.910004</v>
      </c>
    </row>
    <row r="66" spans="1:2" x14ac:dyDescent="0.25">
      <c r="A66" s="12">
        <v>44802</v>
      </c>
      <c r="B66" s="18">
        <v>110.800003</v>
      </c>
    </row>
    <row r="67" spans="1:2" x14ac:dyDescent="0.25">
      <c r="A67" s="12">
        <v>44809</v>
      </c>
      <c r="B67" s="18">
        <v>130.33999600000001</v>
      </c>
    </row>
    <row r="68" spans="1:2" x14ac:dyDescent="0.25">
      <c r="A68" s="12">
        <v>44816</v>
      </c>
      <c r="B68" s="18">
        <v>133.270004</v>
      </c>
    </row>
    <row r="69" spans="1:2" x14ac:dyDescent="0.25">
      <c r="A69" s="12">
        <v>44823</v>
      </c>
      <c r="B69" s="18">
        <v>119.43</v>
      </c>
    </row>
    <row r="70" spans="1:2" x14ac:dyDescent="0.25">
      <c r="A70" s="12">
        <v>44830</v>
      </c>
      <c r="B70" s="18">
        <v>113.339996</v>
      </c>
    </row>
    <row r="71" spans="1:2" x14ac:dyDescent="0.25">
      <c r="A71" s="12">
        <v>44837</v>
      </c>
      <c r="B71" s="18">
        <v>109.230003</v>
      </c>
    </row>
    <row r="72" spans="1:2" x14ac:dyDescent="0.25">
      <c r="A72" s="12">
        <v>44844</v>
      </c>
      <c r="B72" s="18">
        <v>91.489998</v>
      </c>
    </row>
    <row r="73" spans="1:2" x14ac:dyDescent="0.25">
      <c r="A73" s="12">
        <v>44851</v>
      </c>
      <c r="B73" s="18">
        <v>99.519997000000004</v>
      </c>
    </row>
    <row r="74" spans="1:2" x14ac:dyDescent="0.25">
      <c r="A74" s="12">
        <v>44858</v>
      </c>
      <c r="B74" s="18">
        <v>107.379997</v>
      </c>
    </row>
    <row r="75" spans="1:2" x14ac:dyDescent="0.25">
      <c r="A75" s="12">
        <v>44865</v>
      </c>
      <c r="B75" s="18">
        <v>80.989998</v>
      </c>
    </row>
    <row r="76" spans="1:2" x14ac:dyDescent="0.25">
      <c r="A76" s="12">
        <v>44872</v>
      </c>
      <c r="B76" s="18">
        <v>95.190002000000007</v>
      </c>
    </row>
    <row r="77" spans="1:2" x14ac:dyDescent="0.25">
      <c r="A77" s="12">
        <v>44879</v>
      </c>
      <c r="B77" s="18">
        <v>96.769997000000004</v>
      </c>
    </row>
    <row r="78" spans="1:2" x14ac:dyDescent="0.25">
      <c r="A78" s="12">
        <v>44886</v>
      </c>
      <c r="B78" s="18">
        <v>97.830001999999993</v>
      </c>
    </row>
    <row r="79" spans="1:2" x14ac:dyDescent="0.25">
      <c r="A79" s="12">
        <v>44893</v>
      </c>
      <c r="B79" s="18">
        <v>108.07</v>
      </c>
    </row>
    <row r="80" spans="1:2" x14ac:dyDescent="0.25">
      <c r="A80" s="12">
        <v>44900</v>
      </c>
      <c r="B80" s="18">
        <v>109.824997</v>
      </c>
    </row>
    <row r="81" spans="1:2" x14ac:dyDescent="0.25">
      <c r="A81" s="12">
        <v>44907</v>
      </c>
      <c r="B81" s="18">
        <v>122.639999</v>
      </c>
    </row>
    <row r="82" spans="1:2" x14ac:dyDescent="0.25">
      <c r="A82" s="12">
        <v>44914</v>
      </c>
      <c r="B82" s="18">
        <v>113.489998</v>
      </c>
    </row>
    <row r="83" spans="1:2" x14ac:dyDescent="0.25">
      <c r="A83" s="12">
        <v>44921</v>
      </c>
      <c r="B83" s="18">
        <v>122</v>
      </c>
    </row>
    <row r="84" spans="1:2" x14ac:dyDescent="0.25">
      <c r="A84" s="12">
        <v>44928</v>
      </c>
      <c r="B84" s="18">
        <v>100.5</v>
      </c>
    </row>
    <row r="85" spans="1:2" x14ac:dyDescent="0.25">
      <c r="A85" s="12">
        <v>44935</v>
      </c>
      <c r="B85" s="18">
        <v>115.949997</v>
      </c>
    </row>
    <row r="86" spans="1:2" x14ac:dyDescent="0.25">
      <c r="A86" s="12">
        <v>44942</v>
      </c>
      <c r="B86" s="18">
        <v>116.970001</v>
      </c>
    </row>
    <row r="87" spans="1:2" x14ac:dyDescent="0.25">
      <c r="A87" s="12">
        <v>44949</v>
      </c>
      <c r="B87" s="18">
        <v>129.740005</v>
      </c>
    </row>
    <row r="88" spans="1:2" x14ac:dyDescent="0.25">
      <c r="A88" s="12">
        <v>44956</v>
      </c>
      <c r="B88" s="18">
        <v>140.80999800000001</v>
      </c>
    </row>
    <row r="89" spans="1:2" x14ac:dyDescent="0.25">
      <c r="A89" s="12">
        <v>44963</v>
      </c>
      <c r="B89" s="18">
        <v>131.179993</v>
      </c>
    </row>
    <row r="90" spans="1:2" x14ac:dyDescent="0.25">
      <c r="A90" s="12">
        <v>44970</v>
      </c>
      <c r="B90" s="18">
        <v>153.11000100000001</v>
      </c>
    </row>
    <row r="91" spans="1:2" x14ac:dyDescent="0.25">
      <c r="A91" s="12">
        <v>44977</v>
      </c>
      <c r="B91" s="18">
        <v>154.699997</v>
      </c>
    </row>
    <row r="92" spans="1:2" x14ac:dyDescent="0.25">
      <c r="A92" s="12">
        <v>44984</v>
      </c>
      <c r="B92" s="18">
        <v>156.279999</v>
      </c>
    </row>
    <row r="93" spans="1:2" x14ac:dyDescent="0.25">
      <c r="A93" s="12">
        <v>44991</v>
      </c>
      <c r="B93" s="18">
        <v>129.449997</v>
      </c>
    </row>
    <row r="94" spans="1:2" x14ac:dyDescent="0.25">
      <c r="A94" s="12">
        <v>44998</v>
      </c>
      <c r="B94" s="18">
        <v>135.770004</v>
      </c>
    </row>
    <row r="95" spans="1:2" x14ac:dyDescent="0.25">
      <c r="A95" s="12">
        <v>45005</v>
      </c>
      <c r="B95" s="18">
        <v>135.78999300000001</v>
      </c>
    </row>
    <row r="96" spans="1:2" x14ac:dyDescent="0.25">
      <c r="A96" s="12">
        <v>45012</v>
      </c>
      <c r="B96" s="18">
        <v>142.75</v>
      </c>
    </row>
    <row r="97" spans="1:2" x14ac:dyDescent="0.25">
      <c r="A97" s="12">
        <v>45019</v>
      </c>
      <c r="B97" s="18">
        <v>133.86999499999999</v>
      </c>
    </row>
    <row r="98" spans="1:2" x14ac:dyDescent="0.25">
      <c r="A98" s="12">
        <v>45026</v>
      </c>
      <c r="B98" s="18">
        <v>130.91999799999999</v>
      </c>
    </row>
    <row r="99" spans="1:2" x14ac:dyDescent="0.25">
      <c r="A99" s="12">
        <v>45033</v>
      </c>
      <c r="B99" s="18">
        <v>130.320007</v>
      </c>
    </row>
    <row r="100" spans="1:2" x14ac:dyDescent="0.25">
      <c r="A100" s="12">
        <v>45040</v>
      </c>
      <c r="B100" s="18">
        <v>121.91999800000001</v>
      </c>
    </row>
    <row r="101" spans="1:2" x14ac:dyDescent="0.25">
      <c r="A101" s="12">
        <v>45047</v>
      </c>
      <c r="B101" s="18">
        <v>116.25</v>
      </c>
    </row>
    <row r="102" spans="1:2" x14ac:dyDescent="0.25">
      <c r="A102" s="12">
        <v>45054</v>
      </c>
      <c r="B102" s="18">
        <v>131.10000600000001</v>
      </c>
    </row>
    <row r="103" spans="1:2" x14ac:dyDescent="0.25">
      <c r="A103" s="12">
        <v>45061</v>
      </c>
      <c r="B103" s="18">
        <v>149.779999</v>
      </c>
    </row>
    <row r="104" spans="1:2" x14ac:dyDescent="0.25">
      <c r="A104" s="12">
        <v>45068</v>
      </c>
      <c r="B104" s="18">
        <v>167.199997</v>
      </c>
    </row>
    <row r="105" spans="1:2" x14ac:dyDescent="0.25">
      <c r="A105" s="12">
        <v>45075</v>
      </c>
      <c r="B105" s="18">
        <v>175</v>
      </c>
    </row>
    <row r="106" spans="1:2" x14ac:dyDescent="0.25">
      <c r="A106" s="12">
        <v>45082</v>
      </c>
      <c r="B106" s="18">
        <v>174.720001</v>
      </c>
    </row>
    <row r="107" spans="1:2" x14ac:dyDescent="0.25">
      <c r="A107" s="12">
        <v>45089</v>
      </c>
      <c r="B107" s="18">
        <v>178.80999800000001</v>
      </c>
    </row>
    <row r="108" spans="1:2" x14ac:dyDescent="0.25">
      <c r="A108" s="12">
        <v>45096</v>
      </c>
      <c r="B108" s="18">
        <v>169.520004</v>
      </c>
    </row>
    <row r="109" spans="1:2" x14ac:dyDescent="0.25">
      <c r="A109" s="12">
        <v>45103</v>
      </c>
      <c r="B109" s="18">
        <v>171.220001</v>
      </c>
    </row>
    <row r="110" spans="1:2" x14ac:dyDescent="0.25">
      <c r="A110" s="12">
        <v>45110</v>
      </c>
      <c r="B110" s="18">
        <v>161.86000100000001</v>
      </c>
    </row>
    <row r="111" spans="1:2" x14ac:dyDescent="0.25">
      <c r="A111" s="12">
        <v>45117</v>
      </c>
      <c r="B111" s="18">
        <v>174.55999800000001</v>
      </c>
    </row>
    <row r="112" spans="1:2" x14ac:dyDescent="0.25">
      <c r="A112" s="12">
        <v>45124</v>
      </c>
      <c r="B112" s="18">
        <v>173.220001</v>
      </c>
    </row>
    <row r="113" spans="1:2" x14ac:dyDescent="0.25">
      <c r="A113" s="12">
        <v>45131</v>
      </c>
      <c r="B113" s="18">
        <v>179.229996</v>
      </c>
    </row>
    <row r="114" spans="1:2" x14ac:dyDescent="0.25">
      <c r="A114" s="12">
        <v>45138</v>
      </c>
      <c r="B114" s="18">
        <v>160.990005</v>
      </c>
    </row>
    <row r="115" spans="1:2" x14ac:dyDescent="0.25">
      <c r="A115" s="12">
        <v>45145</v>
      </c>
      <c r="B115" s="18">
        <v>155.83999600000001</v>
      </c>
    </row>
    <row r="116" spans="1:2" x14ac:dyDescent="0.25">
      <c r="A116" s="12">
        <v>45152</v>
      </c>
      <c r="B116" s="18">
        <v>161.070007</v>
      </c>
    </row>
    <row r="117" spans="1:2" x14ac:dyDescent="0.25">
      <c r="A117" s="12">
        <v>45159</v>
      </c>
      <c r="B117" s="18">
        <v>169.19000199999999</v>
      </c>
    </row>
    <row r="118" spans="1:2" x14ac:dyDescent="0.25">
      <c r="A118" s="12">
        <v>45166</v>
      </c>
      <c r="B118" s="18">
        <v>176.58999600000001</v>
      </c>
    </row>
    <row r="119" spans="1:2" x14ac:dyDescent="0.25">
      <c r="A119" s="12">
        <v>45173</v>
      </c>
      <c r="B119" s="18">
        <v>171.199997</v>
      </c>
    </row>
    <row r="120" spans="1:2" x14ac:dyDescent="0.25">
      <c r="A120" s="12">
        <v>45180</v>
      </c>
      <c r="B120" s="18">
        <v>163.38000500000001</v>
      </c>
    </row>
    <row r="121" spans="1:2" x14ac:dyDescent="0.25">
      <c r="A121" s="12">
        <v>45187</v>
      </c>
      <c r="B121" s="18">
        <v>157</v>
      </c>
    </row>
    <row r="122" spans="1:2" x14ac:dyDescent="0.25">
      <c r="A122" s="12">
        <v>45194</v>
      </c>
      <c r="B122" s="18">
        <v>159.220001</v>
      </c>
    </row>
    <row r="123" spans="1:2" x14ac:dyDescent="0.25">
      <c r="A123" s="12">
        <v>45201</v>
      </c>
      <c r="B123" s="18">
        <v>158.61999499999999</v>
      </c>
    </row>
    <row r="124" spans="1:2" x14ac:dyDescent="0.25">
      <c r="A124" s="12">
        <v>45208</v>
      </c>
      <c r="B124" s="18">
        <v>140.08000200000001</v>
      </c>
    </row>
    <row r="125" spans="1:2" x14ac:dyDescent="0.25">
      <c r="A125" s="12">
        <v>45215</v>
      </c>
      <c r="B125" s="18">
        <v>132.009995</v>
      </c>
    </row>
    <row r="126" spans="1:2" x14ac:dyDescent="0.25">
      <c r="A126" s="12">
        <v>45222</v>
      </c>
      <c r="B126" s="18">
        <v>129.240005</v>
      </c>
    </row>
    <row r="127" spans="1:2" x14ac:dyDescent="0.25">
      <c r="A127" s="12">
        <v>45229</v>
      </c>
      <c r="B127" s="18">
        <v>131.96000699999999</v>
      </c>
    </row>
    <row r="128" spans="1:2" x14ac:dyDescent="0.25">
      <c r="A128" s="12">
        <v>45236</v>
      </c>
      <c r="B128" s="18">
        <v>140.11999499999999</v>
      </c>
    </row>
    <row r="129" spans="1:2" x14ac:dyDescent="0.25">
      <c r="A129" s="12">
        <v>45243</v>
      </c>
      <c r="B129" s="18">
        <v>169.699997</v>
      </c>
    </row>
    <row r="130" spans="1:2" x14ac:dyDescent="0.25">
      <c r="A130" s="12">
        <v>45250</v>
      </c>
      <c r="B130" s="18">
        <v>175.050003</v>
      </c>
    </row>
    <row r="131" spans="1:2" x14ac:dyDescent="0.25">
      <c r="A131" s="12">
        <v>45257</v>
      </c>
      <c r="B131" s="18">
        <v>176.36999499999999</v>
      </c>
    </row>
    <row r="132" spans="1:2" x14ac:dyDescent="0.25">
      <c r="A132" s="12">
        <v>45264</v>
      </c>
      <c r="B132" s="18">
        <v>175.029999</v>
      </c>
    </row>
    <row r="133" spans="1:2" x14ac:dyDescent="0.25">
      <c r="A133" s="12">
        <v>45271</v>
      </c>
      <c r="B133" s="18">
        <v>189.070007</v>
      </c>
    </row>
    <row r="134" spans="1:2" x14ac:dyDescent="0.25">
      <c r="A134" s="12">
        <v>45278</v>
      </c>
      <c r="B134" s="18">
        <v>189.46000699999999</v>
      </c>
    </row>
    <row r="135" spans="1:2" x14ac:dyDescent="0.25">
      <c r="A135" s="12">
        <v>45285</v>
      </c>
      <c r="B135" s="18">
        <v>187.80999800000001</v>
      </c>
    </row>
    <row r="136" spans="1:2" x14ac:dyDescent="0.25">
      <c r="A136" s="12">
        <v>45292</v>
      </c>
      <c r="B136" s="18">
        <v>176.78999300000001</v>
      </c>
    </row>
    <row r="137" spans="1:2" x14ac:dyDescent="0.25">
      <c r="A137" s="12">
        <v>45299</v>
      </c>
      <c r="B137" s="18">
        <v>190.71000699999999</v>
      </c>
    </row>
    <row r="138" spans="1:2" x14ac:dyDescent="0.25">
      <c r="A138" s="12">
        <v>45306</v>
      </c>
      <c r="B138" s="18">
        <v>195.63000500000001</v>
      </c>
    </row>
    <row r="139" spans="1:2" x14ac:dyDescent="0.25">
      <c r="A139" s="12">
        <v>45313</v>
      </c>
      <c r="B139" s="18">
        <v>208.63000500000001</v>
      </c>
    </row>
    <row r="140" spans="1:2" x14ac:dyDescent="0.25">
      <c r="A140" s="12">
        <v>45320</v>
      </c>
      <c r="B140" s="18">
        <v>214.05999800000001</v>
      </c>
    </row>
    <row r="141" spans="1:2" x14ac:dyDescent="0.25">
      <c r="A141" s="12">
        <v>45327</v>
      </c>
      <c r="B141" s="18">
        <v>235.91999799999999</v>
      </c>
    </row>
    <row r="142" spans="1:2" x14ac:dyDescent="0.25">
      <c r="A142" s="12">
        <v>45334</v>
      </c>
      <c r="B142" s="18">
        <v>225.300003</v>
      </c>
    </row>
    <row r="143" spans="1:2" x14ac:dyDescent="0.25">
      <c r="A143" s="12">
        <v>45341</v>
      </c>
      <c r="B143" s="18">
        <v>207.89999399999999</v>
      </c>
    </row>
    <row r="144" spans="1:2" x14ac:dyDescent="0.25">
      <c r="A144" s="12">
        <v>45348</v>
      </c>
      <c r="B144" s="18">
        <v>228.91999799999999</v>
      </c>
    </row>
    <row r="145" spans="1:2" x14ac:dyDescent="0.25">
      <c r="A145" s="12">
        <v>45355</v>
      </c>
      <c r="B145" s="18">
        <v>220.449997</v>
      </c>
    </row>
    <row r="146" spans="1:2" x14ac:dyDescent="0.25">
      <c r="A146" s="12">
        <v>45362</v>
      </c>
      <c r="B146" s="18">
        <v>217</v>
      </c>
    </row>
    <row r="147" spans="1:2" x14ac:dyDescent="0.25">
      <c r="A147" s="12">
        <v>45369</v>
      </c>
      <c r="B147" s="18">
        <v>228</v>
      </c>
    </row>
    <row r="148" spans="1:2" x14ac:dyDescent="0.25">
      <c r="A148" s="12">
        <v>45376</v>
      </c>
      <c r="B148" s="18">
        <v>225.86999499999999</v>
      </c>
    </row>
    <row r="149" spans="1:2" x14ac:dyDescent="0.25">
      <c r="A149" s="12">
        <v>45383</v>
      </c>
      <c r="B149" s="18">
        <v>217</v>
      </c>
    </row>
    <row r="150" spans="1:2" x14ac:dyDescent="0.25">
      <c r="A150" s="12">
        <v>45390</v>
      </c>
      <c r="B150" s="18">
        <v>215.75</v>
      </c>
    </row>
    <row r="151" spans="1:2" x14ac:dyDescent="0.25">
      <c r="A151" s="12"/>
      <c r="B151" s="18"/>
    </row>
    <row r="152" spans="1:2" x14ac:dyDescent="0.25">
      <c r="A152" s="12"/>
      <c r="B152" s="18"/>
    </row>
    <row r="153" spans="1:2" x14ac:dyDescent="0.25">
      <c r="A153" s="12"/>
      <c r="B153" s="18"/>
    </row>
    <row r="154" spans="1:2" x14ac:dyDescent="0.25">
      <c r="A154" s="12"/>
      <c r="B154" s="18"/>
    </row>
    <row r="155" spans="1:2" x14ac:dyDescent="0.25">
      <c r="A155" s="12"/>
      <c r="B155" s="18"/>
    </row>
    <row r="156" spans="1:2" x14ac:dyDescent="0.25">
      <c r="A156" s="12"/>
      <c r="B156" s="18"/>
    </row>
    <row r="157" spans="1:2" x14ac:dyDescent="0.25">
      <c r="A157" s="12"/>
      <c r="B157" s="18"/>
    </row>
    <row r="158" spans="1:2" x14ac:dyDescent="0.25">
      <c r="A158" s="12"/>
      <c r="B158" s="18"/>
    </row>
    <row r="159" spans="1:2" x14ac:dyDescent="0.25">
      <c r="A159" s="12"/>
      <c r="B159" s="18"/>
    </row>
    <row r="160" spans="1:2" x14ac:dyDescent="0.25">
      <c r="A160" s="12"/>
      <c r="B160" s="18"/>
    </row>
    <row r="161" spans="1:2" x14ac:dyDescent="0.25">
      <c r="A161" s="12"/>
      <c r="B161" s="18"/>
    </row>
    <row r="162" spans="1:2" x14ac:dyDescent="0.25">
      <c r="A162" s="12"/>
      <c r="B162" s="18"/>
    </row>
    <row r="163" spans="1:2" x14ac:dyDescent="0.25">
      <c r="A163" s="12"/>
      <c r="B163" s="18"/>
    </row>
    <row r="164" spans="1:2" x14ac:dyDescent="0.25">
      <c r="A164" s="12"/>
      <c r="B164" s="18"/>
    </row>
    <row r="165" spans="1:2" x14ac:dyDescent="0.25">
      <c r="A165" s="12"/>
      <c r="B165" s="18"/>
    </row>
    <row r="166" spans="1:2" x14ac:dyDescent="0.25">
      <c r="A166" s="12"/>
      <c r="B166" s="18"/>
    </row>
    <row r="167" spans="1:2" x14ac:dyDescent="0.25">
      <c r="A167" s="12"/>
      <c r="B167" s="18"/>
    </row>
    <row r="168" spans="1:2" x14ac:dyDescent="0.25">
      <c r="A168" s="12"/>
      <c r="B168" s="18"/>
    </row>
    <row r="169" spans="1:2" x14ac:dyDescent="0.25">
      <c r="A169" s="12"/>
      <c r="B169" s="18"/>
    </row>
    <row r="170" spans="1:2" x14ac:dyDescent="0.25">
      <c r="A170" s="12"/>
      <c r="B170" s="18"/>
    </row>
    <row r="171" spans="1:2" x14ac:dyDescent="0.25">
      <c r="A171" s="12"/>
      <c r="B171" s="18"/>
    </row>
    <row r="172" spans="1:2" x14ac:dyDescent="0.25">
      <c r="A172" s="12"/>
      <c r="B172" s="18"/>
    </row>
    <row r="173" spans="1:2" x14ac:dyDescent="0.25">
      <c r="A173" s="12"/>
      <c r="B173" s="18"/>
    </row>
    <row r="174" spans="1:2" x14ac:dyDescent="0.25">
      <c r="A174" s="12"/>
      <c r="B174" s="18"/>
    </row>
    <row r="175" spans="1:2" x14ac:dyDescent="0.25">
      <c r="A175" s="12"/>
      <c r="B175" s="18"/>
    </row>
    <row r="176" spans="1:2" x14ac:dyDescent="0.25">
      <c r="A176" s="12"/>
      <c r="B176" s="18"/>
    </row>
    <row r="177" spans="1:2" x14ac:dyDescent="0.25">
      <c r="A177" s="12"/>
      <c r="B177" s="18"/>
    </row>
    <row r="178" spans="1:2" x14ac:dyDescent="0.25">
      <c r="A178" s="12"/>
      <c r="B178" s="18"/>
    </row>
    <row r="179" spans="1:2" x14ac:dyDescent="0.25">
      <c r="A179" s="12"/>
      <c r="B179" s="18"/>
    </row>
    <row r="180" spans="1:2" x14ac:dyDescent="0.25">
      <c r="A180" s="12"/>
      <c r="B180" s="18"/>
    </row>
    <row r="181" spans="1:2" x14ac:dyDescent="0.25">
      <c r="A181" s="12"/>
      <c r="B181" s="18"/>
    </row>
    <row r="182" spans="1:2" x14ac:dyDescent="0.25">
      <c r="A182" s="12"/>
      <c r="B182" s="18"/>
    </row>
    <row r="183" spans="1:2" x14ac:dyDescent="0.25">
      <c r="A183" s="12"/>
      <c r="B183" s="18"/>
    </row>
    <row r="184" spans="1:2" x14ac:dyDescent="0.25">
      <c r="A184" s="12"/>
      <c r="B184" s="18"/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34C9-60E4-4481-A5AB-C7748C68FD5F}">
  <dimension ref="A1:M158"/>
  <sheetViews>
    <sheetView tabSelected="1" topLeftCell="A115" workbookViewId="0">
      <selection activeCell="F127" sqref="F127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69</v>
      </c>
      <c r="C1" s="1" t="s">
        <v>0</v>
      </c>
      <c r="D1" s="1" t="s">
        <v>157</v>
      </c>
      <c r="H1" s="117" t="s">
        <v>158</v>
      </c>
      <c r="I1" s="118"/>
      <c r="J1" s="118"/>
      <c r="K1" s="118"/>
      <c r="L1" s="118"/>
      <c r="M1" s="119"/>
    </row>
    <row r="2" spans="1:13" ht="15.75" thickBot="1" x14ac:dyDescent="0.3">
      <c r="B2" s="12">
        <v>45390</v>
      </c>
      <c r="C2" s="18">
        <v>215.75</v>
      </c>
      <c r="D2" s="54">
        <f>C2/C3-1</f>
        <v>-5.7603686635944173E-3</v>
      </c>
      <c r="H2" s="55"/>
      <c r="I2" s="56"/>
      <c r="J2" s="56"/>
      <c r="K2" s="56"/>
      <c r="L2" s="56"/>
      <c r="M2" s="57"/>
    </row>
    <row r="3" spans="1:13" ht="15.75" thickBot="1" x14ac:dyDescent="0.3">
      <c r="B3" s="12">
        <v>45383</v>
      </c>
      <c r="C3" s="18">
        <v>217</v>
      </c>
      <c r="D3" s="54">
        <f t="shared" ref="D3:D66" si="0">C3/C4-1</f>
        <v>-3.9270355498081888E-2</v>
      </c>
      <c r="H3" s="58" t="s">
        <v>159</v>
      </c>
      <c r="I3" s="59" t="s">
        <v>160</v>
      </c>
      <c r="J3" s="60" t="s">
        <v>161</v>
      </c>
      <c r="K3" s="61" t="s">
        <v>162</v>
      </c>
      <c r="L3" s="61" t="s">
        <v>163</v>
      </c>
      <c r="M3" s="62" t="s">
        <v>164</v>
      </c>
    </row>
    <row r="4" spans="1:13" x14ac:dyDescent="0.25">
      <c r="B4" s="12">
        <v>45376</v>
      </c>
      <c r="C4" s="18">
        <v>225.86999499999999</v>
      </c>
      <c r="D4" s="54">
        <f t="shared" si="0"/>
        <v>-9.3421271929825522E-3</v>
      </c>
      <c r="H4" s="63">
        <f>$I$19-3*$I$23</f>
        <v>-0.2981718187058584</v>
      </c>
      <c r="I4" s="64">
        <f>H4</f>
        <v>-0.2981718187058584</v>
      </c>
      <c r="J4" s="65">
        <f>COUNTIF(D:D,"&lt;="&amp;H4)</f>
        <v>0</v>
      </c>
      <c r="K4" s="65" t="str">
        <f>"Less than "&amp;TEXT(H4,"0,00%")</f>
        <v>Less than -29,82%</v>
      </c>
      <c r="L4" s="66">
        <f>J4/$I$31</f>
        <v>0</v>
      </c>
      <c r="M4" s="67">
        <f>L4</f>
        <v>0</v>
      </c>
    </row>
    <row r="5" spans="1:13" x14ac:dyDescent="0.25">
      <c r="B5" s="12">
        <v>45369</v>
      </c>
      <c r="C5" s="18">
        <v>228</v>
      </c>
      <c r="D5" s="54">
        <f t="shared" si="0"/>
        <v>5.0691244239631228E-2</v>
      </c>
      <c r="H5" s="68">
        <f>$I$19-2.4*$I$23</f>
        <v>-0.23736328166831347</v>
      </c>
      <c r="I5" s="69">
        <f>H5</f>
        <v>-0.23736328166831347</v>
      </c>
      <c r="J5" s="70">
        <f>COUNTIFS(D:D,"&lt;="&amp;H5,D:D,"&gt;"&amp;H4)</f>
        <v>1</v>
      </c>
      <c r="K5" s="71" t="str">
        <f t="shared" ref="K5:K14" si="1">TEXT(H4,"0,00%")&amp;" to "&amp;TEXT(H5,"0,00%")</f>
        <v>-29,82% to -23,74%</v>
      </c>
      <c r="L5" s="72">
        <f>J5/$I$31</f>
        <v>6.7567567567567571E-3</v>
      </c>
      <c r="M5" s="73">
        <f>M4+L5</f>
        <v>6.7567567567567571E-3</v>
      </c>
    </row>
    <row r="6" spans="1:13" x14ac:dyDescent="0.25">
      <c r="B6" s="12">
        <v>45362</v>
      </c>
      <c r="C6" s="18">
        <v>217</v>
      </c>
      <c r="D6" s="54">
        <f t="shared" si="0"/>
        <v>-1.5649793816962521E-2</v>
      </c>
      <c r="H6" s="68">
        <f>$I$19-1.8*$I$23</f>
        <v>-0.17655474463076859</v>
      </c>
      <c r="I6" s="69">
        <f t="shared" ref="I6:I14" si="2">H6</f>
        <v>-0.17655474463076859</v>
      </c>
      <c r="J6" s="70">
        <f t="shared" ref="J6:J14" si="3">COUNTIFS(D:D,"&lt;="&amp;H6,D:D,"&gt;"&amp;H5)</f>
        <v>4</v>
      </c>
      <c r="K6" s="71" t="str">
        <f t="shared" si="1"/>
        <v>-23,74% to -17,66%</v>
      </c>
      <c r="L6" s="72">
        <f t="shared" ref="L6:L15" si="4">J6/$I$31</f>
        <v>2.7027027027027029E-2</v>
      </c>
      <c r="M6" s="73">
        <f t="shared" ref="M6:M15" si="5">M5+L6</f>
        <v>3.3783783783783786E-2</v>
      </c>
    </row>
    <row r="7" spans="1:13" x14ac:dyDescent="0.25">
      <c r="B7" s="12">
        <v>45355</v>
      </c>
      <c r="C7" s="18">
        <v>220.449997</v>
      </c>
      <c r="D7" s="54">
        <f t="shared" si="0"/>
        <v>-3.6999829958062502E-2</v>
      </c>
      <c r="H7" s="68">
        <f>$I$19-1.2*$I$23</f>
        <v>-0.1157462075932237</v>
      </c>
      <c r="I7" s="69">
        <f t="shared" si="2"/>
        <v>-0.1157462075932237</v>
      </c>
      <c r="J7" s="70">
        <f t="shared" si="3"/>
        <v>9</v>
      </c>
      <c r="K7" s="71" t="str">
        <f t="shared" si="1"/>
        <v>-17,66% to -11,57%</v>
      </c>
      <c r="L7" s="72">
        <f t="shared" si="4"/>
        <v>6.0810810810810814E-2</v>
      </c>
      <c r="M7" s="73">
        <f>M6+L7</f>
        <v>9.45945945945946E-2</v>
      </c>
    </row>
    <row r="8" spans="1:13" x14ac:dyDescent="0.25">
      <c r="B8" s="12">
        <v>45348</v>
      </c>
      <c r="C8" s="18">
        <v>228.91999799999999</v>
      </c>
      <c r="D8" s="54">
        <f t="shared" si="0"/>
        <v>0.10110632326425173</v>
      </c>
      <c r="H8" s="68">
        <f>$I$19-0.6*$I$23</f>
        <v>-5.4937670555678796E-2</v>
      </c>
      <c r="I8" s="69">
        <f t="shared" si="2"/>
        <v>-5.4937670555678796E-2</v>
      </c>
      <c r="J8" s="70">
        <f t="shared" si="3"/>
        <v>22</v>
      </c>
      <c r="K8" s="71" t="str">
        <f t="shared" si="1"/>
        <v>-11,57% to -5,49%</v>
      </c>
      <c r="L8" s="72">
        <f t="shared" si="4"/>
        <v>0.14864864864864866</v>
      </c>
      <c r="M8" s="73">
        <f t="shared" si="5"/>
        <v>0.24324324324324326</v>
      </c>
    </row>
    <row r="9" spans="1:13" x14ac:dyDescent="0.25">
      <c r="B9" s="12">
        <v>45341</v>
      </c>
      <c r="C9" s="18">
        <v>207.89999399999999</v>
      </c>
      <c r="D9" s="54">
        <f t="shared" si="0"/>
        <v>-7.7230398439009362E-2</v>
      </c>
      <c r="H9" s="68">
        <f>$I$19</f>
        <v>5.8708664818660971E-3</v>
      </c>
      <c r="I9" s="69">
        <f t="shared" si="2"/>
        <v>5.8708664818660971E-3</v>
      </c>
      <c r="J9" s="70">
        <f t="shared" si="3"/>
        <v>39</v>
      </c>
      <c r="K9" s="71" t="str">
        <f t="shared" si="1"/>
        <v>-5,49% to 0,59%</v>
      </c>
      <c r="L9" s="72">
        <f t="shared" si="4"/>
        <v>0.26351351351351349</v>
      </c>
      <c r="M9" s="73">
        <f t="shared" si="5"/>
        <v>0.5067567567567568</v>
      </c>
    </row>
    <row r="10" spans="1:13" x14ac:dyDescent="0.25">
      <c r="B10" s="12">
        <v>45334</v>
      </c>
      <c r="C10" s="18">
        <v>225.300003</v>
      </c>
      <c r="D10" s="54">
        <f t="shared" si="0"/>
        <v>-4.5015238597958862E-2</v>
      </c>
      <c r="H10" s="68">
        <f>$I$19+0.6*$I$23</f>
        <v>6.6679403519410985E-2</v>
      </c>
      <c r="I10" s="69">
        <f t="shared" si="2"/>
        <v>6.6679403519410985E-2</v>
      </c>
      <c r="J10" s="70">
        <f t="shared" si="3"/>
        <v>41</v>
      </c>
      <c r="K10" s="71" t="str">
        <f t="shared" si="1"/>
        <v>0,59% to 6,67%</v>
      </c>
      <c r="L10" s="72">
        <f t="shared" si="4"/>
        <v>0.27702702702702703</v>
      </c>
      <c r="M10" s="73">
        <f t="shared" si="5"/>
        <v>0.78378378378378377</v>
      </c>
    </row>
    <row r="11" spans="1:13" x14ac:dyDescent="0.25">
      <c r="B11" s="12">
        <v>45327</v>
      </c>
      <c r="C11" s="18">
        <v>235.91999799999999</v>
      </c>
      <c r="D11" s="54">
        <f t="shared" si="0"/>
        <v>0.10212090163618504</v>
      </c>
      <c r="H11" s="68">
        <f>$I$19+1.2*$I$23</f>
        <v>0.12748794055695589</v>
      </c>
      <c r="I11" s="69">
        <f t="shared" si="2"/>
        <v>0.12748794055695589</v>
      </c>
      <c r="J11" s="70">
        <f t="shared" si="3"/>
        <v>18</v>
      </c>
      <c r="K11" s="71" t="str">
        <f t="shared" si="1"/>
        <v>6,67% to 12,75%</v>
      </c>
      <c r="L11" s="72">
        <f t="shared" si="4"/>
        <v>0.12162162162162163</v>
      </c>
      <c r="M11" s="73">
        <f t="shared" si="5"/>
        <v>0.90540540540540537</v>
      </c>
    </row>
    <row r="12" spans="1:13" x14ac:dyDescent="0.25">
      <c r="B12" s="12">
        <v>45320</v>
      </c>
      <c r="C12" s="18">
        <v>214.05999800000001</v>
      </c>
      <c r="D12" s="54">
        <f t="shared" si="0"/>
        <v>2.6026903464820395E-2</v>
      </c>
      <c r="H12" s="68">
        <f>$I$19+1.8*$I$23</f>
        <v>0.1882964775945008</v>
      </c>
      <c r="I12" s="69">
        <f t="shared" si="2"/>
        <v>0.1882964775945008</v>
      </c>
      <c r="J12" s="70">
        <f t="shared" si="3"/>
        <v>8</v>
      </c>
      <c r="K12" s="71" t="str">
        <f t="shared" si="1"/>
        <v>12,75% to 18,83%</v>
      </c>
      <c r="L12" s="72">
        <f t="shared" si="4"/>
        <v>5.4054054054054057E-2</v>
      </c>
      <c r="M12" s="73">
        <f t="shared" si="5"/>
        <v>0.95945945945945943</v>
      </c>
    </row>
    <row r="13" spans="1:13" x14ac:dyDescent="0.25">
      <c r="B13" s="12">
        <v>45313</v>
      </c>
      <c r="C13" s="18">
        <v>208.63000500000001</v>
      </c>
      <c r="D13" s="54">
        <f t="shared" si="0"/>
        <v>6.6451973969943845E-2</v>
      </c>
      <c r="H13" s="68">
        <f>$I$19+2.4*$I$23</f>
        <v>0.24910501463204568</v>
      </c>
      <c r="I13" s="69">
        <f t="shared" si="2"/>
        <v>0.24910501463204568</v>
      </c>
      <c r="J13" s="70">
        <f t="shared" si="3"/>
        <v>3</v>
      </c>
      <c r="K13" s="71" t="str">
        <f t="shared" si="1"/>
        <v>18,83% to 24,91%</v>
      </c>
      <c r="L13" s="72">
        <f t="shared" si="4"/>
        <v>2.0270270270270271E-2</v>
      </c>
      <c r="M13" s="73">
        <f t="shared" si="5"/>
        <v>0.97972972972972971</v>
      </c>
    </row>
    <row r="14" spans="1:13" x14ac:dyDescent="0.25">
      <c r="B14" s="12">
        <v>45306</v>
      </c>
      <c r="C14" s="18">
        <v>195.63000500000001</v>
      </c>
      <c r="D14" s="54">
        <f t="shared" si="0"/>
        <v>2.5798321112745937E-2</v>
      </c>
      <c r="H14" s="68">
        <f>$I$19+3*$I$23</f>
        <v>0.30991355166959056</v>
      </c>
      <c r="I14" s="69">
        <f t="shared" si="2"/>
        <v>0.30991355166959056</v>
      </c>
      <c r="J14" s="70">
        <f t="shared" si="3"/>
        <v>1</v>
      </c>
      <c r="K14" s="71" t="str">
        <f t="shared" si="1"/>
        <v>24,91% to 30,99%</v>
      </c>
      <c r="L14" s="72">
        <f t="shared" si="4"/>
        <v>6.7567567567567571E-3</v>
      </c>
      <c r="M14" s="73">
        <f t="shared" si="5"/>
        <v>0.98648648648648651</v>
      </c>
    </row>
    <row r="15" spans="1:13" ht="15.75" thickBot="1" x14ac:dyDescent="0.3">
      <c r="B15" s="12">
        <v>45299</v>
      </c>
      <c r="C15" s="18">
        <v>190.71000699999999</v>
      </c>
      <c r="D15" s="54">
        <f t="shared" si="0"/>
        <v>7.8737567459488345E-2</v>
      </c>
      <c r="H15" s="74"/>
      <c r="I15" s="75" t="s">
        <v>165</v>
      </c>
      <c r="J15" s="75">
        <f>COUNTIF(D:D,"&gt;"&amp;H14)</f>
        <v>2</v>
      </c>
      <c r="K15" s="75" t="str">
        <f>"Greater than "&amp;TEXT(H14,"0,00%")</f>
        <v>Greater than 30,99%</v>
      </c>
      <c r="L15" s="76">
        <f t="shared" si="4"/>
        <v>1.3513513513513514E-2</v>
      </c>
      <c r="M15" s="76">
        <f t="shared" si="5"/>
        <v>1</v>
      </c>
    </row>
    <row r="16" spans="1:13" ht="15.75" thickBot="1" x14ac:dyDescent="0.3">
      <c r="B16" s="12">
        <v>45292</v>
      </c>
      <c r="C16" s="18">
        <v>176.78999300000001</v>
      </c>
      <c r="D16" s="54">
        <f t="shared" si="0"/>
        <v>-5.8676349062098399E-2</v>
      </c>
      <c r="H16" s="77"/>
      <c r="M16" s="78"/>
    </row>
    <row r="17" spans="2:13" x14ac:dyDescent="0.25">
      <c r="B17" s="12">
        <v>45285</v>
      </c>
      <c r="C17" s="18">
        <v>187.80999800000001</v>
      </c>
      <c r="D17" s="54">
        <f t="shared" si="0"/>
        <v>-8.7090094956028263E-3</v>
      </c>
      <c r="H17" s="120" t="s">
        <v>166</v>
      </c>
      <c r="I17" s="121"/>
      <c r="M17" s="78"/>
    </row>
    <row r="18" spans="2:13" x14ac:dyDescent="0.25">
      <c r="B18" s="12">
        <v>45278</v>
      </c>
      <c r="C18" s="18">
        <v>189.46000699999999</v>
      </c>
      <c r="D18" s="54">
        <f t="shared" si="0"/>
        <v>2.0627280137561765E-3</v>
      </c>
      <c r="H18" s="122"/>
      <c r="I18" s="123"/>
      <c r="M18" s="78"/>
    </row>
    <row r="19" spans="2:13" x14ac:dyDescent="0.25">
      <c r="B19" s="12">
        <v>45271</v>
      </c>
      <c r="C19" s="18">
        <v>189.070007</v>
      </c>
      <c r="D19" s="54">
        <f t="shared" si="0"/>
        <v>8.0214866481259639E-2</v>
      </c>
      <c r="H19" s="79" t="s">
        <v>167</v>
      </c>
      <c r="I19" s="114">
        <f>AVERAGE(D:D)</f>
        <v>5.8708664818660971E-3</v>
      </c>
      <c r="M19" s="78"/>
    </row>
    <row r="20" spans="2:13" x14ac:dyDescent="0.25">
      <c r="B20" s="12">
        <v>45264</v>
      </c>
      <c r="C20" s="18">
        <v>175.029999</v>
      </c>
      <c r="D20" s="54">
        <f t="shared" si="0"/>
        <v>-7.5976415376095563E-3</v>
      </c>
      <c r="H20" s="79" t="s">
        <v>168</v>
      </c>
      <c r="I20" s="114">
        <f>_xlfn.STDEV.S(D:D)/SQRT(COUNT(D:D))</f>
        <v>8.330718257077244E-3</v>
      </c>
      <c r="M20" s="78"/>
    </row>
    <row r="21" spans="2:13" x14ac:dyDescent="0.25">
      <c r="B21" s="12">
        <v>45257</v>
      </c>
      <c r="C21" s="18">
        <v>176.36999499999999</v>
      </c>
      <c r="D21" s="54">
        <f t="shared" si="0"/>
        <v>7.5406568259241968E-3</v>
      </c>
      <c r="H21" s="79" t="s">
        <v>169</v>
      </c>
      <c r="I21" s="114">
        <f>MEDIAN(D:D)</f>
        <v>4.6071114441967875E-3</v>
      </c>
      <c r="M21" s="78"/>
    </row>
    <row r="22" spans="2:13" x14ac:dyDescent="0.25">
      <c r="B22" s="12">
        <v>45250</v>
      </c>
      <c r="C22" s="18">
        <v>175.050003</v>
      </c>
      <c r="D22" s="54">
        <f t="shared" si="0"/>
        <v>3.1526258659863249E-2</v>
      </c>
      <c r="H22" s="79" t="s">
        <v>170</v>
      </c>
      <c r="I22" s="114" t="e">
        <f>MODE(D:D)</f>
        <v>#N/A</v>
      </c>
      <c r="M22" s="78"/>
    </row>
    <row r="23" spans="2:13" x14ac:dyDescent="0.25">
      <c r="B23" s="12">
        <v>45243</v>
      </c>
      <c r="C23" s="18">
        <v>169.699997</v>
      </c>
      <c r="D23" s="54">
        <f t="shared" si="0"/>
        <v>0.21110478914875785</v>
      </c>
      <c r="H23" s="79" t="s">
        <v>171</v>
      </c>
      <c r="I23" s="114">
        <f>_xlfn.STDEV.S(D:D)</f>
        <v>0.10134756172924149</v>
      </c>
      <c r="M23" s="78"/>
    </row>
    <row r="24" spans="2:13" x14ac:dyDescent="0.25">
      <c r="B24" s="12">
        <v>45236</v>
      </c>
      <c r="C24" s="18">
        <v>140.11999499999999</v>
      </c>
      <c r="D24" s="54">
        <f t="shared" si="0"/>
        <v>6.1836826062005246E-2</v>
      </c>
      <c r="H24" s="79" t="s">
        <v>172</v>
      </c>
      <c r="I24" s="114">
        <f>_xlfn.VAR.S(D:D)</f>
        <v>1.0271328268462415E-2</v>
      </c>
      <c r="M24" s="78"/>
    </row>
    <row r="25" spans="2:13" x14ac:dyDescent="0.25">
      <c r="B25" s="12">
        <v>45229</v>
      </c>
      <c r="C25" s="18">
        <v>131.96000699999999</v>
      </c>
      <c r="D25" s="54">
        <f t="shared" si="0"/>
        <v>2.1046130414495101E-2</v>
      </c>
      <c r="H25" s="79" t="s">
        <v>173</v>
      </c>
      <c r="I25" s="115">
        <f>KURT(D:D)</f>
        <v>1.6054064394877656</v>
      </c>
      <c r="M25" s="78"/>
    </row>
    <row r="26" spans="2:13" x14ac:dyDescent="0.25">
      <c r="B26" s="12">
        <v>45222</v>
      </c>
      <c r="C26" s="18">
        <v>129.240005</v>
      </c>
      <c r="D26" s="54">
        <f t="shared" si="0"/>
        <v>-2.0983183886947421E-2</v>
      </c>
      <c r="H26" s="79" t="s">
        <v>174</v>
      </c>
      <c r="I26" s="115">
        <f>SKEW(D:D)</f>
        <v>0.52647641131007628</v>
      </c>
      <c r="M26" s="78"/>
    </row>
    <row r="27" spans="2:13" x14ac:dyDescent="0.25">
      <c r="B27" s="12">
        <v>45215</v>
      </c>
      <c r="C27" s="18">
        <v>132.009995</v>
      </c>
      <c r="D27" s="54">
        <f t="shared" si="0"/>
        <v>-5.7609986327670115E-2</v>
      </c>
      <c r="H27" s="79" t="s">
        <v>162</v>
      </c>
      <c r="I27" s="114">
        <f>I29-I28</f>
        <v>0.64261673853228041</v>
      </c>
      <c r="M27" s="78"/>
    </row>
    <row r="28" spans="2:13" x14ac:dyDescent="0.25">
      <c r="B28" s="12">
        <v>45208</v>
      </c>
      <c r="C28" s="18">
        <v>140.08000200000001</v>
      </c>
      <c r="D28" s="54">
        <f t="shared" si="0"/>
        <v>-0.11688307643686402</v>
      </c>
      <c r="H28" s="79" t="s">
        <v>175</v>
      </c>
      <c r="I28" s="114">
        <f>MIN(D:D)</f>
        <v>-0.24576270941784439</v>
      </c>
      <c r="M28" s="78"/>
    </row>
    <row r="29" spans="2:13" x14ac:dyDescent="0.25">
      <c r="B29" s="12">
        <v>45201</v>
      </c>
      <c r="C29" s="18">
        <v>158.61999499999999</v>
      </c>
      <c r="D29" s="54">
        <f t="shared" si="0"/>
        <v>-3.7684084677276353E-3</v>
      </c>
      <c r="H29" s="79" t="s">
        <v>176</v>
      </c>
      <c r="I29" s="114">
        <f>MAX(D:D)</f>
        <v>0.39685402911443601</v>
      </c>
      <c r="M29" s="78"/>
    </row>
    <row r="30" spans="2:13" x14ac:dyDescent="0.25">
      <c r="B30" s="12">
        <v>45194</v>
      </c>
      <c r="C30" s="18">
        <v>159.220001</v>
      </c>
      <c r="D30" s="54">
        <f t="shared" si="0"/>
        <v>1.4140133757961859E-2</v>
      </c>
      <c r="H30" s="79" t="s">
        <v>177</v>
      </c>
      <c r="I30" s="115">
        <f>SUM(D:D)</f>
        <v>0.86888823931618242</v>
      </c>
      <c r="M30" s="78"/>
    </row>
    <row r="31" spans="2:13" ht="15.75" thickBot="1" x14ac:dyDescent="0.3">
      <c r="B31" s="12">
        <v>45187</v>
      </c>
      <c r="C31" s="18">
        <v>157</v>
      </c>
      <c r="D31" s="54">
        <f t="shared" si="0"/>
        <v>-3.9050096736133688E-2</v>
      </c>
      <c r="H31" s="80" t="s">
        <v>178</v>
      </c>
      <c r="I31" s="116">
        <f>COUNT(D:D)</f>
        <v>148</v>
      </c>
      <c r="M31" s="78"/>
    </row>
    <row r="32" spans="2:13" ht="15.75" thickBot="1" x14ac:dyDescent="0.3">
      <c r="B32" s="12">
        <v>45180</v>
      </c>
      <c r="C32" s="18">
        <v>163.38000500000001</v>
      </c>
      <c r="D32" s="54">
        <f t="shared" si="0"/>
        <v>-4.5677524164909777E-2</v>
      </c>
      <c r="H32" s="81"/>
      <c r="M32" s="78"/>
    </row>
    <row r="33" spans="2:13" x14ac:dyDescent="0.25">
      <c r="B33" s="12">
        <v>45173</v>
      </c>
      <c r="C33" s="18">
        <v>171.199997</v>
      </c>
      <c r="D33" s="54">
        <f t="shared" si="0"/>
        <v>-3.0522674681979223E-2</v>
      </c>
      <c r="H33" s="82"/>
      <c r="I33" s="83" t="s">
        <v>179</v>
      </c>
      <c r="J33" s="83" t="s">
        <v>178</v>
      </c>
      <c r="K33" s="83" t="s">
        <v>180</v>
      </c>
      <c r="L33" s="84" t="s">
        <v>181</v>
      </c>
      <c r="M33" s="78"/>
    </row>
    <row r="34" spans="2:13" x14ac:dyDescent="0.25">
      <c r="B34" s="12">
        <v>45166</v>
      </c>
      <c r="C34" s="18">
        <v>176.58999600000001</v>
      </c>
      <c r="D34" s="54">
        <f t="shared" si="0"/>
        <v>4.3737773583098827E-2</v>
      </c>
      <c r="H34" s="85" t="s">
        <v>182</v>
      </c>
      <c r="I34" s="72">
        <f>AVERAGEIF(D:D,"&gt;0")</f>
        <v>7.556312313711451E-2</v>
      </c>
      <c r="J34" s="70">
        <f>COUNTIF(D:D,"&gt;0")</f>
        <v>78</v>
      </c>
      <c r="K34" s="72">
        <f>J34/$I$31</f>
        <v>0.52702702702702697</v>
      </c>
      <c r="L34" s="73">
        <f>K34*I34</f>
        <v>3.9823808139830615E-2</v>
      </c>
      <c r="M34" s="78"/>
    </row>
    <row r="35" spans="2:13" x14ac:dyDescent="0.25">
      <c r="B35" s="12">
        <v>45159</v>
      </c>
      <c r="C35" s="18">
        <v>169.19000199999999</v>
      </c>
      <c r="D35" s="54">
        <f t="shared" si="0"/>
        <v>5.0412830738872483E-2</v>
      </c>
      <c r="H35" s="85" t="s">
        <v>183</v>
      </c>
      <c r="I35" s="72">
        <f>AVERAGEIF(D:D,"&lt;0")</f>
        <v>-7.178621950541067E-2</v>
      </c>
      <c r="J35" s="70">
        <f>COUNTIF(D:D,"&lt;0")</f>
        <v>70</v>
      </c>
      <c r="K35" s="72">
        <f>J35/$I$31</f>
        <v>0.47297297297297297</v>
      </c>
      <c r="L35" s="73">
        <f t="shared" ref="L35:L36" si="6">K35*I35</f>
        <v>-3.3952941657964503E-2</v>
      </c>
      <c r="M35" s="78"/>
    </row>
    <row r="36" spans="2:13" ht="15.75" thickBot="1" x14ac:dyDescent="0.3">
      <c r="B36" s="12">
        <v>45152</v>
      </c>
      <c r="C36" s="18">
        <v>161.070007</v>
      </c>
      <c r="D36" s="54">
        <f t="shared" si="0"/>
        <v>3.3560133048258001E-2</v>
      </c>
      <c r="H36" s="86" t="s">
        <v>184</v>
      </c>
      <c r="I36" s="75">
        <v>0</v>
      </c>
      <c r="J36" s="75">
        <f>COUNTIF(D:D,"0")</f>
        <v>0</v>
      </c>
      <c r="K36" s="87">
        <f>J36/$I$31</f>
        <v>0</v>
      </c>
      <c r="L36" s="76">
        <f t="shared" si="6"/>
        <v>0</v>
      </c>
      <c r="M36" s="78"/>
    </row>
    <row r="37" spans="2:13" ht="15.75" thickBot="1" x14ac:dyDescent="0.3">
      <c r="B37" s="12">
        <v>45145</v>
      </c>
      <c r="C37" s="18">
        <v>155.83999600000001</v>
      </c>
      <c r="D37" s="54">
        <f t="shared" si="0"/>
        <v>-3.1989619479793063E-2</v>
      </c>
      <c r="H37" s="81"/>
      <c r="I37" s="88"/>
      <c r="J37" s="88"/>
      <c r="K37" s="88"/>
      <c r="L37" s="88"/>
      <c r="M37" s="78"/>
    </row>
    <row r="38" spans="2:13" x14ac:dyDescent="0.25">
      <c r="B38" s="12">
        <v>45138</v>
      </c>
      <c r="C38" s="18">
        <v>160.990005</v>
      </c>
      <c r="D38" s="54">
        <f t="shared" si="0"/>
        <v>-0.10176862917521912</v>
      </c>
      <c r="H38" s="63" t="s">
        <v>185</v>
      </c>
      <c r="I38" s="83" t="s">
        <v>186</v>
      </c>
      <c r="J38" s="83" t="s">
        <v>187</v>
      </c>
      <c r="K38" s="83" t="s">
        <v>188</v>
      </c>
      <c r="L38" s="83" t="s">
        <v>189</v>
      </c>
      <c r="M38" s="84" t="s">
        <v>190</v>
      </c>
    </row>
    <row r="39" spans="2:13" x14ac:dyDescent="0.25">
      <c r="B39" s="12">
        <v>45131</v>
      </c>
      <c r="C39" s="18">
        <v>179.229996</v>
      </c>
      <c r="D39" s="54">
        <f t="shared" si="0"/>
        <v>3.4695733548691043E-2</v>
      </c>
      <c r="H39" s="89">
        <v>1</v>
      </c>
      <c r="I39" s="72">
        <f>$I$19+($H39*$I$23)</f>
        <v>0.10721842821110758</v>
      </c>
      <c r="J39" s="72">
        <f>$I$19-($H39*$I$23)</f>
        <v>-9.5476695247375398E-2</v>
      </c>
      <c r="K39" s="70">
        <f>COUNTIFS(D:D,"&lt;"&amp;I39,D:D,"&gt;"&amp;J39)</f>
        <v>109</v>
      </c>
      <c r="L39" s="72">
        <f>K39/$I$31</f>
        <v>0.73648648648648651</v>
      </c>
      <c r="M39" s="73">
        <v>0.68269999999999997</v>
      </c>
    </row>
    <row r="40" spans="2:13" x14ac:dyDescent="0.25">
      <c r="B40" s="12">
        <v>45124</v>
      </c>
      <c r="C40" s="18">
        <v>173.220001</v>
      </c>
      <c r="D40" s="54">
        <f t="shared" si="0"/>
        <v>-7.676426531581515E-3</v>
      </c>
      <c r="H40" s="89">
        <v>2</v>
      </c>
      <c r="I40" s="72">
        <f>$I$19+($H40*$I$23)</f>
        <v>0.20856598994034908</v>
      </c>
      <c r="J40" s="72">
        <f>$I$19-($H40*$I$23)</f>
        <v>-0.19682425697661687</v>
      </c>
      <c r="K40" s="70">
        <f>COUNTIFS(D:D,"&lt;"&amp;I40,D:D,"&gt;"&amp;J40)</f>
        <v>139</v>
      </c>
      <c r="L40" s="72">
        <f>K40/$I$31</f>
        <v>0.93918918918918914</v>
      </c>
      <c r="M40" s="73">
        <v>0.95450000000000002</v>
      </c>
    </row>
    <row r="41" spans="2:13" x14ac:dyDescent="0.25">
      <c r="B41" s="12">
        <v>45117</v>
      </c>
      <c r="C41" s="18">
        <v>174.55999800000001</v>
      </c>
      <c r="D41" s="54">
        <f t="shared" si="0"/>
        <v>7.8462850126882255E-2</v>
      </c>
      <c r="H41" s="89">
        <v>3</v>
      </c>
      <c r="I41" s="72">
        <f>$I$19+($H41*$I$23)</f>
        <v>0.30991355166959056</v>
      </c>
      <c r="J41" s="72">
        <f>$I$19-($H41*$I$23)</f>
        <v>-0.2981718187058584</v>
      </c>
      <c r="K41" s="70">
        <f>COUNTIFS(D:D,"&lt;"&amp;I41,D:D,"&gt;"&amp;J41)</f>
        <v>146</v>
      </c>
      <c r="L41" s="72">
        <f>K41/$I$31</f>
        <v>0.98648648648648651</v>
      </c>
      <c r="M41" s="90">
        <v>0.99729999999999996</v>
      </c>
    </row>
    <row r="42" spans="2:13" ht="15.75" thickBot="1" x14ac:dyDescent="0.3">
      <c r="B42" s="12">
        <v>45110</v>
      </c>
      <c r="C42" s="18">
        <v>161.86000100000001</v>
      </c>
      <c r="D42" s="54">
        <f t="shared" si="0"/>
        <v>-5.4666510602344842E-2</v>
      </c>
      <c r="H42" s="68"/>
      <c r="M42" s="90"/>
    </row>
    <row r="43" spans="2:13" ht="15.75" thickBot="1" x14ac:dyDescent="0.3">
      <c r="B43" s="12">
        <v>45103</v>
      </c>
      <c r="C43" s="18">
        <v>171.220001</v>
      </c>
      <c r="D43" s="54">
        <f t="shared" si="0"/>
        <v>1.0028297309384149E-2</v>
      </c>
      <c r="H43" s="124" t="s">
        <v>191</v>
      </c>
      <c r="I43" s="125"/>
      <c r="J43" s="125"/>
      <c r="K43" s="125"/>
      <c r="L43" s="125"/>
      <c r="M43" s="126"/>
    </row>
    <row r="44" spans="2:13" x14ac:dyDescent="0.25">
      <c r="B44" s="12">
        <v>45096</v>
      </c>
      <c r="C44" s="18">
        <v>169.520004</v>
      </c>
      <c r="D44" s="54">
        <f t="shared" si="0"/>
        <v>-5.1954555695481908E-2</v>
      </c>
      <c r="H44" s="91">
        <v>0.01</v>
      </c>
      <c r="I44" s="92">
        <f t="shared" ref="I44:I58" si="7">_xlfn.PERCENTILE.INC(D:D,H44)</f>
        <v>-0.21784477027529719</v>
      </c>
      <c r="J44" s="93">
        <v>0.2</v>
      </c>
      <c r="K44" s="92">
        <f t="shared" ref="K44:K56" si="8">_xlfn.PERCENTILE.INC(D:D,J44)</f>
        <v>-6.3556748515304018E-2</v>
      </c>
      <c r="L44" s="93">
        <v>0.85</v>
      </c>
      <c r="M44" s="94">
        <f t="shared" ref="M44:M58" si="9">_xlfn.PERCENTILE.INC(D:D,L44)</f>
        <v>9.8725460847149477E-2</v>
      </c>
    </row>
    <row r="45" spans="2:13" x14ac:dyDescent="0.25">
      <c r="B45" s="12">
        <v>45089</v>
      </c>
      <c r="C45" s="18">
        <v>178.80999800000001</v>
      </c>
      <c r="D45" s="54">
        <f t="shared" si="0"/>
        <v>2.3408865479573882E-2</v>
      </c>
      <c r="H45" s="95">
        <v>0.02</v>
      </c>
      <c r="I45" s="96">
        <f t="shared" si="7"/>
        <v>-0.19255495345446894</v>
      </c>
      <c r="J45" s="97">
        <v>0.25</v>
      </c>
      <c r="K45" s="96">
        <f t="shared" si="8"/>
        <v>-5.2632544422197641E-2</v>
      </c>
      <c r="L45" s="97">
        <v>0.86</v>
      </c>
      <c r="M45" s="98">
        <f t="shared" si="9"/>
        <v>0.10153244618046373</v>
      </c>
    </row>
    <row r="46" spans="2:13" x14ac:dyDescent="0.25">
      <c r="B46" s="12">
        <v>45082</v>
      </c>
      <c r="C46" s="18">
        <v>174.720001</v>
      </c>
      <c r="D46" s="54">
        <f t="shared" si="0"/>
        <v>-1.5999942857143346E-3</v>
      </c>
      <c r="H46" s="95">
        <v>0.03</v>
      </c>
      <c r="I46" s="96">
        <f t="shared" si="7"/>
        <v>-0.1828269027824852</v>
      </c>
      <c r="J46" s="97">
        <v>0.3</v>
      </c>
      <c r="K46" s="96">
        <f t="shared" si="8"/>
        <v>-4.4440750287971155E-2</v>
      </c>
      <c r="L46" s="97">
        <v>0.87</v>
      </c>
      <c r="M46" s="98">
        <f t="shared" si="9"/>
        <v>0.10439079722439422</v>
      </c>
    </row>
    <row r="47" spans="2:13" x14ac:dyDescent="0.25">
      <c r="B47" s="12">
        <v>45075</v>
      </c>
      <c r="C47" s="18">
        <v>175</v>
      </c>
      <c r="D47" s="54">
        <f t="shared" si="0"/>
        <v>4.6650736482967803E-2</v>
      </c>
      <c r="H47" s="95">
        <v>0.04</v>
      </c>
      <c r="I47" s="96">
        <f t="shared" si="7"/>
        <v>-0.17222510632195803</v>
      </c>
      <c r="J47" s="97">
        <v>0.35</v>
      </c>
      <c r="K47" s="96">
        <f t="shared" si="8"/>
        <v>-2.3943738369986443E-2</v>
      </c>
      <c r="L47" s="97">
        <v>0.88</v>
      </c>
      <c r="M47" s="98">
        <f t="shared" si="9"/>
        <v>0.11062492599186458</v>
      </c>
    </row>
    <row r="48" spans="2:13" x14ac:dyDescent="0.25">
      <c r="B48" s="12">
        <v>45068</v>
      </c>
      <c r="C48" s="18">
        <v>167.199997</v>
      </c>
      <c r="D48" s="54">
        <f t="shared" si="0"/>
        <v>0.11630389982844092</v>
      </c>
      <c r="H48" s="95">
        <v>0.05</v>
      </c>
      <c r="I48" s="96">
        <f t="shared" si="7"/>
        <v>-0.16206552696269527</v>
      </c>
      <c r="J48" s="97">
        <v>0.4</v>
      </c>
      <c r="K48" s="96">
        <f t="shared" si="8"/>
        <v>-1.1021736869965534E-2</v>
      </c>
      <c r="L48" s="97">
        <v>0.89</v>
      </c>
      <c r="M48" s="98">
        <f t="shared" si="9"/>
        <v>0.11577718018432995</v>
      </c>
    </row>
    <row r="49" spans="2:13" x14ac:dyDescent="0.25">
      <c r="B49" s="12">
        <v>45061</v>
      </c>
      <c r="C49" s="18">
        <v>149.779999</v>
      </c>
      <c r="D49" s="54">
        <f t="shared" si="0"/>
        <v>0.14248659149565568</v>
      </c>
      <c r="H49" s="95">
        <v>0.06</v>
      </c>
      <c r="I49" s="96">
        <f t="shared" si="7"/>
        <v>-0.1511717856793508</v>
      </c>
      <c r="J49" s="97">
        <v>0.45</v>
      </c>
      <c r="K49" s="96">
        <f t="shared" si="8"/>
        <v>-3.443146340425628E-3</v>
      </c>
      <c r="L49" s="97">
        <v>0.9</v>
      </c>
      <c r="M49" s="98">
        <f t="shared" si="9"/>
        <v>0.11668865359380462</v>
      </c>
    </row>
    <row r="50" spans="2:13" x14ac:dyDescent="0.25">
      <c r="B50" s="12">
        <v>45054</v>
      </c>
      <c r="C50" s="18">
        <v>131.10000600000001</v>
      </c>
      <c r="D50" s="54">
        <f t="shared" si="0"/>
        <v>0.1277419870967742</v>
      </c>
      <c r="H50" s="95">
        <v>7.0000000000000007E-2</v>
      </c>
      <c r="I50" s="96">
        <f t="shared" si="7"/>
        <v>-0.13726744797589935</v>
      </c>
      <c r="J50" s="97">
        <v>0.5</v>
      </c>
      <c r="K50" s="96">
        <f t="shared" si="8"/>
        <v>4.6071114441967875E-3</v>
      </c>
      <c r="L50" s="97">
        <v>0.91</v>
      </c>
      <c r="M50" s="98">
        <f t="shared" si="9"/>
        <v>0.12520132822088414</v>
      </c>
    </row>
    <row r="51" spans="2:13" x14ac:dyDescent="0.25">
      <c r="B51" s="12">
        <v>45047</v>
      </c>
      <c r="C51" s="18">
        <v>116.25</v>
      </c>
      <c r="D51" s="54">
        <f t="shared" si="0"/>
        <v>-4.6505889870503525E-2</v>
      </c>
      <c r="H51" s="95">
        <v>0.08</v>
      </c>
      <c r="I51" s="96">
        <f t="shared" si="7"/>
        <v>-0.11925649847595918</v>
      </c>
      <c r="J51" s="97">
        <v>0.55000000000000004</v>
      </c>
      <c r="K51" s="96">
        <f t="shared" si="8"/>
        <v>1.0358964252821925E-2</v>
      </c>
      <c r="L51" s="97">
        <v>0.92</v>
      </c>
      <c r="M51" s="98">
        <f t="shared" si="9"/>
        <v>0.14518532476057899</v>
      </c>
    </row>
    <row r="52" spans="2:13" x14ac:dyDescent="0.25">
      <c r="B52" s="12">
        <v>45040</v>
      </c>
      <c r="C52" s="18">
        <v>121.91999800000001</v>
      </c>
      <c r="D52" s="54">
        <f t="shared" si="0"/>
        <v>-6.4456787513831215E-2</v>
      </c>
      <c r="H52" s="95">
        <v>0.09</v>
      </c>
      <c r="I52" s="96">
        <f t="shared" si="7"/>
        <v>-0.11550748744491487</v>
      </c>
      <c r="J52" s="97">
        <v>0.6</v>
      </c>
      <c r="K52" s="96">
        <f t="shared" si="8"/>
        <v>1.7297768861836947E-2</v>
      </c>
      <c r="L52" s="97">
        <v>0.93</v>
      </c>
      <c r="M52" s="98">
        <f t="shared" si="9"/>
        <v>0.1632762912237698</v>
      </c>
    </row>
    <row r="53" spans="2:13" x14ac:dyDescent="0.25">
      <c r="B53" s="12">
        <v>45033</v>
      </c>
      <c r="C53" s="18">
        <v>130.320007</v>
      </c>
      <c r="D53" s="54">
        <f t="shared" si="0"/>
        <v>-4.5828827464540201E-3</v>
      </c>
      <c r="H53" s="95">
        <v>0.1</v>
      </c>
      <c r="I53" s="96">
        <f t="shared" si="7"/>
        <v>-0.11049422030135157</v>
      </c>
      <c r="J53" s="97">
        <v>0.65</v>
      </c>
      <c r="K53" s="96">
        <f t="shared" si="8"/>
        <v>2.5924041406386888E-2</v>
      </c>
      <c r="L53" s="97">
        <v>0.94</v>
      </c>
      <c r="M53" s="98">
        <f t="shared" si="9"/>
        <v>0.17395598424147868</v>
      </c>
    </row>
    <row r="54" spans="2:13" x14ac:dyDescent="0.25">
      <c r="B54" s="12">
        <v>45026</v>
      </c>
      <c r="C54" s="18">
        <v>130.91999799999999</v>
      </c>
      <c r="D54" s="54">
        <f t="shared" si="0"/>
        <v>-2.2036282290142761E-2</v>
      </c>
      <c r="H54" s="95">
        <v>0.11</v>
      </c>
      <c r="I54" s="96">
        <f t="shared" si="7"/>
        <v>-0.10612953985602994</v>
      </c>
      <c r="J54" s="97">
        <v>0.7</v>
      </c>
      <c r="K54" s="96">
        <f t="shared" si="8"/>
        <v>4.1595426167669584E-2</v>
      </c>
      <c r="L54" s="97">
        <v>0.95</v>
      </c>
      <c r="M54" s="98">
        <f t="shared" si="9"/>
        <v>0.17599553922315261</v>
      </c>
    </row>
    <row r="55" spans="2:13" x14ac:dyDescent="0.25">
      <c r="B55" s="12">
        <v>45019</v>
      </c>
      <c r="C55" s="18">
        <v>133.86999499999999</v>
      </c>
      <c r="D55" s="54">
        <f t="shared" si="0"/>
        <v>-6.2206690017513222E-2</v>
      </c>
      <c r="H55" s="95">
        <v>0.12</v>
      </c>
      <c r="I55" s="96">
        <f t="shared" si="7"/>
        <v>-0.10260542489060633</v>
      </c>
      <c r="J55" s="97">
        <v>0.75</v>
      </c>
      <c r="K55" s="96">
        <f t="shared" si="8"/>
        <v>5.2509762021014206E-2</v>
      </c>
      <c r="L55" s="97">
        <v>0.96</v>
      </c>
      <c r="M55" s="98">
        <f t="shared" si="9"/>
        <v>0.18848299381289527</v>
      </c>
    </row>
    <row r="56" spans="2:13" x14ac:dyDescent="0.25">
      <c r="B56" s="12">
        <v>45012</v>
      </c>
      <c r="C56" s="18">
        <v>142.75</v>
      </c>
      <c r="D56" s="54">
        <f t="shared" si="0"/>
        <v>5.1255669480740007E-2</v>
      </c>
      <c r="H56" s="95">
        <v>0.13</v>
      </c>
      <c r="I56" s="96">
        <f t="shared" si="7"/>
        <v>-0.10078906828211134</v>
      </c>
      <c r="J56" s="97">
        <v>0.8</v>
      </c>
      <c r="K56" s="96">
        <f t="shared" si="8"/>
        <v>7.7071549709468667E-2</v>
      </c>
      <c r="L56" s="97">
        <v>0.97</v>
      </c>
      <c r="M56" s="98">
        <f t="shared" si="9"/>
        <v>0.22118926643658904</v>
      </c>
    </row>
    <row r="57" spans="2:13" x14ac:dyDescent="0.25">
      <c r="B57" s="12">
        <v>45005</v>
      </c>
      <c r="C57" s="18">
        <v>135.78999300000001</v>
      </c>
      <c r="D57" s="54">
        <f t="shared" si="0"/>
        <v>1.4722692355539913E-4</v>
      </c>
      <c r="H57" s="95">
        <v>0.14000000000000001</v>
      </c>
      <c r="I57" s="96">
        <f t="shared" si="7"/>
        <v>-9.2120903297031861E-2</v>
      </c>
      <c r="J57" s="97"/>
      <c r="K57" s="96"/>
      <c r="L57" s="97">
        <v>0.98</v>
      </c>
      <c r="M57" s="98">
        <f t="shared" si="9"/>
        <v>0.2448913065352154</v>
      </c>
    </row>
    <row r="58" spans="2:13" ht="15.75" thickBot="1" x14ac:dyDescent="0.3">
      <c r="B58" s="12">
        <v>44998</v>
      </c>
      <c r="C58" s="18">
        <v>135.770004</v>
      </c>
      <c r="D58" s="54">
        <f t="shared" si="0"/>
        <v>4.882199417895694E-2</v>
      </c>
      <c r="H58" s="99">
        <v>0.15</v>
      </c>
      <c r="I58" s="100">
        <f t="shared" si="7"/>
        <v>-8.5578294860844034E-2</v>
      </c>
      <c r="J58" s="101"/>
      <c r="K58" s="102"/>
      <c r="L58" s="103">
        <v>0.99</v>
      </c>
      <c r="M58" s="104">
        <f t="shared" si="9"/>
        <v>0.28616682110175595</v>
      </c>
    </row>
    <row r="59" spans="2:13" ht="15.75" thickBot="1" x14ac:dyDescent="0.3">
      <c r="B59" s="12">
        <v>44991</v>
      </c>
      <c r="C59" s="18">
        <v>129.449997</v>
      </c>
      <c r="D59" s="54">
        <f t="shared" si="0"/>
        <v>-0.17167905152085394</v>
      </c>
    </row>
    <row r="60" spans="2:13" x14ac:dyDescent="0.25">
      <c r="B60" s="12">
        <v>44984</v>
      </c>
      <c r="C60" s="18">
        <v>156.279999</v>
      </c>
      <c r="D60" s="54">
        <f t="shared" si="0"/>
        <v>1.0213329221977929E-2</v>
      </c>
      <c r="H60" s="105" t="s">
        <v>192</v>
      </c>
      <c r="I60" s="106">
        <v>-0.08</v>
      </c>
    </row>
    <row r="61" spans="2:13" ht="15.75" thickBot="1" x14ac:dyDescent="0.3">
      <c r="B61" s="12">
        <v>44977</v>
      </c>
      <c r="C61" s="18">
        <v>154.699997</v>
      </c>
      <c r="D61" s="54">
        <f t="shared" si="0"/>
        <v>1.0384664552382628E-2</v>
      </c>
      <c r="H61" s="107" t="s">
        <v>193</v>
      </c>
      <c r="I61" s="108">
        <v>-0.24</v>
      </c>
    </row>
    <row r="62" spans="2:13" ht="15.75" thickBot="1" x14ac:dyDescent="0.3">
      <c r="B62" s="12">
        <v>44970</v>
      </c>
      <c r="C62" s="18">
        <v>153.11000100000001</v>
      </c>
      <c r="D62" s="54">
        <f t="shared" si="0"/>
        <v>0.16717494412429201</v>
      </c>
      <c r="H62" s="109"/>
    </row>
    <row r="63" spans="2:13" x14ac:dyDescent="0.25">
      <c r="B63" s="12">
        <v>44963</v>
      </c>
      <c r="C63" s="18">
        <v>131.179993</v>
      </c>
      <c r="D63" s="54">
        <f t="shared" si="0"/>
        <v>-6.8390065597472738E-2</v>
      </c>
      <c r="H63" s="105" t="s">
        <v>194</v>
      </c>
      <c r="I63" s="110">
        <v>200</v>
      </c>
    </row>
    <row r="64" spans="2:13" x14ac:dyDescent="0.25">
      <c r="B64" s="12">
        <v>44956</v>
      </c>
      <c r="C64" s="18">
        <v>140.80999800000001</v>
      </c>
      <c r="D64" s="54">
        <f t="shared" si="0"/>
        <v>8.5324437901786787E-2</v>
      </c>
      <c r="H64" s="111" t="s">
        <v>195</v>
      </c>
      <c r="I64" s="112">
        <f>I63*(1-I60)</f>
        <v>216</v>
      </c>
    </row>
    <row r="65" spans="2:9" ht="15.75" thickBot="1" x14ac:dyDescent="0.3">
      <c r="B65" s="12">
        <v>44949</v>
      </c>
      <c r="C65" s="18">
        <v>129.740005</v>
      </c>
      <c r="D65" s="54">
        <f t="shared" si="0"/>
        <v>0.1091733255606282</v>
      </c>
      <c r="H65" s="107" t="s">
        <v>196</v>
      </c>
      <c r="I65" s="113">
        <f>I63*(1+I61)</f>
        <v>152</v>
      </c>
    </row>
    <row r="66" spans="2:9" x14ac:dyDescent="0.25">
      <c r="B66" s="12">
        <v>44942</v>
      </c>
      <c r="C66" s="18">
        <v>116.970001</v>
      </c>
      <c r="D66" s="54">
        <f t="shared" si="0"/>
        <v>8.7969299386871924E-3</v>
      </c>
    </row>
    <row r="67" spans="2:9" x14ac:dyDescent="0.25">
      <c r="B67" s="12">
        <v>44935</v>
      </c>
      <c r="C67" s="18">
        <v>115.949997</v>
      </c>
      <c r="D67" s="54">
        <f t="shared" ref="D67:D130" si="10">C67/C68-1</f>
        <v>0.15373131343283575</v>
      </c>
    </row>
    <row r="68" spans="2:9" x14ac:dyDescent="0.25">
      <c r="B68" s="12">
        <v>44928</v>
      </c>
      <c r="C68" s="18">
        <v>100.5</v>
      </c>
      <c r="D68" s="54">
        <f t="shared" si="10"/>
        <v>-0.17622950819672134</v>
      </c>
    </row>
    <row r="69" spans="2:9" x14ac:dyDescent="0.25">
      <c r="B69" s="12">
        <v>44921</v>
      </c>
      <c r="C69" s="18">
        <v>122</v>
      </c>
      <c r="D69" s="54">
        <f t="shared" si="10"/>
        <v>7.4984599083348202E-2</v>
      </c>
    </row>
    <row r="70" spans="2:9" x14ac:dyDescent="0.25">
      <c r="B70" s="12">
        <v>44914</v>
      </c>
      <c r="C70" s="18">
        <v>113.489998</v>
      </c>
      <c r="D70" s="54">
        <f t="shared" si="10"/>
        <v>-7.4608619329815884E-2</v>
      </c>
    </row>
    <row r="71" spans="2:9" x14ac:dyDescent="0.25">
      <c r="B71" s="12">
        <v>44907</v>
      </c>
      <c r="C71" s="18">
        <v>122.639999</v>
      </c>
      <c r="D71" s="54">
        <f t="shared" si="10"/>
        <v>0.11668565763766892</v>
      </c>
    </row>
    <row r="72" spans="2:9" x14ac:dyDescent="0.25">
      <c r="B72" s="12">
        <v>44900</v>
      </c>
      <c r="C72" s="18">
        <v>109.824997</v>
      </c>
      <c r="D72" s="54">
        <f t="shared" si="10"/>
        <v>1.6239446654945811E-2</v>
      </c>
    </row>
    <row r="73" spans="2:9" x14ac:dyDescent="0.25">
      <c r="B73" s="12">
        <v>44893</v>
      </c>
      <c r="C73" s="18">
        <v>108.07</v>
      </c>
      <c r="D73" s="54">
        <f t="shared" si="10"/>
        <v>0.10467134611731899</v>
      </c>
    </row>
    <row r="74" spans="2:9" x14ac:dyDescent="0.25">
      <c r="B74" s="12">
        <v>44886</v>
      </c>
      <c r="C74" s="18">
        <v>97.830001999999993</v>
      </c>
      <c r="D74" s="54">
        <f t="shared" si="10"/>
        <v>1.0953860006836624E-2</v>
      </c>
    </row>
    <row r="75" spans="2:9" x14ac:dyDescent="0.25">
      <c r="B75" s="12">
        <v>44879</v>
      </c>
      <c r="C75" s="18">
        <v>96.769997000000004</v>
      </c>
      <c r="D75" s="54">
        <f t="shared" si="10"/>
        <v>1.6598329307735415E-2</v>
      </c>
    </row>
    <row r="76" spans="2:9" x14ac:dyDescent="0.25">
      <c r="B76" s="12">
        <v>44872</v>
      </c>
      <c r="C76" s="18">
        <v>95.190002000000007</v>
      </c>
      <c r="D76" s="54">
        <f t="shared" si="10"/>
        <v>0.17533034140833048</v>
      </c>
    </row>
    <row r="77" spans="2:9" x14ac:dyDescent="0.25">
      <c r="B77" s="12">
        <v>44865</v>
      </c>
      <c r="C77" s="18">
        <v>80.989998</v>
      </c>
      <c r="D77" s="54">
        <f t="shared" si="10"/>
        <v>-0.24576270941784439</v>
      </c>
    </row>
    <row r="78" spans="2:9" x14ac:dyDescent="0.25">
      <c r="B78" s="12">
        <v>44858</v>
      </c>
      <c r="C78" s="18">
        <v>107.379997</v>
      </c>
      <c r="D78" s="54">
        <f t="shared" si="10"/>
        <v>7.89791020592574E-2</v>
      </c>
    </row>
    <row r="79" spans="2:9" x14ac:dyDescent="0.25">
      <c r="B79" s="12">
        <v>44851</v>
      </c>
      <c r="C79" s="18">
        <v>99.519997000000004</v>
      </c>
      <c r="D79" s="54">
        <f t="shared" si="10"/>
        <v>8.7769146087422589E-2</v>
      </c>
    </row>
    <row r="80" spans="2:9" x14ac:dyDescent="0.25">
      <c r="B80" s="12">
        <v>44844</v>
      </c>
      <c r="C80" s="18">
        <v>91.489998</v>
      </c>
      <c r="D80" s="54">
        <f t="shared" si="10"/>
        <v>-0.16240963574815614</v>
      </c>
    </row>
    <row r="81" spans="2:4" x14ac:dyDescent="0.25">
      <c r="B81" s="12">
        <v>44837</v>
      </c>
      <c r="C81" s="18">
        <v>109.230003</v>
      </c>
      <c r="D81" s="54">
        <f t="shared" si="10"/>
        <v>-3.6262512308541162E-2</v>
      </c>
    </row>
    <row r="82" spans="2:4" x14ac:dyDescent="0.25">
      <c r="B82" s="12">
        <v>44830</v>
      </c>
      <c r="C82" s="18">
        <v>113.339996</v>
      </c>
      <c r="D82" s="54">
        <f t="shared" si="10"/>
        <v>-5.0992246504228511E-2</v>
      </c>
    </row>
    <row r="83" spans="2:4" x14ac:dyDescent="0.25">
      <c r="B83" s="12">
        <v>44823</v>
      </c>
      <c r="C83" s="18">
        <v>119.43</v>
      </c>
      <c r="D83" s="54">
        <f t="shared" si="10"/>
        <v>-0.1038493553283002</v>
      </c>
    </row>
    <row r="84" spans="2:4" x14ac:dyDescent="0.25">
      <c r="B84" s="12">
        <v>44816</v>
      </c>
      <c r="C84" s="18">
        <v>133.270004</v>
      </c>
      <c r="D84" s="54">
        <f t="shared" si="10"/>
        <v>2.2479730626967287E-2</v>
      </c>
    </row>
    <row r="85" spans="2:4" x14ac:dyDescent="0.25">
      <c r="B85" s="12">
        <v>44809</v>
      </c>
      <c r="C85" s="18">
        <v>130.33999600000001</v>
      </c>
      <c r="D85" s="54">
        <f t="shared" si="10"/>
        <v>0.17635372266190297</v>
      </c>
    </row>
    <row r="86" spans="2:4" x14ac:dyDescent="0.25">
      <c r="B86" s="12">
        <v>44802</v>
      </c>
      <c r="C86" s="18">
        <v>110.800003</v>
      </c>
      <c r="D86" s="54">
        <f t="shared" si="10"/>
        <v>-6.0300235423620174E-2</v>
      </c>
    </row>
    <row r="87" spans="2:4" x14ac:dyDescent="0.25">
      <c r="B87" s="12">
        <v>44795</v>
      </c>
      <c r="C87" s="18">
        <v>117.910004</v>
      </c>
      <c r="D87" s="54">
        <f t="shared" si="10"/>
        <v>-6.7093876628640525E-2</v>
      </c>
    </row>
    <row r="88" spans="2:4" x14ac:dyDescent="0.25">
      <c r="B88" s="12">
        <v>44788</v>
      </c>
      <c r="C88" s="18">
        <v>126.389999</v>
      </c>
      <c r="D88" s="54">
        <f t="shared" si="10"/>
        <v>-7.8118209564483898E-2</v>
      </c>
    </row>
    <row r="89" spans="2:4" x14ac:dyDescent="0.25">
      <c r="B89" s="12">
        <v>44781</v>
      </c>
      <c r="C89" s="18">
        <v>137.10000600000001</v>
      </c>
      <c r="D89" s="54">
        <f t="shared" si="10"/>
        <v>7.2518218375683174E-2</v>
      </c>
    </row>
    <row r="90" spans="2:4" x14ac:dyDescent="0.25">
      <c r="B90" s="12">
        <v>44774</v>
      </c>
      <c r="C90" s="18">
        <v>127.83000199999999</v>
      </c>
      <c r="D90" s="54">
        <f t="shared" si="10"/>
        <v>0.24432977968471392</v>
      </c>
    </row>
    <row r="91" spans="2:4" x14ac:dyDescent="0.25">
      <c r="B91" s="12">
        <v>44767</v>
      </c>
      <c r="C91" s="18">
        <v>102.730003</v>
      </c>
      <c r="D91" s="54">
        <f t="shared" si="10"/>
        <v>-2.9193265294025217E-4</v>
      </c>
    </row>
    <row r="92" spans="2:4" x14ac:dyDescent="0.25">
      <c r="B92" s="12">
        <v>44760</v>
      </c>
      <c r="C92" s="18">
        <v>102.760002</v>
      </c>
      <c r="D92" s="54">
        <f t="shared" si="10"/>
        <v>0.1132055489807291</v>
      </c>
    </row>
    <row r="93" spans="2:4" x14ac:dyDescent="0.25">
      <c r="B93" s="12">
        <v>44753</v>
      </c>
      <c r="C93" s="18">
        <v>92.309997999999993</v>
      </c>
      <c r="D93" s="54">
        <f t="shared" si="10"/>
        <v>-0.19189358683637614</v>
      </c>
    </row>
    <row r="94" spans="2:4" x14ac:dyDescent="0.25">
      <c r="B94" s="12">
        <v>44746</v>
      </c>
      <c r="C94" s="18">
        <v>114.230003</v>
      </c>
      <c r="D94" s="54">
        <f t="shared" si="10"/>
        <v>5.0004613935061837E-2</v>
      </c>
    </row>
    <row r="95" spans="2:4" x14ac:dyDescent="0.25">
      <c r="B95" s="12">
        <v>44739</v>
      </c>
      <c r="C95" s="18">
        <v>108.790001</v>
      </c>
      <c r="D95" s="54">
        <f t="shared" si="10"/>
        <v>-0.11090225473273729</v>
      </c>
    </row>
    <row r="96" spans="2:4" x14ac:dyDescent="0.25">
      <c r="B96" s="12">
        <v>44732</v>
      </c>
      <c r="C96" s="18">
        <v>122.360001</v>
      </c>
      <c r="D96" s="54">
        <f t="shared" si="10"/>
        <v>0.25368856052640498</v>
      </c>
    </row>
    <row r="97" spans="2:4" x14ac:dyDescent="0.25">
      <c r="B97" s="12">
        <v>44725</v>
      </c>
      <c r="C97" s="18">
        <v>97.599997999999999</v>
      </c>
      <c r="D97" s="54">
        <f t="shared" si="10"/>
        <v>2.5680534682701595E-3</v>
      </c>
    </row>
    <row r="98" spans="2:4" x14ac:dyDescent="0.25">
      <c r="B98" s="12">
        <v>44718</v>
      </c>
      <c r="C98" s="18">
        <v>97.349997999999999</v>
      </c>
      <c r="D98" s="54">
        <f t="shared" si="10"/>
        <v>-0.16142646778969649</v>
      </c>
    </row>
    <row r="99" spans="2:4" x14ac:dyDescent="0.25">
      <c r="B99" s="12">
        <v>44711</v>
      </c>
      <c r="C99" s="18">
        <v>116.089996</v>
      </c>
      <c r="D99" s="54">
        <f t="shared" si="10"/>
        <v>9.3904354509966037E-3</v>
      </c>
    </row>
    <row r="100" spans="2:4" x14ac:dyDescent="0.25">
      <c r="B100" s="12">
        <v>44704</v>
      </c>
      <c r="C100" s="18">
        <v>115.010002</v>
      </c>
      <c r="D100" s="54">
        <f t="shared" si="10"/>
        <v>6.4759343609679387E-3</v>
      </c>
    </row>
    <row r="101" spans="2:4" x14ac:dyDescent="0.25">
      <c r="B101" s="12">
        <v>44697</v>
      </c>
      <c r="C101" s="18">
        <v>114.269997</v>
      </c>
      <c r="D101" s="54">
        <f t="shared" si="10"/>
        <v>3.5241892604871206E-2</v>
      </c>
    </row>
    <row r="102" spans="2:4" x14ac:dyDescent="0.25">
      <c r="B102" s="12">
        <v>44690</v>
      </c>
      <c r="C102" s="18">
        <v>110.379997</v>
      </c>
      <c r="D102" s="54">
        <f t="shared" si="10"/>
        <v>-0.10659656560267339</v>
      </c>
    </row>
    <row r="103" spans="2:4" x14ac:dyDescent="0.25">
      <c r="B103" s="12">
        <v>44683</v>
      </c>
      <c r="C103" s="18">
        <v>123.550003</v>
      </c>
      <c r="D103" s="54">
        <f t="shared" si="10"/>
        <v>-4.5208587876750528E-2</v>
      </c>
    </row>
    <row r="104" spans="2:4" x14ac:dyDescent="0.25">
      <c r="B104" s="12">
        <v>44676</v>
      </c>
      <c r="C104" s="18">
        <v>129.39999399999999</v>
      </c>
      <c r="D104" s="54">
        <f t="shared" si="10"/>
        <v>-5.9798086906993952E-2</v>
      </c>
    </row>
    <row r="105" spans="2:4" x14ac:dyDescent="0.25">
      <c r="B105" s="12">
        <v>44669</v>
      </c>
      <c r="C105" s="18">
        <v>137.63000500000001</v>
      </c>
      <c r="D105" s="54">
        <f t="shared" si="10"/>
        <v>3.3535540330038582E-3</v>
      </c>
    </row>
    <row r="106" spans="2:4" x14ac:dyDescent="0.25">
      <c r="B106" s="12">
        <v>44662</v>
      </c>
      <c r="C106" s="18">
        <v>137.16999799999999</v>
      </c>
      <c r="D106" s="54">
        <f t="shared" si="10"/>
        <v>-2.5504384253494883E-2</v>
      </c>
    </row>
    <row r="107" spans="2:4" x14ac:dyDescent="0.25">
      <c r="B107" s="12">
        <v>44655</v>
      </c>
      <c r="C107" s="18">
        <v>140.759995</v>
      </c>
      <c r="D107" s="54">
        <f t="shared" si="10"/>
        <v>-0.14892075789903103</v>
      </c>
    </row>
    <row r="108" spans="2:4" x14ac:dyDescent="0.25">
      <c r="B108" s="12">
        <v>44648</v>
      </c>
      <c r="C108" s="18">
        <v>165.38999899999999</v>
      </c>
      <c r="D108" s="54">
        <f t="shared" si="10"/>
        <v>9.9302108992398219E-2</v>
      </c>
    </row>
    <row r="109" spans="2:4" x14ac:dyDescent="0.25">
      <c r="B109" s="12">
        <v>44641</v>
      </c>
      <c r="C109" s="18">
        <v>150.449997</v>
      </c>
      <c r="D109" s="54">
        <f t="shared" si="10"/>
        <v>-0.11759532551319651</v>
      </c>
    </row>
    <row r="110" spans="2:4" x14ac:dyDescent="0.25">
      <c r="B110" s="12">
        <v>44634</v>
      </c>
      <c r="C110" s="18">
        <v>170.5</v>
      </c>
      <c r="D110" s="54">
        <f t="shared" si="10"/>
        <v>0.39685402911443601</v>
      </c>
    </row>
    <row r="111" spans="2:4" x14ac:dyDescent="0.25">
      <c r="B111" s="12">
        <v>44627</v>
      </c>
      <c r="C111" s="18">
        <v>122.05999799999999</v>
      </c>
      <c r="D111" s="54">
        <f t="shared" si="10"/>
        <v>-0.10190571401940351</v>
      </c>
    </row>
    <row r="112" spans="2:4" x14ac:dyDescent="0.25">
      <c r="B112" s="12">
        <v>44620</v>
      </c>
      <c r="C112" s="18">
        <v>135.91000399999999</v>
      </c>
      <c r="D112" s="54">
        <f t="shared" si="10"/>
        <v>-0.12451687952470758</v>
      </c>
    </row>
    <row r="113" spans="2:4" x14ac:dyDescent="0.25">
      <c r="B113" s="12">
        <v>44613</v>
      </c>
      <c r="C113" s="18">
        <v>155.240005</v>
      </c>
      <c r="D113" s="54">
        <f t="shared" si="10"/>
        <v>-0.20291636380458933</v>
      </c>
    </row>
    <row r="114" spans="2:4" x14ac:dyDescent="0.25">
      <c r="B114" s="12">
        <v>44606</v>
      </c>
      <c r="C114" s="18">
        <v>194.759995</v>
      </c>
      <c r="D114" s="54">
        <f t="shared" si="10"/>
        <v>-0.11031934840218627</v>
      </c>
    </row>
    <row r="115" spans="2:4" x14ac:dyDescent="0.25">
      <c r="B115" s="12">
        <v>44599</v>
      </c>
      <c r="C115" s="18">
        <v>218.91000399999999</v>
      </c>
      <c r="D115" s="54">
        <f t="shared" si="10"/>
        <v>0.1736542960829015</v>
      </c>
    </row>
    <row r="116" spans="2:4" x14ac:dyDescent="0.25">
      <c r="B116" s="12">
        <v>44592</v>
      </c>
      <c r="C116" s="18">
        <v>186.520004</v>
      </c>
      <c r="D116" s="54">
        <f t="shared" si="10"/>
        <v>-1.039893910014722E-2</v>
      </c>
    </row>
    <row r="117" spans="2:4" x14ac:dyDescent="0.25">
      <c r="B117" s="12">
        <v>44585</v>
      </c>
      <c r="C117" s="18">
        <v>188.479996</v>
      </c>
      <c r="D117" s="54">
        <f t="shared" si="10"/>
        <v>-5.0478609571788402E-2</v>
      </c>
    </row>
    <row r="118" spans="2:4" x14ac:dyDescent="0.25">
      <c r="B118" s="12">
        <v>44578</v>
      </c>
      <c r="C118" s="18">
        <v>198.5</v>
      </c>
      <c r="D118" s="54">
        <f t="shared" si="10"/>
        <v>-7.9484321459303953E-2</v>
      </c>
    </row>
    <row r="119" spans="2:4" x14ac:dyDescent="0.25">
      <c r="B119" s="12">
        <v>44571</v>
      </c>
      <c r="C119" s="18">
        <v>215.63999899999999</v>
      </c>
      <c r="D119" s="54">
        <f t="shared" si="10"/>
        <v>-9.1583139026389482E-2</v>
      </c>
    </row>
    <row r="120" spans="2:4" x14ac:dyDescent="0.25">
      <c r="B120" s="12">
        <v>44564</v>
      </c>
      <c r="C120" s="18">
        <v>237.38000500000001</v>
      </c>
      <c r="D120" s="54">
        <f t="shared" si="10"/>
        <v>-0.23108316846630228</v>
      </c>
    </row>
    <row r="121" spans="2:4" x14ac:dyDescent="0.25">
      <c r="B121" s="12">
        <v>44557</v>
      </c>
      <c r="C121" s="18">
        <v>308.72000100000002</v>
      </c>
      <c r="D121" s="54">
        <f t="shared" si="10"/>
        <v>1.4291835829612687E-2</v>
      </c>
    </row>
    <row r="122" spans="2:4" x14ac:dyDescent="0.25">
      <c r="B122" s="12">
        <v>44550</v>
      </c>
      <c r="C122" s="18">
        <v>304.36999500000002</v>
      </c>
      <c r="D122" s="54">
        <f t="shared" si="10"/>
        <v>4.2041833572417309E-2</v>
      </c>
    </row>
    <row r="123" spans="2:4" x14ac:dyDescent="0.25">
      <c r="B123" s="12">
        <v>44543</v>
      </c>
      <c r="C123" s="18">
        <v>292.08999599999999</v>
      </c>
      <c r="D123" s="54">
        <f t="shared" si="10"/>
        <v>-5.1471084942059653E-2</v>
      </c>
    </row>
    <row r="124" spans="2:4" x14ac:dyDescent="0.25">
      <c r="B124" s="12">
        <v>44536</v>
      </c>
      <c r="C124" s="18">
        <v>307.94000199999999</v>
      </c>
      <c r="D124" s="54">
        <f t="shared" si="10"/>
        <v>0.11669564415812128</v>
      </c>
    </row>
    <row r="125" spans="2:4" x14ac:dyDescent="0.25">
      <c r="B125" s="12">
        <v>44529</v>
      </c>
      <c r="C125" s="18">
        <v>275.76001000000002</v>
      </c>
      <c r="D125" s="54">
        <f t="shared" si="10"/>
        <v>-0.18741153291835499</v>
      </c>
    </row>
    <row r="126" spans="2:4" x14ac:dyDescent="0.25">
      <c r="B126" s="12">
        <v>44522</v>
      </c>
      <c r="C126" s="18">
        <v>339.35998499999999</v>
      </c>
      <c r="D126" s="54">
        <f t="shared" si="10"/>
        <v>-8.5899030303030366E-2</v>
      </c>
    </row>
    <row r="127" spans="2:4" x14ac:dyDescent="0.25">
      <c r="B127" s="12">
        <v>44515</v>
      </c>
      <c r="C127" s="18">
        <v>371.25</v>
      </c>
      <c r="D127" s="54">
        <f t="shared" si="10"/>
        <v>2.0141752962621551E-2</v>
      </c>
    </row>
    <row r="128" spans="2:4" x14ac:dyDescent="0.25">
      <c r="B128" s="12">
        <v>44508</v>
      </c>
      <c r="C128" s="18">
        <v>363.92001299999998</v>
      </c>
      <c r="D128" s="54">
        <f t="shared" si="10"/>
        <v>3.7577759524940468E-2</v>
      </c>
    </row>
    <row r="129" spans="2:4" x14ac:dyDescent="0.25">
      <c r="B129" s="12">
        <v>44501</v>
      </c>
      <c r="C129" s="18">
        <v>350.73998999999998</v>
      </c>
      <c r="D129" s="54">
        <f t="shared" si="10"/>
        <v>-5.6719462489183359E-2</v>
      </c>
    </row>
    <row r="130" spans="2:4" x14ac:dyDescent="0.25">
      <c r="B130" s="12">
        <v>44494</v>
      </c>
      <c r="C130" s="18">
        <v>371.82998700000002</v>
      </c>
      <c r="D130" s="54">
        <f t="shared" si="10"/>
        <v>-1.9590842177112266E-2</v>
      </c>
    </row>
    <row r="131" spans="2:4" x14ac:dyDescent="0.25">
      <c r="B131" s="12">
        <v>44487</v>
      </c>
      <c r="C131" s="18">
        <v>379.26001000000002</v>
      </c>
      <c r="D131" s="54">
        <f t="shared" ref="D131:D149" si="11">C131/C132-1</f>
        <v>5.7288671951152947E-2</v>
      </c>
    </row>
    <row r="132" spans="2:4" x14ac:dyDescent="0.25">
      <c r="B132" s="12">
        <v>44480</v>
      </c>
      <c r="C132" s="18">
        <v>358.709991</v>
      </c>
      <c r="D132" s="54">
        <f t="shared" si="11"/>
        <v>5.6272039641836802E-2</v>
      </c>
    </row>
    <row r="133" spans="2:4" x14ac:dyDescent="0.25">
      <c r="B133" s="12">
        <v>44473</v>
      </c>
      <c r="C133" s="18">
        <v>339.60000600000001</v>
      </c>
      <c r="D133" s="54">
        <f t="shared" si="11"/>
        <v>2.0095527078243025E-2</v>
      </c>
    </row>
    <row r="134" spans="2:4" x14ac:dyDescent="0.25">
      <c r="B134" s="12">
        <v>44466</v>
      </c>
      <c r="C134" s="18">
        <v>332.91000400000001</v>
      </c>
      <c r="D134" s="54">
        <f t="shared" si="11"/>
        <v>-9.2863530146966577E-2</v>
      </c>
    </row>
    <row r="135" spans="2:4" x14ac:dyDescent="0.25">
      <c r="B135" s="12">
        <v>44459</v>
      </c>
      <c r="C135" s="18">
        <v>366.98998999999998</v>
      </c>
      <c r="D135" s="54">
        <f t="shared" si="11"/>
        <v>-1.9136720873500823E-2</v>
      </c>
    </row>
    <row r="136" spans="2:4" x14ac:dyDescent="0.25">
      <c r="B136" s="12">
        <v>44452</v>
      </c>
      <c r="C136" s="18">
        <v>374.14999399999999</v>
      </c>
      <c r="D136" s="54">
        <f t="shared" si="11"/>
        <v>5.8606688553897168E-3</v>
      </c>
    </row>
    <row r="137" spans="2:4" x14ac:dyDescent="0.25">
      <c r="B137" s="12">
        <v>44445</v>
      </c>
      <c r="C137" s="18">
        <v>371.97000100000002</v>
      </c>
      <c r="D137" s="54">
        <f t="shared" si="11"/>
        <v>-2.0641892107326698E-2</v>
      </c>
    </row>
    <row r="138" spans="2:4" x14ac:dyDescent="0.25">
      <c r="B138" s="12">
        <v>44438</v>
      </c>
      <c r="C138" s="18">
        <v>379.80999800000001</v>
      </c>
      <c r="D138" s="54">
        <f t="shared" si="11"/>
        <v>6.3327629198311142E-2</v>
      </c>
    </row>
    <row r="139" spans="2:4" x14ac:dyDescent="0.25">
      <c r="B139" s="12">
        <v>44431</v>
      </c>
      <c r="C139" s="18">
        <v>357.19000199999999</v>
      </c>
      <c r="D139" s="54">
        <f t="shared" si="11"/>
        <v>1.3937785323997476E-2</v>
      </c>
    </row>
    <row r="140" spans="2:4" x14ac:dyDescent="0.25">
      <c r="B140" s="12">
        <v>44424</v>
      </c>
      <c r="C140" s="18">
        <v>352.27999899999998</v>
      </c>
      <c r="D140" s="54">
        <f t="shared" si="11"/>
        <v>0.31496829746102928</v>
      </c>
    </row>
    <row r="141" spans="2:4" x14ac:dyDescent="0.25">
      <c r="B141" s="12">
        <v>44417</v>
      </c>
      <c r="C141" s="18">
        <v>267.89999399999999</v>
      </c>
      <c r="D141" s="54">
        <f t="shared" si="11"/>
        <v>0.18539820353982295</v>
      </c>
    </row>
    <row r="142" spans="2:4" x14ac:dyDescent="0.25">
      <c r="B142" s="12">
        <v>44410</v>
      </c>
      <c r="C142" s="18">
        <v>226</v>
      </c>
      <c r="D142" s="54">
        <f t="shared" si="11"/>
        <v>2.1284319892404646E-2</v>
      </c>
    </row>
    <row r="143" spans="2:4" x14ac:dyDescent="0.25">
      <c r="B143" s="12">
        <v>44403</v>
      </c>
      <c r="C143" s="18">
        <v>221.28999300000001</v>
      </c>
      <c r="D143" s="54">
        <f t="shared" si="11"/>
        <v>7.9832140530059048E-2</v>
      </c>
    </row>
    <row r="144" spans="2:4" x14ac:dyDescent="0.25">
      <c r="B144" s="12">
        <v>44396</v>
      </c>
      <c r="C144" s="18">
        <v>204.929993</v>
      </c>
      <c r="D144" s="54">
        <f t="shared" si="11"/>
        <v>2.9902488288320095E-2</v>
      </c>
    </row>
    <row r="145" spans="2:4" x14ac:dyDescent="0.25">
      <c r="B145" s="12">
        <v>44389</v>
      </c>
      <c r="C145" s="18">
        <v>198.979996</v>
      </c>
      <c r="D145" s="54">
        <f t="shared" si="11"/>
        <v>-0.14247542663906221</v>
      </c>
    </row>
    <row r="146" spans="2:4" x14ac:dyDescent="0.25">
      <c r="B146" s="12">
        <v>44382</v>
      </c>
      <c r="C146" s="18">
        <v>232.03999300000001</v>
      </c>
      <c r="D146" s="54">
        <f t="shared" si="11"/>
        <v>1.2258417524031229E-2</v>
      </c>
    </row>
    <row r="147" spans="2:4" x14ac:dyDescent="0.25">
      <c r="B147" s="12">
        <v>44375</v>
      </c>
      <c r="C147" s="18">
        <v>229.229996</v>
      </c>
      <c r="D147" s="54">
        <f t="shared" si="11"/>
        <v>-1.3512927949238862E-2</v>
      </c>
    </row>
    <row r="148" spans="2:4" x14ac:dyDescent="0.25">
      <c r="B148" s="12">
        <v>44368</v>
      </c>
      <c r="C148" s="18">
        <v>232.36999499999999</v>
      </c>
      <c r="D148" s="54">
        <f t="shared" si="11"/>
        <v>-6.0212465274889215E-4</v>
      </c>
    </row>
    <row r="149" spans="2:4" x14ac:dyDescent="0.25">
      <c r="B149" s="12">
        <v>44361</v>
      </c>
      <c r="C149" s="18">
        <v>232.509995</v>
      </c>
      <c r="D149" s="54">
        <f t="shared" si="11"/>
        <v>0.22819712353491228</v>
      </c>
    </row>
    <row r="150" spans="2:4" x14ac:dyDescent="0.25">
      <c r="B150" s="12">
        <v>44354</v>
      </c>
      <c r="C150" s="18">
        <v>189.30999800000001</v>
      </c>
      <c r="D150" s="54"/>
    </row>
    <row r="151" spans="2:4" x14ac:dyDescent="0.25">
      <c r="B151" s="12"/>
      <c r="C151" s="17"/>
      <c r="D151" s="54"/>
    </row>
    <row r="152" spans="2:4" x14ac:dyDescent="0.25">
      <c r="B152" s="12"/>
      <c r="C152" s="17"/>
      <c r="D152" s="54"/>
    </row>
    <row r="153" spans="2:4" x14ac:dyDescent="0.25">
      <c r="B153" s="12"/>
      <c r="C153" s="17"/>
      <c r="D153" s="54"/>
    </row>
    <row r="154" spans="2:4" x14ac:dyDescent="0.25">
      <c r="B154" s="12"/>
      <c r="C154" s="17"/>
      <c r="D154" s="54"/>
    </row>
    <row r="155" spans="2:4" x14ac:dyDescent="0.25">
      <c r="B155" s="12"/>
      <c r="C155" s="17"/>
      <c r="D155" s="54"/>
    </row>
    <row r="156" spans="2:4" x14ac:dyDescent="0.25">
      <c r="B156" s="12"/>
      <c r="C156" s="17"/>
      <c r="D156" s="54"/>
    </row>
    <row r="157" spans="2:4" x14ac:dyDescent="0.25">
      <c r="B157" s="12"/>
      <c r="C157" s="17"/>
      <c r="D157" s="54"/>
    </row>
    <row r="158" spans="2:4" x14ac:dyDescent="0.25">
      <c r="B158" s="12"/>
      <c r="C158" s="17"/>
      <c r="D158" s="54"/>
    </row>
  </sheetData>
  <autoFilter ref="B1:C1" xr:uid="{459034C9-60E4-4481-A5AB-C7748C68FD5F}">
    <sortState xmlns:xlrd2="http://schemas.microsoft.com/office/spreadsheetml/2017/richdata2" ref="B2:C150">
      <sortCondition descending="1" ref="B1"/>
    </sortState>
  </autoFilter>
  <mergeCells count="4">
    <mergeCell ref="H1:M1"/>
    <mergeCell ref="H17:I17"/>
    <mergeCell ref="H18:I18"/>
    <mergeCell ref="H43:M43"/>
  </mergeCells>
  <hyperlinks>
    <hyperlink ref="A1" location="Main!A1" display="Main" xr:uid="{39B2CEA3-DA91-49C0-B446-894452E6E4A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2024-04-11T15:29:04Z</dcterms:modified>
</cp:coreProperties>
</file>