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A51A05BA-2EFC-4336-B6E6-AA7A1B28C99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Model!$A$3</definedName>
    <definedName name="_xlchart.v1.1" hidden="1">Model!$A$4</definedName>
    <definedName name="_xlchart.v1.2" hidden="1">Model!$B$2:$Q$2</definedName>
    <definedName name="_xlchart.v1.3" hidden="1">Model!$B$3:$Q$3</definedName>
    <definedName name="_xlchart.v1.4" hidden="1">Model!$B$4:$Q$4</definedName>
    <definedName name="_xlchart.v1.5" hidden="1">Model!$A$20</definedName>
    <definedName name="_xlchart.v1.6" hidden="1">Model!$A$21</definedName>
    <definedName name="_xlchart.v1.7" hidden="1">Model!$B$20:$Q$20</definedName>
    <definedName name="_xlchart.v1.8" hidden="1">Model!$B$21:$Q$21</definedName>
    <definedName name="_xlchart.v1.9" hidden="1">Model!$B$2:$Q$2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152" i="5"/>
  <c r="D3" i="5"/>
  <c r="D5" i="5"/>
  <c r="D6" i="5"/>
  <c r="D7" i="5"/>
  <c r="D8" i="5"/>
  <c r="D9" i="5"/>
  <c r="I22" i="5" s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I65" i="5"/>
  <c r="I64" i="5"/>
  <c r="J34" i="5"/>
  <c r="J36" i="5"/>
  <c r="I26" i="5" l="1"/>
  <c r="M58" i="5"/>
  <c r="M57" i="5"/>
  <c r="K55" i="5"/>
  <c r="I19" i="5"/>
  <c r="I24" i="5"/>
  <c r="I28" i="5"/>
  <c r="M45" i="5"/>
  <c r="M47" i="5"/>
  <c r="M49" i="5"/>
  <c r="M51" i="5"/>
  <c r="M53" i="5"/>
  <c r="M55" i="5"/>
  <c r="I44" i="5"/>
  <c r="I50" i="5"/>
  <c r="I56" i="5"/>
  <c r="I21" i="5"/>
  <c r="I25" i="5"/>
  <c r="I29" i="5"/>
  <c r="I27" i="5" s="1"/>
  <c r="I34" i="5"/>
  <c r="I58" i="5"/>
  <c r="K46" i="5"/>
  <c r="K50" i="5"/>
  <c r="K54" i="5"/>
  <c r="M44" i="5"/>
  <c r="M46" i="5"/>
  <c r="M50" i="5"/>
  <c r="M52" i="5"/>
  <c r="M54" i="5"/>
  <c r="M56" i="5"/>
  <c r="I30" i="5"/>
  <c r="K44" i="5"/>
  <c r="K48" i="5"/>
  <c r="K52" i="5"/>
  <c r="K56" i="5"/>
  <c r="M48" i="5"/>
  <c r="I23" i="5"/>
  <c r="I31" i="5"/>
  <c r="K34" i="5" s="1"/>
  <c r="I48" i="5"/>
  <c r="I54" i="5"/>
  <c r="I35" i="5"/>
  <c r="I45" i="5"/>
  <c r="I47" i="5"/>
  <c r="I49" i="5"/>
  <c r="I51" i="5"/>
  <c r="I53" i="5"/>
  <c r="I55" i="5"/>
  <c r="I57" i="5"/>
  <c r="I46" i="5"/>
  <c r="I52" i="5"/>
  <c r="I20" i="5"/>
  <c r="J35" i="5"/>
  <c r="K45" i="5"/>
  <c r="K47" i="5"/>
  <c r="K49" i="5"/>
  <c r="K51" i="5"/>
  <c r="K53" i="5"/>
  <c r="K35" i="5" l="1"/>
  <c r="L35" i="5" s="1"/>
  <c r="L34" i="5"/>
  <c r="J40" i="5"/>
  <c r="J39" i="5"/>
  <c r="H10" i="5"/>
  <c r="I40" i="5"/>
  <c r="H14" i="5"/>
  <c r="H6" i="5"/>
  <c r="H9" i="5"/>
  <c r="H7" i="5"/>
  <c r="H8" i="5"/>
  <c r="J41" i="5"/>
  <c r="I41" i="5"/>
  <c r="I39" i="5"/>
  <c r="K39" i="5" s="1"/>
  <c r="L39" i="5" s="1"/>
  <c r="H11" i="5"/>
  <c r="H12" i="5"/>
  <c r="H4" i="5"/>
  <c r="H13" i="5"/>
  <c r="H5" i="5"/>
  <c r="K36" i="5"/>
  <c r="L36" i="5" s="1"/>
  <c r="K40" i="5" l="1"/>
  <c r="L40" i="5" s="1"/>
  <c r="K41" i="5"/>
  <c r="L41" i="5" s="1"/>
  <c r="J7" i="5"/>
  <c r="L7" i="5" s="1"/>
  <c r="I7" i="5"/>
  <c r="K8" i="5"/>
  <c r="J4" i="5"/>
  <c r="L4" i="5" s="1"/>
  <c r="M4" i="5" s="1"/>
  <c r="K4" i="5"/>
  <c r="I4" i="5"/>
  <c r="K5" i="5"/>
  <c r="K10" i="5"/>
  <c r="J9" i="5"/>
  <c r="L9" i="5" s="1"/>
  <c r="I9" i="5"/>
  <c r="K14" i="5"/>
  <c r="J13" i="5"/>
  <c r="L13" i="5" s="1"/>
  <c r="I13" i="5"/>
  <c r="J12" i="5"/>
  <c r="L12" i="5" s="1"/>
  <c r="I12" i="5"/>
  <c r="K13" i="5"/>
  <c r="K7" i="5"/>
  <c r="J6" i="5"/>
  <c r="L6" i="5" s="1"/>
  <c r="I6" i="5"/>
  <c r="K12" i="5"/>
  <c r="I11" i="5"/>
  <c r="J11" i="5"/>
  <c r="L11" i="5" s="1"/>
  <c r="K15" i="5"/>
  <c r="J15" i="5"/>
  <c r="L15" i="5" s="1"/>
  <c r="J14" i="5"/>
  <c r="L14" i="5" s="1"/>
  <c r="I14" i="5"/>
  <c r="I10" i="5"/>
  <c r="K11" i="5"/>
  <c r="J10" i="5"/>
  <c r="L10" i="5" s="1"/>
  <c r="K6" i="5"/>
  <c r="J5" i="5"/>
  <c r="L5" i="5" s="1"/>
  <c r="I5" i="5"/>
  <c r="K9" i="5"/>
  <c r="J8" i="5"/>
  <c r="L8" i="5" s="1"/>
  <c r="I8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P29" i="2" l="1"/>
  <c r="X22" i="2"/>
  <c r="P25" i="2"/>
  <c r="X25" i="2"/>
  <c r="W22" i="2"/>
  <c r="V22" i="2"/>
  <c r="U22" i="2"/>
  <c r="W25" i="2"/>
  <c r="V25" i="2"/>
  <c r="W14" i="2"/>
  <c r="X17" i="2"/>
  <c r="X16" i="2"/>
  <c r="X14" i="2"/>
  <c r="W17" i="2"/>
  <c r="W16" i="2"/>
  <c r="W20" i="2"/>
  <c r="N17" i="2"/>
  <c r="M17" i="2"/>
  <c r="P17" i="2"/>
  <c r="L17" i="2"/>
  <c r="X12" i="2"/>
  <c r="X10" i="2"/>
  <c r="X8" i="2"/>
  <c r="X7" i="2"/>
  <c r="X6" i="2"/>
  <c r="X5" i="2"/>
  <c r="X3" i="2"/>
  <c r="P24" i="2"/>
  <c r="P22" i="2"/>
  <c r="P9" i="2"/>
  <c r="P11" i="2" s="1"/>
  <c r="P13" i="2" s="1"/>
  <c r="P20" i="2" s="1"/>
  <c r="O17" i="2"/>
  <c r="O24" i="2"/>
  <c r="L54" i="2"/>
  <c r="W54" i="2" s="1"/>
  <c r="W55" i="2"/>
  <c r="N54" i="2"/>
  <c r="L29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V5" i="2"/>
  <c r="V12" i="2"/>
  <c r="V10" i="2"/>
  <c r="V6" i="2"/>
  <c r="V7" i="2"/>
  <c r="V8" i="2"/>
  <c r="V3" i="2"/>
  <c r="V17" i="2"/>
  <c r="H17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G54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U29" i="2" s="1"/>
  <c r="D54" i="2"/>
  <c r="B29" i="2"/>
  <c r="C29" i="2"/>
  <c r="D29" i="2"/>
  <c r="E29" i="2"/>
  <c r="G29" i="2"/>
  <c r="H29" i="2"/>
  <c r="I29" i="2"/>
  <c r="J29" i="2"/>
  <c r="K29" i="2"/>
  <c r="M29" i="2"/>
  <c r="N29" i="2"/>
  <c r="O29" i="2"/>
  <c r="F29" i="2"/>
  <c r="F54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Y24" i="2"/>
  <c r="Q24" i="2"/>
  <c r="X24" i="2" l="1"/>
  <c r="X9" i="2"/>
  <c r="X11" i="2" s="1"/>
  <c r="X13" i="2" s="1"/>
  <c r="X20" i="2" s="1"/>
  <c r="P23" i="2"/>
  <c r="P15" i="2"/>
  <c r="P18" i="2" s="1"/>
  <c r="W29" i="2"/>
  <c r="W9" i="2"/>
  <c r="W11" i="2" s="1"/>
  <c r="W13" i="2" s="1"/>
  <c r="C13" i="1" s="1"/>
  <c r="V29" i="2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E15" i="2" l="1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5" i="2"/>
  <c r="X18" i="2" s="1"/>
  <c r="X23" i="2"/>
  <c r="X26" i="2"/>
  <c r="K20" i="2"/>
  <c r="K15" i="2"/>
  <c r="K18" i="2" s="1"/>
  <c r="K25" i="2" s="1"/>
  <c r="O20" i="2"/>
  <c r="O18" i="2"/>
  <c r="O25" i="2" s="1"/>
  <c r="W15" i="2"/>
  <c r="W18" i="2" s="1"/>
  <c r="J15" i="2"/>
  <c r="J18" i="2" s="1"/>
  <c r="J25" i="2" s="1"/>
  <c r="J20" i="2"/>
  <c r="I15" i="2"/>
  <c r="I18" i="2" s="1"/>
  <c r="I25" i="2" s="1"/>
  <c r="I20" i="2"/>
  <c r="V15" i="2"/>
  <c r="V18" i="2" s="1"/>
  <c r="V20" i="2"/>
  <c r="B19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C19" i="2"/>
  <c r="L15" i="2"/>
  <c r="L18" i="2" s="1"/>
  <c r="L25" i="2" s="1"/>
  <c r="L20" i="2"/>
  <c r="P26" i="2"/>
  <c r="G26" i="2"/>
  <c r="G15" i="2"/>
  <c r="G18" i="2" s="1"/>
  <c r="G25" i="2" s="1"/>
  <c r="G19" i="2"/>
  <c r="F19" i="2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<sst xmlns="http://schemas.openxmlformats.org/spreadsheetml/2006/main" count="191" uniqueCount="174">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</sst>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2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166" fontId="8" fillId="9" borderId="13" xfId="0" applyNumberFormat="1" applyFont="1" applyFill="1" applyBorder="1"/>
    <xf numFmtId="0" fontId="8" fillId="9" borderId="36" xfId="0" applyFont="1" applyFill="1" applyBorder="1"/>
    <xf numFmtId="166" fontId="8" fillId="9" borderId="37" xfId="0" applyNumberFormat="1" applyFont="1" applyFill="1" applyBorder="1"/>
    <xf numFmtId="166" fontId="8" fillId="9" borderId="38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9" xfId="0" applyNumberFormat="1" applyFont="1" applyFill="1" applyBorder="1"/>
    <xf numFmtId="9" fontId="10" fillId="9" borderId="40" xfId="0" applyNumberFormat="1" applyFont="1" applyFill="1" applyBorder="1"/>
    <xf numFmtId="10" fontId="0" fillId="9" borderId="42" xfId="0" applyNumberFormat="1" applyFill="1" applyBorder="1" applyAlignment="1">
      <alignment horizontal="centerContinuous"/>
    </xf>
    <xf numFmtId="9" fontId="10" fillId="9" borderId="43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36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36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95309</c:v>
                </c:pt>
                <c:pt idx="1">
                  <c:v>114682</c:v>
                </c:pt>
                <c:pt idx="2">
                  <c:v>127116</c:v>
                </c:pt>
                <c:pt idx="3">
                  <c:v>140052</c:v>
                </c:pt>
                <c:pt idx="4">
                  <c:v>146151</c:v>
                </c:pt>
                <c:pt idx="5">
                  <c:v>171062</c:v>
                </c:pt>
                <c:pt idx="6">
                  <c:v>185925</c:v>
                </c:pt>
                <c:pt idx="7">
                  <c:v>166186</c:v>
                </c:pt>
                <c:pt idx="8">
                  <c:v>177958</c:v>
                </c:pt>
                <c:pt idx="9">
                  <c:v>183026</c:v>
                </c:pt>
                <c:pt idx="10">
                  <c:v>195068</c:v>
                </c:pt>
                <c:pt idx="11">
                  <c:v>195645</c:v>
                </c:pt>
                <c:pt idx="12">
                  <c:v>195987</c:v>
                </c:pt>
                <c:pt idx="13">
                  <c:v>187595</c:v>
                </c:pt>
                <c:pt idx="14">
                  <c:v>204121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0.53344385105289116</c:v>
                </c:pt>
                <c:pt idx="5">
                  <c:v>0.49162030658690981</c:v>
                </c:pt>
                <c:pt idx="6">
                  <c:v>0.46264042292079677</c:v>
                </c:pt>
                <c:pt idx="7">
                  <c:v>0.18660211921286374</c:v>
                </c:pt>
                <c:pt idx="8">
                  <c:v>0.21763108018419297</c:v>
                </c:pt>
                <c:pt idx="9">
                  <c:v>6.9939554079807342E-2</c:v>
                </c:pt>
                <c:pt idx="10">
                  <c:v>4.9175742907086262E-2</c:v>
                </c:pt>
                <c:pt idx="11">
                  <c:v>0.17726523293177521</c:v>
                </c:pt>
                <c:pt idx="12">
                  <c:v>0.10131042156014347</c:v>
                </c:pt>
                <c:pt idx="13">
                  <c:v>2.4963666364341774E-2</c:v>
                </c:pt>
                <c:pt idx="14">
                  <c:v>4.6409457214919847E-2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B-4A81-868C-D3049273DB8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B-4A81-868C-D3049273D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0">
                  <c:v>421351</c:v>
                </c:pt>
                <c:pt idx="1">
                  <c:v>643190</c:v>
                </c:pt>
                <c:pt idx="2">
                  <c:v>722238</c:v>
                </c:pt>
                <c:pt idx="3">
                  <c:v>783348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0.52649453780814581</c:v>
                </c:pt>
                <c:pt idx="2">
                  <c:v>0.12289992070772238</c:v>
                </c:pt>
                <c:pt idx="3">
                  <c:v>8.4611997707126907E-2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5-44A1-AF5A-01324757E5F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5-44A1-AF5A-01324757E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-4790</c:v>
                </c:pt>
                <c:pt idx="1">
                  <c:v>-10407</c:v>
                </c:pt>
                <c:pt idx="2">
                  <c:v>-36991</c:v>
                </c:pt>
                <c:pt idx="3">
                  <c:v>-32383</c:v>
                </c:pt>
                <c:pt idx="4">
                  <c:v>-59064</c:v>
                </c:pt>
                <c:pt idx="5">
                  <c:v>-41193</c:v>
                </c:pt>
                <c:pt idx="6">
                  <c:v>-79753</c:v>
                </c:pt>
                <c:pt idx="7">
                  <c:v>-87459</c:v>
                </c:pt>
                <c:pt idx="8">
                  <c:v>-71990</c:v>
                </c:pt>
                <c:pt idx="9">
                  <c:v>-107949</c:v>
                </c:pt>
                <c:pt idx="10">
                  <c:v>-125169</c:v>
                </c:pt>
                <c:pt idx="11">
                  <c:v>-75577</c:v>
                </c:pt>
                <c:pt idx="12">
                  <c:v>-86719</c:v>
                </c:pt>
                <c:pt idx="13">
                  <c:v>44011</c:v>
                </c:pt>
                <c:pt idx="14">
                  <c:v>-298775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0.32327482189509915</c:v>
                </c:pt>
                <c:pt idx="1">
                  <c:v>0.31348424338605885</c:v>
                </c:pt>
                <c:pt idx="2">
                  <c:v>0.27690455961483995</c:v>
                </c:pt>
                <c:pt idx="3">
                  <c:v>0.2994173592665581</c:v>
                </c:pt>
                <c:pt idx="4">
                  <c:v>0.26415830203009216</c:v>
                </c:pt>
                <c:pt idx="5">
                  <c:v>0.26234347780336953</c:v>
                </c:pt>
                <c:pt idx="6">
                  <c:v>0.15917708753529647</c:v>
                </c:pt>
                <c:pt idx="7">
                  <c:v>9.5363026969780829E-2</c:v>
                </c:pt>
                <c:pt idx="8">
                  <c:v>0.15814967576619199</c:v>
                </c:pt>
                <c:pt idx="9">
                  <c:v>2.7220176368384807E-2</c:v>
                </c:pt>
                <c:pt idx="10">
                  <c:v>0.1591906412122952</c:v>
                </c:pt>
                <c:pt idx="11">
                  <c:v>0.17423394413350712</c:v>
                </c:pt>
                <c:pt idx="12">
                  <c:v>0.19213519264032819</c:v>
                </c:pt>
                <c:pt idx="13">
                  <c:v>0.17357072416642239</c:v>
                </c:pt>
                <c:pt idx="14">
                  <c:v>0.23406704846635085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-60361</c:v>
                </c:pt>
                <c:pt idx="1">
                  <c:v>-212393</c:v>
                </c:pt>
                <c:pt idx="2">
                  <c:v>-392567</c:v>
                </c:pt>
                <c:pt idx="3">
                  <c:v>-417060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-2.5187124136445718</c:v>
                </c:pt>
                <c:pt idx="2">
                  <c:v>-0.84830479347247789</c:v>
                </c:pt>
                <c:pt idx="3">
                  <c:v>-6.2391897434068477E-2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-0.15764459669593481</c:v>
                </c:pt>
                <c:pt idx="1">
                  <c:v>-0.352878848998252</c:v>
                </c:pt>
                <c:pt idx="2">
                  <c:v>-0.42957288820959649</c:v>
                </c:pt>
                <c:pt idx="3">
                  <c:v>-0.29988536621000461</c:v>
                </c:pt>
                <c:pt idx="4">
                  <c:v>-0.4518647623834865</c:v>
                </c:pt>
                <c:pt idx="5">
                  <c:v>-0.30996370496442266</c:v>
                </c:pt>
                <c:pt idx="6">
                  <c:v>-0.25491579135679421</c:v>
                </c:pt>
                <c:pt idx="7">
                  <c:v>-0.26771163393490383</c:v>
                </c:pt>
                <c:pt idx="8">
                  <c:v>-0.19189210799861403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-36,24%</c:v>
                </c:pt>
                <c:pt idx="1">
                  <c:v>-36,24% to -29,27%</c:v>
                </c:pt>
                <c:pt idx="2">
                  <c:v>-29,27% to -22,30%</c:v>
                </c:pt>
                <c:pt idx="3">
                  <c:v>-22,30% to -15,33%</c:v>
                </c:pt>
                <c:pt idx="4">
                  <c:v>-15,33% to -8,36%</c:v>
                </c:pt>
                <c:pt idx="5">
                  <c:v>-8,36% to -1,39%</c:v>
                </c:pt>
                <c:pt idx="6">
                  <c:v>-1,39% to 5,59%</c:v>
                </c:pt>
                <c:pt idx="7">
                  <c:v>5,59% to 12,56%</c:v>
                </c:pt>
                <c:pt idx="8">
                  <c:v>12,56% to 19,53%</c:v>
                </c:pt>
                <c:pt idx="9">
                  <c:v>19,53% to 26,50%</c:v>
                </c:pt>
                <c:pt idx="10">
                  <c:v>26,50% to 33,47%</c:v>
                </c:pt>
                <c:pt idx="11">
                  <c:v>Greater than 33,47%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24</c:v>
                </c:pt>
                <c:pt idx="5">
                  <c:v>51</c:v>
                </c:pt>
                <c:pt idx="6">
                  <c:v>36</c:v>
                </c:pt>
                <c:pt idx="7">
                  <c:v>15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BFC-BC2A-530771AA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12E0-A9ED-4B10-9477-A6235426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85</v>
      </c>
      <c r="C2" s="19"/>
      <c r="E2" s="24" t="s">
        <v>68</v>
      </c>
      <c r="F2" s="35" t="s">
        <v>69</v>
      </c>
      <c r="G2" s="25"/>
      <c r="H2" s="26" t="s">
        <v>76</v>
      </c>
      <c r="I2" s="26" t="s">
        <v>1</v>
      </c>
      <c r="J2" s="27" t="s">
        <v>69</v>
      </c>
      <c r="L2" s="30" t="s">
        <v>62</v>
      </c>
      <c r="M2" s="31" t="s">
        <v>78</v>
      </c>
      <c r="N2" s="32" t="s">
        <v>77</v>
      </c>
    </row>
    <row r="3" spans="2:14" x14ac:dyDescent="0.25">
      <c r="B3" s="5" t="s">
        <v>61</v>
      </c>
      <c r="C3" s="20">
        <v>45336</v>
      </c>
      <c r="E3" s="5" t="s">
        <v>86</v>
      </c>
      <c r="F3" s="28" t="s">
        <v>87</v>
      </c>
      <c r="H3" t="s">
        <v>105</v>
      </c>
      <c r="I3" s="10"/>
      <c r="J3" s="40"/>
      <c r="L3" s="5"/>
      <c r="N3" s="39"/>
    </row>
    <row r="4" spans="2:14" x14ac:dyDescent="0.25">
      <c r="B4" s="5"/>
      <c r="C4" s="21">
        <v>0.84861111111111109</v>
      </c>
      <c r="E4" s="5" t="s">
        <v>88</v>
      </c>
      <c r="F4" s="28" t="s">
        <v>89</v>
      </c>
      <c r="H4" t="s">
        <v>106</v>
      </c>
      <c r="I4" s="10"/>
      <c r="J4" s="45">
        <v>1.66E-2</v>
      </c>
      <c r="L4" s="5"/>
      <c r="N4" s="13"/>
    </row>
    <row r="5" spans="2:14" x14ac:dyDescent="0.25">
      <c r="B5" s="5"/>
      <c r="C5" s="13"/>
      <c r="E5" s="5" t="s">
        <v>90</v>
      </c>
      <c r="F5" s="28" t="s">
        <v>91</v>
      </c>
      <c r="I5" s="10"/>
      <c r="J5" s="40"/>
      <c r="L5" s="5"/>
      <c r="N5" s="13"/>
    </row>
    <row r="6" spans="2:14" x14ac:dyDescent="0.25">
      <c r="B6" s="5" t="s">
        <v>0</v>
      </c>
      <c r="C6" s="13">
        <v>1.38</v>
      </c>
      <c r="E6" s="5" t="s">
        <v>92</v>
      </c>
      <c r="F6" s="28" t="s">
        <v>93</v>
      </c>
      <c r="I6" s="10"/>
      <c r="J6" s="40"/>
      <c r="L6" s="5"/>
      <c r="N6" s="13"/>
    </row>
    <row r="7" spans="2:14" x14ac:dyDescent="0.25">
      <c r="B7" s="5" t="s">
        <v>1</v>
      </c>
      <c r="C7" s="15"/>
      <c r="E7" s="5" t="s">
        <v>94</v>
      </c>
      <c r="F7" s="28" t="s">
        <v>95</v>
      </c>
      <c r="I7" s="10"/>
      <c r="J7" s="40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96</v>
      </c>
      <c r="F8" s="28" t="s">
        <v>97</v>
      </c>
      <c r="I8" s="10"/>
      <c r="J8" s="40"/>
      <c r="L8" s="5"/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98</v>
      </c>
      <c r="F9" s="28" t="s">
        <v>99</v>
      </c>
      <c r="I9" s="10"/>
      <c r="J9" s="40"/>
      <c r="L9" s="5"/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100</v>
      </c>
      <c r="F10" s="28" t="s">
        <v>99</v>
      </c>
      <c r="I10" s="10"/>
      <c r="J10" s="40"/>
      <c r="L10" s="5"/>
      <c r="N10" s="13"/>
    </row>
    <row r="11" spans="2:14" x14ac:dyDescent="0.25">
      <c r="B11" s="5" t="s">
        <v>42</v>
      </c>
      <c r="C11" s="15">
        <f>C9-C10</f>
        <v>0</v>
      </c>
      <c r="E11" s="5" t="s">
        <v>101</v>
      </c>
      <c r="F11" s="28" t="s">
        <v>102</v>
      </c>
      <c r="I11" s="10"/>
      <c r="J11" s="40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103</v>
      </c>
      <c r="F12" s="28" t="s">
        <v>104</v>
      </c>
      <c r="J12" s="13"/>
      <c r="L12" s="5"/>
      <c r="N12" s="13"/>
    </row>
    <row r="13" spans="2:14" x14ac:dyDescent="0.25">
      <c r="B13" s="5" t="s">
        <v>67</v>
      </c>
      <c r="C13" s="38">
        <f>C6/Model!W20</f>
        <v>-2.0811804863883103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8" t="e">
        <f>C6/Model!X21</f>
        <v>#DIV/0!</v>
      </c>
    </row>
    <row r="17" spans="2:5" x14ac:dyDescent="0.25">
      <c r="B17" s="22" t="s">
        <v>66</v>
      </c>
      <c r="C17" s="44" t="e">
        <f>C6/Model!Y21</f>
        <v>#DIV/0!</v>
      </c>
      <c r="E17" s="33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8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P30" sqref="P30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5" x14ac:dyDescent="0.25">
      <c r="A1" s="8" t="s">
        <v>43</v>
      </c>
    </row>
    <row r="2" spans="1:25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3" t="s">
        <v>60</v>
      </c>
      <c r="Q2" t="s">
        <v>82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</row>
    <row r="3" spans="1:25" x14ac:dyDescent="0.25">
      <c r="A3" t="s">
        <v>17</v>
      </c>
      <c r="B3" s="10">
        <v>95309</v>
      </c>
      <c r="C3" s="10">
        <v>114682</v>
      </c>
      <c r="D3" s="10">
        <v>127116</v>
      </c>
      <c r="E3" s="10">
        <v>140052</v>
      </c>
      <c r="F3" s="10">
        <v>146151</v>
      </c>
      <c r="G3" s="10">
        <v>171062</v>
      </c>
      <c r="H3" s="10">
        <v>185925</v>
      </c>
      <c r="I3" s="10">
        <v>166186</v>
      </c>
      <c r="J3" s="10">
        <v>177958</v>
      </c>
      <c r="K3" s="10">
        <v>183026</v>
      </c>
      <c r="L3" s="10">
        <v>195068</v>
      </c>
      <c r="M3" s="10">
        <v>195645</v>
      </c>
      <c r="N3" s="10">
        <v>195987</v>
      </c>
      <c r="O3" s="10">
        <v>187595</v>
      </c>
      <c r="P3" s="15">
        <v>204121</v>
      </c>
      <c r="Q3" s="10"/>
      <c r="U3" s="10">
        <v>421351</v>
      </c>
      <c r="V3" s="10">
        <f>SUM(E3:H3)</f>
        <v>643190</v>
      </c>
      <c r="W3" s="10">
        <f>SUM(I3:L3)</f>
        <v>722238</v>
      </c>
      <c r="X3" s="15">
        <f>SUM(M3:P3)</f>
        <v>783348</v>
      </c>
      <c r="Y3" s="10"/>
    </row>
    <row r="4" spans="1:25" x14ac:dyDescent="0.25">
      <c r="A4" s="9" t="s">
        <v>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6"/>
      <c r="Q4" s="10"/>
      <c r="U4" s="10"/>
      <c r="V4" s="10"/>
      <c r="W4" s="10"/>
      <c r="X4" s="15"/>
      <c r="Y4" s="10"/>
    </row>
    <row r="5" spans="1:25" x14ac:dyDescent="0.25">
      <c r="A5" t="s">
        <v>79</v>
      </c>
      <c r="B5" s="10">
        <v>64498</v>
      </c>
      <c r="C5" s="10">
        <v>78731</v>
      </c>
      <c r="D5" s="10">
        <v>91917</v>
      </c>
      <c r="E5" s="10">
        <v>98118</v>
      </c>
      <c r="F5" s="10">
        <v>107544</v>
      </c>
      <c r="G5" s="10">
        <v>126185</v>
      </c>
      <c r="H5" s="10">
        <v>156330</v>
      </c>
      <c r="I5" s="10">
        <v>150338</v>
      </c>
      <c r="J5" s="10">
        <v>149814</v>
      </c>
      <c r="K5" s="10">
        <v>178044</v>
      </c>
      <c r="L5" s="10">
        <v>164015</v>
      </c>
      <c r="M5" s="10">
        <v>161557</v>
      </c>
      <c r="N5" s="10">
        <v>158331</v>
      </c>
      <c r="O5" s="10">
        <v>155034</v>
      </c>
      <c r="P5" s="15">
        <v>156343</v>
      </c>
      <c r="U5" s="10">
        <v>292107</v>
      </c>
      <c r="V5" s="10">
        <f>SUM(E5:H5)</f>
        <v>488177</v>
      </c>
      <c r="W5" s="10">
        <f>SUM(I5:L5)</f>
        <v>642211</v>
      </c>
      <c r="X5" s="15">
        <f>SUM(M5:P5)</f>
        <v>631265</v>
      </c>
      <c r="Y5" s="10"/>
    </row>
    <row r="6" spans="1:25" x14ac:dyDescent="0.25">
      <c r="A6" t="s">
        <v>107</v>
      </c>
      <c r="B6" s="10">
        <v>1303</v>
      </c>
      <c r="C6" s="10">
        <v>1692</v>
      </c>
      <c r="D6" s="10">
        <v>2657</v>
      </c>
      <c r="E6" s="10">
        <v>3092</v>
      </c>
      <c r="F6" s="10">
        <v>3952</v>
      </c>
      <c r="G6" s="10">
        <v>4052</v>
      </c>
      <c r="H6" s="10">
        <v>5675</v>
      </c>
      <c r="I6" s="10">
        <v>4264</v>
      </c>
      <c r="J6" s="10">
        <v>5718</v>
      </c>
      <c r="K6" s="10">
        <v>5245</v>
      </c>
      <c r="L6" s="10">
        <v>7035</v>
      </c>
      <c r="M6" s="10">
        <v>5714</v>
      </c>
      <c r="N6" s="10">
        <v>5321</v>
      </c>
      <c r="O6" s="10">
        <v>4684</v>
      </c>
      <c r="P6" s="15">
        <v>5328</v>
      </c>
      <c r="U6" s="10">
        <v>6831</v>
      </c>
      <c r="V6" s="10">
        <f t="shared" ref="V6:V10" si="0">SUM(E6:H6)</f>
        <v>16771</v>
      </c>
      <c r="W6" s="10">
        <f>SUM(I6:L6)</f>
        <v>22262</v>
      </c>
      <c r="X6" s="15">
        <f>SUM(M6:P6)</f>
        <v>21047</v>
      </c>
      <c r="Y6" s="10"/>
    </row>
    <row r="7" spans="1:25" x14ac:dyDescent="0.25">
      <c r="A7" t="s">
        <v>108</v>
      </c>
      <c r="B7" s="10">
        <v>33345</v>
      </c>
      <c r="C7" s="10">
        <v>40591</v>
      </c>
      <c r="D7" s="10">
        <v>63015</v>
      </c>
      <c r="E7" s="10">
        <v>66807</v>
      </c>
      <c r="F7" s="10">
        <v>83132</v>
      </c>
      <c r="G7" s="10">
        <v>85090</v>
      </c>
      <c r="H7" s="10">
        <v>118900</v>
      </c>
      <c r="I7" s="10">
        <v>104073</v>
      </c>
      <c r="J7" s="10">
        <v>97060</v>
      </c>
      <c r="K7" s="10">
        <v>103765</v>
      </c>
      <c r="L7" s="10">
        <v>107901</v>
      </c>
      <c r="M7" s="10">
        <v>98855</v>
      </c>
      <c r="N7" s="10">
        <v>106695</v>
      </c>
      <c r="O7" s="10">
        <v>87125</v>
      </c>
      <c r="P7" s="15">
        <v>80721</v>
      </c>
      <c r="U7" s="10">
        <v>167792</v>
      </c>
      <c r="V7" s="10">
        <f t="shared" si="0"/>
        <v>353929</v>
      </c>
      <c r="W7" s="10">
        <f>SUM(I7:L7)</f>
        <v>412799</v>
      </c>
      <c r="X7" s="15">
        <f>SUM(M7:P7)</f>
        <v>373396</v>
      </c>
      <c r="Y7" s="10"/>
    </row>
    <row r="8" spans="1:25" x14ac:dyDescent="0.25">
      <c r="A8" t="s">
        <v>27</v>
      </c>
      <c r="B8" s="10">
        <v>510</v>
      </c>
      <c r="C8" s="10">
        <v>1550</v>
      </c>
      <c r="D8" s="10">
        <v>-780</v>
      </c>
      <c r="E8" s="10">
        <v>550</v>
      </c>
      <c r="F8" s="10">
        <v>-373</v>
      </c>
      <c r="G8" s="10">
        <v>192</v>
      </c>
      <c r="H8" s="10">
        <v>-2313</v>
      </c>
      <c r="I8" s="10">
        <v>-332</v>
      </c>
      <c r="J8" s="10">
        <v>-205</v>
      </c>
      <c r="K8" s="10">
        <v>340</v>
      </c>
      <c r="L8" s="10">
        <v>41148</v>
      </c>
      <c r="M8" s="10">
        <v>1088</v>
      </c>
      <c r="N8" s="10">
        <v>1120</v>
      </c>
      <c r="O8" s="10">
        <v>8100</v>
      </c>
      <c r="P8" s="15">
        <v>204344</v>
      </c>
      <c r="U8" s="10">
        <v>1714</v>
      </c>
      <c r="V8" s="10">
        <f t="shared" si="0"/>
        <v>-1944</v>
      </c>
      <c r="W8" s="10">
        <f>SUM(I8:L8)</f>
        <v>40951</v>
      </c>
      <c r="X8" s="15">
        <f>SUM(M8:P8)</f>
        <v>214652</v>
      </c>
      <c r="Y8" s="10"/>
    </row>
    <row r="9" spans="1:25" s="1" customFormat="1" x14ac:dyDescent="0.25">
      <c r="A9" s="1" t="s">
        <v>23</v>
      </c>
      <c r="B9" s="11">
        <f>B3-B5-B6-B7-B8</f>
        <v>-4347</v>
      </c>
      <c r="C9" s="11">
        <f t="shared" ref="C9:P9" si="1">C3-C5-C6-C7-C8</f>
        <v>-7882</v>
      </c>
      <c r="D9" s="11">
        <f t="shared" si="1"/>
        <v>-29693</v>
      </c>
      <c r="E9" s="11">
        <f t="shared" si="1"/>
        <v>-28515</v>
      </c>
      <c r="F9" s="11">
        <f>F3-F5-F6-F7-F8</f>
        <v>-48104</v>
      </c>
      <c r="G9" s="11">
        <f t="shared" si="1"/>
        <v>-44457</v>
      </c>
      <c r="H9" s="11">
        <f t="shared" si="1"/>
        <v>-92667</v>
      </c>
      <c r="I9" s="11">
        <f t="shared" si="1"/>
        <v>-92157</v>
      </c>
      <c r="J9" s="11">
        <f t="shared" si="1"/>
        <v>-74429</v>
      </c>
      <c r="K9" s="11">
        <f t="shared" si="1"/>
        <v>-104368</v>
      </c>
      <c r="L9" s="11">
        <f t="shared" si="1"/>
        <v>-125031</v>
      </c>
      <c r="M9" s="11">
        <f t="shared" si="1"/>
        <v>-71569</v>
      </c>
      <c r="N9" s="11">
        <f t="shared" si="1"/>
        <v>-75480</v>
      </c>
      <c r="O9" s="11">
        <f t="shared" si="1"/>
        <v>-67348</v>
      </c>
      <c r="P9" s="14">
        <f t="shared" si="1"/>
        <v>-242615</v>
      </c>
      <c r="U9" s="11">
        <f t="shared" ref="U9:X9" si="2">U3-U5-U6-U7-U8</f>
        <v>-47093</v>
      </c>
      <c r="V9" s="11">
        <f t="shared" si="2"/>
        <v>-213743</v>
      </c>
      <c r="W9" s="11">
        <f t="shared" si="2"/>
        <v>-395985</v>
      </c>
      <c r="X9" s="14">
        <f t="shared" si="2"/>
        <v>-457012</v>
      </c>
      <c r="Y9" s="11"/>
    </row>
    <row r="10" spans="1:25" x14ac:dyDescent="0.25">
      <c r="A10" t="s">
        <v>109</v>
      </c>
      <c r="B10" s="10">
        <v>-23</v>
      </c>
      <c r="C10" s="10">
        <v>-1971</v>
      </c>
      <c r="D10" s="10">
        <v>-6213</v>
      </c>
      <c r="E10" s="10">
        <v>-1920</v>
      </c>
      <c r="F10" s="10">
        <v>-10696</v>
      </c>
      <c r="G10" s="10">
        <v>3831</v>
      </c>
      <c r="H10" s="10">
        <v>7480</v>
      </c>
      <c r="I10" s="10">
        <v>3577</v>
      </c>
      <c r="J10" s="10">
        <v>-593</v>
      </c>
      <c r="K10" s="10">
        <v>-7491</v>
      </c>
      <c r="L10" s="10">
        <v>3098</v>
      </c>
      <c r="M10" s="10">
        <v>-1996</v>
      </c>
      <c r="N10" s="10">
        <v>-11512</v>
      </c>
      <c r="O10" s="10">
        <v>112841</v>
      </c>
      <c r="P10" s="15">
        <v>-50486</v>
      </c>
      <c r="U10" s="10">
        <v>-10857</v>
      </c>
      <c r="V10" s="10">
        <f t="shared" si="0"/>
        <v>-1305</v>
      </c>
      <c r="W10" s="10">
        <f>SUM(I10:L10)</f>
        <v>-1409</v>
      </c>
      <c r="X10" s="15">
        <f>SUM(M10:P10)</f>
        <v>48847</v>
      </c>
      <c r="Y10" s="10"/>
    </row>
    <row r="11" spans="1:25" s="1" customFormat="1" x14ac:dyDescent="0.25">
      <c r="A11" s="1" t="s">
        <v>19</v>
      </c>
      <c r="B11" s="11">
        <f t="shared" ref="B11:P11" si="3">B9+B10</f>
        <v>-4370</v>
      </c>
      <c r="C11" s="11">
        <f t="shared" si="3"/>
        <v>-9853</v>
      </c>
      <c r="D11" s="11">
        <f t="shared" si="3"/>
        <v>-35906</v>
      </c>
      <c r="E11" s="11">
        <f t="shared" si="3"/>
        <v>-30435</v>
      </c>
      <c r="F11" s="11">
        <f t="shared" si="3"/>
        <v>-58800</v>
      </c>
      <c r="G11" s="11">
        <f t="shared" si="3"/>
        <v>-40626</v>
      </c>
      <c r="H11" s="11">
        <f t="shared" si="3"/>
        <v>-85187</v>
      </c>
      <c r="I11" s="11">
        <f t="shared" si="3"/>
        <v>-88580</v>
      </c>
      <c r="J11" s="11">
        <f t="shared" si="3"/>
        <v>-75022</v>
      </c>
      <c r="K11" s="11">
        <f t="shared" si="3"/>
        <v>-111859</v>
      </c>
      <c r="L11" s="11">
        <f t="shared" si="3"/>
        <v>-121933</v>
      </c>
      <c r="M11" s="11">
        <f t="shared" si="3"/>
        <v>-73565</v>
      </c>
      <c r="N11" s="11">
        <f t="shared" si="3"/>
        <v>-86992</v>
      </c>
      <c r="O11" s="11">
        <f t="shared" si="3"/>
        <v>45493</v>
      </c>
      <c r="P11" s="14">
        <f t="shared" si="3"/>
        <v>-293101</v>
      </c>
      <c r="U11" s="11">
        <f t="shared" ref="U11:X11" si="4">U9+U10</f>
        <v>-57950</v>
      </c>
      <c r="V11" s="11">
        <f t="shared" si="4"/>
        <v>-215048</v>
      </c>
      <c r="W11" s="11">
        <f t="shared" si="4"/>
        <v>-397394</v>
      </c>
      <c r="X11" s="14">
        <f t="shared" si="4"/>
        <v>-408165</v>
      </c>
      <c r="Y11" s="11"/>
    </row>
    <row r="12" spans="1:25" x14ac:dyDescent="0.25">
      <c r="A12" t="s">
        <v>20</v>
      </c>
      <c r="B12" s="10">
        <v>-420</v>
      </c>
      <c r="C12" s="10">
        <v>-554</v>
      </c>
      <c r="D12" s="10">
        <v>-1085</v>
      </c>
      <c r="E12" s="10">
        <v>-1948</v>
      </c>
      <c r="F12" s="10">
        <v>-264</v>
      </c>
      <c r="G12" s="10">
        <v>-567</v>
      </c>
      <c r="H12" s="10">
        <v>5434</v>
      </c>
      <c r="I12" s="10">
        <v>1121</v>
      </c>
      <c r="J12" s="10">
        <v>3032</v>
      </c>
      <c r="K12" s="10">
        <v>3910</v>
      </c>
      <c r="L12" s="10">
        <v>-3236</v>
      </c>
      <c r="M12" s="10">
        <v>-2012</v>
      </c>
      <c r="N12" s="10">
        <v>273</v>
      </c>
      <c r="O12" s="10">
        <v>-1482</v>
      </c>
      <c r="P12" s="15">
        <v>-5674</v>
      </c>
      <c r="U12" s="10">
        <v>-2411</v>
      </c>
      <c r="V12" s="10">
        <f>SUM(E12:H12)</f>
        <v>2655</v>
      </c>
      <c r="W12" s="10">
        <f>SUM(I12:L12)</f>
        <v>4827</v>
      </c>
      <c r="X12" s="15">
        <f>SUM(M12:P12)</f>
        <v>-8895</v>
      </c>
      <c r="Y12" s="10"/>
    </row>
    <row r="13" spans="1:25" s="1" customFormat="1" x14ac:dyDescent="0.25">
      <c r="A13" s="1" t="s">
        <v>21</v>
      </c>
      <c r="B13" s="11">
        <f t="shared" ref="B13:Q13" si="5">B11+B12</f>
        <v>-4790</v>
      </c>
      <c r="C13" s="11">
        <f t="shared" si="5"/>
        <v>-10407</v>
      </c>
      <c r="D13" s="11">
        <f t="shared" si="5"/>
        <v>-36991</v>
      </c>
      <c r="E13" s="11">
        <f t="shared" si="5"/>
        <v>-32383</v>
      </c>
      <c r="F13" s="11">
        <f t="shared" si="5"/>
        <v>-59064</v>
      </c>
      <c r="G13" s="11">
        <f t="shared" si="5"/>
        <v>-41193</v>
      </c>
      <c r="H13" s="11">
        <f t="shared" si="5"/>
        <v>-79753</v>
      </c>
      <c r="I13" s="11">
        <f t="shared" si="5"/>
        <v>-87459</v>
      </c>
      <c r="J13" s="11">
        <f t="shared" si="5"/>
        <v>-71990</v>
      </c>
      <c r="K13" s="11">
        <f t="shared" si="5"/>
        <v>-107949</v>
      </c>
      <c r="L13" s="11">
        <f t="shared" si="5"/>
        <v>-125169</v>
      </c>
      <c r="M13" s="11">
        <f t="shared" si="5"/>
        <v>-75577</v>
      </c>
      <c r="N13" s="11">
        <f t="shared" si="5"/>
        <v>-86719</v>
      </c>
      <c r="O13" s="11">
        <f t="shared" si="5"/>
        <v>44011</v>
      </c>
      <c r="P13" s="14">
        <f t="shared" si="5"/>
        <v>-298775</v>
      </c>
      <c r="Q13" s="11">
        <f t="shared" si="5"/>
        <v>0</v>
      </c>
      <c r="R13" s="11"/>
      <c r="U13" s="11">
        <f t="shared" ref="U13:Y13" si="6">U11+U12</f>
        <v>-60361</v>
      </c>
      <c r="V13" s="11">
        <f t="shared" si="6"/>
        <v>-212393</v>
      </c>
      <c r="W13" s="11">
        <f t="shared" si="6"/>
        <v>-392567</v>
      </c>
      <c r="X13" s="14">
        <f t="shared" si="6"/>
        <v>-417060</v>
      </c>
      <c r="Y13" s="11">
        <f t="shared" si="6"/>
        <v>0</v>
      </c>
    </row>
    <row r="14" spans="1:25" x14ac:dyDescent="0.25">
      <c r="A14" s="48" t="s">
        <v>24</v>
      </c>
      <c r="B14" s="49">
        <v>3113</v>
      </c>
      <c r="C14" s="49">
        <v>3256</v>
      </c>
      <c r="D14" s="49">
        <v>3898</v>
      </c>
      <c r="E14" s="49">
        <v>3822</v>
      </c>
      <c r="F14" s="49">
        <v>4642</v>
      </c>
      <c r="G14" s="49">
        <v>7922</v>
      </c>
      <c r="H14" s="49">
        <v>10836</v>
      </c>
      <c r="I14" s="49">
        <v>10731</v>
      </c>
      <c r="J14" s="49">
        <v>11877</v>
      </c>
      <c r="K14" s="49">
        <v>12157</v>
      </c>
      <c r="L14" s="49">
        <v>13835</v>
      </c>
      <c r="M14" s="49">
        <v>12233</v>
      </c>
      <c r="N14" s="49">
        <v>12464</v>
      </c>
      <c r="O14" s="49">
        <v>12559</v>
      </c>
      <c r="P14" s="52">
        <v>14618</v>
      </c>
      <c r="Q14" s="49"/>
      <c r="R14" s="49"/>
      <c r="S14" s="48"/>
      <c r="T14" s="48"/>
      <c r="U14" s="49">
        <v>13118</v>
      </c>
      <c r="V14" s="49">
        <v>27222</v>
      </c>
      <c r="W14" s="49">
        <f>SUM(I14:L14)</f>
        <v>48600</v>
      </c>
      <c r="X14" s="52">
        <f>SUM(M14:P14)</f>
        <v>51874</v>
      </c>
      <c r="Y14" s="49"/>
    </row>
    <row r="15" spans="1:25" s="1" customFormat="1" x14ac:dyDescent="0.25">
      <c r="A15" s="50" t="s">
        <v>129</v>
      </c>
      <c r="B15" s="51">
        <f>B13+B14-B12-B10</f>
        <v>-1234</v>
      </c>
      <c r="C15" s="51">
        <f>C13+C14-C12-C10</f>
        <v>-4626</v>
      </c>
      <c r="D15" s="51">
        <f t="shared" ref="D15:N15" si="7">D13+D14-D12-D10</f>
        <v>-25795</v>
      </c>
      <c r="E15" s="51">
        <f t="shared" si="7"/>
        <v>-24693</v>
      </c>
      <c r="F15" s="51">
        <f t="shared" si="7"/>
        <v>-43462</v>
      </c>
      <c r="G15" s="51">
        <f t="shared" si="7"/>
        <v>-36535</v>
      </c>
      <c r="H15" s="51">
        <f t="shared" si="7"/>
        <v>-81831</v>
      </c>
      <c r="I15" s="51">
        <f t="shared" si="7"/>
        <v>-81426</v>
      </c>
      <c r="J15" s="51">
        <f t="shared" si="7"/>
        <v>-62552</v>
      </c>
      <c r="K15" s="51">
        <f t="shared" si="7"/>
        <v>-92211</v>
      </c>
      <c r="L15" s="51">
        <f t="shared" si="7"/>
        <v>-111196</v>
      </c>
      <c r="M15" s="51">
        <f t="shared" si="7"/>
        <v>-59336</v>
      </c>
      <c r="N15" s="51">
        <f t="shared" si="7"/>
        <v>-63016</v>
      </c>
      <c r="O15" s="51">
        <f>O13+O14-O12-O10</f>
        <v>-54789</v>
      </c>
      <c r="P15" s="53">
        <f>P13+P14-P12-P10</f>
        <v>-227997</v>
      </c>
      <c r="Q15" s="51"/>
      <c r="R15" s="51"/>
      <c r="S15" s="50"/>
      <c r="T15" s="50"/>
      <c r="U15" s="51">
        <f t="shared" ref="U15:X15" si="8">U13+U14-U12-U10</f>
        <v>-33975</v>
      </c>
      <c r="V15" s="51">
        <f t="shared" si="8"/>
        <v>-186521</v>
      </c>
      <c r="W15" s="51">
        <f t="shared" si="8"/>
        <v>-347385</v>
      </c>
      <c r="X15" s="53">
        <f t="shared" si="8"/>
        <v>-405138</v>
      </c>
      <c r="Y15" s="51"/>
    </row>
    <row r="16" spans="1:25" x14ac:dyDescent="0.25">
      <c r="A16" s="48" t="s">
        <v>130</v>
      </c>
      <c r="B16" s="49"/>
      <c r="C16" s="49"/>
      <c r="D16" s="49"/>
      <c r="E16" s="49"/>
      <c r="F16" s="49">
        <v>4466</v>
      </c>
      <c r="G16" s="49">
        <v>9568</v>
      </c>
      <c r="H16" s="49">
        <v>9598</v>
      </c>
      <c r="I16" s="49">
        <v>10037</v>
      </c>
      <c r="J16" s="49">
        <v>9185</v>
      </c>
      <c r="K16" s="49">
        <v>8503</v>
      </c>
      <c r="L16" s="49">
        <v>7741</v>
      </c>
      <c r="M16" s="49">
        <v>8047</v>
      </c>
      <c r="N16" s="49">
        <v>2422</v>
      </c>
      <c r="O16" s="49">
        <v>6290</v>
      </c>
      <c r="P16" s="52">
        <v>4587</v>
      </c>
      <c r="Q16" s="49"/>
      <c r="R16" s="49"/>
      <c r="S16" s="48"/>
      <c r="T16" s="48"/>
      <c r="U16" s="49">
        <v>1014</v>
      </c>
      <c r="V16" s="49">
        <v>9598</v>
      </c>
      <c r="W16" s="49">
        <f>SUM(I16:L16)</f>
        <v>35466</v>
      </c>
      <c r="X16" s="52">
        <f>SUM(M16:P16)</f>
        <v>21346</v>
      </c>
      <c r="Y16" s="49"/>
    </row>
    <row r="17" spans="1:25" x14ac:dyDescent="0.25">
      <c r="A17" s="48" t="s">
        <v>27</v>
      </c>
      <c r="B17" s="49"/>
      <c r="C17" s="49">
        <v>11</v>
      </c>
      <c r="D17" s="49">
        <v>668</v>
      </c>
      <c r="E17" s="49">
        <v>2223</v>
      </c>
      <c r="F17" s="49">
        <v>7065</v>
      </c>
      <c r="G17" s="49"/>
      <c r="H17" s="49">
        <f>1654+4970</f>
        <v>6624</v>
      </c>
      <c r="I17" s="49"/>
      <c r="J17" s="49"/>
      <c r="K17" s="49">
        <v>1005</v>
      </c>
      <c r="L17" s="49">
        <f>3410+39581</f>
        <v>42991</v>
      </c>
      <c r="M17" s="49">
        <f>1195+221</f>
        <v>1416</v>
      </c>
      <c r="N17" s="49">
        <f>7972+154</f>
        <v>8126</v>
      </c>
      <c r="O17" s="49">
        <f>3177+9250+74</f>
        <v>12501</v>
      </c>
      <c r="P17" s="52">
        <f>2416+201560</f>
        <v>203976</v>
      </c>
      <c r="Q17" s="49"/>
      <c r="R17" s="49"/>
      <c r="S17" s="48"/>
      <c r="T17" s="48"/>
      <c r="U17" s="49">
        <v>679</v>
      </c>
      <c r="V17" s="49">
        <f>1654+4970</f>
        <v>6624</v>
      </c>
      <c r="W17" s="49">
        <f>SUM(I17:L17)</f>
        <v>43996</v>
      </c>
      <c r="X17" s="52">
        <f>SUM(M17:P17)</f>
        <v>226019</v>
      </c>
      <c r="Y17" s="49"/>
    </row>
    <row r="18" spans="1:25" s="1" customFormat="1" x14ac:dyDescent="0.25">
      <c r="A18" s="50" t="s">
        <v>131</v>
      </c>
      <c r="B18" s="51">
        <f>B15+B16+B17</f>
        <v>-1234</v>
      </c>
      <c r="C18" s="51">
        <f t="shared" ref="C18:P18" si="9">C15+C16+C17</f>
        <v>-4615</v>
      </c>
      <c r="D18" s="51">
        <f t="shared" si="9"/>
        <v>-25127</v>
      </c>
      <c r="E18" s="51">
        <f t="shared" si="9"/>
        <v>-22470</v>
      </c>
      <c r="F18" s="51">
        <f t="shared" si="9"/>
        <v>-31931</v>
      </c>
      <c r="G18" s="51">
        <f t="shared" si="9"/>
        <v>-26967</v>
      </c>
      <c r="H18" s="51">
        <f t="shared" si="9"/>
        <v>-65609</v>
      </c>
      <c r="I18" s="51">
        <f t="shared" si="9"/>
        <v>-71389</v>
      </c>
      <c r="J18" s="51">
        <f t="shared" si="9"/>
        <v>-53367</v>
      </c>
      <c r="K18" s="51">
        <f t="shared" si="9"/>
        <v>-82703</v>
      </c>
      <c r="L18" s="51">
        <f t="shared" si="9"/>
        <v>-60464</v>
      </c>
      <c r="M18" s="51">
        <f t="shared" si="9"/>
        <v>-49873</v>
      </c>
      <c r="N18" s="51">
        <f t="shared" si="9"/>
        <v>-52468</v>
      </c>
      <c r="O18" s="51">
        <f t="shared" si="9"/>
        <v>-35998</v>
      </c>
      <c r="P18" s="53">
        <f t="shared" si="9"/>
        <v>-19434</v>
      </c>
      <c r="Q18" s="51"/>
      <c r="R18" s="51"/>
      <c r="S18" s="50"/>
      <c r="T18" s="50"/>
      <c r="U18" s="51">
        <f t="shared" ref="U18:X18" si="10">U15+U16+U17</f>
        <v>-32282</v>
      </c>
      <c r="V18" s="51">
        <f t="shared" si="10"/>
        <v>-170299</v>
      </c>
      <c r="W18" s="51">
        <f t="shared" si="10"/>
        <v>-267923</v>
      </c>
      <c r="X18" s="53">
        <f t="shared" si="10"/>
        <v>-157773</v>
      </c>
      <c r="Y18" s="51"/>
    </row>
    <row r="19" spans="1:25" x14ac:dyDescent="0.25">
      <c r="A19" t="s">
        <v>1</v>
      </c>
      <c r="B19" s="10">
        <f>B13/B20</f>
        <v>479000</v>
      </c>
      <c r="C19" s="10">
        <f>C13/C20</f>
        <v>520350</v>
      </c>
      <c r="D19" s="10">
        <v>480229</v>
      </c>
      <c r="E19" s="10">
        <v>480299</v>
      </c>
      <c r="F19" s="10">
        <f>F13/F20</f>
        <v>536945.45454545459</v>
      </c>
      <c r="G19" s="10">
        <f>G13/G20</f>
        <v>588471.42857142852</v>
      </c>
      <c r="H19" s="10">
        <v>591777</v>
      </c>
      <c r="I19" s="10">
        <v>591777</v>
      </c>
      <c r="J19" s="10">
        <v>591945</v>
      </c>
      <c r="K19" s="10">
        <v>592163</v>
      </c>
      <c r="L19" s="10">
        <v>592234</v>
      </c>
      <c r="M19" s="10">
        <v>592319</v>
      </c>
      <c r="N19" s="10">
        <v>593189</v>
      </c>
      <c r="O19" s="10">
        <v>594255</v>
      </c>
      <c r="P19" s="15">
        <v>594606</v>
      </c>
      <c r="Q19" s="10"/>
      <c r="R19" s="10"/>
      <c r="U19" s="10">
        <v>454266</v>
      </c>
      <c r="V19" s="10">
        <v>549080</v>
      </c>
      <c r="W19" s="10">
        <v>592031</v>
      </c>
      <c r="X19" s="15">
        <v>593600</v>
      </c>
      <c r="Y19" s="10"/>
    </row>
    <row r="20" spans="1:25" s="1" customFormat="1" x14ac:dyDescent="0.25">
      <c r="A20" s="1" t="s">
        <v>22</v>
      </c>
      <c r="B20" s="2">
        <v>-0.01</v>
      </c>
      <c r="C20" s="2">
        <v>-0.02</v>
      </c>
      <c r="D20" s="2">
        <f>D13/D19</f>
        <v>-7.7027834637225151E-2</v>
      </c>
      <c r="E20" s="2">
        <f>E13/E19</f>
        <v>-6.7422584681625403E-2</v>
      </c>
      <c r="F20" s="2">
        <v>-0.11</v>
      </c>
      <c r="G20" s="2">
        <v>-7.0000000000000007E-2</v>
      </c>
      <c r="H20" s="2">
        <f>H13/H19</f>
        <v>-0.13476867130692813</v>
      </c>
      <c r="I20" s="2">
        <f>I13/I19</f>
        <v>-0.14779046836899712</v>
      </c>
      <c r="J20" s="2">
        <f t="shared" ref="J20:P20" si="11">J13/J19</f>
        <v>-0.12161602851616282</v>
      </c>
      <c r="K20" s="2">
        <f t="shared" si="11"/>
        <v>-0.18229609077230424</v>
      </c>
      <c r="L20" s="2">
        <f t="shared" si="11"/>
        <v>-0.21135058102033993</v>
      </c>
      <c r="M20" s="2">
        <f t="shared" si="11"/>
        <v>-0.12759509656114357</v>
      </c>
      <c r="N20" s="2">
        <f t="shared" si="11"/>
        <v>-0.1461911802140633</v>
      </c>
      <c r="O20" s="2">
        <f t="shared" si="11"/>
        <v>7.4060798815323389E-2</v>
      </c>
      <c r="P20" s="37">
        <f t="shared" si="11"/>
        <v>-0.50247558887734067</v>
      </c>
      <c r="Q20" s="36"/>
      <c r="R20" s="36"/>
      <c r="U20" s="2">
        <f>U13/U19</f>
        <v>-0.13287589209846212</v>
      </c>
      <c r="V20" s="2">
        <f>V13/V19</f>
        <v>-0.38681612879726085</v>
      </c>
      <c r="W20" s="2">
        <f>W13/W19</f>
        <v>-0.66308521006501353</v>
      </c>
      <c r="X20" s="37">
        <f>X13/X19</f>
        <v>-0.70259433962264151</v>
      </c>
      <c r="Y20" s="2"/>
    </row>
    <row r="21" spans="1:25" s="1" customFormat="1" x14ac:dyDescent="0.25">
      <c r="A21" s="9" t="s">
        <v>83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7"/>
      <c r="Q21" s="36"/>
      <c r="R21" s="36"/>
      <c r="U21" s="2"/>
      <c r="V21" s="2"/>
      <c r="W21" s="2"/>
      <c r="X21" s="37"/>
      <c r="Y21" s="2"/>
    </row>
    <row r="22" spans="1:25" s="1" customFormat="1" x14ac:dyDescent="0.25">
      <c r="A22" t="s">
        <v>32</v>
      </c>
      <c r="B22" s="3">
        <f>1-B5/B3</f>
        <v>0.32327482189509915</v>
      </c>
      <c r="C22" s="3">
        <f>1-C5/C3</f>
        <v>0.31348424338605885</v>
      </c>
      <c r="D22" s="3">
        <f>1-D5/D3</f>
        <v>0.27690455961483995</v>
      </c>
      <c r="E22" s="3">
        <f>1-E5/E3</f>
        <v>0.2994173592665581</v>
      </c>
      <c r="F22" s="3">
        <f>1-F5/F3</f>
        <v>0.26415830203009216</v>
      </c>
      <c r="G22" s="3">
        <f t="shared" ref="G22:P22" si="12">1-G5/G3</f>
        <v>0.26234347780336953</v>
      </c>
      <c r="H22" s="3">
        <f t="shared" si="12"/>
        <v>0.15917708753529647</v>
      </c>
      <c r="I22" s="3">
        <f t="shared" si="12"/>
        <v>9.5363026969780829E-2</v>
      </c>
      <c r="J22" s="3">
        <f t="shared" si="12"/>
        <v>0.15814967576619199</v>
      </c>
      <c r="K22" s="3">
        <f t="shared" si="12"/>
        <v>2.7220176368384807E-2</v>
      </c>
      <c r="L22" s="3">
        <f t="shared" si="12"/>
        <v>0.1591906412122952</v>
      </c>
      <c r="M22" s="3">
        <f t="shared" si="12"/>
        <v>0.17423394413350712</v>
      </c>
      <c r="N22" s="3">
        <f t="shared" si="12"/>
        <v>0.19213519264032819</v>
      </c>
      <c r="O22" s="41">
        <f t="shared" si="12"/>
        <v>0.17357072416642239</v>
      </c>
      <c r="P22" s="6">
        <f t="shared" si="12"/>
        <v>0.23406704846635085</v>
      </c>
      <c r="U22" s="3">
        <f t="shared" ref="U22:W22" si="13">1-U5/U3</f>
        <v>0.30673713839530459</v>
      </c>
      <c r="V22" s="3">
        <f t="shared" si="13"/>
        <v>0.24100654549977452</v>
      </c>
      <c r="W22" s="3">
        <f t="shared" si="13"/>
        <v>0.11080419473913028</v>
      </c>
      <c r="X22" s="6">
        <f>1-X5/X3</f>
        <v>0.19414487558530824</v>
      </c>
      <c r="Y22" s="3"/>
    </row>
    <row r="23" spans="1:25" x14ac:dyDescent="0.25">
      <c r="A23" t="s">
        <v>33</v>
      </c>
      <c r="B23" s="4">
        <f t="shared" ref="B23:P23" si="14">B13/B3</f>
        <v>-5.02575832292858E-2</v>
      </c>
      <c r="C23" s="4">
        <f t="shared" si="14"/>
        <v>-9.0746586212308814E-2</v>
      </c>
      <c r="D23" s="4">
        <f t="shared" si="14"/>
        <v>-0.29100191950659238</v>
      </c>
      <c r="E23" s="4">
        <f t="shared" si="14"/>
        <v>-0.23122126067460658</v>
      </c>
      <c r="F23" s="4">
        <f t="shared" si="14"/>
        <v>-0.40412997516267424</v>
      </c>
      <c r="G23" s="4">
        <f t="shared" si="14"/>
        <v>-0.24080742654709988</v>
      </c>
      <c r="H23" s="4">
        <f t="shared" si="14"/>
        <v>-0.42895253462417643</v>
      </c>
      <c r="I23" s="4">
        <f t="shared" si="14"/>
        <v>-0.52627176777827256</v>
      </c>
      <c r="J23" s="4">
        <f t="shared" si="14"/>
        <v>-0.40453365400824914</v>
      </c>
      <c r="K23" s="4">
        <f t="shared" si="14"/>
        <v>-0.58980144897446263</v>
      </c>
      <c r="L23" s="4">
        <f t="shared" si="14"/>
        <v>-0.64166854635306658</v>
      </c>
      <c r="M23" s="4">
        <f t="shared" si="14"/>
        <v>-0.38629660865342841</v>
      </c>
      <c r="N23" s="4">
        <f t="shared" si="14"/>
        <v>-0.44247322526494104</v>
      </c>
      <c r="O23" s="4">
        <f t="shared" si="14"/>
        <v>0.23460646605719768</v>
      </c>
      <c r="P23" s="7">
        <f t="shared" si="14"/>
        <v>-1.4637151493476908</v>
      </c>
      <c r="U23" s="4">
        <f>U13/U3</f>
        <v>-0.14325586031598359</v>
      </c>
      <c r="V23" s="4">
        <f>V13/V3</f>
        <v>-0.3302181315008007</v>
      </c>
      <c r="W23" s="4">
        <f>W13/W3</f>
        <v>-0.5435424333806862</v>
      </c>
      <c r="X23" s="7">
        <f>X13/X3</f>
        <v>-0.53240705280411771</v>
      </c>
      <c r="Y23" s="4"/>
    </row>
    <row r="24" spans="1:25" x14ac:dyDescent="0.25">
      <c r="A24" t="s">
        <v>34</v>
      </c>
      <c r="B24" s="4"/>
      <c r="C24" s="4"/>
      <c r="D24" s="4"/>
      <c r="E24" s="4"/>
      <c r="F24" s="4">
        <f t="shared" ref="F24:N24" si="15">F3/B3-1</f>
        <v>0.53344385105289116</v>
      </c>
      <c r="G24" s="4">
        <f t="shared" si="15"/>
        <v>0.49162030658690981</v>
      </c>
      <c r="H24" s="4">
        <f t="shared" si="15"/>
        <v>0.46264042292079677</v>
      </c>
      <c r="I24" s="4">
        <f t="shared" si="15"/>
        <v>0.18660211921286374</v>
      </c>
      <c r="J24" s="4">
        <f t="shared" si="15"/>
        <v>0.21763108018419297</v>
      </c>
      <c r="K24" s="4">
        <f t="shared" si="15"/>
        <v>6.9939554079807342E-2</v>
      </c>
      <c r="L24" s="4">
        <f t="shared" si="15"/>
        <v>4.9175742907086262E-2</v>
      </c>
      <c r="M24" s="4">
        <f t="shared" si="15"/>
        <v>0.17726523293177521</v>
      </c>
      <c r="N24" s="4">
        <f t="shared" si="15"/>
        <v>0.10131042156014347</v>
      </c>
      <c r="O24" s="4">
        <f>O3/K3-1</f>
        <v>2.4963666364341774E-2</v>
      </c>
      <c r="P24" s="7">
        <f>P3/L3-1</f>
        <v>4.6409457214919847E-2</v>
      </c>
      <c r="Q24" s="4">
        <f>Q4/M3-1</f>
        <v>-1</v>
      </c>
      <c r="U24" s="3"/>
      <c r="V24" s="3">
        <f>V3/U3-1</f>
        <v>0.52649453780814581</v>
      </c>
      <c r="W24" s="41">
        <f>W3/V3-1</f>
        <v>0.12289992070772238</v>
      </c>
      <c r="X24" s="6">
        <f>X3/W3-1</f>
        <v>8.4611997707126907E-2</v>
      </c>
      <c r="Y24" s="4">
        <f>Y4/U3-1</f>
        <v>-1</v>
      </c>
    </row>
    <row r="25" spans="1:25" x14ac:dyDescent="0.25">
      <c r="A25" t="s">
        <v>132</v>
      </c>
      <c r="B25" s="3">
        <f>B18/B3</f>
        <v>-1.294736068996632E-2</v>
      </c>
      <c r="C25" s="3">
        <f t="shared" ref="C25:O25" si="16">C18/C3</f>
        <v>-4.0241711864111192E-2</v>
      </c>
      <c r="D25" s="3">
        <f t="shared" si="16"/>
        <v>-0.19766984486610656</v>
      </c>
      <c r="E25" s="3">
        <f t="shared" si="16"/>
        <v>-0.16044040784851341</v>
      </c>
      <c r="F25" s="3">
        <f t="shared" si="16"/>
        <v>-0.21847951775903005</v>
      </c>
      <c r="G25" s="3">
        <f t="shared" si="16"/>
        <v>-0.15764459669593481</v>
      </c>
      <c r="H25" s="3">
        <f t="shared" si="16"/>
        <v>-0.352878848998252</v>
      </c>
      <c r="I25" s="3">
        <f t="shared" si="16"/>
        <v>-0.42957288820959649</v>
      </c>
      <c r="J25" s="3">
        <f t="shared" si="16"/>
        <v>-0.29988536621000461</v>
      </c>
      <c r="K25" s="3">
        <f t="shared" si="16"/>
        <v>-0.4518647623834865</v>
      </c>
      <c r="L25" s="3">
        <f t="shared" si="16"/>
        <v>-0.30996370496442266</v>
      </c>
      <c r="M25" s="3">
        <f t="shared" si="16"/>
        <v>-0.25491579135679421</v>
      </c>
      <c r="N25" s="3">
        <f t="shared" si="16"/>
        <v>-0.26771163393490383</v>
      </c>
      <c r="O25" s="41">
        <f t="shared" si="16"/>
        <v>-0.19189210799861403</v>
      </c>
      <c r="P25" s="6">
        <f>P18/P3</f>
        <v>-9.5208234331597433E-2</v>
      </c>
      <c r="V25" s="41">
        <f t="shared" ref="V25:W25" si="17">V18/V3</f>
        <v>-0.26477246225843065</v>
      </c>
      <c r="W25" s="41">
        <f t="shared" si="17"/>
        <v>-0.37096220359493687</v>
      </c>
      <c r="X25" s="6">
        <f>X18/X3</f>
        <v>-0.20140856937146709</v>
      </c>
    </row>
    <row r="26" spans="1:25" x14ac:dyDescent="0.25">
      <c r="A26" t="s">
        <v>40</v>
      </c>
      <c r="B26" s="4"/>
      <c r="C26" s="4"/>
      <c r="D26" s="4"/>
      <c r="E26" s="4"/>
      <c r="F26" s="4">
        <f t="shared" ref="F26:P26" si="18">F13/B13-1</f>
        <v>11.330688935281836</v>
      </c>
      <c r="G26" s="4">
        <f>G13/C13-1</f>
        <v>2.9582012107235514</v>
      </c>
      <c r="H26" s="4">
        <f t="shared" si="18"/>
        <v>1.1560109215755183</v>
      </c>
      <c r="I26" s="4">
        <f t="shared" si="18"/>
        <v>1.7007689219652287</v>
      </c>
      <c r="J26" s="4">
        <f t="shared" si="18"/>
        <v>0.21884735202492211</v>
      </c>
      <c r="K26" s="4">
        <f t="shared" si="18"/>
        <v>1.6205666011215496</v>
      </c>
      <c r="L26" s="4">
        <f t="shared" si="18"/>
        <v>0.56945820219929022</v>
      </c>
      <c r="M26" s="4">
        <f t="shared" si="18"/>
        <v>-0.13585794486559422</v>
      </c>
      <c r="N26" s="4">
        <f>N13/J13-1</f>
        <v>0.204597860814002</v>
      </c>
      <c r="O26" s="4">
        <f t="shared" si="18"/>
        <v>-1.4077017851022242</v>
      </c>
      <c r="P26" s="7">
        <f t="shared" si="18"/>
        <v>1.3869728127571523</v>
      </c>
      <c r="Q26" s="4"/>
      <c r="U26" s="3"/>
      <c r="V26" s="3">
        <f t="shared" ref="V26:X26" si="19">-(V13/U13-1)</f>
        <v>-2.5187124136445718</v>
      </c>
      <c r="W26" s="41">
        <f t="shared" si="19"/>
        <v>-0.84830479347247789</v>
      </c>
      <c r="X26" s="6">
        <f t="shared" si="19"/>
        <v>-6.2391897434068477E-2</v>
      </c>
      <c r="Y26" s="3"/>
    </row>
    <row r="27" spans="1:2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1"/>
    </row>
    <row r="29" spans="1:25" s="1" customFormat="1" x14ac:dyDescent="0.25">
      <c r="A29" s="1" t="s">
        <v>44</v>
      </c>
      <c r="B29" s="11">
        <f t="shared" ref="B29:E29" si="20">B30+B31+B32-B44-B45-B48-B47-B46-B49-B53</f>
        <v>0</v>
      </c>
      <c r="C29" s="11">
        <f t="shared" si="20"/>
        <v>0</v>
      </c>
      <c r="D29" s="11">
        <f t="shared" si="20"/>
        <v>-197156</v>
      </c>
      <c r="E29" s="11">
        <f t="shared" si="20"/>
        <v>0</v>
      </c>
      <c r="F29" s="11">
        <f>F30+F31+F32-F44-F45-F48-F47-F46-F49-F53</f>
        <v>696398</v>
      </c>
      <c r="G29" s="11">
        <f t="shared" ref="G29:P29" si="21">G30+G31+G32-G44-G45-G48-G47-G46-G49-G53</f>
        <v>563269</v>
      </c>
      <c r="H29" s="11">
        <f t="shared" si="21"/>
        <v>346536</v>
      </c>
      <c r="I29" s="11">
        <f t="shared" si="21"/>
        <v>213236</v>
      </c>
      <c r="J29" s="11">
        <f t="shared" si="21"/>
        <v>0</v>
      </c>
      <c r="K29" s="11">
        <f t="shared" si="21"/>
        <v>0</v>
      </c>
      <c r="L29" s="11">
        <f>L30+L31+L32-L44-L45-L48-L47-L46-L49-L53</f>
        <v>-75192</v>
      </c>
      <c r="M29" s="11">
        <f t="shared" si="21"/>
        <v>0</v>
      </c>
      <c r="N29" s="11">
        <f t="shared" si="21"/>
        <v>-376432</v>
      </c>
      <c r="O29" s="11">
        <f t="shared" si="21"/>
        <v>0</v>
      </c>
      <c r="P29" s="14">
        <f t="shared" si="21"/>
        <v>0</v>
      </c>
      <c r="U29" s="11">
        <f t="shared" ref="U29:W29" si="22">U30+U31+U32-U44-U45-U48-U47-U46-U49-U53</f>
        <v>-197156</v>
      </c>
      <c r="V29" s="11">
        <f t="shared" si="22"/>
        <v>346536</v>
      </c>
      <c r="W29" s="11">
        <f t="shared" si="22"/>
        <v>-75192</v>
      </c>
      <c r="X29" s="16"/>
    </row>
    <row r="30" spans="1:25" x14ac:dyDescent="0.25">
      <c r="A30" t="s">
        <v>25</v>
      </c>
      <c r="B30" s="10"/>
      <c r="C30" s="10"/>
      <c r="D30" s="10">
        <v>105364</v>
      </c>
      <c r="E30" s="10"/>
      <c r="F30" s="10">
        <v>524238</v>
      </c>
      <c r="G30" s="10">
        <v>403054</v>
      </c>
      <c r="H30" s="10">
        <v>295572</v>
      </c>
      <c r="I30" s="10">
        <v>219045</v>
      </c>
      <c r="J30" s="10"/>
      <c r="K30" s="10"/>
      <c r="L30" s="10">
        <v>82644</v>
      </c>
      <c r="M30" s="10"/>
      <c r="N30" s="10">
        <v>340730</v>
      </c>
      <c r="O30" s="10"/>
      <c r="U30" s="10">
        <f>D30</f>
        <v>105364</v>
      </c>
      <c r="V30" s="10">
        <f>H30</f>
        <v>295572</v>
      </c>
      <c r="W30" s="10">
        <f>L30</f>
        <v>82644</v>
      </c>
    </row>
    <row r="31" spans="1:25" x14ac:dyDescent="0.25">
      <c r="A31" t="s">
        <v>112</v>
      </c>
      <c r="B31" s="10"/>
      <c r="C31" s="10"/>
      <c r="D31" s="10"/>
      <c r="E31" s="10"/>
      <c r="F31" s="10">
        <v>322685</v>
      </c>
      <c r="G31" s="10">
        <v>305165</v>
      </c>
      <c r="H31" s="10">
        <v>249937</v>
      </c>
      <c r="I31" s="10">
        <v>192233</v>
      </c>
      <c r="J31" s="10"/>
      <c r="K31" s="10"/>
      <c r="L31" s="10">
        <v>142703</v>
      </c>
      <c r="M31" s="10"/>
      <c r="N31" s="10"/>
      <c r="O31" s="10"/>
      <c r="U31" s="10">
        <f t="shared" ref="U31:U55" si="23">D31</f>
        <v>0</v>
      </c>
      <c r="V31" s="10">
        <f t="shared" ref="V31:V55" si="24">H31</f>
        <v>249937</v>
      </c>
      <c r="W31" s="10">
        <f>L31</f>
        <v>142703</v>
      </c>
    </row>
    <row r="32" spans="1:25" x14ac:dyDescent="0.25">
      <c r="A32" t="s">
        <v>113</v>
      </c>
      <c r="B32" s="10"/>
      <c r="C32" s="10"/>
      <c r="D32" s="10">
        <v>11509</v>
      </c>
      <c r="E32" s="10"/>
      <c r="F32" s="10">
        <v>26876</v>
      </c>
      <c r="G32" s="10">
        <v>33166</v>
      </c>
      <c r="H32" s="10">
        <v>27711</v>
      </c>
      <c r="I32" s="10">
        <v>21317</v>
      </c>
      <c r="J32" s="10"/>
      <c r="K32" s="10"/>
      <c r="L32" s="10">
        <v>23413</v>
      </c>
      <c r="M32" s="10"/>
      <c r="N32" s="10">
        <v>22244</v>
      </c>
      <c r="O32" s="10"/>
      <c r="U32" s="10">
        <f t="shared" si="23"/>
        <v>11509</v>
      </c>
      <c r="V32" s="10">
        <f t="shared" si="24"/>
        <v>27711</v>
      </c>
      <c r="W32" s="10">
        <f t="shared" ref="W32:W55" si="25">L32</f>
        <v>23413</v>
      </c>
    </row>
    <row r="33" spans="1:24" x14ac:dyDescent="0.25">
      <c r="A33" t="s">
        <v>115</v>
      </c>
      <c r="B33" s="10"/>
      <c r="C33" s="10"/>
      <c r="D33" s="10">
        <v>12363</v>
      </c>
      <c r="E33" s="10"/>
      <c r="F33" s="10">
        <v>31244</v>
      </c>
      <c r="G33" s="10">
        <v>33179</v>
      </c>
      <c r="H33" s="10">
        <v>32229</v>
      </c>
      <c r="I33" s="10">
        <v>35227</v>
      </c>
      <c r="J33" s="10"/>
      <c r="K33" s="10"/>
      <c r="L33" s="10">
        <v>17818</v>
      </c>
      <c r="M33" s="10"/>
      <c r="N33" s="10">
        <v>33925</v>
      </c>
      <c r="O33" s="10"/>
      <c r="U33" s="10">
        <f t="shared" si="23"/>
        <v>12363</v>
      </c>
      <c r="V33" s="10">
        <f t="shared" si="24"/>
        <v>32229</v>
      </c>
      <c r="W33" s="10">
        <f t="shared" si="25"/>
        <v>17818</v>
      </c>
    </row>
    <row r="34" spans="1:24" x14ac:dyDescent="0.25">
      <c r="A34" t="s">
        <v>114</v>
      </c>
      <c r="B34" s="10"/>
      <c r="C34" s="10"/>
      <c r="D34" s="10">
        <v>514</v>
      </c>
      <c r="E34" s="10"/>
      <c r="F34" s="10">
        <v>235</v>
      </c>
      <c r="G34" s="10">
        <v>467</v>
      </c>
      <c r="H34" s="10">
        <v>435</v>
      </c>
      <c r="I34" s="10">
        <v>569</v>
      </c>
      <c r="J34" s="10"/>
      <c r="K34" s="10"/>
      <c r="L34" s="10">
        <v>243</v>
      </c>
      <c r="M34" s="10"/>
      <c r="N34" s="10">
        <v>307</v>
      </c>
      <c r="O34" s="10"/>
      <c r="U34" s="10">
        <f t="shared" si="23"/>
        <v>514</v>
      </c>
      <c r="V34" s="10">
        <f t="shared" si="24"/>
        <v>435</v>
      </c>
      <c r="W34" s="10">
        <f t="shared" si="25"/>
        <v>243</v>
      </c>
    </row>
    <row r="35" spans="1:24" x14ac:dyDescent="0.25">
      <c r="A35" t="s">
        <v>116</v>
      </c>
      <c r="B35" s="10"/>
      <c r="C35" s="10"/>
      <c r="D35" s="10">
        <v>71297</v>
      </c>
      <c r="E35" s="10"/>
      <c r="F35" s="10">
        <v>82458</v>
      </c>
      <c r="G35" s="10">
        <v>88697</v>
      </c>
      <c r="H35" s="10">
        <v>105519</v>
      </c>
      <c r="I35" s="10">
        <v>98864</v>
      </c>
      <c r="J35" s="10"/>
      <c r="K35" s="10"/>
      <c r="L35" s="10">
        <v>100955</v>
      </c>
      <c r="M35" s="10"/>
      <c r="N35" s="10">
        <v>102835</v>
      </c>
      <c r="O35" s="10"/>
      <c r="U35" s="10">
        <f t="shared" si="23"/>
        <v>71297</v>
      </c>
      <c r="V35" s="10">
        <f t="shared" si="24"/>
        <v>105519</v>
      </c>
      <c r="W35" s="10">
        <f t="shared" si="25"/>
        <v>100955</v>
      </c>
    </row>
    <row r="36" spans="1:24" x14ac:dyDescent="0.25">
      <c r="A36" t="s">
        <v>111</v>
      </c>
      <c r="B36" s="10"/>
      <c r="C36" s="10"/>
      <c r="D36" s="10">
        <v>39115</v>
      </c>
      <c r="E36" s="10"/>
      <c r="F36" s="10">
        <v>57074</v>
      </c>
      <c r="G36" s="10">
        <v>78023</v>
      </c>
      <c r="H36" s="10">
        <v>95661</v>
      </c>
      <c r="I36" s="10">
        <v>98933</v>
      </c>
      <c r="J36" s="10"/>
      <c r="K36" s="10"/>
      <c r="L36" s="10">
        <v>114475</v>
      </c>
      <c r="M36" s="10"/>
      <c r="N36" s="10">
        <v>102825</v>
      </c>
      <c r="O36" s="10"/>
      <c r="U36" s="10">
        <f t="shared" si="23"/>
        <v>39115</v>
      </c>
      <c r="V36" s="10">
        <f t="shared" si="24"/>
        <v>95661</v>
      </c>
      <c r="W36" s="10">
        <f t="shared" si="25"/>
        <v>114475</v>
      </c>
    </row>
    <row r="37" spans="1:24" s="1" customFormat="1" x14ac:dyDescent="0.25">
      <c r="A37" s="1" t="s">
        <v>80</v>
      </c>
      <c r="B37" s="11">
        <f t="shared" ref="B37:O37" si="26">SUM(B30:B36)</f>
        <v>0</v>
      </c>
      <c r="C37" s="11">
        <f t="shared" si="26"/>
        <v>0</v>
      </c>
      <c r="D37" s="11">
        <f t="shared" si="26"/>
        <v>240162</v>
      </c>
      <c r="E37" s="11">
        <f t="shared" si="26"/>
        <v>0</v>
      </c>
      <c r="F37" s="11">
        <f t="shared" si="26"/>
        <v>1044810</v>
      </c>
      <c r="G37" s="11">
        <f t="shared" si="26"/>
        <v>941751</v>
      </c>
      <c r="H37" s="11">
        <f t="shared" si="26"/>
        <v>807064</v>
      </c>
      <c r="I37" s="11">
        <f t="shared" si="26"/>
        <v>666188</v>
      </c>
      <c r="J37" s="11">
        <f t="shared" si="26"/>
        <v>0</v>
      </c>
      <c r="K37" s="11">
        <f t="shared" si="26"/>
        <v>0</v>
      </c>
      <c r="L37" s="11">
        <f t="shared" si="26"/>
        <v>482251</v>
      </c>
      <c r="M37" s="11">
        <f t="shared" si="26"/>
        <v>0</v>
      </c>
      <c r="N37" s="11">
        <f t="shared" si="26"/>
        <v>602866</v>
      </c>
      <c r="O37" s="11">
        <f t="shared" si="26"/>
        <v>0</v>
      </c>
      <c r="P37" s="16"/>
      <c r="U37" s="11">
        <f t="shared" ref="U37" si="27">SUM(U30:U36)</f>
        <v>240162</v>
      </c>
      <c r="V37" s="11">
        <f t="shared" ref="V37" si="28">SUM(V30:V36)</f>
        <v>807064</v>
      </c>
      <c r="W37" s="11">
        <f t="shared" ref="W37" si="29">SUM(W30:W36)</f>
        <v>482251</v>
      </c>
      <c r="X37" s="16"/>
    </row>
    <row r="38" spans="1:24" x14ac:dyDescent="0.25">
      <c r="A38" t="s">
        <v>28</v>
      </c>
      <c r="B38" s="10"/>
      <c r="C38" s="10"/>
      <c r="D38" s="10">
        <v>156463</v>
      </c>
      <c r="E38" s="10"/>
      <c r="F38" s="10">
        <v>154804</v>
      </c>
      <c r="G38" s="10">
        <v>151594</v>
      </c>
      <c r="H38" s="10">
        <v>145925</v>
      </c>
      <c r="I38" s="10">
        <v>142244</v>
      </c>
      <c r="J38" s="10"/>
      <c r="K38" s="10"/>
      <c r="L38" s="10">
        <v>127688</v>
      </c>
      <c r="M38" s="10"/>
      <c r="N38" s="10">
        <v>122171</v>
      </c>
      <c r="O38" s="10"/>
      <c r="U38" s="10">
        <f t="shared" si="23"/>
        <v>156463</v>
      </c>
      <c r="V38" s="10">
        <f t="shared" si="24"/>
        <v>145925</v>
      </c>
      <c r="W38" s="10">
        <f t="shared" si="25"/>
        <v>127688</v>
      </c>
    </row>
    <row r="39" spans="1:24" x14ac:dyDescent="0.25">
      <c r="A39" t="s">
        <v>110</v>
      </c>
      <c r="B39" s="10"/>
      <c r="C39" s="10"/>
      <c r="D39" s="10">
        <v>237625</v>
      </c>
      <c r="E39" s="10"/>
      <c r="F39" s="10">
        <v>373059</v>
      </c>
      <c r="G39" s="10">
        <v>426228</v>
      </c>
      <c r="H39" s="10">
        <v>509648</v>
      </c>
      <c r="I39" s="10">
        <v>547131</v>
      </c>
      <c r="J39" s="10"/>
      <c r="K39" s="10"/>
      <c r="L39" s="10">
        <v>492952</v>
      </c>
      <c r="M39" s="10"/>
      <c r="N39" s="10">
        <v>504743</v>
      </c>
      <c r="O39" s="10"/>
      <c r="U39" s="10">
        <f t="shared" si="23"/>
        <v>237625</v>
      </c>
      <c r="V39" s="10">
        <f t="shared" si="24"/>
        <v>509648</v>
      </c>
      <c r="W39" s="10">
        <f t="shared" si="25"/>
        <v>492952</v>
      </c>
    </row>
    <row r="40" spans="1:24" x14ac:dyDescent="0.25">
      <c r="A40" t="s">
        <v>117</v>
      </c>
      <c r="B40" s="10"/>
      <c r="C40" s="10"/>
      <c r="D40" s="10">
        <v>38103</v>
      </c>
      <c r="E40" s="10"/>
      <c r="F40" s="10">
        <v>82774</v>
      </c>
      <c r="G40" s="10">
        <v>129434</v>
      </c>
      <c r="H40" s="10">
        <v>158448</v>
      </c>
      <c r="I40" s="10">
        <v>165724</v>
      </c>
      <c r="J40" s="10"/>
      <c r="K40" s="10"/>
      <c r="L40" s="10">
        <v>108598</v>
      </c>
      <c r="M40" s="10"/>
      <c r="N40" s="10">
        <v>109379</v>
      </c>
      <c r="O40" s="10"/>
      <c r="U40" s="10">
        <f t="shared" si="23"/>
        <v>38103</v>
      </c>
      <c r="V40" s="10">
        <f t="shared" si="24"/>
        <v>158448</v>
      </c>
      <c r="W40" s="10">
        <f t="shared" si="25"/>
        <v>108598</v>
      </c>
    </row>
    <row r="41" spans="1:24" x14ac:dyDescent="0.25">
      <c r="A41" t="s">
        <v>27</v>
      </c>
      <c r="B41" s="10"/>
      <c r="C41" s="10"/>
      <c r="D41" s="10">
        <v>6550</v>
      </c>
      <c r="E41" s="10"/>
      <c r="F41" s="10">
        <v>730</v>
      </c>
      <c r="G41" s="10">
        <v>977</v>
      </c>
      <c r="H41" s="10">
        <v>5534</v>
      </c>
      <c r="I41" s="10">
        <v>5526</v>
      </c>
      <c r="J41" s="10"/>
      <c r="K41" s="10"/>
      <c r="L41" s="10">
        <v>7848</v>
      </c>
      <c r="M41" s="10"/>
      <c r="N41" s="10">
        <v>47240</v>
      </c>
      <c r="O41" s="10"/>
      <c r="U41" s="10">
        <f t="shared" si="23"/>
        <v>6550</v>
      </c>
      <c r="V41" s="10">
        <f t="shared" si="24"/>
        <v>5534</v>
      </c>
      <c r="W41" s="10">
        <f t="shared" si="25"/>
        <v>7848</v>
      </c>
    </row>
    <row r="42" spans="1:24" s="1" customFormat="1" x14ac:dyDescent="0.25">
      <c r="A42" t="s">
        <v>118</v>
      </c>
      <c r="B42" s="10"/>
      <c r="C42" s="10"/>
      <c r="D42" s="10">
        <v>26</v>
      </c>
      <c r="E42" s="10"/>
      <c r="F42" s="10">
        <v>253</v>
      </c>
      <c r="G42" s="10">
        <v>435</v>
      </c>
      <c r="H42" s="10">
        <v>2293</v>
      </c>
      <c r="I42" s="10">
        <v>2469</v>
      </c>
      <c r="J42" s="10"/>
      <c r="K42" s="10"/>
      <c r="L42" s="10">
        <v>5860</v>
      </c>
      <c r="M42" s="10"/>
      <c r="N42" s="10">
        <v>14717</v>
      </c>
      <c r="O42" s="10"/>
      <c r="P42" s="16"/>
      <c r="U42" s="10">
        <f t="shared" si="23"/>
        <v>26</v>
      </c>
      <c r="V42" s="10">
        <f t="shared" si="24"/>
        <v>2293</v>
      </c>
      <c r="W42" s="10">
        <f t="shared" si="25"/>
        <v>5860</v>
      </c>
      <c r="X42" s="16"/>
    </row>
    <row r="43" spans="1:24" x14ac:dyDescent="0.25">
      <c r="A43" s="1" t="s">
        <v>29</v>
      </c>
      <c r="B43" s="11">
        <f t="shared" ref="B43:O43" si="30">SUM(B37:B42)</f>
        <v>0</v>
      </c>
      <c r="C43" s="11">
        <f t="shared" si="30"/>
        <v>0</v>
      </c>
      <c r="D43" s="11">
        <f t="shared" si="30"/>
        <v>678929</v>
      </c>
      <c r="E43" s="11">
        <f t="shared" si="30"/>
        <v>0</v>
      </c>
      <c r="F43" s="11">
        <f t="shared" si="30"/>
        <v>1656430</v>
      </c>
      <c r="G43" s="11">
        <f t="shared" si="30"/>
        <v>1650419</v>
      </c>
      <c r="H43" s="11">
        <f t="shared" si="30"/>
        <v>1628912</v>
      </c>
      <c r="I43" s="11">
        <f t="shared" si="30"/>
        <v>1529282</v>
      </c>
      <c r="J43" s="11">
        <f t="shared" si="30"/>
        <v>0</v>
      </c>
      <c r="K43" s="11">
        <f t="shared" si="30"/>
        <v>0</v>
      </c>
      <c r="L43" s="11">
        <f t="shared" si="30"/>
        <v>1225197</v>
      </c>
      <c r="M43" s="11">
        <f t="shared" si="30"/>
        <v>0</v>
      </c>
      <c r="N43" s="11">
        <f t="shared" si="30"/>
        <v>1401116</v>
      </c>
      <c r="O43" s="11">
        <f t="shared" si="30"/>
        <v>0</v>
      </c>
      <c r="U43" s="11">
        <f>SUM(U37:U42)</f>
        <v>678929</v>
      </c>
      <c r="V43" s="11">
        <f>SUM(V37:V42)</f>
        <v>1628912</v>
      </c>
      <c r="W43" s="11">
        <f>SUM(W37:W42)</f>
        <v>1225197</v>
      </c>
    </row>
    <row r="44" spans="1:24" x14ac:dyDescent="0.25">
      <c r="A44" t="s">
        <v>119</v>
      </c>
      <c r="B44" s="10"/>
      <c r="C44" s="10"/>
      <c r="D44" s="10">
        <v>59945</v>
      </c>
      <c r="E44" s="10"/>
      <c r="F44" s="10">
        <v>84705</v>
      </c>
      <c r="G44" s="10">
        <v>91195</v>
      </c>
      <c r="H44" s="10">
        <v>117473</v>
      </c>
      <c r="I44" s="10">
        <v>123292</v>
      </c>
      <c r="J44" s="10"/>
      <c r="K44" s="10"/>
      <c r="L44" s="10">
        <v>123037</v>
      </c>
      <c r="M44" s="10"/>
      <c r="N44" s="10">
        <v>116475</v>
      </c>
      <c r="O44" s="10"/>
      <c r="U44" s="10">
        <f t="shared" si="23"/>
        <v>59945</v>
      </c>
      <c r="V44" s="10">
        <f t="shared" si="24"/>
        <v>117473</v>
      </c>
      <c r="W44" s="10">
        <f t="shared" si="25"/>
        <v>123037</v>
      </c>
    </row>
    <row r="45" spans="1:24" x14ac:dyDescent="0.25">
      <c r="A45" t="s">
        <v>121</v>
      </c>
      <c r="B45" s="10"/>
      <c r="C45" s="10"/>
      <c r="D45" s="10">
        <v>4632</v>
      </c>
      <c r="E45" s="10"/>
      <c r="F45" s="10">
        <v>20567</v>
      </c>
      <c r="G45" s="10">
        <v>8631</v>
      </c>
      <c r="H45" s="10">
        <v>9614</v>
      </c>
      <c r="I45" s="10">
        <v>14392</v>
      </c>
      <c r="J45" s="10"/>
      <c r="K45" s="10"/>
      <c r="L45" s="10">
        <v>11823</v>
      </c>
      <c r="M45" s="10"/>
      <c r="N45" s="10">
        <v>11644</v>
      </c>
      <c r="O45" s="10"/>
      <c r="U45" s="10">
        <f t="shared" si="23"/>
        <v>4632</v>
      </c>
      <c r="V45" s="10">
        <f t="shared" si="24"/>
        <v>9614</v>
      </c>
      <c r="W45" s="10">
        <f t="shared" si="25"/>
        <v>11823</v>
      </c>
    </row>
    <row r="46" spans="1:24" x14ac:dyDescent="0.25">
      <c r="A46" t="s">
        <v>122</v>
      </c>
      <c r="B46" s="10"/>
      <c r="C46" s="10"/>
      <c r="D46" s="10">
        <v>852</v>
      </c>
      <c r="E46" s="10"/>
      <c r="F46" s="10">
        <v>768</v>
      </c>
      <c r="G46" s="10">
        <v>679</v>
      </c>
      <c r="H46" s="10">
        <v>567</v>
      </c>
      <c r="I46" s="10">
        <v>742</v>
      </c>
      <c r="J46" s="10"/>
      <c r="K46" s="10"/>
      <c r="L46" s="10">
        <v>5515</v>
      </c>
      <c r="M46" s="10"/>
      <c r="N46" s="10">
        <v>4299</v>
      </c>
      <c r="O46" s="10"/>
      <c r="U46" s="10">
        <f t="shared" si="23"/>
        <v>852</v>
      </c>
      <c r="V46" s="10">
        <f t="shared" si="24"/>
        <v>567</v>
      </c>
      <c r="W46" s="10">
        <f t="shared" si="25"/>
        <v>5515</v>
      </c>
    </row>
    <row r="47" spans="1:24" x14ac:dyDescent="0.25">
      <c r="A47" t="s">
        <v>120</v>
      </c>
      <c r="B47" s="10"/>
      <c r="C47" s="10"/>
      <c r="D47" s="10">
        <v>45295</v>
      </c>
      <c r="E47" s="10"/>
      <c r="F47" s="10">
        <v>64316</v>
      </c>
      <c r="G47" s="10">
        <v>70929</v>
      </c>
      <c r="H47" s="10">
        <v>93043</v>
      </c>
      <c r="I47" s="10">
        <v>75621</v>
      </c>
      <c r="J47" s="10"/>
      <c r="K47" s="10"/>
      <c r="L47" s="10">
        <v>82516</v>
      </c>
      <c r="M47" s="10"/>
      <c r="N47" s="10">
        <v>81201</v>
      </c>
      <c r="O47" s="10"/>
      <c r="U47" s="10">
        <f t="shared" si="23"/>
        <v>45295</v>
      </c>
      <c r="V47" s="10">
        <f t="shared" si="24"/>
        <v>93043</v>
      </c>
      <c r="W47" s="10">
        <f t="shared" si="25"/>
        <v>82516</v>
      </c>
    </row>
    <row r="48" spans="1:24" x14ac:dyDescent="0.25">
      <c r="A48" t="s">
        <v>133</v>
      </c>
      <c r="B48" s="10"/>
      <c r="C48" s="10"/>
      <c r="D48" s="10">
        <v>106118</v>
      </c>
      <c r="E48" s="10"/>
      <c r="F48" s="10">
        <v>0</v>
      </c>
      <c r="G48" s="10">
        <v>0</v>
      </c>
      <c r="H48" s="10">
        <v>0</v>
      </c>
      <c r="I48" s="10"/>
      <c r="J48" s="10"/>
      <c r="K48" s="10"/>
      <c r="L48" s="10">
        <v>48471</v>
      </c>
      <c r="M48" s="10"/>
      <c r="N48" s="10">
        <v>400244</v>
      </c>
      <c r="O48" s="10"/>
      <c r="U48" s="10">
        <f t="shared" si="23"/>
        <v>106118</v>
      </c>
      <c r="V48" s="10">
        <f t="shared" si="24"/>
        <v>0</v>
      </c>
      <c r="W48" s="10">
        <f t="shared" si="25"/>
        <v>48471</v>
      </c>
    </row>
    <row r="49" spans="1:24" x14ac:dyDescent="0.25">
      <c r="A49" t="s">
        <v>123</v>
      </c>
      <c r="B49" s="10"/>
      <c r="C49" s="10"/>
      <c r="D49" s="10">
        <v>5532</v>
      </c>
      <c r="E49" s="10"/>
      <c r="F49" s="10">
        <v>2591</v>
      </c>
      <c r="G49" s="54">
        <v>2880</v>
      </c>
      <c r="H49" s="10">
        <v>5987</v>
      </c>
      <c r="I49" s="10">
        <v>5312</v>
      </c>
      <c r="J49" s="10"/>
      <c r="K49" s="10"/>
      <c r="L49" s="10">
        <v>49922</v>
      </c>
      <c r="M49" s="10"/>
      <c r="N49" s="10">
        <v>10332</v>
      </c>
      <c r="O49" s="10"/>
      <c r="U49" s="10">
        <f t="shared" si="23"/>
        <v>5532</v>
      </c>
      <c r="V49" s="10">
        <f t="shared" si="24"/>
        <v>5987</v>
      </c>
      <c r="W49" s="10">
        <f t="shared" si="25"/>
        <v>49922</v>
      </c>
    </row>
    <row r="50" spans="1:24" x14ac:dyDescent="0.25">
      <c r="A50" t="s">
        <v>124</v>
      </c>
      <c r="B50" s="10"/>
      <c r="C50" s="10"/>
      <c r="D50" s="10">
        <v>6261</v>
      </c>
      <c r="E50" s="10"/>
      <c r="F50" s="10">
        <v>7546</v>
      </c>
      <c r="G50" s="10">
        <v>12679</v>
      </c>
      <c r="H50" s="10">
        <v>16703</v>
      </c>
      <c r="I50" s="10">
        <v>20751</v>
      </c>
      <c r="J50" s="10"/>
      <c r="K50" s="10"/>
      <c r="L50" s="10">
        <v>16823</v>
      </c>
      <c r="M50" s="10"/>
      <c r="N50" s="10">
        <v>14720</v>
      </c>
      <c r="O50" s="10"/>
      <c r="U50" s="10">
        <f t="shared" si="23"/>
        <v>6261</v>
      </c>
      <c r="V50" s="10">
        <f t="shared" si="24"/>
        <v>16703</v>
      </c>
      <c r="W50" s="10">
        <f t="shared" si="25"/>
        <v>16823</v>
      </c>
    </row>
    <row r="51" spans="1:24" s="1" customFormat="1" x14ac:dyDescent="0.25">
      <c r="A51" s="1" t="s">
        <v>81</v>
      </c>
      <c r="B51" s="11">
        <f t="shared" ref="B51:O51" si="31">SUM(B44:B50)</f>
        <v>0</v>
      </c>
      <c r="C51" s="11">
        <f t="shared" si="31"/>
        <v>0</v>
      </c>
      <c r="D51" s="11">
        <f t="shared" si="31"/>
        <v>228635</v>
      </c>
      <c r="E51" s="11">
        <f t="shared" si="31"/>
        <v>0</v>
      </c>
      <c r="F51" s="11">
        <f t="shared" si="31"/>
        <v>180493</v>
      </c>
      <c r="G51" s="11">
        <f t="shared" si="31"/>
        <v>186993</v>
      </c>
      <c r="H51" s="11">
        <f t="shared" si="31"/>
        <v>243387</v>
      </c>
      <c r="I51" s="11">
        <f>SUM(I44:I50)</f>
        <v>240110</v>
      </c>
      <c r="J51" s="11">
        <f t="shared" si="31"/>
        <v>0</v>
      </c>
      <c r="K51" s="11">
        <f t="shared" si="31"/>
        <v>0</v>
      </c>
      <c r="L51" s="11">
        <f t="shared" si="31"/>
        <v>338107</v>
      </c>
      <c r="M51" s="11">
        <f t="shared" si="31"/>
        <v>0</v>
      </c>
      <c r="N51" s="11">
        <f t="shared" si="31"/>
        <v>638915</v>
      </c>
      <c r="O51" s="11">
        <f t="shared" si="31"/>
        <v>0</v>
      </c>
      <c r="P51" s="14"/>
      <c r="Q51" s="11"/>
      <c r="R51" s="11"/>
      <c r="S51" s="11"/>
      <c r="T51" s="11"/>
      <c r="U51" s="11">
        <f t="shared" ref="U51" si="32">SUM(U44:U50)</f>
        <v>228635</v>
      </c>
      <c r="V51" s="11">
        <f t="shared" ref="V51" si="33">SUM(V44:V50)</f>
        <v>243387</v>
      </c>
      <c r="W51" s="11">
        <f t="shared" ref="W51" si="34">SUM(W44:W50)</f>
        <v>338107</v>
      </c>
      <c r="X51" s="16"/>
    </row>
    <row r="52" spans="1:24" x14ac:dyDescent="0.25">
      <c r="A52" t="s">
        <v>125</v>
      </c>
      <c r="B52" s="10"/>
      <c r="C52" s="10"/>
      <c r="D52" s="10">
        <v>23883</v>
      </c>
      <c r="E52" s="10"/>
      <c r="F52" s="10">
        <v>65666</v>
      </c>
      <c r="G52" s="10">
        <v>108469</v>
      </c>
      <c r="H52" s="10">
        <v>126516</v>
      </c>
      <c r="I52" s="10">
        <v>128662</v>
      </c>
      <c r="J52" s="10"/>
      <c r="K52" s="10"/>
      <c r="L52" s="10">
        <v>82285</v>
      </c>
      <c r="M52" s="10"/>
      <c r="N52" s="10">
        <v>87418</v>
      </c>
      <c r="O52" s="10"/>
      <c r="U52" s="10">
        <f t="shared" si="23"/>
        <v>23883</v>
      </c>
      <c r="V52" s="10">
        <f t="shared" si="24"/>
        <v>126516</v>
      </c>
      <c r="W52" s="10">
        <f t="shared" si="25"/>
        <v>82285</v>
      </c>
    </row>
    <row r="53" spans="1:24" x14ac:dyDescent="0.25">
      <c r="A53" t="s">
        <v>126</v>
      </c>
      <c r="B53" s="10"/>
      <c r="C53" s="10"/>
      <c r="D53" s="10">
        <v>91655</v>
      </c>
      <c r="E53" s="10"/>
      <c r="F53" s="10">
        <v>4454</v>
      </c>
      <c r="G53" s="10">
        <v>3802</v>
      </c>
      <c r="H53" s="10">
        <v>0</v>
      </c>
      <c r="I53" s="10">
        <v>0</v>
      </c>
      <c r="J53" s="10"/>
      <c r="K53" s="10"/>
      <c r="L53" s="10">
        <v>2668</v>
      </c>
      <c r="M53" s="10"/>
      <c r="N53" s="10">
        <v>115211</v>
      </c>
      <c r="O53" s="10"/>
      <c r="U53" s="10">
        <f t="shared" si="23"/>
        <v>91655</v>
      </c>
      <c r="V53" s="10">
        <f t="shared" si="24"/>
        <v>0</v>
      </c>
      <c r="W53" s="10">
        <f t="shared" si="25"/>
        <v>2668</v>
      </c>
    </row>
    <row r="54" spans="1:24" x14ac:dyDescent="0.25">
      <c r="A54" t="s">
        <v>128</v>
      </c>
      <c r="B54" s="10"/>
      <c r="C54" s="10"/>
      <c r="D54" s="10">
        <f>233+7121</f>
        <v>7354</v>
      </c>
      <c r="E54" s="10"/>
      <c r="F54" s="10">
        <f>11+8163</f>
        <v>8174</v>
      </c>
      <c r="G54" s="10">
        <f>11+8204</f>
        <v>8215</v>
      </c>
      <c r="H54" s="10">
        <v>11033</v>
      </c>
      <c r="I54" s="10">
        <v>12977</v>
      </c>
      <c r="J54" s="10"/>
      <c r="K54" s="10"/>
      <c r="L54" s="10">
        <f>3800+7194</f>
        <v>10994</v>
      </c>
      <c r="M54" s="10"/>
      <c r="N54" s="10">
        <f>6538+6600</f>
        <v>13138</v>
      </c>
      <c r="O54" s="10"/>
      <c r="U54" s="10">
        <f t="shared" si="23"/>
        <v>7354</v>
      </c>
      <c r="V54" s="10">
        <f t="shared" si="24"/>
        <v>11033</v>
      </c>
      <c r="W54" s="10">
        <f t="shared" si="25"/>
        <v>10994</v>
      </c>
    </row>
    <row r="55" spans="1:24" x14ac:dyDescent="0.25">
      <c r="A55" t="s">
        <v>127</v>
      </c>
      <c r="B55" s="10"/>
      <c r="C55" s="10"/>
      <c r="D55" s="10">
        <v>1307</v>
      </c>
      <c r="E55" s="10"/>
      <c r="F55" s="10">
        <v>2670</v>
      </c>
      <c r="G55" s="10">
        <v>2797</v>
      </c>
      <c r="H55" s="10">
        <v>2677</v>
      </c>
      <c r="I55" s="10">
        <v>2610</v>
      </c>
      <c r="J55" s="10"/>
      <c r="K55" s="10"/>
      <c r="L55" s="10">
        <v>0</v>
      </c>
      <c r="M55" s="10"/>
      <c r="N55" s="10">
        <v>637</v>
      </c>
      <c r="O55" s="10"/>
      <c r="U55" s="10">
        <f t="shared" si="23"/>
        <v>1307</v>
      </c>
      <c r="V55" s="10">
        <f t="shared" si="24"/>
        <v>2677</v>
      </c>
      <c r="W55" s="10">
        <f t="shared" si="25"/>
        <v>0</v>
      </c>
    </row>
    <row r="56" spans="1:24" x14ac:dyDescent="0.25">
      <c r="A56" s="1" t="s">
        <v>30</v>
      </c>
      <c r="B56" s="11">
        <f t="shared" ref="B56:O56" si="35">SUM(B51:B55)</f>
        <v>0</v>
      </c>
      <c r="C56" s="11">
        <f t="shared" si="35"/>
        <v>0</v>
      </c>
      <c r="D56" s="11">
        <f t="shared" si="35"/>
        <v>352834</v>
      </c>
      <c r="E56" s="11">
        <f t="shared" si="35"/>
        <v>0</v>
      </c>
      <c r="F56" s="11">
        <f t="shared" si="35"/>
        <v>261457</v>
      </c>
      <c r="G56" s="11">
        <f t="shared" si="35"/>
        <v>310276</v>
      </c>
      <c r="H56" s="11">
        <f t="shared" si="35"/>
        <v>383613</v>
      </c>
      <c r="I56" s="11">
        <f t="shared" si="35"/>
        <v>384359</v>
      </c>
      <c r="J56" s="11">
        <f t="shared" si="35"/>
        <v>0</v>
      </c>
      <c r="K56" s="11">
        <f t="shared" si="35"/>
        <v>0</v>
      </c>
      <c r="L56" s="11">
        <f>SUM(L51:L55)</f>
        <v>434054</v>
      </c>
      <c r="M56" s="11">
        <f t="shared" si="35"/>
        <v>0</v>
      </c>
      <c r="N56" s="11">
        <f t="shared" si="35"/>
        <v>855319</v>
      </c>
      <c r="O56" s="11">
        <f t="shared" si="35"/>
        <v>0</v>
      </c>
      <c r="U56" s="11">
        <f t="shared" ref="U56:W56" si="36">SUM(U51:U55)</f>
        <v>352834</v>
      </c>
      <c r="V56" s="11">
        <f t="shared" si="36"/>
        <v>383613</v>
      </c>
      <c r="W56" s="11">
        <f t="shared" si="36"/>
        <v>434054</v>
      </c>
    </row>
    <row r="57" spans="1:24" x14ac:dyDescent="0.25">
      <c r="U57" s="11"/>
      <c r="V57" s="11"/>
      <c r="W57" s="11"/>
    </row>
    <row r="59" spans="1:24" s="1" customFormat="1" x14ac:dyDescent="0.25">
      <c r="A59" s="1" t="s">
        <v>58</v>
      </c>
      <c r="P59" s="16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P77" s="55"/>
      <c r="X77" s="55"/>
    </row>
    <row r="78" spans="1:24" s="1" customFormat="1" x14ac:dyDescent="0.25">
      <c r="A78" s="1" t="s">
        <v>57</v>
      </c>
      <c r="P78" s="16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44336</v>
      </c>
      <c r="B2" s="18">
        <v>20.200001</v>
      </c>
      <c r="D2" t="s">
        <v>70</v>
      </c>
      <c r="E2" t="s">
        <v>72</v>
      </c>
      <c r="L2" t="s">
        <v>73</v>
      </c>
    </row>
    <row r="3" spans="1:12" x14ac:dyDescent="0.25">
      <c r="A3" s="12">
        <v>44337</v>
      </c>
      <c r="B3" s="18">
        <v>22.459999</v>
      </c>
      <c r="D3" s="12">
        <v>45328</v>
      </c>
      <c r="E3" t="s">
        <v>75</v>
      </c>
      <c r="L3" s="12"/>
    </row>
    <row r="4" spans="1:12" x14ac:dyDescent="0.25">
      <c r="A4" s="12">
        <v>44340</v>
      </c>
      <c r="B4" s="18">
        <v>20.73</v>
      </c>
      <c r="D4" s="12">
        <v>45302</v>
      </c>
      <c r="E4" t="s">
        <v>75</v>
      </c>
      <c r="L4" s="12"/>
    </row>
    <row r="5" spans="1:12" x14ac:dyDescent="0.25">
      <c r="A5" s="12">
        <v>44341</v>
      </c>
      <c r="B5" s="18">
        <v>21.200001</v>
      </c>
      <c r="L5" s="12"/>
    </row>
    <row r="6" spans="1:12" x14ac:dyDescent="0.25">
      <c r="A6" s="12">
        <v>44342</v>
      </c>
      <c r="B6" s="18">
        <v>21.620000999999998</v>
      </c>
      <c r="L6" s="12"/>
    </row>
    <row r="7" spans="1:12" x14ac:dyDescent="0.25">
      <c r="A7" s="12">
        <v>44343</v>
      </c>
      <c r="B7" s="18">
        <v>22.120000999999998</v>
      </c>
      <c r="L7" s="12"/>
    </row>
    <row r="8" spans="1:12" x14ac:dyDescent="0.25">
      <c r="A8" s="12">
        <v>44344</v>
      </c>
      <c r="B8" s="18">
        <v>23.709999</v>
      </c>
      <c r="L8" s="12"/>
    </row>
    <row r="9" spans="1:12" x14ac:dyDescent="0.25">
      <c r="A9" s="12">
        <v>44348</v>
      </c>
      <c r="B9" s="18">
        <v>25.15</v>
      </c>
      <c r="L9" s="12"/>
    </row>
    <row r="10" spans="1:12" x14ac:dyDescent="0.25">
      <c r="A10" s="12">
        <v>44349</v>
      </c>
      <c r="B10" s="18">
        <v>23.809999000000001</v>
      </c>
      <c r="L10" s="12"/>
    </row>
    <row r="11" spans="1:12" x14ac:dyDescent="0.25">
      <c r="A11" s="12">
        <v>44350</v>
      </c>
      <c r="B11" s="18">
        <v>23.879999000000002</v>
      </c>
      <c r="L11" s="12"/>
    </row>
    <row r="12" spans="1:12" x14ac:dyDescent="0.25">
      <c r="A12" s="12">
        <v>44351</v>
      </c>
      <c r="B12" s="18">
        <v>23.83</v>
      </c>
      <c r="L12" s="12"/>
    </row>
    <row r="13" spans="1:12" x14ac:dyDescent="0.25">
      <c r="A13" s="12">
        <v>44354</v>
      </c>
      <c r="B13" s="18">
        <v>25</v>
      </c>
    </row>
    <row r="14" spans="1:12" x14ac:dyDescent="0.25">
      <c r="A14" s="12">
        <v>44355</v>
      </c>
      <c r="B14" s="18">
        <v>26.99</v>
      </c>
    </row>
    <row r="15" spans="1:12" x14ac:dyDescent="0.25">
      <c r="A15" s="12">
        <v>44356</v>
      </c>
      <c r="B15" s="18">
        <v>26.309999000000001</v>
      </c>
    </row>
    <row r="16" spans="1:12" x14ac:dyDescent="0.25">
      <c r="A16" s="12">
        <v>44357</v>
      </c>
      <c r="B16" s="18">
        <v>26.65</v>
      </c>
    </row>
    <row r="17" spans="1:2" x14ac:dyDescent="0.25">
      <c r="A17" s="12">
        <v>44358</v>
      </c>
      <c r="B17" s="18">
        <v>28.73</v>
      </c>
    </row>
    <row r="18" spans="1:2" x14ac:dyDescent="0.25">
      <c r="A18" s="12">
        <v>44361</v>
      </c>
      <c r="B18" s="18">
        <v>27.370000999999998</v>
      </c>
    </row>
    <row r="19" spans="1:2" x14ac:dyDescent="0.25">
      <c r="A19" s="12">
        <v>44362</v>
      </c>
      <c r="B19" s="18">
        <v>27.82</v>
      </c>
    </row>
    <row r="20" spans="1:2" x14ac:dyDescent="0.25">
      <c r="A20" s="12">
        <v>44363</v>
      </c>
      <c r="B20" s="18">
        <v>27.49</v>
      </c>
    </row>
    <row r="21" spans="1:2" x14ac:dyDescent="0.25">
      <c r="A21" s="12">
        <v>44364</v>
      </c>
      <c r="B21" s="18">
        <v>26.73</v>
      </c>
    </row>
    <row r="22" spans="1:2" x14ac:dyDescent="0.25">
      <c r="A22" s="12">
        <v>44365</v>
      </c>
      <c r="B22" s="18">
        <v>26</v>
      </c>
    </row>
    <row r="23" spans="1:2" x14ac:dyDescent="0.25">
      <c r="A23" s="12">
        <v>44368</v>
      </c>
      <c r="B23" s="18">
        <v>26.33</v>
      </c>
    </row>
    <row r="24" spans="1:2" x14ac:dyDescent="0.25">
      <c r="A24" s="12">
        <v>44369</v>
      </c>
      <c r="B24" s="18">
        <v>25.799999</v>
      </c>
    </row>
    <row r="25" spans="1:2" x14ac:dyDescent="0.25">
      <c r="A25" s="12">
        <v>44370</v>
      </c>
      <c r="B25" s="18">
        <v>25.84</v>
      </c>
    </row>
    <row r="26" spans="1:2" x14ac:dyDescent="0.25">
      <c r="A26" s="12">
        <v>44371</v>
      </c>
      <c r="B26" s="18">
        <v>24.809999000000001</v>
      </c>
    </row>
    <row r="27" spans="1:2" x14ac:dyDescent="0.25">
      <c r="A27" s="12">
        <v>44372</v>
      </c>
      <c r="B27" s="18">
        <v>24.4</v>
      </c>
    </row>
    <row r="28" spans="1:2" x14ac:dyDescent="0.25">
      <c r="A28" s="12">
        <v>44375</v>
      </c>
      <c r="B28" s="18">
        <v>25.299999</v>
      </c>
    </row>
    <row r="29" spans="1:2" x14ac:dyDescent="0.25">
      <c r="A29" s="12">
        <v>44376</v>
      </c>
      <c r="B29" s="18">
        <v>25.75</v>
      </c>
    </row>
    <row r="30" spans="1:2" x14ac:dyDescent="0.25">
      <c r="A30" s="12">
        <v>44377</v>
      </c>
      <c r="B30" s="18">
        <v>24.459999</v>
      </c>
    </row>
    <row r="31" spans="1:2" x14ac:dyDescent="0.25">
      <c r="A31" s="12">
        <v>44378</v>
      </c>
      <c r="B31" s="18">
        <v>23.4</v>
      </c>
    </row>
    <row r="32" spans="1:2" x14ac:dyDescent="0.25">
      <c r="A32" s="12">
        <v>44379</v>
      </c>
      <c r="B32" s="18">
        <v>23.09</v>
      </c>
    </row>
    <row r="33" spans="1:2" x14ac:dyDescent="0.25">
      <c r="A33" s="12">
        <v>44383</v>
      </c>
      <c r="B33" s="18">
        <v>22.209999</v>
      </c>
    </row>
    <row r="34" spans="1:2" x14ac:dyDescent="0.25">
      <c r="A34" s="12">
        <v>44384</v>
      </c>
      <c r="B34" s="18">
        <v>22.450001</v>
      </c>
    </row>
    <row r="35" spans="1:2" x14ac:dyDescent="0.25">
      <c r="A35" s="12">
        <v>44385</v>
      </c>
      <c r="B35" s="18">
        <v>23.440000999999999</v>
      </c>
    </row>
    <row r="36" spans="1:2" x14ac:dyDescent="0.25">
      <c r="A36" s="12">
        <v>44386</v>
      </c>
      <c r="B36" s="18">
        <v>23</v>
      </c>
    </row>
    <row r="37" spans="1:2" x14ac:dyDescent="0.25">
      <c r="A37" s="12">
        <v>44389</v>
      </c>
      <c r="B37" s="18">
        <v>22.42</v>
      </c>
    </row>
    <row r="38" spans="1:2" x14ac:dyDescent="0.25">
      <c r="A38" s="12">
        <v>44390</v>
      </c>
      <c r="B38" s="18">
        <v>21.129999000000002</v>
      </c>
    </row>
    <row r="39" spans="1:2" x14ac:dyDescent="0.25">
      <c r="A39" s="12">
        <v>44391</v>
      </c>
      <c r="B39" s="18">
        <v>20.540001</v>
      </c>
    </row>
    <row r="40" spans="1:2" x14ac:dyDescent="0.25">
      <c r="A40" s="12">
        <v>44392</v>
      </c>
      <c r="B40" s="18">
        <v>19.48</v>
      </c>
    </row>
    <row r="41" spans="1:2" x14ac:dyDescent="0.25">
      <c r="A41" s="12">
        <v>44393</v>
      </c>
      <c r="B41" s="18">
        <v>19.280000999999999</v>
      </c>
    </row>
    <row r="42" spans="1:2" x14ac:dyDescent="0.25">
      <c r="A42" s="12">
        <v>44396</v>
      </c>
      <c r="B42" s="18">
        <v>19.68</v>
      </c>
    </row>
    <row r="43" spans="1:2" x14ac:dyDescent="0.25">
      <c r="A43" s="12">
        <v>44397</v>
      </c>
      <c r="B43" s="18">
        <v>19.450001</v>
      </c>
    </row>
    <row r="44" spans="1:2" x14ac:dyDescent="0.25">
      <c r="A44" s="12">
        <v>44398</v>
      </c>
      <c r="B44" s="18">
        <v>18.870000999999998</v>
      </c>
    </row>
    <row r="45" spans="1:2" x14ac:dyDescent="0.25">
      <c r="A45" s="12">
        <v>44399</v>
      </c>
      <c r="B45" s="18">
        <v>19.040001</v>
      </c>
    </row>
    <row r="46" spans="1:2" x14ac:dyDescent="0.25">
      <c r="A46" s="12">
        <v>44400</v>
      </c>
      <c r="B46" s="18">
        <v>18.469999000000001</v>
      </c>
    </row>
    <row r="47" spans="1:2" x14ac:dyDescent="0.25">
      <c r="A47" s="12">
        <v>44403</v>
      </c>
      <c r="B47" s="18">
        <v>18.649999999999999</v>
      </c>
    </row>
    <row r="48" spans="1:2" x14ac:dyDescent="0.25">
      <c r="A48" s="12">
        <v>44404</v>
      </c>
      <c r="B48" s="18">
        <v>17.5</v>
      </c>
    </row>
    <row r="49" spans="1:2" x14ac:dyDescent="0.25">
      <c r="A49" s="12">
        <v>44405</v>
      </c>
      <c r="B49" s="18">
        <v>18.120000999999998</v>
      </c>
    </row>
    <row r="50" spans="1:2" x14ac:dyDescent="0.25">
      <c r="A50" s="12">
        <v>44406</v>
      </c>
      <c r="B50" s="18">
        <v>18.290001</v>
      </c>
    </row>
    <row r="51" spans="1:2" x14ac:dyDescent="0.25">
      <c r="A51" s="12">
        <v>44407</v>
      </c>
      <c r="B51" s="18">
        <v>17.75</v>
      </c>
    </row>
    <row r="52" spans="1:2" x14ac:dyDescent="0.25">
      <c r="A52" s="12">
        <v>44410</v>
      </c>
      <c r="B52" s="18">
        <v>18.5</v>
      </c>
    </row>
    <row r="53" spans="1:2" x14ac:dyDescent="0.25">
      <c r="A53" s="12">
        <v>44411</v>
      </c>
      <c r="B53" s="18">
        <v>18.450001</v>
      </c>
    </row>
    <row r="54" spans="1:2" x14ac:dyDescent="0.25">
      <c r="A54" s="12">
        <v>44412</v>
      </c>
      <c r="B54" s="18">
        <v>18.040001</v>
      </c>
    </row>
    <row r="55" spans="1:2" x14ac:dyDescent="0.25">
      <c r="A55" s="12">
        <v>44413</v>
      </c>
      <c r="B55" s="18">
        <v>18.190000999999999</v>
      </c>
    </row>
    <row r="56" spans="1:2" x14ac:dyDescent="0.25">
      <c r="A56" s="12">
        <v>44414</v>
      </c>
      <c r="B56" s="18">
        <v>18.469999000000001</v>
      </c>
    </row>
    <row r="57" spans="1:2" x14ac:dyDescent="0.25">
      <c r="A57" s="12">
        <v>44417</v>
      </c>
      <c r="B57" s="18">
        <v>19.120000999999998</v>
      </c>
    </row>
    <row r="58" spans="1:2" x14ac:dyDescent="0.25">
      <c r="A58" s="12">
        <v>44418</v>
      </c>
      <c r="B58" s="18">
        <v>19.07</v>
      </c>
    </row>
    <row r="59" spans="1:2" x14ac:dyDescent="0.25">
      <c r="A59" s="12">
        <v>44419</v>
      </c>
      <c r="B59" s="18">
        <v>17.41</v>
      </c>
    </row>
    <row r="60" spans="1:2" x14ac:dyDescent="0.25">
      <c r="A60" s="12">
        <v>44420</v>
      </c>
      <c r="B60" s="18">
        <v>16.989999999999998</v>
      </c>
    </row>
    <row r="61" spans="1:2" x14ac:dyDescent="0.25">
      <c r="A61" s="12">
        <v>44421</v>
      </c>
      <c r="B61" s="18">
        <v>16.870000999999998</v>
      </c>
    </row>
    <row r="62" spans="1:2" x14ac:dyDescent="0.25">
      <c r="A62" s="12">
        <v>44424</v>
      </c>
      <c r="B62" s="18">
        <v>16.43</v>
      </c>
    </row>
    <row r="63" spans="1:2" x14ac:dyDescent="0.25">
      <c r="A63" s="12">
        <v>44425</v>
      </c>
      <c r="B63" s="18">
        <v>15.93</v>
      </c>
    </row>
    <row r="64" spans="1:2" x14ac:dyDescent="0.25">
      <c r="A64" s="12">
        <v>44426</v>
      </c>
      <c r="B64" s="18">
        <v>15.16</v>
      </c>
    </row>
    <row r="65" spans="1:2" x14ac:dyDescent="0.25">
      <c r="A65" s="12">
        <v>44427</v>
      </c>
      <c r="B65" s="18">
        <v>15.74</v>
      </c>
    </row>
    <row r="66" spans="1:2" x14ac:dyDescent="0.25">
      <c r="A66" s="12">
        <v>44428</v>
      </c>
      <c r="B66" s="18">
        <v>15.63</v>
      </c>
    </row>
    <row r="67" spans="1:2" x14ac:dyDescent="0.25">
      <c r="A67" s="12">
        <v>44431</v>
      </c>
      <c r="B67" s="18">
        <v>16.190000999999999</v>
      </c>
    </row>
    <row r="68" spans="1:2" x14ac:dyDescent="0.25">
      <c r="A68" s="12">
        <v>44432</v>
      </c>
      <c r="B68" s="18">
        <v>17.399999999999999</v>
      </c>
    </row>
    <row r="69" spans="1:2" x14ac:dyDescent="0.25">
      <c r="A69" s="12">
        <v>44433</v>
      </c>
      <c r="B69" s="18">
        <v>17.690000999999999</v>
      </c>
    </row>
    <row r="70" spans="1:2" x14ac:dyDescent="0.25">
      <c r="A70" s="12">
        <v>44434</v>
      </c>
      <c r="B70" s="18">
        <v>17.850000000000001</v>
      </c>
    </row>
    <row r="71" spans="1:2" x14ac:dyDescent="0.25">
      <c r="A71" s="12">
        <v>44435</v>
      </c>
      <c r="B71" s="18">
        <v>18.299999</v>
      </c>
    </row>
    <row r="72" spans="1:2" x14ac:dyDescent="0.25">
      <c r="A72" s="12">
        <v>44438</v>
      </c>
      <c r="B72" s="18">
        <v>18.809999000000001</v>
      </c>
    </row>
    <row r="73" spans="1:2" x14ac:dyDescent="0.25">
      <c r="A73" s="12">
        <v>44439</v>
      </c>
      <c r="B73" s="18">
        <v>18.219999000000001</v>
      </c>
    </row>
    <row r="74" spans="1:2" x14ac:dyDescent="0.25">
      <c r="A74" s="12">
        <v>44440</v>
      </c>
      <c r="B74" s="18">
        <v>17.829999999999998</v>
      </c>
    </row>
    <row r="75" spans="1:2" x14ac:dyDescent="0.25">
      <c r="A75" s="12">
        <v>44441</v>
      </c>
      <c r="B75" s="18">
        <v>17.66</v>
      </c>
    </row>
    <row r="76" spans="1:2" x14ac:dyDescent="0.25">
      <c r="A76" s="12">
        <v>44442</v>
      </c>
      <c r="B76" s="18">
        <v>16.84</v>
      </c>
    </row>
    <row r="77" spans="1:2" x14ac:dyDescent="0.25">
      <c r="A77" s="12">
        <v>44446</v>
      </c>
      <c r="B77" s="18">
        <v>17.16</v>
      </c>
    </row>
    <row r="78" spans="1:2" x14ac:dyDescent="0.25">
      <c r="A78" s="12">
        <v>44447</v>
      </c>
      <c r="B78" s="18">
        <v>16.889999</v>
      </c>
    </row>
    <row r="79" spans="1:2" x14ac:dyDescent="0.25">
      <c r="A79" s="12">
        <v>44448</v>
      </c>
      <c r="B79" s="18">
        <v>16.489999999999998</v>
      </c>
    </row>
    <row r="80" spans="1:2" x14ac:dyDescent="0.25">
      <c r="A80" s="12">
        <v>44449</v>
      </c>
      <c r="B80" s="18">
        <v>17.450001</v>
      </c>
    </row>
    <row r="81" spans="1:2" x14ac:dyDescent="0.25">
      <c r="A81" s="12">
        <v>44452</v>
      </c>
      <c r="B81" s="18">
        <v>17.870000999999998</v>
      </c>
    </row>
    <row r="82" spans="1:2" x14ac:dyDescent="0.25">
      <c r="A82" s="12">
        <v>44453</v>
      </c>
      <c r="B82" s="18">
        <v>16.93</v>
      </c>
    </row>
    <row r="83" spans="1:2" x14ac:dyDescent="0.25">
      <c r="A83" s="12">
        <v>44454</v>
      </c>
      <c r="B83" s="18">
        <v>16.969999000000001</v>
      </c>
    </row>
    <row r="84" spans="1:2" x14ac:dyDescent="0.25">
      <c r="A84" s="12">
        <v>44455</v>
      </c>
      <c r="B84" s="18">
        <v>16.309999000000001</v>
      </c>
    </row>
    <row r="85" spans="1:2" x14ac:dyDescent="0.25">
      <c r="A85" s="12">
        <v>44456</v>
      </c>
      <c r="B85" s="18">
        <v>16.27</v>
      </c>
    </row>
    <row r="86" spans="1:2" x14ac:dyDescent="0.25">
      <c r="A86" s="12">
        <v>44459</v>
      </c>
      <c r="B86" s="18">
        <v>16.049999</v>
      </c>
    </row>
    <row r="87" spans="1:2" x14ac:dyDescent="0.25">
      <c r="A87" s="12">
        <v>44460</v>
      </c>
      <c r="B87" s="18">
        <v>16.48</v>
      </c>
    </row>
    <row r="88" spans="1:2" x14ac:dyDescent="0.25">
      <c r="A88" s="12">
        <v>44461</v>
      </c>
      <c r="B88" s="18">
        <v>16.48</v>
      </c>
    </row>
    <row r="89" spans="1:2" x14ac:dyDescent="0.25">
      <c r="A89" s="12">
        <v>44462</v>
      </c>
      <c r="B89" s="18">
        <v>16.620000999999998</v>
      </c>
    </row>
    <row r="90" spans="1:2" x14ac:dyDescent="0.25">
      <c r="A90" s="12">
        <v>44463</v>
      </c>
      <c r="B90" s="18">
        <v>16.299999</v>
      </c>
    </row>
    <row r="91" spans="1:2" x14ac:dyDescent="0.25">
      <c r="A91" s="12">
        <v>44466</v>
      </c>
      <c r="B91" s="18">
        <v>16.030000999999999</v>
      </c>
    </row>
    <row r="92" spans="1:2" x14ac:dyDescent="0.25">
      <c r="A92" s="12">
        <v>44467</v>
      </c>
      <c r="B92" s="18">
        <v>15.91</v>
      </c>
    </row>
    <row r="93" spans="1:2" x14ac:dyDescent="0.25">
      <c r="A93" s="12">
        <v>44468</v>
      </c>
      <c r="B93" s="18">
        <v>15.11</v>
      </c>
    </row>
    <row r="94" spans="1:2" x14ac:dyDescent="0.25">
      <c r="A94" s="12">
        <v>44469</v>
      </c>
      <c r="B94" s="18">
        <v>15.12</v>
      </c>
    </row>
    <row r="95" spans="1:2" x14ac:dyDescent="0.25">
      <c r="A95" s="12">
        <v>44470</v>
      </c>
      <c r="B95" s="18">
        <v>14.75</v>
      </c>
    </row>
    <row r="96" spans="1:2" x14ac:dyDescent="0.25">
      <c r="A96" s="12">
        <v>44473</v>
      </c>
      <c r="B96" s="18">
        <v>13.81</v>
      </c>
    </row>
    <row r="97" spans="1:2" x14ac:dyDescent="0.25">
      <c r="A97" s="12">
        <v>44474</v>
      </c>
      <c r="B97" s="18">
        <v>13.63</v>
      </c>
    </row>
    <row r="98" spans="1:2" x14ac:dyDescent="0.25">
      <c r="A98" s="12">
        <v>44475</v>
      </c>
      <c r="B98" s="18">
        <v>13.5</v>
      </c>
    </row>
    <row r="99" spans="1:2" x14ac:dyDescent="0.25">
      <c r="A99" s="12">
        <v>44476</v>
      </c>
      <c r="B99" s="18">
        <v>14.73</v>
      </c>
    </row>
    <row r="100" spans="1:2" x14ac:dyDescent="0.25">
      <c r="A100" s="12">
        <v>44477</v>
      </c>
      <c r="B100" s="18">
        <v>14.6</v>
      </c>
    </row>
    <row r="101" spans="1:2" x14ac:dyDescent="0.25">
      <c r="A101" s="12">
        <v>44480</v>
      </c>
      <c r="B101" s="18">
        <v>14.15</v>
      </c>
    </row>
    <row r="102" spans="1:2" x14ac:dyDescent="0.25">
      <c r="A102" s="12">
        <v>44481</v>
      </c>
      <c r="B102" s="18">
        <v>14.19</v>
      </c>
    </row>
    <row r="103" spans="1:2" x14ac:dyDescent="0.25">
      <c r="A103" s="12">
        <v>44482</v>
      </c>
      <c r="B103" s="18">
        <v>14.33</v>
      </c>
    </row>
    <row r="104" spans="1:2" x14ac:dyDescent="0.25">
      <c r="A104" s="12">
        <v>44483</v>
      </c>
      <c r="B104" s="18">
        <v>14.87</v>
      </c>
    </row>
    <row r="105" spans="1:2" x14ac:dyDescent="0.25">
      <c r="A105" s="12">
        <v>44484</v>
      </c>
      <c r="B105" s="18">
        <v>14.51</v>
      </c>
    </row>
    <row r="106" spans="1:2" x14ac:dyDescent="0.25">
      <c r="A106" s="12">
        <v>44487</v>
      </c>
      <c r="B106" s="18">
        <v>14.28</v>
      </c>
    </row>
    <row r="107" spans="1:2" x14ac:dyDescent="0.25">
      <c r="A107" s="12">
        <v>44488</v>
      </c>
      <c r="B107" s="18">
        <v>14.63</v>
      </c>
    </row>
    <row r="108" spans="1:2" x14ac:dyDescent="0.25">
      <c r="A108" s="12">
        <v>44489</v>
      </c>
      <c r="B108" s="18">
        <v>14.51</v>
      </c>
    </row>
    <row r="109" spans="1:2" x14ac:dyDescent="0.25">
      <c r="A109" s="12">
        <v>44490</v>
      </c>
      <c r="B109" s="18">
        <v>14.17</v>
      </c>
    </row>
    <row r="110" spans="1:2" x14ac:dyDescent="0.25">
      <c r="A110" s="12">
        <v>44491</v>
      </c>
      <c r="B110" s="18">
        <v>14.01</v>
      </c>
    </row>
    <row r="111" spans="1:2" x14ac:dyDescent="0.25">
      <c r="A111" s="12">
        <v>44494</v>
      </c>
      <c r="B111" s="18">
        <v>14.17</v>
      </c>
    </row>
    <row r="112" spans="1:2" x14ac:dyDescent="0.25">
      <c r="A112" s="12">
        <v>44495</v>
      </c>
      <c r="B112" s="18">
        <v>13.89</v>
      </c>
    </row>
    <row r="113" spans="1:2" x14ac:dyDescent="0.25">
      <c r="A113" s="12">
        <v>44496</v>
      </c>
      <c r="B113" s="18">
        <v>12.99</v>
      </c>
    </row>
    <row r="114" spans="1:2" x14ac:dyDescent="0.25">
      <c r="A114" s="12">
        <v>44497</v>
      </c>
      <c r="B114" s="18">
        <v>13.33</v>
      </c>
    </row>
    <row r="115" spans="1:2" x14ac:dyDescent="0.25">
      <c r="A115" s="12">
        <v>44498</v>
      </c>
      <c r="B115" s="18">
        <v>12.89</v>
      </c>
    </row>
    <row r="116" spans="1:2" x14ac:dyDescent="0.25">
      <c r="A116" s="12">
        <v>44501</v>
      </c>
      <c r="B116" s="18">
        <v>13.19</v>
      </c>
    </row>
    <row r="117" spans="1:2" x14ac:dyDescent="0.25">
      <c r="A117" s="12">
        <v>44502</v>
      </c>
      <c r="B117" s="18">
        <v>12.83</v>
      </c>
    </row>
    <row r="118" spans="1:2" x14ac:dyDescent="0.25">
      <c r="A118" s="12">
        <v>44503</v>
      </c>
      <c r="B118" s="18">
        <v>13.67</v>
      </c>
    </row>
    <row r="119" spans="1:2" x14ac:dyDescent="0.25">
      <c r="A119" s="12">
        <v>44504</v>
      </c>
      <c r="B119" s="18">
        <v>13.19</v>
      </c>
    </row>
    <row r="120" spans="1:2" x14ac:dyDescent="0.25">
      <c r="A120" s="12">
        <v>44505</v>
      </c>
      <c r="B120" s="18">
        <v>13.15</v>
      </c>
    </row>
    <row r="121" spans="1:2" x14ac:dyDescent="0.25">
      <c r="A121" s="12">
        <v>44508</v>
      </c>
      <c r="B121" s="18">
        <v>12.67</v>
      </c>
    </row>
    <row r="122" spans="1:2" x14ac:dyDescent="0.25">
      <c r="A122" s="12">
        <v>44509</v>
      </c>
      <c r="B122" s="18">
        <v>12.9</v>
      </c>
    </row>
    <row r="123" spans="1:2" x14ac:dyDescent="0.25">
      <c r="A123" s="12">
        <v>44510</v>
      </c>
      <c r="B123" s="18">
        <v>12.36</v>
      </c>
    </row>
    <row r="124" spans="1:2" x14ac:dyDescent="0.25">
      <c r="A124" s="12">
        <v>44511</v>
      </c>
      <c r="B124" s="18">
        <v>11.3</v>
      </c>
    </row>
    <row r="125" spans="1:2" x14ac:dyDescent="0.25">
      <c r="A125" s="12">
        <v>44512</v>
      </c>
      <c r="B125" s="18">
        <v>11.82</v>
      </c>
    </row>
    <row r="126" spans="1:2" x14ac:dyDescent="0.25">
      <c r="A126" s="12">
        <v>44515</v>
      </c>
      <c r="B126" s="18">
        <v>9.36</v>
      </c>
    </row>
    <row r="127" spans="1:2" x14ac:dyDescent="0.25">
      <c r="A127" s="12">
        <v>44516</v>
      </c>
      <c r="B127" s="18">
        <v>10.18</v>
      </c>
    </row>
    <row r="128" spans="1:2" x14ac:dyDescent="0.25">
      <c r="A128" s="12">
        <v>44517</v>
      </c>
      <c r="B128" s="18">
        <v>9.44</v>
      </c>
    </row>
    <row r="129" spans="1:2" x14ac:dyDescent="0.25">
      <c r="A129" s="12">
        <v>44518</v>
      </c>
      <c r="B129" s="18">
        <v>9.8699999999999992</v>
      </c>
    </row>
    <row r="130" spans="1:2" x14ac:dyDescent="0.25">
      <c r="A130" s="12">
        <v>44519</v>
      </c>
      <c r="B130" s="18">
        <v>10.050000000000001</v>
      </c>
    </row>
    <row r="131" spans="1:2" x14ac:dyDescent="0.25">
      <c r="A131" s="12">
        <v>44522</v>
      </c>
      <c r="B131" s="18">
        <v>9.1999999999999993</v>
      </c>
    </row>
    <row r="132" spans="1:2" x14ac:dyDescent="0.25">
      <c r="A132" s="12">
        <v>44523</v>
      </c>
      <c r="B132" s="18">
        <v>9.52</v>
      </c>
    </row>
    <row r="133" spans="1:2" x14ac:dyDescent="0.25">
      <c r="A133" s="12">
        <v>44524</v>
      </c>
      <c r="B133" s="18">
        <v>9.81</v>
      </c>
    </row>
    <row r="134" spans="1:2" x14ac:dyDescent="0.25">
      <c r="A134" s="12">
        <v>44526</v>
      </c>
      <c r="B134" s="18">
        <v>9.67</v>
      </c>
    </row>
    <row r="135" spans="1:2" x14ac:dyDescent="0.25">
      <c r="A135" s="12">
        <v>44529</v>
      </c>
      <c r="B135" s="18">
        <v>9.31</v>
      </c>
    </row>
    <row r="136" spans="1:2" x14ac:dyDescent="0.25">
      <c r="A136" s="12">
        <v>44530</v>
      </c>
      <c r="B136" s="18">
        <v>8.9499999999999993</v>
      </c>
    </row>
    <row r="137" spans="1:2" x14ac:dyDescent="0.25">
      <c r="A137" s="12">
        <v>44531</v>
      </c>
      <c r="B137" s="18">
        <v>8.4</v>
      </c>
    </row>
    <row r="138" spans="1:2" x14ac:dyDescent="0.25">
      <c r="A138" s="12">
        <v>44532</v>
      </c>
      <c r="B138" s="18">
        <v>8.23</v>
      </c>
    </row>
    <row r="139" spans="1:2" x14ac:dyDescent="0.25">
      <c r="A139" s="12">
        <v>44533</v>
      </c>
      <c r="B139" s="18">
        <v>8</v>
      </c>
    </row>
    <row r="140" spans="1:2" x14ac:dyDescent="0.25">
      <c r="A140" s="12">
        <v>44536</v>
      </c>
      <c r="B140" s="18">
        <v>8.0299999999999994</v>
      </c>
    </row>
    <row r="141" spans="1:2" x14ac:dyDescent="0.25">
      <c r="A141" s="12">
        <v>44537</v>
      </c>
      <c r="B141" s="18">
        <v>8.77</v>
      </c>
    </row>
    <row r="142" spans="1:2" x14ac:dyDescent="0.25">
      <c r="A142" s="12">
        <v>44538</v>
      </c>
      <c r="B142" s="18">
        <v>8.8000000000000007</v>
      </c>
    </row>
    <row r="143" spans="1:2" x14ac:dyDescent="0.25">
      <c r="A143" s="12">
        <v>44539</v>
      </c>
      <c r="B143" s="18">
        <v>8.6300000000000008</v>
      </c>
    </row>
    <row r="144" spans="1:2" x14ac:dyDescent="0.25">
      <c r="A144" s="12">
        <v>44540</v>
      </c>
      <c r="B144" s="18">
        <v>8.5</v>
      </c>
    </row>
    <row r="145" spans="1:2" x14ac:dyDescent="0.25">
      <c r="A145" s="12">
        <v>44543</v>
      </c>
      <c r="B145" s="18">
        <v>8.19</v>
      </c>
    </row>
    <row r="146" spans="1:2" x14ac:dyDescent="0.25">
      <c r="A146" s="12">
        <v>44544</v>
      </c>
      <c r="B146" s="18">
        <v>8.1999999999999993</v>
      </c>
    </row>
    <row r="147" spans="1:2" x14ac:dyDescent="0.25">
      <c r="A147" s="12">
        <v>44545</v>
      </c>
      <c r="B147" s="18">
        <v>8.1</v>
      </c>
    </row>
    <row r="148" spans="1:2" x14ac:dyDescent="0.25">
      <c r="A148" s="12">
        <v>44546</v>
      </c>
      <c r="B148" s="18">
        <v>7.9</v>
      </c>
    </row>
    <row r="149" spans="1:2" x14ac:dyDescent="0.25">
      <c r="A149" s="12">
        <v>44547</v>
      </c>
      <c r="B149" s="18">
        <v>7.99</v>
      </c>
    </row>
    <row r="150" spans="1:2" x14ac:dyDescent="0.25">
      <c r="A150" s="12">
        <v>44550</v>
      </c>
      <c r="B150" s="18">
        <v>7.69</v>
      </c>
    </row>
    <row r="151" spans="1:2" x14ac:dyDescent="0.25">
      <c r="A151" s="12">
        <v>44551</v>
      </c>
      <c r="B151" s="18">
        <v>7.88</v>
      </c>
    </row>
    <row r="152" spans="1:2" x14ac:dyDescent="0.25">
      <c r="A152" s="12">
        <v>44552</v>
      </c>
      <c r="B152" s="18">
        <v>7.61</v>
      </c>
    </row>
    <row r="153" spans="1:2" x14ac:dyDescent="0.25">
      <c r="A153" s="12">
        <v>44553</v>
      </c>
      <c r="B153" s="18">
        <v>8.14</v>
      </c>
    </row>
    <row r="154" spans="1:2" x14ac:dyDescent="0.25">
      <c r="A154" s="12">
        <v>44557</v>
      </c>
      <c r="B154" s="18">
        <v>8.01</v>
      </c>
    </row>
    <row r="155" spans="1:2" x14ac:dyDescent="0.25">
      <c r="A155" s="12">
        <v>44558</v>
      </c>
      <c r="B155" s="18">
        <v>7.8</v>
      </c>
    </row>
    <row r="156" spans="1:2" x14ac:dyDescent="0.25">
      <c r="A156" s="12">
        <v>44559</v>
      </c>
      <c r="B156" s="18">
        <v>7.88</v>
      </c>
    </row>
    <row r="157" spans="1:2" x14ac:dyDescent="0.25">
      <c r="A157" s="12">
        <v>44560</v>
      </c>
      <c r="B157" s="18">
        <v>8.0399999999999991</v>
      </c>
    </row>
    <row r="158" spans="1:2" x14ac:dyDescent="0.25">
      <c r="A158" s="12">
        <v>44561</v>
      </c>
      <c r="B158" s="18">
        <v>7.96</v>
      </c>
    </row>
    <row r="159" spans="1:2" x14ac:dyDescent="0.25">
      <c r="A159" s="12">
        <v>44564</v>
      </c>
      <c r="B159" s="18">
        <v>8.3699999999999992</v>
      </c>
    </row>
    <row r="160" spans="1:2" x14ac:dyDescent="0.25">
      <c r="A160" s="12">
        <v>44565</v>
      </c>
      <c r="B160" s="18">
        <v>8.0399999999999991</v>
      </c>
    </row>
    <row r="161" spans="1:2" x14ac:dyDescent="0.25">
      <c r="A161" s="12">
        <v>44566</v>
      </c>
      <c r="B161" s="18">
        <v>7.9</v>
      </c>
    </row>
    <row r="162" spans="1:2" x14ac:dyDescent="0.25">
      <c r="A162" s="12">
        <v>44567</v>
      </c>
      <c r="B162" s="18">
        <v>8.1199999999999992</v>
      </c>
    </row>
    <row r="163" spans="1:2" x14ac:dyDescent="0.25">
      <c r="A163" s="12">
        <v>44568</v>
      </c>
      <c r="B163" s="18">
        <v>7.98</v>
      </c>
    </row>
    <row r="164" spans="1:2" x14ac:dyDescent="0.25">
      <c r="A164" s="12">
        <v>44571</v>
      </c>
      <c r="B164" s="18">
        <v>7.25</v>
      </c>
    </row>
    <row r="165" spans="1:2" x14ac:dyDescent="0.25">
      <c r="A165" s="12">
        <v>44572</v>
      </c>
      <c r="B165" s="18">
        <v>8.2100000000000009</v>
      </c>
    </row>
    <row r="166" spans="1:2" x14ac:dyDescent="0.25">
      <c r="A166" s="12">
        <v>44573</v>
      </c>
      <c r="B166" s="18">
        <v>7.82</v>
      </c>
    </row>
    <row r="167" spans="1:2" x14ac:dyDescent="0.25">
      <c r="A167" s="12">
        <v>44574</v>
      </c>
      <c r="B167" s="18">
        <v>7.72</v>
      </c>
    </row>
    <row r="168" spans="1:2" x14ac:dyDescent="0.25">
      <c r="A168" s="12">
        <v>44575</v>
      </c>
      <c r="B168" s="18">
        <v>7.41</v>
      </c>
    </row>
    <row r="169" spans="1:2" x14ac:dyDescent="0.25">
      <c r="A169" s="12">
        <v>44579</v>
      </c>
      <c r="B169" s="18">
        <v>7</v>
      </c>
    </row>
    <row r="170" spans="1:2" x14ac:dyDescent="0.25">
      <c r="A170" s="12">
        <v>44580</v>
      </c>
      <c r="B170" s="18">
        <v>6.91</v>
      </c>
    </row>
    <row r="171" spans="1:2" x14ac:dyDescent="0.25">
      <c r="A171" s="12">
        <v>44581</v>
      </c>
      <c r="B171" s="18">
        <v>6.83</v>
      </c>
    </row>
    <row r="172" spans="1:2" x14ac:dyDescent="0.25">
      <c r="A172" s="12">
        <v>44582</v>
      </c>
      <c r="B172" s="18">
        <v>6.53</v>
      </c>
    </row>
    <row r="173" spans="1:2" x14ac:dyDescent="0.25">
      <c r="A173" s="12">
        <v>44585</v>
      </c>
      <c r="B173" s="18">
        <v>6.88</v>
      </c>
    </row>
    <row r="174" spans="1:2" x14ac:dyDescent="0.25">
      <c r="A174" s="12">
        <v>44586</v>
      </c>
      <c r="B174" s="18">
        <v>6.85</v>
      </c>
    </row>
    <row r="175" spans="1:2" x14ac:dyDescent="0.25">
      <c r="A175" s="12">
        <v>44587</v>
      </c>
      <c r="B175" s="18">
        <v>6.68</v>
      </c>
    </row>
    <row r="176" spans="1:2" x14ac:dyDescent="0.25">
      <c r="A176" s="12">
        <v>44588</v>
      </c>
      <c r="B176" s="18">
        <v>6.25</v>
      </c>
    </row>
    <row r="177" spans="1:2" x14ac:dyDescent="0.25">
      <c r="A177" s="12">
        <v>44589</v>
      </c>
      <c r="B177" s="18">
        <v>6.65</v>
      </c>
    </row>
    <row r="178" spans="1:2" x14ac:dyDescent="0.25">
      <c r="A178" s="12">
        <v>44592</v>
      </c>
      <c r="B178" s="18">
        <v>7.11</v>
      </c>
    </row>
    <row r="179" spans="1:2" x14ac:dyDescent="0.25">
      <c r="A179" s="12">
        <v>44593</v>
      </c>
      <c r="B179" s="18">
        <v>7.3</v>
      </c>
    </row>
    <row r="180" spans="1:2" x14ac:dyDescent="0.25">
      <c r="A180" s="12">
        <v>44594</v>
      </c>
      <c r="B180" s="18">
        <v>7</v>
      </c>
    </row>
    <row r="181" spans="1:2" x14ac:dyDescent="0.25">
      <c r="A181" s="12">
        <v>44595</v>
      </c>
      <c r="B181" s="18">
        <v>6.73</v>
      </c>
    </row>
    <row r="182" spans="1:2" x14ac:dyDescent="0.25">
      <c r="A182" s="12">
        <v>44596</v>
      </c>
      <c r="B182" s="18">
        <v>6.88</v>
      </c>
    </row>
    <row r="183" spans="1:2" x14ac:dyDescent="0.25">
      <c r="A183" s="12">
        <v>44599</v>
      </c>
      <c r="B183" s="18">
        <v>7.1</v>
      </c>
    </row>
    <row r="184" spans="1:2" x14ac:dyDescent="0.25">
      <c r="A184" s="12">
        <v>44600</v>
      </c>
      <c r="B184" s="18">
        <v>7.25</v>
      </c>
    </row>
    <row r="185" spans="1:2" x14ac:dyDescent="0.25">
      <c r="A185" s="12">
        <v>44601</v>
      </c>
      <c r="B185" s="18">
        <v>7.62</v>
      </c>
    </row>
    <row r="186" spans="1:2" x14ac:dyDescent="0.25">
      <c r="A186" s="12">
        <v>44602</v>
      </c>
      <c r="B186" s="18">
        <v>7.53</v>
      </c>
    </row>
    <row r="187" spans="1:2" x14ac:dyDescent="0.25">
      <c r="A187" s="12">
        <v>44603</v>
      </c>
      <c r="B187" s="18">
        <v>7.33</v>
      </c>
    </row>
    <row r="188" spans="1:2" x14ac:dyDescent="0.25">
      <c r="A188" s="12">
        <v>44606</v>
      </c>
      <c r="B188" s="18">
        <v>7.36</v>
      </c>
    </row>
    <row r="189" spans="1:2" x14ac:dyDescent="0.25">
      <c r="A189" s="12">
        <v>44607</v>
      </c>
      <c r="B189" s="18">
        <v>7.87</v>
      </c>
    </row>
    <row r="190" spans="1:2" x14ac:dyDescent="0.25">
      <c r="A190" s="12">
        <v>44608</v>
      </c>
      <c r="B190" s="18">
        <v>7.8</v>
      </c>
    </row>
    <row r="191" spans="1:2" x14ac:dyDescent="0.25">
      <c r="A191" s="12">
        <v>44609</v>
      </c>
      <c r="B191" s="18">
        <v>7.31</v>
      </c>
    </row>
    <row r="192" spans="1:2" x14ac:dyDescent="0.25">
      <c r="A192" s="12">
        <v>44610</v>
      </c>
      <c r="B192" s="18">
        <v>6.97</v>
      </c>
    </row>
    <row r="193" spans="1:2" x14ac:dyDescent="0.25">
      <c r="A193" s="12">
        <v>44614</v>
      </c>
      <c r="B193" s="18">
        <v>6.83</v>
      </c>
    </row>
    <row r="194" spans="1:2" x14ac:dyDescent="0.25">
      <c r="A194" s="12">
        <v>44615</v>
      </c>
      <c r="B194" s="18">
        <v>6.36</v>
      </c>
    </row>
    <row r="195" spans="1:2" x14ac:dyDescent="0.25">
      <c r="A195" s="12">
        <v>44616</v>
      </c>
      <c r="B195" s="18">
        <v>6.82</v>
      </c>
    </row>
    <row r="196" spans="1:2" x14ac:dyDescent="0.25">
      <c r="A196" s="12">
        <v>44617</v>
      </c>
      <c r="B196" s="18">
        <v>6.73</v>
      </c>
    </row>
    <row r="197" spans="1:2" x14ac:dyDescent="0.25">
      <c r="A197" s="12">
        <v>44620</v>
      </c>
      <c r="B197" s="18">
        <v>6.75</v>
      </c>
    </row>
    <row r="198" spans="1:2" x14ac:dyDescent="0.25">
      <c r="A198" s="12">
        <v>44621</v>
      </c>
      <c r="B198" s="18">
        <v>6.7</v>
      </c>
    </row>
    <row r="199" spans="1:2" x14ac:dyDescent="0.25">
      <c r="A199" s="12">
        <v>44622</v>
      </c>
      <c r="B199" s="18">
        <v>6.73</v>
      </c>
    </row>
    <row r="200" spans="1:2" x14ac:dyDescent="0.25">
      <c r="A200" s="12">
        <v>44623</v>
      </c>
      <c r="B200" s="18">
        <v>6.66</v>
      </c>
    </row>
    <row r="201" spans="1:2" x14ac:dyDescent="0.25">
      <c r="A201" s="12">
        <v>44624</v>
      </c>
      <c r="B201" s="18">
        <v>6.18</v>
      </c>
    </row>
    <row r="202" spans="1:2" x14ac:dyDescent="0.25">
      <c r="A202" s="12">
        <v>44627</v>
      </c>
      <c r="B202" s="18">
        <v>5.71</v>
      </c>
    </row>
    <row r="203" spans="1:2" x14ac:dyDescent="0.25">
      <c r="A203" s="12">
        <v>44628</v>
      </c>
      <c r="B203" s="18">
        <v>5.73</v>
      </c>
    </row>
    <row r="204" spans="1:2" x14ac:dyDescent="0.25">
      <c r="A204" s="12">
        <v>44629</v>
      </c>
      <c r="B204" s="18">
        <v>5.72</v>
      </c>
    </row>
    <row r="205" spans="1:2" x14ac:dyDescent="0.25">
      <c r="A205" s="12">
        <v>44630</v>
      </c>
      <c r="B205" s="18">
        <v>5.37</v>
      </c>
    </row>
    <row r="206" spans="1:2" x14ac:dyDescent="0.25">
      <c r="A206" s="12">
        <v>44631</v>
      </c>
      <c r="B206" s="18">
        <v>4.99</v>
      </c>
    </row>
    <row r="207" spans="1:2" x14ac:dyDescent="0.25">
      <c r="A207" s="12">
        <v>44634</v>
      </c>
      <c r="B207" s="18">
        <v>4.71</v>
      </c>
    </row>
    <row r="208" spans="1:2" x14ac:dyDescent="0.25">
      <c r="A208" s="12">
        <v>44635</v>
      </c>
      <c r="B208" s="18">
        <v>4.8</v>
      </c>
    </row>
    <row r="209" spans="1:2" x14ac:dyDescent="0.25">
      <c r="A209" s="12">
        <v>44636</v>
      </c>
      <c r="B209" s="18">
        <v>5.23</v>
      </c>
    </row>
    <row r="210" spans="1:2" x14ac:dyDescent="0.25">
      <c r="A210" s="12">
        <v>44637</v>
      </c>
      <c r="B210" s="18">
        <v>5.29</v>
      </c>
    </row>
    <row r="211" spans="1:2" x14ac:dyDescent="0.25">
      <c r="A211" s="12">
        <v>44638</v>
      </c>
      <c r="B211" s="18">
        <v>5.72</v>
      </c>
    </row>
    <row r="212" spans="1:2" x14ac:dyDescent="0.25">
      <c r="A212" s="12">
        <v>44641</v>
      </c>
      <c r="B212" s="18">
        <v>5.49</v>
      </c>
    </row>
    <row r="213" spans="1:2" x14ac:dyDescent="0.25">
      <c r="A213" s="12">
        <v>44642</v>
      </c>
      <c r="B213" s="18">
        <v>5.53</v>
      </c>
    </row>
    <row r="214" spans="1:2" x14ac:dyDescent="0.25">
      <c r="A214" s="12">
        <v>44643</v>
      </c>
      <c r="B214" s="18">
        <v>5.31</v>
      </c>
    </row>
    <row r="215" spans="1:2" x14ac:dyDescent="0.25">
      <c r="A215" s="12">
        <v>44644</v>
      </c>
      <c r="B215" s="18">
        <v>5.19</v>
      </c>
    </row>
    <row r="216" spans="1:2" x14ac:dyDescent="0.25">
      <c r="A216" s="12">
        <v>44645</v>
      </c>
      <c r="B216" s="18">
        <v>5.12</v>
      </c>
    </row>
    <row r="217" spans="1:2" x14ac:dyDescent="0.25">
      <c r="A217" s="12">
        <v>44648</v>
      </c>
      <c r="B217" s="18">
        <v>5.03</v>
      </c>
    </row>
    <row r="218" spans="1:2" x14ac:dyDescent="0.25">
      <c r="A218" s="12">
        <v>44649</v>
      </c>
      <c r="B218" s="18">
        <v>5.4</v>
      </c>
    </row>
    <row r="219" spans="1:2" x14ac:dyDescent="0.25">
      <c r="A219" s="12">
        <v>44650</v>
      </c>
      <c r="B219" s="18">
        <v>5.04</v>
      </c>
    </row>
    <row r="220" spans="1:2" x14ac:dyDescent="0.25">
      <c r="A220" s="12">
        <v>44651</v>
      </c>
      <c r="B220" s="18">
        <v>5.01</v>
      </c>
    </row>
    <row r="221" spans="1:2" x14ac:dyDescent="0.25">
      <c r="A221" s="12">
        <v>44652</v>
      </c>
      <c r="B221" s="18">
        <v>5.08</v>
      </c>
    </row>
    <row r="222" spans="1:2" x14ac:dyDescent="0.25">
      <c r="A222" s="12">
        <v>44655</v>
      </c>
      <c r="B222" s="18">
        <v>5.33</v>
      </c>
    </row>
    <row r="223" spans="1:2" x14ac:dyDescent="0.25">
      <c r="A223" s="12">
        <v>44656</v>
      </c>
      <c r="B223" s="18">
        <v>5.1100000000000003</v>
      </c>
    </row>
    <row r="224" spans="1:2" x14ac:dyDescent="0.25">
      <c r="A224" s="12">
        <v>44657</v>
      </c>
      <c r="B224" s="18">
        <v>4.68</v>
      </c>
    </row>
    <row r="225" spans="1:2" x14ac:dyDescent="0.25">
      <c r="A225" s="12">
        <v>44658</v>
      </c>
      <c r="B225" s="18">
        <v>4.5199999999999996</v>
      </c>
    </row>
    <row r="226" spans="1:2" x14ac:dyDescent="0.25">
      <c r="A226" s="12">
        <v>44659</v>
      </c>
      <c r="B226" s="18">
        <v>4.45</v>
      </c>
    </row>
    <row r="227" spans="1:2" x14ac:dyDescent="0.25">
      <c r="A227" s="12">
        <v>44662</v>
      </c>
      <c r="B227" s="18">
        <v>4.46</v>
      </c>
    </row>
    <row r="228" spans="1:2" x14ac:dyDescent="0.25">
      <c r="A228" s="12">
        <v>44663</v>
      </c>
      <c r="B228" s="18">
        <v>4.3099999999999996</v>
      </c>
    </row>
    <row r="229" spans="1:2" x14ac:dyDescent="0.25">
      <c r="A229" s="12">
        <v>44664</v>
      </c>
      <c r="B229" s="18">
        <v>4.37</v>
      </c>
    </row>
    <row r="230" spans="1:2" x14ac:dyDescent="0.25">
      <c r="A230" s="12">
        <v>44665</v>
      </c>
      <c r="B230" s="18">
        <v>4.34</v>
      </c>
    </row>
    <row r="231" spans="1:2" x14ac:dyDescent="0.25">
      <c r="A231" s="12">
        <v>44669</v>
      </c>
      <c r="B231" s="18">
        <v>4.12</v>
      </c>
    </row>
    <row r="232" spans="1:2" x14ac:dyDescent="0.25">
      <c r="A232" s="12">
        <v>44670</v>
      </c>
      <c r="B232" s="18">
        <v>4.26</v>
      </c>
    </row>
    <row r="233" spans="1:2" x14ac:dyDescent="0.25">
      <c r="A233" s="12">
        <v>44671</v>
      </c>
      <c r="B233" s="18">
        <v>4.0599999999999996</v>
      </c>
    </row>
    <row r="234" spans="1:2" x14ac:dyDescent="0.25">
      <c r="A234" s="12">
        <v>44672</v>
      </c>
      <c r="B234" s="18">
        <v>3.85</v>
      </c>
    </row>
    <row r="235" spans="1:2" x14ac:dyDescent="0.25">
      <c r="A235" s="12">
        <v>44673</v>
      </c>
      <c r="B235" s="18">
        <v>3.83</v>
      </c>
    </row>
    <row r="236" spans="1:2" x14ac:dyDescent="0.25">
      <c r="A236" s="12">
        <v>44676</v>
      </c>
      <c r="B236" s="18">
        <v>3.83</v>
      </c>
    </row>
    <row r="237" spans="1:2" x14ac:dyDescent="0.25">
      <c r="A237" s="12">
        <v>44677</v>
      </c>
      <c r="B237" s="18">
        <v>3.5</v>
      </c>
    </row>
    <row r="238" spans="1:2" x14ac:dyDescent="0.25">
      <c r="A238" s="12">
        <v>44678</v>
      </c>
      <c r="B238" s="18">
        <v>3.57</v>
      </c>
    </row>
    <row r="239" spans="1:2" x14ac:dyDescent="0.25">
      <c r="A239" s="12">
        <v>44679</v>
      </c>
      <c r="B239" s="18">
        <v>3.68</v>
      </c>
    </row>
    <row r="240" spans="1:2" x14ac:dyDescent="0.25">
      <c r="A240" s="12">
        <v>44680</v>
      </c>
      <c r="B240" s="18">
        <v>3.56</v>
      </c>
    </row>
    <row r="241" spans="1:2" x14ac:dyDescent="0.25">
      <c r="A241" s="12">
        <v>44683</v>
      </c>
      <c r="B241" s="18">
        <v>3.68</v>
      </c>
    </row>
    <row r="242" spans="1:2" x14ac:dyDescent="0.25">
      <c r="A242" s="12">
        <v>44684</v>
      </c>
      <c r="B242" s="18">
        <v>3.49</v>
      </c>
    </row>
    <row r="243" spans="1:2" x14ac:dyDescent="0.25">
      <c r="A243" s="12">
        <v>44685</v>
      </c>
      <c r="B243" s="18">
        <v>3.94</v>
      </c>
    </row>
    <row r="244" spans="1:2" x14ac:dyDescent="0.25">
      <c r="A244" s="12">
        <v>44686</v>
      </c>
      <c r="B244" s="18">
        <v>3.6</v>
      </c>
    </row>
    <row r="245" spans="1:2" x14ac:dyDescent="0.25">
      <c r="A245" s="12">
        <v>44687</v>
      </c>
      <c r="B245" s="18">
        <v>3.32</v>
      </c>
    </row>
    <row r="246" spans="1:2" x14ac:dyDescent="0.25">
      <c r="A246" s="12">
        <v>44690</v>
      </c>
      <c r="B246" s="18">
        <v>3.04</v>
      </c>
    </row>
    <row r="247" spans="1:2" x14ac:dyDescent="0.25">
      <c r="A247" s="12">
        <v>44691</v>
      </c>
      <c r="B247" s="18">
        <v>2.95</v>
      </c>
    </row>
    <row r="248" spans="1:2" x14ac:dyDescent="0.25">
      <c r="A248" s="12">
        <v>44692</v>
      </c>
      <c r="B248" s="18">
        <v>2.85</v>
      </c>
    </row>
    <row r="249" spans="1:2" x14ac:dyDescent="0.25">
      <c r="A249" s="12">
        <v>44693</v>
      </c>
      <c r="B249" s="18">
        <v>3.07</v>
      </c>
    </row>
    <row r="250" spans="1:2" x14ac:dyDescent="0.25">
      <c r="A250" s="12">
        <v>44694</v>
      </c>
      <c r="B250" s="18">
        <v>3.71</v>
      </c>
    </row>
    <row r="251" spans="1:2" x14ac:dyDescent="0.25">
      <c r="A251" s="12">
        <v>44697</v>
      </c>
      <c r="B251" s="18">
        <v>3.63</v>
      </c>
    </row>
    <row r="252" spans="1:2" x14ac:dyDescent="0.25">
      <c r="A252" s="12">
        <v>44698</v>
      </c>
      <c r="B252" s="18">
        <v>3.69</v>
      </c>
    </row>
    <row r="253" spans="1:2" x14ac:dyDescent="0.25">
      <c r="A253" s="12">
        <v>44699</v>
      </c>
      <c r="B253" s="18">
        <v>3.58</v>
      </c>
    </row>
    <row r="254" spans="1:2" x14ac:dyDescent="0.25">
      <c r="A254" s="12">
        <v>44700</v>
      </c>
      <c r="B254" s="18">
        <v>3.56</v>
      </c>
    </row>
    <row r="255" spans="1:2" x14ac:dyDescent="0.25">
      <c r="A255" s="12">
        <v>44701</v>
      </c>
      <c r="B255" s="18">
        <v>3.66</v>
      </c>
    </row>
    <row r="256" spans="1:2" x14ac:dyDescent="0.25">
      <c r="A256" s="12">
        <v>44704</v>
      </c>
      <c r="B256" s="18">
        <v>3.7</v>
      </c>
    </row>
    <row r="257" spans="1:2" x14ac:dyDescent="0.25">
      <c r="A257" s="12">
        <v>44705</v>
      </c>
      <c r="B257" s="18">
        <v>3.44</v>
      </c>
    </row>
    <row r="258" spans="1:2" x14ac:dyDescent="0.25">
      <c r="A258" s="12">
        <v>44706</v>
      </c>
      <c r="B258" s="18">
        <v>3.72</v>
      </c>
    </row>
    <row r="259" spans="1:2" x14ac:dyDescent="0.25">
      <c r="A259" s="12">
        <v>44707</v>
      </c>
      <c r="B259" s="18">
        <v>3.85</v>
      </c>
    </row>
    <row r="260" spans="1:2" x14ac:dyDescent="0.25">
      <c r="A260" s="12">
        <v>44708</v>
      </c>
      <c r="B260" s="18">
        <v>4.1900000000000004</v>
      </c>
    </row>
    <row r="261" spans="1:2" x14ac:dyDescent="0.25">
      <c r="A261" s="12">
        <v>44712</v>
      </c>
      <c r="B261" s="18">
        <v>4.13</v>
      </c>
    </row>
    <row r="262" spans="1:2" x14ac:dyDescent="0.25">
      <c r="A262" s="12">
        <v>44713</v>
      </c>
      <c r="B262" s="18">
        <v>4.05</v>
      </c>
    </row>
    <row r="263" spans="1:2" x14ac:dyDescent="0.25">
      <c r="A263" s="12">
        <v>44714</v>
      </c>
      <c r="B263" s="18">
        <v>4.12</v>
      </c>
    </row>
    <row r="264" spans="1:2" x14ac:dyDescent="0.25">
      <c r="A264" s="12">
        <v>44715</v>
      </c>
      <c r="B264" s="18">
        <v>4.05</v>
      </c>
    </row>
    <row r="265" spans="1:2" x14ac:dyDescent="0.25">
      <c r="A265" s="12">
        <v>44718</v>
      </c>
      <c r="B265" s="18">
        <v>4.12</v>
      </c>
    </row>
    <row r="266" spans="1:2" x14ac:dyDescent="0.25">
      <c r="A266" s="12">
        <v>44719</v>
      </c>
      <c r="B266" s="18">
        <v>4.17</v>
      </c>
    </row>
    <row r="267" spans="1:2" x14ac:dyDescent="0.25">
      <c r="A267" s="12">
        <v>44720</v>
      </c>
      <c r="B267" s="18">
        <v>4.32</v>
      </c>
    </row>
    <row r="268" spans="1:2" x14ac:dyDescent="0.25">
      <c r="A268" s="12">
        <v>44721</v>
      </c>
      <c r="B268" s="18">
        <v>4.0999999999999996</v>
      </c>
    </row>
    <row r="269" spans="1:2" x14ac:dyDescent="0.25">
      <c r="A269" s="12">
        <v>44722</v>
      </c>
      <c r="B269" s="18">
        <v>3.89</v>
      </c>
    </row>
    <row r="270" spans="1:2" x14ac:dyDescent="0.25">
      <c r="A270" s="12">
        <v>44725</v>
      </c>
      <c r="B270" s="18">
        <v>3.69</v>
      </c>
    </row>
    <row r="271" spans="1:2" x14ac:dyDescent="0.25">
      <c r="A271" s="12">
        <v>44726</v>
      </c>
      <c r="B271" s="18">
        <v>3.76</v>
      </c>
    </row>
    <row r="272" spans="1:2" x14ac:dyDescent="0.25">
      <c r="A272" s="12">
        <v>44727</v>
      </c>
      <c r="B272" s="18">
        <v>4.04</v>
      </c>
    </row>
    <row r="273" spans="1:2" x14ac:dyDescent="0.25">
      <c r="A273" s="12">
        <v>44728</v>
      </c>
      <c r="B273" s="18">
        <v>3.77</v>
      </c>
    </row>
    <row r="274" spans="1:2" x14ac:dyDescent="0.25">
      <c r="A274" s="12">
        <v>44729</v>
      </c>
      <c r="B274" s="18">
        <v>3.73</v>
      </c>
    </row>
    <row r="275" spans="1:2" x14ac:dyDescent="0.25">
      <c r="A275" s="12">
        <v>44733</v>
      </c>
      <c r="B275" s="18">
        <v>3.94</v>
      </c>
    </row>
    <row r="276" spans="1:2" x14ac:dyDescent="0.25">
      <c r="A276" s="12">
        <v>44734</v>
      </c>
      <c r="B276" s="18">
        <v>3.8</v>
      </c>
    </row>
    <row r="277" spans="1:2" x14ac:dyDescent="0.25">
      <c r="A277" s="12">
        <v>44735</v>
      </c>
      <c r="B277" s="18">
        <v>3.94</v>
      </c>
    </row>
    <row r="278" spans="1:2" x14ac:dyDescent="0.25">
      <c r="A278" s="12">
        <v>44736</v>
      </c>
      <c r="B278" s="18">
        <v>4.08</v>
      </c>
    </row>
    <row r="279" spans="1:2" x14ac:dyDescent="0.25">
      <c r="A279" s="12">
        <v>44739</v>
      </c>
      <c r="B279" s="18">
        <v>3.96</v>
      </c>
    </row>
    <row r="280" spans="1:2" x14ac:dyDescent="0.25">
      <c r="A280" s="12">
        <v>44740</v>
      </c>
      <c r="B280" s="18">
        <v>3.69</v>
      </c>
    </row>
    <row r="281" spans="1:2" x14ac:dyDescent="0.25">
      <c r="A281" s="12">
        <v>44741</v>
      </c>
      <c r="B281" s="18">
        <v>3.52</v>
      </c>
    </row>
    <row r="282" spans="1:2" x14ac:dyDescent="0.25">
      <c r="A282" s="12">
        <v>44742</v>
      </c>
      <c r="B282" s="18">
        <v>3.46</v>
      </c>
    </row>
    <row r="283" spans="1:2" x14ac:dyDescent="0.25">
      <c r="A283" s="12">
        <v>44743</v>
      </c>
      <c r="B283" s="18">
        <v>3.64</v>
      </c>
    </row>
    <row r="284" spans="1:2" x14ac:dyDescent="0.25">
      <c r="A284" s="12">
        <v>44747</v>
      </c>
      <c r="B284" s="18">
        <v>3.96</v>
      </c>
    </row>
    <row r="285" spans="1:2" x14ac:dyDescent="0.25">
      <c r="A285" s="12">
        <v>44748</v>
      </c>
      <c r="B285" s="18">
        <v>4.07</v>
      </c>
    </row>
    <row r="286" spans="1:2" x14ac:dyDescent="0.25">
      <c r="A286" s="12">
        <v>44749</v>
      </c>
      <c r="B286" s="18">
        <v>4.1100000000000003</v>
      </c>
    </row>
    <row r="287" spans="1:2" x14ac:dyDescent="0.25">
      <c r="A287" s="12">
        <v>44750</v>
      </c>
      <c r="B287" s="18">
        <v>4.09</v>
      </c>
    </row>
    <row r="288" spans="1:2" x14ac:dyDescent="0.25">
      <c r="A288" s="12">
        <v>44753</v>
      </c>
      <c r="B288" s="18">
        <v>3.85</v>
      </c>
    </row>
    <row r="289" spans="1:2" x14ac:dyDescent="0.25">
      <c r="A289" s="12">
        <v>44754</v>
      </c>
      <c r="B289" s="18">
        <v>3.82</v>
      </c>
    </row>
    <row r="290" spans="1:2" x14ac:dyDescent="0.25">
      <c r="A290" s="12">
        <v>44755</v>
      </c>
      <c r="B290" s="18">
        <v>3.83</v>
      </c>
    </row>
    <row r="291" spans="1:2" x14ac:dyDescent="0.25">
      <c r="A291" s="12">
        <v>44756</v>
      </c>
      <c r="B291" s="18">
        <v>3.58</v>
      </c>
    </row>
    <row r="292" spans="1:2" x14ac:dyDescent="0.25">
      <c r="A292" s="12">
        <v>44757</v>
      </c>
      <c r="B292" s="18">
        <v>3.59</v>
      </c>
    </row>
    <row r="293" spans="1:2" x14ac:dyDescent="0.25">
      <c r="A293" s="12">
        <v>44760</v>
      </c>
      <c r="B293" s="18">
        <v>3.64</v>
      </c>
    </row>
    <row r="294" spans="1:2" x14ac:dyDescent="0.25">
      <c r="A294" s="12">
        <v>44761</v>
      </c>
      <c r="B294" s="18">
        <v>4.0599999999999996</v>
      </c>
    </row>
    <row r="295" spans="1:2" x14ac:dyDescent="0.25">
      <c r="A295" s="12">
        <v>44762</v>
      </c>
      <c r="B295" s="18">
        <v>4.18</v>
      </c>
    </row>
    <row r="296" spans="1:2" x14ac:dyDescent="0.25">
      <c r="A296" s="12">
        <v>44763</v>
      </c>
      <c r="B296" s="18">
        <v>4.12</v>
      </c>
    </row>
    <row r="297" spans="1:2" x14ac:dyDescent="0.25">
      <c r="A297" s="12">
        <v>44764</v>
      </c>
      <c r="B297" s="18">
        <v>3.78</v>
      </c>
    </row>
    <row r="298" spans="1:2" x14ac:dyDescent="0.25">
      <c r="A298" s="12">
        <v>44767</v>
      </c>
      <c r="B298" s="18">
        <v>3.69</v>
      </c>
    </row>
    <row r="299" spans="1:2" x14ac:dyDescent="0.25">
      <c r="A299" s="12">
        <v>44768</v>
      </c>
      <c r="B299" s="18">
        <v>3.5</v>
      </c>
    </row>
    <row r="300" spans="1:2" x14ac:dyDescent="0.25">
      <c r="A300" s="12">
        <v>44769</v>
      </c>
      <c r="B300" s="18">
        <v>3.58</v>
      </c>
    </row>
    <row r="301" spans="1:2" x14ac:dyDescent="0.25">
      <c r="A301" s="12">
        <v>44770</v>
      </c>
      <c r="B301" s="18">
        <v>3.75</v>
      </c>
    </row>
    <row r="302" spans="1:2" x14ac:dyDescent="0.25">
      <c r="A302" s="12">
        <v>44771</v>
      </c>
      <c r="B302" s="18">
        <v>3.72</v>
      </c>
    </row>
    <row r="303" spans="1:2" x14ac:dyDescent="0.25">
      <c r="A303" s="12">
        <v>44774</v>
      </c>
      <c r="B303" s="18">
        <v>3.92</v>
      </c>
    </row>
    <row r="304" spans="1:2" x14ac:dyDescent="0.25">
      <c r="A304" s="12">
        <v>44775</v>
      </c>
      <c r="B304" s="18">
        <v>3.24</v>
      </c>
    </row>
    <row r="305" spans="1:2" x14ac:dyDescent="0.25">
      <c r="A305" s="12">
        <v>44776</v>
      </c>
      <c r="B305" s="18">
        <v>3.53</v>
      </c>
    </row>
    <row r="306" spans="1:2" x14ac:dyDescent="0.25">
      <c r="A306" s="12">
        <v>44777</v>
      </c>
      <c r="B306" s="18">
        <v>3.73</v>
      </c>
    </row>
    <row r="307" spans="1:2" x14ac:dyDescent="0.25">
      <c r="A307" s="12">
        <v>44778</v>
      </c>
      <c r="B307" s="18">
        <v>3.97</v>
      </c>
    </row>
    <row r="308" spans="1:2" x14ac:dyDescent="0.25">
      <c r="A308" s="12">
        <v>44781</v>
      </c>
      <c r="B308" s="18">
        <v>4.04</v>
      </c>
    </row>
    <row r="309" spans="1:2" x14ac:dyDescent="0.25">
      <c r="A309" s="12">
        <v>44782</v>
      </c>
      <c r="B309" s="18">
        <v>3.73</v>
      </c>
    </row>
    <row r="310" spans="1:2" x14ac:dyDescent="0.25">
      <c r="A310" s="12">
        <v>44783</v>
      </c>
      <c r="B310" s="18">
        <v>3.89</v>
      </c>
    </row>
    <row r="311" spans="1:2" x14ac:dyDescent="0.25">
      <c r="A311" s="12">
        <v>44784</v>
      </c>
      <c r="B311" s="18">
        <v>4.01</v>
      </c>
    </row>
    <row r="312" spans="1:2" x14ac:dyDescent="0.25">
      <c r="A312" s="12">
        <v>44785</v>
      </c>
      <c r="B312" s="18">
        <v>4.0999999999999996</v>
      </c>
    </row>
    <row r="313" spans="1:2" x14ac:dyDescent="0.25">
      <c r="A313" s="12">
        <v>44788</v>
      </c>
      <c r="B313" s="18">
        <v>4.07</v>
      </c>
    </row>
    <row r="314" spans="1:2" x14ac:dyDescent="0.25">
      <c r="A314" s="12">
        <v>44789</v>
      </c>
      <c r="B314" s="18">
        <v>3.99</v>
      </c>
    </row>
    <row r="315" spans="1:2" x14ac:dyDescent="0.25">
      <c r="A315" s="12">
        <v>44790</v>
      </c>
      <c r="B315" s="18">
        <v>3.77</v>
      </c>
    </row>
    <row r="316" spans="1:2" x14ac:dyDescent="0.25">
      <c r="A316" s="12">
        <v>44791</v>
      </c>
      <c r="B316" s="18">
        <v>3.68</v>
      </c>
    </row>
    <row r="317" spans="1:2" x14ac:dyDescent="0.25">
      <c r="A317" s="12">
        <v>44792</v>
      </c>
      <c r="B317" s="18">
        <v>3.39</v>
      </c>
    </row>
    <row r="318" spans="1:2" x14ac:dyDescent="0.25">
      <c r="A318" s="12">
        <v>44795</v>
      </c>
      <c r="B318" s="18">
        <v>3.28</v>
      </c>
    </row>
    <row r="319" spans="1:2" x14ac:dyDescent="0.25">
      <c r="A319" s="12">
        <v>44796</v>
      </c>
      <c r="B319" s="18">
        <v>3.31</v>
      </c>
    </row>
    <row r="320" spans="1:2" x14ac:dyDescent="0.25">
      <c r="A320" s="12">
        <v>44797</v>
      </c>
      <c r="B320" s="18">
        <v>3.33</v>
      </c>
    </row>
    <row r="321" spans="1:2" x14ac:dyDescent="0.25">
      <c r="A321" s="12">
        <v>44798</v>
      </c>
      <c r="B321" s="18">
        <v>3.51</v>
      </c>
    </row>
    <row r="322" spans="1:2" x14ac:dyDescent="0.25">
      <c r="A322" s="12">
        <v>44799</v>
      </c>
      <c r="B322" s="18">
        <v>3.25</v>
      </c>
    </row>
    <row r="323" spans="1:2" x14ac:dyDescent="0.25">
      <c r="A323" s="12">
        <v>44802</v>
      </c>
      <c r="B323" s="18">
        <v>3.27</v>
      </c>
    </row>
    <row r="324" spans="1:2" x14ac:dyDescent="0.25">
      <c r="A324" s="12">
        <v>44803</v>
      </c>
      <c r="B324" s="18">
        <v>3.22</v>
      </c>
    </row>
    <row r="325" spans="1:2" x14ac:dyDescent="0.25">
      <c r="A325" s="12">
        <v>44804</v>
      </c>
      <c r="B325" s="18">
        <v>3.23</v>
      </c>
    </row>
    <row r="326" spans="1:2" x14ac:dyDescent="0.25">
      <c r="A326" s="12">
        <v>44805</v>
      </c>
      <c r="B326" s="18">
        <v>3.16</v>
      </c>
    </row>
    <row r="327" spans="1:2" x14ac:dyDescent="0.25">
      <c r="A327" s="12">
        <v>44806</v>
      </c>
      <c r="B327" s="18">
        <v>3.03</v>
      </c>
    </row>
    <row r="328" spans="1:2" x14ac:dyDescent="0.25">
      <c r="A328" s="12">
        <v>44810</v>
      </c>
      <c r="B328" s="18">
        <v>2.94</v>
      </c>
    </row>
    <row r="329" spans="1:2" x14ac:dyDescent="0.25">
      <c r="A329" s="12">
        <v>44811</v>
      </c>
      <c r="B329" s="18">
        <v>3.13</v>
      </c>
    </row>
    <row r="330" spans="1:2" x14ac:dyDescent="0.25">
      <c r="A330" s="12">
        <v>44812</v>
      </c>
      <c r="B330" s="18">
        <v>3.21</v>
      </c>
    </row>
    <row r="331" spans="1:2" x14ac:dyDescent="0.25">
      <c r="A331" s="12">
        <v>44813</v>
      </c>
      <c r="B331" s="18">
        <v>3.27</v>
      </c>
    </row>
    <row r="332" spans="1:2" x14ac:dyDescent="0.25">
      <c r="A332" s="12">
        <v>44816</v>
      </c>
      <c r="B332" s="18">
        <v>3.3</v>
      </c>
    </row>
    <row r="333" spans="1:2" x14ac:dyDescent="0.25">
      <c r="A333" s="12">
        <v>44817</v>
      </c>
      <c r="B333" s="18">
        <v>3.06</v>
      </c>
    </row>
    <row r="334" spans="1:2" x14ac:dyDescent="0.25">
      <c r="A334" s="12">
        <v>44818</v>
      </c>
      <c r="B334" s="18">
        <v>2.99</v>
      </c>
    </row>
    <row r="335" spans="1:2" x14ac:dyDescent="0.25">
      <c r="A335" s="12">
        <v>44819</v>
      </c>
      <c r="B335" s="18">
        <v>2.98</v>
      </c>
    </row>
    <row r="336" spans="1:2" x14ac:dyDescent="0.25">
      <c r="A336" s="12">
        <v>44820</v>
      </c>
      <c r="B336" s="18">
        <v>2.99</v>
      </c>
    </row>
    <row r="337" spans="1:2" x14ac:dyDescent="0.25">
      <c r="A337" s="12">
        <v>44823</v>
      </c>
      <c r="B337" s="18">
        <v>2.94</v>
      </c>
    </row>
    <row r="338" spans="1:2" x14ac:dyDescent="0.25">
      <c r="A338" s="12">
        <v>44824</v>
      </c>
      <c r="B338" s="18">
        <v>2.75</v>
      </c>
    </row>
    <row r="339" spans="1:2" x14ac:dyDescent="0.25">
      <c r="A339" s="12">
        <v>44825</v>
      </c>
      <c r="B339" s="18">
        <v>2.8</v>
      </c>
    </row>
    <row r="340" spans="1:2" x14ac:dyDescent="0.25">
      <c r="A340" s="12">
        <v>44826</v>
      </c>
      <c r="B340" s="18">
        <v>2.68</v>
      </c>
    </row>
    <row r="341" spans="1:2" x14ac:dyDescent="0.25">
      <c r="A341" s="12">
        <v>44827</v>
      </c>
      <c r="B341" s="18">
        <v>2.69</v>
      </c>
    </row>
    <row r="342" spans="1:2" x14ac:dyDescent="0.25">
      <c r="A342" s="12">
        <v>44830</v>
      </c>
      <c r="B342" s="18">
        <v>2.59</v>
      </c>
    </row>
    <row r="343" spans="1:2" x14ac:dyDescent="0.25">
      <c r="A343" s="12">
        <v>44831</v>
      </c>
      <c r="B343" s="18">
        <v>2.69</v>
      </c>
    </row>
    <row r="344" spans="1:2" x14ac:dyDescent="0.25">
      <c r="A344" s="12">
        <v>44832</v>
      </c>
      <c r="B344" s="18">
        <v>2.79</v>
      </c>
    </row>
    <row r="345" spans="1:2" x14ac:dyDescent="0.25">
      <c r="A345" s="12">
        <v>44833</v>
      </c>
      <c r="B345" s="18">
        <v>2.56</v>
      </c>
    </row>
    <row r="346" spans="1:2" x14ac:dyDescent="0.25">
      <c r="A346" s="12">
        <v>44834</v>
      </c>
      <c r="B346" s="18">
        <v>2.63</v>
      </c>
    </row>
    <row r="347" spans="1:2" x14ac:dyDescent="0.25">
      <c r="A347" s="12">
        <v>44837</v>
      </c>
      <c r="B347" s="18">
        <v>2.68</v>
      </c>
    </row>
    <row r="348" spans="1:2" x14ac:dyDescent="0.25">
      <c r="A348" s="12">
        <v>44838</v>
      </c>
      <c r="B348" s="18">
        <v>2.85</v>
      </c>
    </row>
    <row r="349" spans="1:2" x14ac:dyDescent="0.25">
      <c r="A349" s="12">
        <v>44839</v>
      </c>
      <c r="B349" s="18">
        <v>2.77</v>
      </c>
    </row>
    <row r="350" spans="1:2" x14ac:dyDescent="0.25">
      <c r="A350" s="12">
        <v>44840</v>
      </c>
      <c r="B350" s="18">
        <v>2.75</v>
      </c>
    </row>
    <row r="351" spans="1:2" x14ac:dyDescent="0.25">
      <c r="A351" s="12">
        <v>44841</v>
      </c>
      <c r="B351" s="18">
        <v>2.5499999999999998</v>
      </c>
    </row>
    <row r="352" spans="1:2" x14ac:dyDescent="0.25">
      <c r="A352" s="12">
        <v>44844</v>
      </c>
      <c r="B352" s="18">
        <v>2.48</v>
      </c>
    </row>
    <row r="353" spans="1:2" x14ac:dyDescent="0.25">
      <c r="A353" s="12">
        <v>44845</v>
      </c>
      <c r="B353" s="18">
        <v>2.4700000000000002</v>
      </c>
    </row>
    <row r="354" spans="1:2" x14ac:dyDescent="0.25">
      <c r="A354" s="12">
        <v>44846</v>
      </c>
      <c r="B354" s="18">
        <v>2.4300000000000002</v>
      </c>
    </row>
    <row r="355" spans="1:2" x14ac:dyDescent="0.25">
      <c r="A355" s="12">
        <v>44847</v>
      </c>
      <c r="B355" s="18">
        <v>2.4</v>
      </c>
    </row>
    <row r="356" spans="1:2" x14ac:dyDescent="0.25">
      <c r="A356" s="12">
        <v>44848</v>
      </c>
      <c r="B356" s="18">
        <v>2.25</v>
      </c>
    </row>
    <row r="357" spans="1:2" x14ac:dyDescent="0.25">
      <c r="A357" s="12">
        <v>44851</v>
      </c>
      <c r="B357" s="18">
        <v>2.2400000000000002</v>
      </c>
    </row>
    <row r="358" spans="1:2" x14ac:dyDescent="0.25">
      <c r="A358" s="12">
        <v>44852</v>
      </c>
      <c r="B358" s="18">
        <v>2.2400000000000002</v>
      </c>
    </row>
    <row r="359" spans="1:2" x14ac:dyDescent="0.25">
      <c r="A359" s="12">
        <v>44853</v>
      </c>
      <c r="B359" s="18">
        <v>2.13</v>
      </c>
    </row>
    <row r="360" spans="1:2" x14ac:dyDescent="0.25">
      <c r="A360" s="12">
        <v>44854</v>
      </c>
      <c r="B360" s="18">
        <v>2.11</v>
      </c>
    </row>
    <row r="361" spans="1:2" x14ac:dyDescent="0.25">
      <c r="A361" s="12">
        <v>44855</v>
      </c>
      <c r="B361" s="18">
        <v>2.0499999999999998</v>
      </c>
    </row>
    <row r="362" spans="1:2" x14ac:dyDescent="0.25">
      <c r="A362" s="12">
        <v>44858</v>
      </c>
      <c r="B362" s="18">
        <v>2.0099999999999998</v>
      </c>
    </row>
    <row r="363" spans="1:2" x14ac:dyDescent="0.25">
      <c r="A363" s="12">
        <v>44859</v>
      </c>
      <c r="B363" s="18">
        <v>2.12</v>
      </c>
    </row>
    <row r="364" spans="1:2" x14ac:dyDescent="0.25">
      <c r="A364" s="12">
        <v>44860</v>
      </c>
      <c r="B364" s="18">
        <v>2.11</v>
      </c>
    </row>
    <row r="365" spans="1:2" x14ac:dyDescent="0.25">
      <c r="A365" s="12">
        <v>44861</v>
      </c>
      <c r="B365" s="18">
        <v>2.12</v>
      </c>
    </row>
    <row r="366" spans="1:2" x14ac:dyDescent="0.25">
      <c r="A366" s="12">
        <v>44862</v>
      </c>
      <c r="B366" s="18">
        <v>2.17</v>
      </c>
    </row>
    <row r="367" spans="1:2" x14ac:dyDescent="0.25">
      <c r="A367" s="12">
        <v>44865</v>
      </c>
      <c r="B367" s="18">
        <v>2.2000000000000002</v>
      </c>
    </row>
    <row r="368" spans="1:2" x14ac:dyDescent="0.25">
      <c r="A368" s="12">
        <v>44866</v>
      </c>
      <c r="B368" s="18">
        <v>2.17</v>
      </c>
    </row>
    <row r="369" spans="1:2" x14ac:dyDescent="0.25">
      <c r="A369" s="12">
        <v>44867</v>
      </c>
      <c r="B369" s="18">
        <v>2.04</v>
      </c>
    </row>
    <row r="370" spans="1:2" x14ac:dyDescent="0.25">
      <c r="A370" s="12">
        <v>44868</v>
      </c>
      <c r="B370" s="18">
        <v>1.97</v>
      </c>
    </row>
    <row r="371" spans="1:2" x14ac:dyDescent="0.25">
      <c r="A371" s="12">
        <v>44869</v>
      </c>
      <c r="B371" s="18">
        <v>2.04</v>
      </c>
    </row>
    <row r="372" spans="1:2" x14ac:dyDescent="0.25">
      <c r="A372" s="12">
        <v>44872</v>
      </c>
      <c r="B372" s="18">
        <v>1.99</v>
      </c>
    </row>
    <row r="373" spans="1:2" x14ac:dyDescent="0.25">
      <c r="A373" s="12">
        <v>44873</v>
      </c>
      <c r="B373" s="18">
        <v>2.02</v>
      </c>
    </row>
    <row r="374" spans="1:2" x14ac:dyDescent="0.25">
      <c r="A374" s="12">
        <v>44874</v>
      </c>
      <c r="B374" s="18">
        <v>1.88</v>
      </c>
    </row>
    <row r="375" spans="1:2" x14ac:dyDescent="0.25">
      <c r="A375" s="12">
        <v>44875</v>
      </c>
      <c r="B375" s="18">
        <v>2.11</v>
      </c>
    </row>
    <row r="376" spans="1:2" x14ac:dyDescent="0.25">
      <c r="A376" s="12">
        <v>44876</v>
      </c>
      <c r="B376" s="18">
        <v>2.4500000000000002</v>
      </c>
    </row>
    <row r="377" spans="1:2" x14ac:dyDescent="0.25">
      <c r="A377" s="12">
        <v>44879</v>
      </c>
      <c r="B377" s="18">
        <v>2.14</v>
      </c>
    </row>
    <row r="378" spans="1:2" x14ac:dyDescent="0.25">
      <c r="A378" s="12">
        <v>44880</v>
      </c>
      <c r="B378" s="18">
        <v>2.04</v>
      </c>
    </row>
    <row r="379" spans="1:2" x14ac:dyDescent="0.25">
      <c r="A379" s="12">
        <v>44881</v>
      </c>
      <c r="B379" s="18">
        <v>1.94</v>
      </c>
    </row>
    <row r="380" spans="1:2" x14ac:dyDescent="0.25">
      <c r="A380" s="12">
        <v>44882</v>
      </c>
      <c r="B380" s="18">
        <v>1.88</v>
      </c>
    </row>
    <row r="381" spans="1:2" x14ac:dyDescent="0.25">
      <c r="A381" s="12">
        <v>44883</v>
      </c>
      <c r="B381" s="18">
        <v>1.95</v>
      </c>
    </row>
    <row r="382" spans="1:2" x14ac:dyDescent="0.25">
      <c r="A382" s="12">
        <v>44886</v>
      </c>
      <c r="B382" s="18">
        <v>1.83</v>
      </c>
    </row>
    <row r="383" spans="1:2" x14ac:dyDescent="0.25">
      <c r="A383" s="12">
        <v>44887</v>
      </c>
      <c r="B383" s="18">
        <v>1.67</v>
      </c>
    </row>
    <row r="384" spans="1:2" x14ac:dyDescent="0.25">
      <c r="A384" s="12">
        <v>44888</v>
      </c>
      <c r="B384" s="18">
        <v>1.6</v>
      </c>
    </row>
    <row r="385" spans="1:2" x14ac:dyDescent="0.25">
      <c r="A385" s="12">
        <v>44890</v>
      </c>
      <c r="B385" s="18">
        <v>1.6</v>
      </c>
    </row>
    <row r="386" spans="1:2" x14ac:dyDescent="0.25">
      <c r="A386" s="12">
        <v>44893</v>
      </c>
      <c r="B386" s="18">
        <v>1.58</v>
      </c>
    </row>
    <row r="387" spans="1:2" x14ac:dyDescent="0.25">
      <c r="A387" s="12">
        <v>44894</v>
      </c>
      <c r="B387" s="18">
        <v>1.56</v>
      </c>
    </row>
    <row r="388" spans="1:2" x14ac:dyDescent="0.25">
      <c r="A388" s="12">
        <v>44895</v>
      </c>
      <c r="B388" s="18">
        <v>1.63</v>
      </c>
    </row>
    <row r="389" spans="1:2" x14ac:dyDescent="0.25">
      <c r="A389" s="12">
        <v>44896</v>
      </c>
      <c r="B389" s="18">
        <v>1.65</v>
      </c>
    </row>
    <row r="390" spans="1:2" x14ac:dyDescent="0.25">
      <c r="A390" s="12">
        <v>44897</v>
      </c>
      <c r="B390" s="18">
        <v>1.62</v>
      </c>
    </row>
    <row r="391" spans="1:2" x14ac:dyDescent="0.25">
      <c r="A391" s="12">
        <v>44900</v>
      </c>
      <c r="B391" s="18">
        <v>1.54</v>
      </c>
    </row>
    <row r="392" spans="1:2" x14ac:dyDescent="0.25">
      <c r="A392" s="12">
        <v>44901</v>
      </c>
      <c r="B392" s="18">
        <v>1.49</v>
      </c>
    </row>
    <row r="393" spans="1:2" x14ac:dyDescent="0.25">
      <c r="A393" s="12">
        <v>44902</v>
      </c>
      <c r="B393" s="18">
        <v>1.41</v>
      </c>
    </row>
    <row r="394" spans="1:2" x14ac:dyDescent="0.25">
      <c r="A394" s="12">
        <v>44903</v>
      </c>
      <c r="B394" s="18">
        <v>1.42</v>
      </c>
    </row>
    <row r="395" spans="1:2" x14ac:dyDescent="0.25">
      <c r="A395" s="12">
        <v>44904</v>
      </c>
      <c r="B395" s="18">
        <v>1.42</v>
      </c>
    </row>
    <row r="396" spans="1:2" x14ac:dyDescent="0.25">
      <c r="A396" s="12">
        <v>44907</v>
      </c>
      <c r="B396" s="18">
        <v>1.36</v>
      </c>
    </row>
    <row r="397" spans="1:2" x14ac:dyDescent="0.25">
      <c r="A397" s="12">
        <v>44908</v>
      </c>
      <c r="B397" s="18">
        <v>1.4</v>
      </c>
    </row>
    <row r="398" spans="1:2" x14ac:dyDescent="0.25">
      <c r="A398" s="12">
        <v>44909</v>
      </c>
      <c r="B398" s="18">
        <v>1.35</v>
      </c>
    </row>
    <row r="399" spans="1:2" x14ac:dyDescent="0.25">
      <c r="A399" s="12">
        <v>44910</v>
      </c>
      <c r="B399" s="18">
        <v>1.33</v>
      </c>
    </row>
    <row r="400" spans="1:2" x14ac:dyDescent="0.25">
      <c r="A400" s="12">
        <v>44911</v>
      </c>
      <c r="B400" s="18">
        <v>1.36</v>
      </c>
    </row>
    <row r="401" spans="1:2" x14ac:dyDescent="0.25">
      <c r="A401" s="12">
        <v>44914</v>
      </c>
      <c r="B401" s="18">
        <v>1.34</v>
      </c>
    </row>
    <row r="402" spans="1:2" x14ac:dyDescent="0.25">
      <c r="A402" s="12">
        <v>44915</v>
      </c>
      <c r="B402" s="18">
        <v>1.37</v>
      </c>
    </row>
    <row r="403" spans="1:2" x14ac:dyDescent="0.25">
      <c r="A403" s="12">
        <v>44916</v>
      </c>
      <c r="B403" s="18">
        <v>1.52</v>
      </c>
    </row>
    <row r="404" spans="1:2" x14ac:dyDescent="0.25">
      <c r="A404" s="12">
        <v>44917</v>
      </c>
      <c r="B404" s="18">
        <v>1.52</v>
      </c>
    </row>
    <row r="405" spans="1:2" x14ac:dyDescent="0.25">
      <c r="A405" s="12">
        <v>44918</v>
      </c>
      <c r="B405" s="18">
        <v>1.42</v>
      </c>
    </row>
    <row r="406" spans="1:2" x14ac:dyDescent="0.25">
      <c r="A406" s="12">
        <v>44922</v>
      </c>
      <c r="B406" s="18">
        <v>1.41</v>
      </c>
    </row>
    <row r="407" spans="1:2" x14ac:dyDescent="0.25">
      <c r="A407" s="12">
        <v>44923</v>
      </c>
      <c r="B407" s="18">
        <v>1.56</v>
      </c>
    </row>
    <row r="408" spans="1:2" x14ac:dyDescent="0.25">
      <c r="A408" s="12">
        <v>44924</v>
      </c>
      <c r="B408" s="18">
        <v>1.75</v>
      </c>
    </row>
    <row r="409" spans="1:2" x14ac:dyDescent="0.25">
      <c r="A409" s="12">
        <v>44925</v>
      </c>
      <c r="B409" s="18">
        <v>1.74</v>
      </c>
    </row>
    <row r="410" spans="1:2" x14ac:dyDescent="0.25">
      <c r="A410" s="12">
        <v>44929</v>
      </c>
      <c r="B410" s="18">
        <v>2.0099999999999998</v>
      </c>
    </row>
    <row r="411" spans="1:2" x14ac:dyDescent="0.25">
      <c r="A411" s="12">
        <v>44930</v>
      </c>
      <c r="B411" s="18">
        <v>2.29</v>
      </c>
    </row>
    <row r="412" spans="1:2" x14ac:dyDescent="0.25">
      <c r="A412" s="12">
        <v>44931</v>
      </c>
      <c r="B412" s="18">
        <v>2.33</v>
      </c>
    </row>
    <row r="413" spans="1:2" x14ac:dyDescent="0.25">
      <c r="A413" s="12">
        <v>44932</v>
      </c>
      <c r="B413" s="18">
        <v>2.54</v>
      </c>
    </row>
    <row r="414" spans="1:2" x14ac:dyDescent="0.25">
      <c r="A414" s="12">
        <v>44935</v>
      </c>
      <c r="B414" s="18">
        <v>2.38</v>
      </c>
    </row>
    <row r="415" spans="1:2" x14ac:dyDescent="0.25">
      <c r="A415" s="12">
        <v>44936</v>
      </c>
      <c r="B415" s="18">
        <v>2.7</v>
      </c>
    </row>
    <row r="416" spans="1:2" x14ac:dyDescent="0.25">
      <c r="A416" s="12">
        <v>44937</v>
      </c>
      <c r="B416" s="18">
        <v>2.75</v>
      </c>
    </row>
    <row r="417" spans="1:2" x14ac:dyDescent="0.25">
      <c r="A417" s="12">
        <v>44938</v>
      </c>
      <c r="B417" s="18">
        <v>2.65</v>
      </c>
    </row>
    <row r="418" spans="1:2" x14ac:dyDescent="0.25">
      <c r="A418" s="12">
        <v>44939</v>
      </c>
      <c r="B418" s="18">
        <v>2.52</v>
      </c>
    </row>
    <row r="419" spans="1:2" x14ac:dyDescent="0.25">
      <c r="A419" s="12">
        <v>44943</v>
      </c>
      <c r="B419" s="18">
        <v>2.69</v>
      </c>
    </row>
    <row r="420" spans="1:2" x14ac:dyDescent="0.25">
      <c r="A420" s="12">
        <v>44944</v>
      </c>
      <c r="B420" s="18">
        <v>2.58</v>
      </c>
    </row>
    <row r="421" spans="1:2" x14ac:dyDescent="0.25">
      <c r="A421" s="12">
        <v>44945</v>
      </c>
      <c r="B421" s="18">
        <v>2.4900000000000002</v>
      </c>
    </row>
    <row r="422" spans="1:2" x14ac:dyDescent="0.25">
      <c r="A422" s="12">
        <v>44946</v>
      </c>
      <c r="B422" s="18">
        <v>2.54</v>
      </c>
    </row>
    <row r="423" spans="1:2" x14ac:dyDescent="0.25">
      <c r="A423" s="12">
        <v>44949</v>
      </c>
      <c r="B423" s="18">
        <v>2.63</v>
      </c>
    </row>
    <row r="424" spans="1:2" x14ac:dyDescent="0.25">
      <c r="A424" s="12">
        <v>44950</v>
      </c>
      <c r="B424" s="18">
        <v>2.41</v>
      </c>
    </row>
    <row r="425" spans="1:2" x14ac:dyDescent="0.25">
      <c r="A425" s="12">
        <v>44951</v>
      </c>
      <c r="B425" s="18">
        <v>2.21</v>
      </c>
    </row>
    <row r="426" spans="1:2" x14ac:dyDescent="0.25">
      <c r="A426" s="12">
        <v>44952</v>
      </c>
      <c r="B426" s="18">
        <v>2.2000000000000002</v>
      </c>
    </row>
    <row r="427" spans="1:2" x14ac:dyDescent="0.25">
      <c r="A427" s="12">
        <v>44953</v>
      </c>
      <c r="B427" s="18">
        <v>2.33</v>
      </c>
    </row>
    <row r="428" spans="1:2" x14ac:dyDescent="0.25">
      <c r="A428" s="12">
        <v>44956</v>
      </c>
      <c r="B428" s="18">
        <v>2.34</v>
      </c>
    </row>
    <row r="429" spans="1:2" x14ac:dyDescent="0.25">
      <c r="A429" s="12">
        <v>44957</v>
      </c>
      <c r="B429" s="18">
        <v>2.44</v>
      </c>
    </row>
    <row r="430" spans="1:2" x14ac:dyDescent="0.25">
      <c r="A430" s="12">
        <v>44958</v>
      </c>
      <c r="B430" s="18">
        <v>2.59</v>
      </c>
    </row>
    <row r="431" spans="1:2" x14ac:dyDescent="0.25">
      <c r="A431" s="12">
        <v>44959</v>
      </c>
      <c r="B431" s="18">
        <v>2.7</v>
      </c>
    </row>
    <row r="432" spans="1:2" x14ac:dyDescent="0.25">
      <c r="A432" s="12">
        <v>44960</v>
      </c>
      <c r="B432" s="18">
        <v>2.63</v>
      </c>
    </row>
    <row r="433" spans="1:2" x14ac:dyDescent="0.25">
      <c r="A433" s="12">
        <v>44963</v>
      </c>
      <c r="B433" s="18">
        <v>2.4300000000000002</v>
      </c>
    </row>
    <row r="434" spans="1:2" x14ac:dyDescent="0.25">
      <c r="A434" s="12">
        <v>44964</v>
      </c>
      <c r="B434" s="18">
        <v>2.31</v>
      </c>
    </row>
    <row r="435" spans="1:2" x14ac:dyDescent="0.25">
      <c r="A435" s="12">
        <v>44965</v>
      </c>
      <c r="B435" s="18">
        <v>2.2200000000000002</v>
      </c>
    </row>
    <row r="436" spans="1:2" x14ac:dyDescent="0.25">
      <c r="A436" s="12">
        <v>44966</v>
      </c>
      <c r="B436" s="18">
        <v>2.15</v>
      </c>
    </row>
    <row r="437" spans="1:2" x14ac:dyDescent="0.25">
      <c r="A437" s="12">
        <v>44967</v>
      </c>
      <c r="B437" s="18">
        <v>2.09</v>
      </c>
    </row>
    <row r="438" spans="1:2" x14ac:dyDescent="0.25">
      <c r="A438" s="12">
        <v>44970</v>
      </c>
      <c r="B438" s="18">
        <v>2.13</v>
      </c>
    </row>
    <row r="439" spans="1:2" x14ac:dyDescent="0.25">
      <c r="A439" s="12">
        <v>44971</v>
      </c>
      <c r="B439" s="18">
        <v>2.13</v>
      </c>
    </row>
    <row r="440" spans="1:2" x14ac:dyDescent="0.25">
      <c r="A440" s="12">
        <v>44972</v>
      </c>
      <c r="B440" s="18">
        <v>2.2200000000000002</v>
      </c>
    </row>
    <row r="441" spans="1:2" x14ac:dyDescent="0.25">
      <c r="A441" s="12">
        <v>44973</v>
      </c>
      <c r="B441" s="18">
        <v>2.0699999999999998</v>
      </c>
    </row>
    <row r="442" spans="1:2" x14ac:dyDescent="0.25">
      <c r="A442" s="12">
        <v>44974</v>
      </c>
      <c r="B442" s="18">
        <v>2.21</v>
      </c>
    </row>
    <row r="443" spans="1:2" x14ac:dyDescent="0.25">
      <c r="A443" s="12">
        <v>44978</v>
      </c>
      <c r="B443" s="18">
        <v>2.06</v>
      </c>
    </row>
    <row r="444" spans="1:2" x14ac:dyDescent="0.25">
      <c r="A444" s="12">
        <v>44979</v>
      </c>
      <c r="B444" s="18">
        <v>2.19</v>
      </c>
    </row>
    <row r="445" spans="1:2" x14ac:dyDescent="0.25">
      <c r="A445" s="12">
        <v>44980</v>
      </c>
      <c r="B445" s="18">
        <v>2.27</v>
      </c>
    </row>
    <row r="446" spans="1:2" x14ac:dyDescent="0.25">
      <c r="A446" s="12">
        <v>44981</v>
      </c>
      <c r="B446" s="18">
        <v>2.13</v>
      </c>
    </row>
    <row r="447" spans="1:2" x14ac:dyDescent="0.25">
      <c r="A447" s="12">
        <v>44984</v>
      </c>
      <c r="B447" s="18">
        <v>2.23</v>
      </c>
    </row>
    <row r="448" spans="1:2" x14ac:dyDescent="0.25">
      <c r="A448" s="12">
        <v>44985</v>
      </c>
      <c r="B448" s="18">
        <v>2.2000000000000002</v>
      </c>
    </row>
    <row r="449" spans="1:2" x14ac:dyDescent="0.25">
      <c r="A449" s="12">
        <v>44986</v>
      </c>
      <c r="B449" s="18">
        <v>2.17</v>
      </c>
    </row>
    <row r="450" spans="1:2" x14ac:dyDescent="0.25">
      <c r="A450" s="12">
        <v>44987</v>
      </c>
      <c r="B450" s="18">
        <v>2.27</v>
      </c>
    </row>
    <row r="451" spans="1:2" x14ac:dyDescent="0.25">
      <c r="A451" s="12">
        <v>44988</v>
      </c>
      <c r="B451" s="18">
        <v>2.39</v>
      </c>
    </row>
    <row r="452" spans="1:2" x14ac:dyDescent="0.25">
      <c r="A452" s="12">
        <v>44991</v>
      </c>
      <c r="B452" s="18">
        <v>2.2999999999999998</v>
      </c>
    </row>
    <row r="453" spans="1:2" x14ac:dyDescent="0.25">
      <c r="A453" s="12">
        <v>44992</v>
      </c>
      <c r="B453" s="18">
        <v>2.33</v>
      </c>
    </row>
    <row r="454" spans="1:2" x14ac:dyDescent="0.25">
      <c r="A454" s="12">
        <v>44993</v>
      </c>
      <c r="B454" s="18">
        <v>2.27</v>
      </c>
    </row>
    <row r="455" spans="1:2" x14ac:dyDescent="0.25">
      <c r="A455" s="12">
        <v>44994</v>
      </c>
      <c r="B455" s="18">
        <v>2.16</v>
      </c>
    </row>
    <row r="456" spans="1:2" x14ac:dyDescent="0.25">
      <c r="A456" s="12">
        <v>44995</v>
      </c>
      <c r="B456" s="18">
        <v>2.02</v>
      </c>
    </row>
    <row r="457" spans="1:2" x14ac:dyDescent="0.25">
      <c r="A457" s="12">
        <v>44998</v>
      </c>
      <c r="B457" s="18">
        <v>2</v>
      </c>
    </row>
    <row r="458" spans="1:2" x14ac:dyDescent="0.25">
      <c r="A458" s="12">
        <v>44999</v>
      </c>
      <c r="B458" s="18">
        <v>2.06</v>
      </c>
    </row>
    <row r="459" spans="1:2" x14ac:dyDescent="0.25">
      <c r="A459" s="12">
        <v>45000</v>
      </c>
      <c r="B459" s="18">
        <v>2.13</v>
      </c>
    </row>
    <row r="460" spans="1:2" x14ac:dyDescent="0.25">
      <c r="A460" s="12">
        <v>45001</v>
      </c>
      <c r="B460" s="18">
        <v>2.17</v>
      </c>
    </row>
    <row r="461" spans="1:2" x14ac:dyDescent="0.25">
      <c r="A461" s="12">
        <v>45002</v>
      </c>
      <c r="B461" s="18">
        <v>2.31</v>
      </c>
    </row>
    <row r="462" spans="1:2" x14ac:dyDescent="0.25">
      <c r="A462" s="12">
        <v>45005</v>
      </c>
      <c r="B462" s="18">
        <v>2.4300000000000002</v>
      </c>
    </row>
    <row r="463" spans="1:2" x14ac:dyDescent="0.25">
      <c r="A463" s="12">
        <v>45006</v>
      </c>
      <c r="B463" s="18">
        <v>2.64</v>
      </c>
    </row>
    <row r="464" spans="1:2" x14ac:dyDescent="0.25">
      <c r="A464" s="12">
        <v>45007</v>
      </c>
      <c r="B464" s="18">
        <v>2.5</v>
      </c>
    </row>
    <row r="465" spans="1:2" x14ac:dyDescent="0.25">
      <c r="A465" s="12">
        <v>45008</v>
      </c>
      <c r="B465" s="18">
        <v>2.4</v>
      </c>
    </row>
    <row r="466" spans="1:2" x14ac:dyDescent="0.25">
      <c r="A466" s="12">
        <v>45009</v>
      </c>
      <c r="B466" s="18">
        <v>2.39</v>
      </c>
    </row>
    <row r="467" spans="1:2" x14ac:dyDescent="0.25">
      <c r="A467" s="12">
        <v>45012</v>
      </c>
      <c r="B467" s="18">
        <v>2.37</v>
      </c>
    </row>
    <row r="468" spans="1:2" x14ac:dyDescent="0.25">
      <c r="A468" s="12">
        <v>45013</v>
      </c>
      <c r="B468" s="18">
        <v>2.36</v>
      </c>
    </row>
    <row r="469" spans="1:2" x14ac:dyDescent="0.25">
      <c r="A469" s="12">
        <v>45014</v>
      </c>
      <c r="B469" s="18">
        <v>2.3199999999999998</v>
      </c>
    </row>
    <row r="470" spans="1:2" x14ac:dyDescent="0.25">
      <c r="A470" s="12">
        <v>45015</v>
      </c>
      <c r="B470" s="18">
        <v>2.39</v>
      </c>
    </row>
    <row r="471" spans="1:2" x14ac:dyDescent="0.25">
      <c r="A471" s="12">
        <v>45016</v>
      </c>
      <c r="B471" s="18">
        <v>2.42</v>
      </c>
    </row>
    <row r="472" spans="1:2" x14ac:dyDescent="0.25">
      <c r="A472" s="12">
        <v>45019</v>
      </c>
      <c r="B472" s="18">
        <v>2.56</v>
      </c>
    </row>
    <row r="473" spans="1:2" x14ac:dyDescent="0.25">
      <c r="A473" s="12">
        <v>45020</v>
      </c>
      <c r="B473" s="18">
        <v>2.54</v>
      </c>
    </row>
    <row r="474" spans="1:2" x14ac:dyDescent="0.25">
      <c r="A474" s="12">
        <v>45021</v>
      </c>
      <c r="B474" s="18">
        <v>2.34</v>
      </c>
    </row>
    <row r="475" spans="1:2" x14ac:dyDescent="0.25">
      <c r="A475" s="12">
        <v>45022</v>
      </c>
      <c r="B475" s="18">
        <v>2.2799999999999998</v>
      </c>
    </row>
    <row r="476" spans="1:2" x14ac:dyDescent="0.25">
      <c r="A476" s="12">
        <v>45026</v>
      </c>
      <c r="B476" s="18">
        <v>2.31</v>
      </c>
    </row>
    <row r="477" spans="1:2" x14ac:dyDescent="0.25">
      <c r="A477" s="12">
        <v>45027</v>
      </c>
      <c r="B477" s="18">
        <v>2.2799999999999998</v>
      </c>
    </row>
    <row r="478" spans="1:2" x14ac:dyDescent="0.25">
      <c r="A478" s="12">
        <v>45028</v>
      </c>
      <c r="B478" s="18">
        <v>2.25</v>
      </c>
    </row>
    <row r="479" spans="1:2" x14ac:dyDescent="0.25">
      <c r="A479" s="12">
        <v>45029</v>
      </c>
      <c r="B479" s="18">
        <v>2.29</v>
      </c>
    </row>
    <row r="480" spans="1:2" x14ac:dyDescent="0.25">
      <c r="A480" s="12">
        <v>45030</v>
      </c>
      <c r="B480" s="18">
        <v>2.2799999999999998</v>
      </c>
    </row>
    <row r="481" spans="1:2" x14ac:dyDescent="0.25">
      <c r="A481" s="12">
        <v>45033</v>
      </c>
      <c r="B481" s="18">
        <v>2.27</v>
      </c>
    </row>
    <row r="482" spans="1:2" x14ac:dyDescent="0.25">
      <c r="A482" s="12">
        <v>45034</v>
      </c>
      <c r="B482" s="18">
        <v>2.39</v>
      </c>
    </row>
    <row r="483" spans="1:2" x14ac:dyDescent="0.25">
      <c r="A483" s="12">
        <v>45035</v>
      </c>
      <c r="B483" s="18">
        <v>2.36</v>
      </c>
    </row>
    <row r="484" spans="1:2" x14ac:dyDescent="0.25">
      <c r="A484" s="12">
        <v>45036</v>
      </c>
      <c r="B484" s="18">
        <v>2.2200000000000002</v>
      </c>
    </row>
    <row r="485" spans="1:2" x14ac:dyDescent="0.25">
      <c r="A485" s="12">
        <v>45037</v>
      </c>
      <c r="B485" s="18">
        <v>2.25</v>
      </c>
    </row>
    <row r="486" spans="1:2" x14ac:dyDescent="0.25">
      <c r="A486" s="12">
        <v>45040</v>
      </c>
      <c r="B486" s="18">
        <v>2.2799999999999998</v>
      </c>
    </row>
    <row r="487" spans="1:2" x14ac:dyDescent="0.25">
      <c r="A487" s="12">
        <v>45041</v>
      </c>
      <c r="B487" s="18">
        <v>2.21</v>
      </c>
    </row>
    <row r="488" spans="1:2" x14ac:dyDescent="0.25">
      <c r="A488" s="12">
        <v>45042</v>
      </c>
      <c r="B488" s="18">
        <v>2.33</v>
      </c>
    </row>
    <row r="489" spans="1:2" x14ac:dyDescent="0.25">
      <c r="A489" s="12">
        <v>45043</v>
      </c>
      <c r="B489" s="18">
        <v>2.38</v>
      </c>
    </row>
    <row r="490" spans="1:2" x14ac:dyDescent="0.25">
      <c r="A490" s="12">
        <v>45044</v>
      </c>
      <c r="B490" s="18">
        <v>2.33</v>
      </c>
    </row>
    <row r="491" spans="1:2" x14ac:dyDescent="0.25">
      <c r="A491" s="12">
        <v>45047</v>
      </c>
      <c r="B491" s="18">
        <v>2.2400000000000002</v>
      </c>
    </row>
    <row r="492" spans="1:2" x14ac:dyDescent="0.25">
      <c r="A492" s="12">
        <v>45048</v>
      </c>
      <c r="B492" s="18">
        <v>2.2000000000000002</v>
      </c>
    </row>
    <row r="493" spans="1:2" x14ac:dyDescent="0.25">
      <c r="A493" s="12">
        <v>45049</v>
      </c>
      <c r="B493" s="18">
        <v>2.12</v>
      </c>
    </row>
    <row r="494" spans="1:2" x14ac:dyDescent="0.25">
      <c r="A494" s="12">
        <v>45050</v>
      </c>
      <c r="B494" s="18">
        <v>2.09</v>
      </c>
    </row>
    <row r="495" spans="1:2" x14ac:dyDescent="0.25">
      <c r="A495" s="12">
        <v>45051</v>
      </c>
      <c r="B495" s="18">
        <v>2.1</v>
      </c>
    </row>
    <row r="496" spans="1:2" x14ac:dyDescent="0.25">
      <c r="A496" s="12">
        <v>45054</v>
      </c>
      <c r="B496" s="18">
        <v>2.15</v>
      </c>
    </row>
    <row r="497" spans="1:2" x14ac:dyDescent="0.25">
      <c r="A497" s="12">
        <v>45055</v>
      </c>
      <c r="B497" s="18">
        <v>2.19</v>
      </c>
    </row>
    <row r="498" spans="1:2" x14ac:dyDescent="0.25">
      <c r="A498" s="12">
        <v>45056</v>
      </c>
      <c r="B498" s="18">
        <v>2.25</v>
      </c>
    </row>
    <row r="499" spans="1:2" x14ac:dyDescent="0.25">
      <c r="A499" s="12">
        <v>45057</v>
      </c>
      <c r="B499" s="18">
        <v>2.12</v>
      </c>
    </row>
    <row r="500" spans="1:2" x14ac:dyDescent="0.25">
      <c r="A500" s="12">
        <v>45058</v>
      </c>
      <c r="B500" s="18">
        <v>2.1</v>
      </c>
    </row>
    <row r="501" spans="1:2" x14ac:dyDescent="0.25">
      <c r="A501" s="12">
        <v>45061</v>
      </c>
      <c r="B501" s="18">
        <v>2</v>
      </c>
    </row>
    <row r="502" spans="1:2" x14ac:dyDescent="0.25">
      <c r="A502" s="12">
        <v>45062</v>
      </c>
      <c r="B502" s="18">
        <v>1.86</v>
      </c>
    </row>
    <row r="503" spans="1:2" x14ac:dyDescent="0.25">
      <c r="A503" s="12">
        <v>45063</v>
      </c>
      <c r="B503" s="18">
        <v>1.93</v>
      </c>
    </row>
    <row r="504" spans="1:2" x14ac:dyDescent="0.25">
      <c r="A504" s="12">
        <v>45064</v>
      </c>
      <c r="B504" s="18">
        <v>1.9</v>
      </c>
    </row>
    <row r="505" spans="1:2" x14ac:dyDescent="0.25">
      <c r="A505" s="12">
        <v>45065</v>
      </c>
      <c r="B505" s="18">
        <v>1.78</v>
      </c>
    </row>
    <row r="506" spans="1:2" x14ac:dyDescent="0.25">
      <c r="A506" s="12">
        <v>45068</v>
      </c>
      <c r="B506" s="18">
        <v>1.85</v>
      </c>
    </row>
    <row r="507" spans="1:2" x14ac:dyDescent="0.25">
      <c r="A507" s="12">
        <v>45069</v>
      </c>
      <c r="B507" s="18">
        <v>1.86</v>
      </c>
    </row>
    <row r="508" spans="1:2" x14ac:dyDescent="0.25">
      <c r="A508" s="12">
        <v>45070</v>
      </c>
      <c r="B508" s="18">
        <v>1.78</v>
      </c>
    </row>
    <row r="509" spans="1:2" x14ac:dyDescent="0.25">
      <c r="A509" s="12">
        <v>45071</v>
      </c>
      <c r="B509" s="18">
        <v>1.71</v>
      </c>
    </row>
    <row r="510" spans="1:2" x14ac:dyDescent="0.25">
      <c r="A510" s="12">
        <v>45072</v>
      </c>
      <c r="B510" s="18">
        <v>1.76</v>
      </c>
    </row>
    <row r="511" spans="1:2" x14ac:dyDescent="0.25">
      <c r="A511" s="12">
        <v>45076</v>
      </c>
      <c r="B511" s="18">
        <v>1.65</v>
      </c>
    </row>
    <row r="512" spans="1:2" x14ac:dyDescent="0.25">
      <c r="A512" s="12">
        <v>45077</v>
      </c>
      <c r="B512" s="18">
        <v>1.58</v>
      </c>
    </row>
    <row r="513" spans="1:2" x14ac:dyDescent="0.25">
      <c r="A513" s="12">
        <v>45078</v>
      </c>
      <c r="B513" s="18">
        <v>1.61</v>
      </c>
    </row>
    <row r="514" spans="1:2" x14ac:dyDescent="0.25">
      <c r="A514" s="12">
        <v>45079</v>
      </c>
      <c r="B514" s="18">
        <v>1.72</v>
      </c>
    </row>
    <row r="515" spans="1:2" x14ac:dyDescent="0.25">
      <c r="A515" s="12">
        <v>45082</v>
      </c>
      <c r="B515" s="18">
        <v>1.69</v>
      </c>
    </row>
    <row r="516" spans="1:2" x14ac:dyDescent="0.25">
      <c r="A516" s="12">
        <v>45083</v>
      </c>
      <c r="B516" s="18">
        <v>1.79</v>
      </c>
    </row>
    <row r="517" spans="1:2" x14ac:dyDescent="0.25">
      <c r="A517" s="12">
        <v>45084</v>
      </c>
      <c r="B517" s="18">
        <v>1.88</v>
      </c>
    </row>
    <row r="518" spans="1:2" x14ac:dyDescent="0.25">
      <c r="A518" s="12">
        <v>45085</v>
      </c>
      <c r="B518" s="18">
        <v>1.95</v>
      </c>
    </row>
    <row r="519" spans="1:2" x14ac:dyDescent="0.25">
      <c r="A519" s="12">
        <v>45086</v>
      </c>
      <c r="B519" s="18">
        <v>2.0099999999999998</v>
      </c>
    </row>
    <row r="520" spans="1:2" x14ac:dyDescent="0.25">
      <c r="A520" s="12">
        <v>45089</v>
      </c>
      <c r="B520" s="18">
        <v>2.04</v>
      </c>
    </row>
    <row r="521" spans="1:2" x14ac:dyDescent="0.25">
      <c r="A521" s="12">
        <v>45090</v>
      </c>
      <c r="B521" s="18">
        <v>2.08</v>
      </c>
    </row>
    <row r="522" spans="1:2" x14ac:dyDescent="0.25">
      <c r="A522" s="12">
        <v>45091</v>
      </c>
      <c r="B522" s="18">
        <v>2.0099999999999998</v>
      </c>
    </row>
    <row r="523" spans="1:2" x14ac:dyDescent="0.25">
      <c r="A523" s="12">
        <v>45092</v>
      </c>
      <c r="B523" s="18">
        <v>1.94</v>
      </c>
    </row>
    <row r="524" spans="1:2" x14ac:dyDescent="0.25">
      <c r="A524" s="12">
        <v>45093</v>
      </c>
      <c r="B524" s="18">
        <v>1.87</v>
      </c>
    </row>
    <row r="525" spans="1:2" x14ac:dyDescent="0.25">
      <c r="A525" s="12">
        <v>45097</v>
      </c>
      <c r="B525" s="18">
        <v>1.78</v>
      </c>
    </row>
    <row r="526" spans="1:2" x14ac:dyDescent="0.25">
      <c r="A526" s="12">
        <v>45098</v>
      </c>
      <c r="B526" s="18">
        <v>1.75</v>
      </c>
    </row>
    <row r="527" spans="1:2" x14ac:dyDescent="0.25">
      <c r="A527" s="12">
        <v>45099</v>
      </c>
      <c r="B527" s="18">
        <v>1.81</v>
      </c>
    </row>
    <row r="528" spans="1:2" x14ac:dyDescent="0.25">
      <c r="A528" s="12">
        <v>45100</v>
      </c>
      <c r="B528" s="18">
        <v>1.81</v>
      </c>
    </row>
    <row r="529" spans="1:2" x14ac:dyDescent="0.25">
      <c r="A529" s="12">
        <v>45103</v>
      </c>
      <c r="B529" s="18">
        <v>1.82</v>
      </c>
    </row>
    <row r="530" spans="1:2" x14ac:dyDescent="0.25">
      <c r="A530" s="12">
        <v>45104</v>
      </c>
      <c r="B530" s="18">
        <v>1.82</v>
      </c>
    </row>
    <row r="531" spans="1:2" x14ac:dyDescent="0.25">
      <c r="A531" s="12">
        <v>45105</v>
      </c>
      <c r="B531" s="18">
        <v>1.89</v>
      </c>
    </row>
    <row r="532" spans="1:2" x14ac:dyDescent="0.25">
      <c r="A532" s="12">
        <v>45106</v>
      </c>
      <c r="B532" s="18">
        <v>2.04</v>
      </c>
    </row>
    <row r="533" spans="1:2" x14ac:dyDescent="0.25">
      <c r="A533" s="12">
        <v>45107</v>
      </c>
      <c r="B533" s="18">
        <v>2.0499999999999998</v>
      </c>
    </row>
    <row r="534" spans="1:2" x14ac:dyDescent="0.25">
      <c r="A534" s="12">
        <v>45110</v>
      </c>
      <c r="B534" s="18">
        <v>2.0099999999999998</v>
      </c>
    </row>
    <row r="535" spans="1:2" x14ac:dyDescent="0.25">
      <c r="A535" s="12">
        <v>45112</v>
      </c>
      <c r="B535" s="18">
        <v>1.95</v>
      </c>
    </row>
    <row r="536" spans="1:2" x14ac:dyDescent="0.25">
      <c r="A536" s="12">
        <v>45113</v>
      </c>
      <c r="B536" s="18">
        <v>1.88</v>
      </c>
    </row>
    <row r="537" spans="1:2" x14ac:dyDescent="0.25">
      <c r="A537" s="12">
        <v>45114</v>
      </c>
      <c r="B537" s="18">
        <v>1.98</v>
      </c>
    </row>
    <row r="538" spans="1:2" x14ac:dyDescent="0.25">
      <c r="A538" s="12">
        <v>45117</v>
      </c>
      <c r="B538" s="18">
        <v>1.95</v>
      </c>
    </row>
    <row r="539" spans="1:2" x14ac:dyDescent="0.25">
      <c r="A539" s="12">
        <v>45118</v>
      </c>
      <c r="B539" s="18">
        <v>1.92</v>
      </c>
    </row>
    <row r="540" spans="1:2" x14ac:dyDescent="0.25">
      <c r="A540" s="12">
        <v>45119</v>
      </c>
      <c r="B540" s="18">
        <v>2.0699999999999998</v>
      </c>
    </row>
    <row r="541" spans="1:2" x14ac:dyDescent="0.25">
      <c r="A541" s="12">
        <v>45120</v>
      </c>
      <c r="B541" s="18">
        <v>2.2000000000000002</v>
      </c>
    </row>
    <row r="542" spans="1:2" x14ac:dyDescent="0.25">
      <c r="A542" s="12">
        <v>45121</v>
      </c>
      <c r="B542" s="18">
        <v>2.09</v>
      </c>
    </row>
    <row r="543" spans="1:2" x14ac:dyDescent="0.25">
      <c r="A543" s="12">
        <v>45124</v>
      </c>
      <c r="B543" s="18">
        <v>2.1800000000000002</v>
      </c>
    </row>
    <row r="544" spans="1:2" x14ac:dyDescent="0.25">
      <c r="A544" s="12">
        <v>45125</v>
      </c>
      <c r="B544" s="18">
        <v>2.17</v>
      </c>
    </row>
    <row r="545" spans="1:2" x14ac:dyDescent="0.25">
      <c r="A545" s="12">
        <v>45126</v>
      </c>
      <c r="B545" s="18">
        <v>2.2599999999999998</v>
      </c>
    </row>
    <row r="546" spans="1:2" x14ac:dyDescent="0.25">
      <c r="A546" s="12">
        <v>45127</v>
      </c>
      <c r="B546" s="18">
        <v>2.17</v>
      </c>
    </row>
    <row r="547" spans="1:2" x14ac:dyDescent="0.25">
      <c r="A547" s="12">
        <v>45128</v>
      </c>
      <c r="B547" s="18">
        <v>2.16</v>
      </c>
    </row>
    <row r="548" spans="1:2" x14ac:dyDescent="0.25">
      <c r="A548" s="12">
        <v>45131</v>
      </c>
      <c r="B548" s="18">
        <v>2.11</v>
      </c>
    </row>
    <row r="549" spans="1:2" x14ac:dyDescent="0.25">
      <c r="A549" s="12">
        <v>45132</v>
      </c>
      <c r="B549" s="18">
        <v>2.1</v>
      </c>
    </row>
    <row r="550" spans="1:2" x14ac:dyDescent="0.25">
      <c r="A550" s="12">
        <v>45133</v>
      </c>
      <c r="B550" s="18">
        <v>2.17</v>
      </c>
    </row>
    <row r="551" spans="1:2" x14ac:dyDescent="0.25">
      <c r="A551" s="12">
        <v>45134</v>
      </c>
      <c r="B551" s="18">
        <v>1.65</v>
      </c>
    </row>
    <row r="552" spans="1:2" x14ac:dyDescent="0.25">
      <c r="A552" s="12">
        <v>45135</v>
      </c>
      <c r="B552" s="18">
        <v>1.64</v>
      </c>
    </row>
    <row r="553" spans="1:2" x14ac:dyDescent="0.25">
      <c r="A553" s="12">
        <v>45138</v>
      </c>
      <c r="B553" s="18">
        <v>1.59</v>
      </c>
    </row>
    <row r="554" spans="1:2" x14ac:dyDescent="0.25">
      <c r="A554" s="12">
        <v>45139</v>
      </c>
      <c r="B554" s="18">
        <v>1.53</v>
      </c>
    </row>
    <row r="555" spans="1:2" x14ac:dyDescent="0.25">
      <c r="A555" s="12">
        <v>45140</v>
      </c>
      <c r="B555" s="18">
        <v>1.43</v>
      </c>
    </row>
    <row r="556" spans="1:2" x14ac:dyDescent="0.25">
      <c r="A556" s="12">
        <v>45141</v>
      </c>
      <c r="B556" s="18">
        <v>1.47</v>
      </c>
    </row>
    <row r="557" spans="1:2" x14ac:dyDescent="0.25">
      <c r="A557" s="12">
        <v>45142</v>
      </c>
      <c r="B557" s="18">
        <v>1.45</v>
      </c>
    </row>
    <row r="558" spans="1:2" x14ac:dyDescent="0.25">
      <c r="A558" s="12">
        <v>45145</v>
      </c>
      <c r="B558" s="18">
        <v>1.46</v>
      </c>
    </row>
    <row r="559" spans="1:2" x14ac:dyDescent="0.25">
      <c r="A559" s="12">
        <v>45146</v>
      </c>
      <c r="B559" s="18">
        <v>1.41</v>
      </c>
    </row>
    <row r="560" spans="1:2" x14ac:dyDescent="0.25">
      <c r="A560" s="12">
        <v>45147</v>
      </c>
      <c r="B560" s="18">
        <v>1.35</v>
      </c>
    </row>
    <row r="561" spans="1:2" x14ac:dyDescent="0.25">
      <c r="A561" s="12">
        <v>45148</v>
      </c>
      <c r="B561" s="18">
        <v>1.39</v>
      </c>
    </row>
    <row r="562" spans="1:2" x14ac:dyDescent="0.25">
      <c r="A562" s="12">
        <v>45149</v>
      </c>
      <c r="B562" s="18">
        <v>1.45</v>
      </c>
    </row>
    <row r="563" spans="1:2" x14ac:dyDescent="0.25">
      <c r="A563" s="12">
        <v>45152</v>
      </c>
      <c r="B563" s="18">
        <v>1.44</v>
      </c>
    </row>
    <row r="564" spans="1:2" x14ac:dyDescent="0.25">
      <c r="A564" s="12">
        <v>45153</v>
      </c>
      <c r="B564" s="18">
        <v>1.37</v>
      </c>
    </row>
    <row r="565" spans="1:2" x14ac:dyDescent="0.25">
      <c r="A565" s="12">
        <v>45154</v>
      </c>
      <c r="B565" s="18">
        <v>1.32</v>
      </c>
    </row>
    <row r="566" spans="1:2" x14ac:dyDescent="0.25">
      <c r="A566" s="12">
        <v>45155</v>
      </c>
      <c r="B566" s="18">
        <v>1.33</v>
      </c>
    </row>
    <row r="567" spans="1:2" x14ac:dyDescent="0.25">
      <c r="A567" s="12">
        <v>45156</v>
      </c>
      <c r="B567" s="18">
        <v>1.3</v>
      </c>
    </row>
    <row r="568" spans="1:2" x14ac:dyDescent="0.25">
      <c r="A568" s="12">
        <v>45159</v>
      </c>
      <c r="B568" s="18">
        <v>1.29</v>
      </c>
    </row>
    <row r="569" spans="1:2" x14ac:dyDescent="0.25">
      <c r="A569" s="12">
        <v>45160</v>
      </c>
      <c r="B569" s="18">
        <v>1.25</v>
      </c>
    </row>
    <row r="570" spans="1:2" x14ac:dyDescent="0.25">
      <c r="A570" s="12">
        <v>45161</v>
      </c>
      <c r="B570" s="18">
        <v>1.24</v>
      </c>
    </row>
    <row r="571" spans="1:2" x14ac:dyDescent="0.25">
      <c r="A571" s="12">
        <v>45162</v>
      </c>
      <c r="B571" s="18">
        <v>1.21</v>
      </c>
    </row>
    <row r="572" spans="1:2" x14ac:dyDescent="0.25">
      <c r="A572" s="12">
        <v>45163</v>
      </c>
      <c r="B572" s="18">
        <v>1.25</v>
      </c>
    </row>
    <row r="573" spans="1:2" x14ac:dyDescent="0.25">
      <c r="A573" s="12">
        <v>45166</v>
      </c>
      <c r="B573" s="18">
        <v>1.23</v>
      </c>
    </row>
    <row r="574" spans="1:2" x14ac:dyDescent="0.25">
      <c r="A574" s="12">
        <v>45167</v>
      </c>
      <c r="B574" s="18">
        <v>1.34</v>
      </c>
    </row>
    <row r="575" spans="1:2" x14ac:dyDescent="0.25">
      <c r="A575" s="12">
        <v>45168</v>
      </c>
      <c r="B575" s="18">
        <v>1.28</v>
      </c>
    </row>
    <row r="576" spans="1:2" x14ac:dyDescent="0.25">
      <c r="A576" s="12">
        <v>45169</v>
      </c>
      <c r="B576" s="18">
        <v>1.23</v>
      </c>
    </row>
    <row r="577" spans="1:2" x14ac:dyDescent="0.25">
      <c r="A577" s="12">
        <v>45170</v>
      </c>
      <c r="B577" s="18">
        <v>1.26</v>
      </c>
    </row>
    <row r="578" spans="1:2" x14ac:dyDescent="0.25">
      <c r="A578" s="12">
        <v>45174</v>
      </c>
      <c r="B578" s="18">
        <v>1.23</v>
      </c>
    </row>
    <row r="579" spans="1:2" x14ac:dyDescent="0.25">
      <c r="A579" s="12">
        <v>45175</v>
      </c>
      <c r="B579" s="18">
        <v>1.21</v>
      </c>
    </row>
    <row r="580" spans="1:2" x14ac:dyDescent="0.25">
      <c r="A580" s="12">
        <v>45176</v>
      </c>
      <c r="B580" s="18">
        <v>1.1499999999999999</v>
      </c>
    </row>
    <row r="581" spans="1:2" x14ac:dyDescent="0.25">
      <c r="A581" s="12">
        <v>45177</v>
      </c>
      <c r="B581" s="18">
        <v>1.1200000000000001</v>
      </c>
    </row>
    <row r="582" spans="1:2" x14ac:dyDescent="0.25">
      <c r="A582" s="12">
        <v>45180</v>
      </c>
      <c r="B582" s="18">
        <v>1.02</v>
      </c>
    </row>
    <row r="583" spans="1:2" x14ac:dyDescent="0.25">
      <c r="A583" s="12">
        <v>45181</v>
      </c>
      <c r="B583" s="18">
        <v>1.03</v>
      </c>
    </row>
    <row r="584" spans="1:2" x14ac:dyDescent="0.25">
      <c r="A584" s="12">
        <v>45182</v>
      </c>
      <c r="B584" s="18">
        <v>1.02</v>
      </c>
    </row>
    <row r="585" spans="1:2" x14ac:dyDescent="0.25">
      <c r="A585" s="12">
        <v>45183</v>
      </c>
      <c r="B585" s="18">
        <v>0.996</v>
      </c>
    </row>
    <row r="586" spans="1:2" x14ac:dyDescent="0.25">
      <c r="A586" s="12">
        <v>45184</v>
      </c>
      <c r="B586" s="18">
        <v>1.04</v>
      </c>
    </row>
    <row r="587" spans="1:2" x14ac:dyDescent="0.25">
      <c r="A587" s="12">
        <v>45187</v>
      </c>
      <c r="B587" s="18">
        <v>1.01</v>
      </c>
    </row>
    <row r="588" spans="1:2" x14ac:dyDescent="0.25">
      <c r="A588" s="12">
        <v>45188</v>
      </c>
      <c r="B588" s="18">
        <v>0.98599999999999999</v>
      </c>
    </row>
    <row r="589" spans="1:2" x14ac:dyDescent="0.25">
      <c r="A589" s="12">
        <v>45189</v>
      </c>
      <c r="B589" s="18">
        <v>1</v>
      </c>
    </row>
    <row r="590" spans="1:2" x14ac:dyDescent="0.25">
      <c r="A590" s="12">
        <v>45190</v>
      </c>
      <c r="B590" s="18">
        <v>0.98499999999999999</v>
      </c>
    </row>
    <row r="591" spans="1:2" x14ac:dyDescent="0.25">
      <c r="A591" s="12">
        <v>45191</v>
      </c>
      <c r="B591" s="18">
        <v>0.92700000000000005</v>
      </c>
    </row>
    <row r="592" spans="1:2" x14ac:dyDescent="0.25">
      <c r="A592" s="12">
        <v>45194</v>
      </c>
      <c r="B592" s="18">
        <v>0.90400000000000003</v>
      </c>
    </row>
    <row r="593" spans="1:2" x14ac:dyDescent="0.25">
      <c r="A593" s="12">
        <v>45195</v>
      </c>
      <c r="B593" s="18">
        <v>0.88400000000000001</v>
      </c>
    </row>
    <row r="594" spans="1:2" x14ac:dyDescent="0.25">
      <c r="A594" s="12">
        <v>45196</v>
      </c>
      <c r="B594" s="18">
        <v>0.88500000000000001</v>
      </c>
    </row>
    <row r="595" spans="1:2" x14ac:dyDescent="0.25">
      <c r="A595" s="12">
        <v>45197</v>
      </c>
      <c r="B595" s="18">
        <v>0.88</v>
      </c>
    </row>
    <row r="596" spans="1:2" x14ac:dyDescent="0.25">
      <c r="A596" s="12">
        <v>45198</v>
      </c>
      <c r="B596" s="18">
        <v>0.89600000000000002</v>
      </c>
    </row>
    <row r="597" spans="1:2" x14ac:dyDescent="0.25">
      <c r="A597" s="12">
        <v>45201</v>
      </c>
      <c r="B597" s="18">
        <v>0.86399999999999999</v>
      </c>
    </row>
    <row r="598" spans="1:2" x14ac:dyDescent="0.25">
      <c r="A598" s="12">
        <v>45202</v>
      </c>
      <c r="B598" s="18">
        <v>0.81499999999999995</v>
      </c>
    </row>
    <row r="599" spans="1:2" x14ac:dyDescent="0.25">
      <c r="A599" s="12">
        <v>45203</v>
      </c>
      <c r="B599" s="18">
        <v>0.79</v>
      </c>
    </row>
    <row r="600" spans="1:2" x14ac:dyDescent="0.25">
      <c r="A600" s="12">
        <v>45204</v>
      </c>
      <c r="B600" s="18">
        <v>0.73299999999999998</v>
      </c>
    </row>
    <row r="601" spans="1:2" x14ac:dyDescent="0.25">
      <c r="A601" s="12">
        <v>45205</v>
      </c>
      <c r="B601" s="18">
        <v>0.69</v>
      </c>
    </row>
    <row r="602" spans="1:2" x14ac:dyDescent="0.25">
      <c r="A602" s="12">
        <v>45208</v>
      </c>
      <c r="B602" s="18">
        <v>0.68899999999999995</v>
      </c>
    </row>
    <row r="603" spans="1:2" x14ac:dyDescent="0.25">
      <c r="A603" s="12">
        <v>45209</v>
      </c>
      <c r="B603" s="18">
        <v>0.745</v>
      </c>
    </row>
    <row r="604" spans="1:2" x14ac:dyDescent="0.25">
      <c r="A604" s="12">
        <v>45210</v>
      </c>
      <c r="B604" s="18">
        <v>0.67300000000000004</v>
      </c>
    </row>
    <row r="605" spans="1:2" x14ac:dyDescent="0.25">
      <c r="A605" s="12">
        <v>45211</v>
      </c>
      <c r="B605" s="18">
        <v>0.64400000000000002</v>
      </c>
    </row>
    <row r="606" spans="1:2" x14ac:dyDescent="0.25">
      <c r="A606" s="12">
        <v>45212</v>
      </c>
      <c r="B606" s="18">
        <v>0.64400000000000002</v>
      </c>
    </row>
    <row r="607" spans="1:2" x14ac:dyDescent="0.25">
      <c r="A607" s="12">
        <v>45215</v>
      </c>
      <c r="B607" s="18">
        <v>0.66300000000000003</v>
      </c>
    </row>
    <row r="608" spans="1:2" x14ac:dyDescent="0.25">
      <c r="A608" s="12">
        <v>45216</v>
      </c>
      <c r="B608" s="18">
        <v>0.65200000000000002</v>
      </c>
    </row>
    <row r="609" spans="1:2" x14ac:dyDescent="0.25">
      <c r="A609" s="12">
        <v>45217</v>
      </c>
      <c r="B609" s="18">
        <v>0.623</v>
      </c>
    </row>
    <row r="610" spans="1:2" x14ac:dyDescent="0.25">
      <c r="A610" s="12">
        <v>45218</v>
      </c>
      <c r="B610" s="18">
        <v>0.56000000000000005</v>
      </c>
    </row>
    <row r="611" spans="1:2" x14ac:dyDescent="0.25">
      <c r="A611" s="12">
        <v>45219</v>
      </c>
      <c r="B611" s="18">
        <v>0.54700000000000004</v>
      </c>
    </row>
    <row r="612" spans="1:2" x14ac:dyDescent="0.25">
      <c r="A612" s="12">
        <v>45222</v>
      </c>
      <c r="B612" s="18">
        <v>0.50600000000000001</v>
      </c>
    </row>
    <row r="613" spans="1:2" x14ac:dyDescent="0.25">
      <c r="A613" s="12">
        <v>45223</v>
      </c>
      <c r="B613" s="18">
        <v>0.50800000000000001</v>
      </c>
    </row>
    <row r="614" spans="1:2" x14ac:dyDescent="0.25">
      <c r="A614" s="12">
        <v>45224</v>
      </c>
      <c r="B614" s="18">
        <v>0.48</v>
      </c>
    </row>
    <row r="615" spans="1:2" x14ac:dyDescent="0.25">
      <c r="A615" s="12">
        <v>45225</v>
      </c>
      <c r="B615" s="18">
        <v>0.46899999999999997</v>
      </c>
    </row>
    <row r="616" spans="1:2" x14ac:dyDescent="0.25">
      <c r="A616" s="12">
        <v>45226</v>
      </c>
      <c r="B616" s="18">
        <v>0.45500000000000002</v>
      </c>
    </row>
    <row r="617" spans="1:2" x14ac:dyDescent="0.25">
      <c r="A617" s="12">
        <v>45229</v>
      </c>
      <c r="B617" s="18">
        <v>0.47699999999999998</v>
      </c>
    </row>
    <row r="618" spans="1:2" x14ac:dyDescent="0.25">
      <c r="A618" s="12">
        <v>45230</v>
      </c>
      <c r="B618" s="18">
        <v>0.48499999999999999</v>
      </c>
    </row>
    <row r="619" spans="1:2" x14ac:dyDescent="0.25">
      <c r="A619" s="12">
        <v>45231</v>
      </c>
      <c r="B619" s="18">
        <v>0.47</v>
      </c>
    </row>
    <row r="620" spans="1:2" x14ac:dyDescent="0.25">
      <c r="A620" s="12">
        <v>45232</v>
      </c>
      <c r="B620" s="18">
        <v>0.52800000000000002</v>
      </c>
    </row>
    <row r="621" spans="1:2" x14ac:dyDescent="0.25">
      <c r="A621" s="12">
        <v>45233</v>
      </c>
      <c r="B621" s="18">
        <v>0.63</v>
      </c>
    </row>
    <row r="622" spans="1:2" x14ac:dyDescent="0.25">
      <c r="A622" s="12">
        <v>45236</v>
      </c>
      <c r="B622" s="18">
        <v>0.625</v>
      </c>
    </row>
    <row r="623" spans="1:2" x14ac:dyDescent="0.25">
      <c r="A623" s="12">
        <v>45237</v>
      </c>
      <c r="B623" s="18">
        <v>0.6</v>
      </c>
    </row>
    <row r="624" spans="1:2" x14ac:dyDescent="0.25">
      <c r="A624" s="12">
        <v>45238</v>
      </c>
      <c r="B624" s="18">
        <v>0.6</v>
      </c>
    </row>
    <row r="625" spans="1:2" x14ac:dyDescent="0.25">
      <c r="A625" s="12">
        <v>45239</v>
      </c>
      <c r="B625" s="18">
        <v>0.55100000000000005</v>
      </c>
    </row>
    <row r="626" spans="1:2" x14ac:dyDescent="0.25">
      <c r="A626" s="12">
        <v>45240</v>
      </c>
      <c r="B626" s="18">
        <v>0.54</v>
      </c>
    </row>
    <row r="627" spans="1:2" x14ac:dyDescent="0.25">
      <c r="A627" s="12">
        <v>45243</v>
      </c>
      <c r="B627" s="18">
        <v>0.5</v>
      </c>
    </row>
    <row r="628" spans="1:2" x14ac:dyDescent="0.25">
      <c r="A628" s="12">
        <v>45244</v>
      </c>
      <c r="B628" s="18">
        <v>0.53</v>
      </c>
    </row>
    <row r="629" spans="1:2" x14ac:dyDescent="0.25">
      <c r="A629" s="12">
        <v>45245</v>
      </c>
      <c r="B629" s="18">
        <v>0.53</v>
      </c>
    </row>
    <row r="630" spans="1:2" x14ac:dyDescent="0.25">
      <c r="A630" s="12">
        <v>45246</v>
      </c>
      <c r="B630" s="18">
        <v>0.76100000000000001</v>
      </c>
    </row>
    <row r="631" spans="1:2" x14ac:dyDescent="0.25">
      <c r="A631" s="12">
        <v>45247</v>
      </c>
      <c r="B631" s="18">
        <v>0.82399999999999995</v>
      </c>
    </row>
    <row r="632" spans="1:2" x14ac:dyDescent="0.25">
      <c r="A632" s="12">
        <v>45250</v>
      </c>
      <c r="B632" s="18">
        <v>0.78300000000000003</v>
      </c>
    </row>
    <row r="633" spans="1:2" x14ac:dyDescent="0.25">
      <c r="A633" s="12">
        <v>45251</v>
      </c>
      <c r="B633" s="18">
        <v>0.70199999999999996</v>
      </c>
    </row>
    <row r="634" spans="1:2" x14ac:dyDescent="0.25">
      <c r="A634" s="12">
        <v>45252</v>
      </c>
      <c r="B634" s="18">
        <v>0.70199999999999996</v>
      </c>
    </row>
    <row r="635" spans="1:2" x14ac:dyDescent="0.25">
      <c r="A635" s="12">
        <v>45254</v>
      </c>
      <c r="B635" s="18">
        <v>0.76400000000000001</v>
      </c>
    </row>
    <row r="636" spans="1:2" x14ac:dyDescent="0.25">
      <c r="A636" s="12">
        <v>45257</v>
      </c>
      <c r="B636" s="18">
        <v>0.79100000000000004</v>
      </c>
    </row>
    <row r="637" spans="1:2" x14ac:dyDescent="0.25">
      <c r="A637" s="12">
        <v>45258</v>
      </c>
      <c r="B637" s="18">
        <v>0.85</v>
      </c>
    </row>
    <row r="638" spans="1:2" x14ac:dyDescent="0.25">
      <c r="A638" s="12">
        <v>45259</v>
      </c>
      <c r="B638" s="18">
        <v>1</v>
      </c>
    </row>
    <row r="639" spans="1:2" x14ac:dyDescent="0.25">
      <c r="A639" s="12">
        <v>45260</v>
      </c>
      <c r="B639" s="18">
        <v>0.91</v>
      </c>
    </row>
    <row r="640" spans="1:2" x14ac:dyDescent="0.25">
      <c r="A640" s="12">
        <v>45261</v>
      </c>
      <c r="B640" s="18">
        <v>1.03</v>
      </c>
    </row>
    <row r="641" spans="1:2" x14ac:dyDescent="0.25">
      <c r="A641" s="12">
        <v>45264</v>
      </c>
      <c r="B641" s="18">
        <v>1.05</v>
      </c>
    </row>
    <row r="642" spans="1:2" x14ac:dyDescent="0.25">
      <c r="A642" s="12">
        <v>45265</v>
      </c>
      <c r="B642" s="18">
        <v>1.21</v>
      </c>
    </row>
    <row r="643" spans="1:2" x14ac:dyDescent="0.25">
      <c r="A643" s="12">
        <v>45266</v>
      </c>
      <c r="B643" s="18">
        <v>1.21</v>
      </c>
    </row>
    <row r="644" spans="1:2" x14ac:dyDescent="0.25">
      <c r="A644" s="12">
        <v>45267</v>
      </c>
      <c r="B644" s="18">
        <v>1.1399999999999999</v>
      </c>
    </row>
    <row r="645" spans="1:2" x14ac:dyDescent="0.25">
      <c r="A645" s="12">
        <v>45268</v>
      </c>
      <c r="B645" s="18">
        <v>1.1100000000000001</v>
      </c>
    </row>
    <row r="646" spans="1:2" x14ac:dyDescent="0.25">
      <c r="A646" s="12">
        <v>45271</v>
      </c>
      <c r="B646" s="18">
        <v>1.1399999999999999</v>
      </c>
    </row>
    <row r="647" spans="1:2" x14ac:dyDescent="0.25">
      <c r="A647" s="12">
        <v>45272</v>
      </c>
      <c r="B647" s="18">
        <v>1.1100000000000001</v>
      </c>
    </row>
    <row r="648" spans="1:2" x14ac:dyDescent="0.25">
      <c r="A648" s="12">
        <v>45273</v>
      </c>
      <c r="B648" s="18">
        <v>1.19</v>
      </c>
    </row>
    <row r="649" spans="1:2" x14ac:dyDescent="0.25">
      <c r="A649" s="12">
        <v>45274</v>
      </c>
      <c r="B649" s="18">
        <v>1.37</v>
      </c>
    </row>
    <row r="650" spans="1:2" x14ac:dyDescent="0.25">
      <c r="A650" s="12">
        <v>45275</v>
      </c>
      <c r="B650" s="18">
        <v>1.22</v>
      </c>
    </row>
    <row r="651" spans="1:2" x14ac:dyDescent="0.25">
      <c r="A651" s="12">
        <v>45278</v>
      </c>
      <c r="B651" s="18">
        <v>1.21</v>
      </c>
    </row>
    <row r="652" spans="1:2" x14ac:dyDescent="0.25">
      <c r="A652" s="12">
        <v>45279</v>
      </c>
      <c r="B652" s="18">
        <v>1.27</v>
      </c>
    </row>
    <row r="653" spans="1:2" x14ac:dyDescent="0.25">
      <c r="A653" s="12">
        <v>45280</v>
      </c>
      <c r="B653" s="18">
        <v>1.19</v>
      </c>
    </row>
    <row r="654" spans="1:2" x14ac:dyDescent="0.25">
      <c r="A654" s="12">
        <v>45281</v>
      </c>
      <c r="B654" s="18">
        <v>1.31</v>
      </c>
    </row>
    <row r="655" spans="1:2" x14ac:dyDescent="0.25">
      <c r="A655" s="12">
        <v>45282</v>
      </c>
      <c r="B655" s="18">
        <v>1.24</v>
      </c>
    </row>
    <row r="656" spans="1:2" x14ac:dyDescent="0.25">
      <c r="A656" s="12">
        <v>45286</v>
      </c>
      <c r="B656" s="18">
        <v>1.32</v>
      </c>
    </row>
    <row r="657" spans="1:2" x14ac:dyDescent="0.25">
      <c r="A657" s="12">
        <v>45287</v>
      </c>
      <c r="B657" s="18">
        <v>1.3</v>
      </c>
    </row>
    <row r="658" spans="1:2" x14ac:dyDescent="0.25">
      <c r="A658" s="12">
        <v>45288</v>
      </c>
      <c r="B658" s="18">
        <v>1.24</v>
      </c>
    </row>
    <row r="659" spans="1:2" x14ac:dyDescent="0.25">
      <c r="A659" s="12">
        <v>45289</v>
      </c>
      <c r="B659" s="18">
        <v>1.18</v>
      </c>
    </row>
    <row r="660" spans="1:2" x14ac:dyDescent="0.25">
      <c r="A660" s="12">
        <v>45293</v>
      </c>
      <c r="B660" s="18">
        <v>1.23</v>
      </c>
    </row>
    <row r="661" spans="1:2" x14ac:dyDescent="0.25">
      <c r="A661" s="12">
        <v>45294</v>
      </c>
      <c r="B661" s="18">
        <v>1.18</v>
      </c>
    </row>
    <row r="662" spans="1:2" x14ac:dyDescent="0.25">
      <c r="A662" s="12">
        <v>45295</v>
      </c>
      <c r="B662" s="18">
        <v>1.18</v>
      </c>
    </row>
    <row r="663" spans="1:2" x14ac:dyDescent="0.25">
      <c r="A663" s="12">
        <v>45296</v>
      </c>
      <c r="B663" s="18">
        <v>1.18</v>
      </c>
    </row>
    <row r="664" spans="1:2" x14ac:dyDescent="0.25">
      <c r="A664" s="12">
        <v>45299</v>
      </c>
      <c r="B664" s="18">
        <v>1.25</v>
      </c>
    </row>
    <row r="665" spans="1:2" x14ac:dyDescent="0.25">
      <c r="A665" s="12">
        <v>45300</v>
      </c>
      <c r="B665" s="18">
        <v>1.24</v>
      </c>
    </row>
    <row r="666" spans="1:2" x14ac:dyDescent="0.25">
      <c r="A666" s="12">
        <v>45301</v>
      </c>
      <c r="B666" s="18">
        <v>1.24</v>
      </c>
    </row>
    <row r="667" spans="1:2" x14ac:dyDescent="0.25">
      <c r="A667" s="12">
        <v>45302</v>
      </c>
      <c r="B667" s="18">
        <v>1.17</v>
      </c>
    </row>
    <row r="668" spans="1:2" x14ac:dyDescent="0.25">
      <c r="A668" s="12">
        <v>45303</v>
      </c>
      <c r="B668" s="18">
        <v>1.1000000000000001</v>
      </c>
    </row>
    <row r="669" spans="1:2" x14ac:dyDescent="0.25">
      <c r="A669" s="12">
        <v>45307</v>
      </c>
      <c r="B669" s="18">
        <v>1.06</v>
      </c>
    </row>
    <row r="670" spans="1:2" x14ac:dyDescent="0.25">
      <c r="A670" s="12">
        <v>45308</v>
      </c>
      <c r="B670" s="18">
        <v>1.05</v>
      </c>
    </row>
    <row r="671" spans="1:2" x14ac:dyDescent="0.25">
      <c r="A671" s="12">
        <v>45309</v>
      </c>
      <c r="B671" s="18">
        <v>1.04</v>
      </c>
    </row>
    <row r="672" spans="1:2" x14ac:dyDescent="0.25">
      <c r="A672" s="12">
        <v>45310</v>
      </c>
      <c r="B672" s="18">
        <v>1.05</v>
      </c>
    </row>
    <row r="673" spans="1:2" x14ac:dyDescent="0.25">
      <c r="A673" s="12">
        <v>45313</v>
      </c>
      <c r="B673" s="18">
        <v>1.18</v>
      </c>
    </row>
    <row r="674" spans="1:2" x14ac:dyDescent="0.25">
      <c r="A674" s="12">
        <v>45314</v>
      </c>
      <c r="B674" s="18">
        <v>1.1599999999999999</v>
      </c>
    </row>
    <row r="675" spans="1:2" x14ac:dyDescent="0.25">
      <c r="A675" s="12">
        <v>45315</v>
      </c>
      <c r="B675" s="18">
        <v>1.1299999999999999</v>
      </c>
    </row>
    <row r="676" spans="1:2" x14ac:dyDescent="0.25">
      <c r="A676" s="12">
        <v>45316</v>
      </c>
      <c r="B676" s="18">
        <v>1.1499999999999999</v>
      </c>
    </row>
    <row r="677" spans="1:2" x14ac:dyDescent="0.25">
      <c r="A677" s="12">
        <v>45317</v>
      </c>
      <c r="B677" s="18">
        <v>1.1399999999999999</v>
      </c>
    </row>
    <row r="678" spans="1:2" x14ac:dyDescent="0.25">
      <c r="A678" s="12">
        <v>45320</v>
      </c>
      <c r="B678" s="18">
        <v>1.19</v>
      </c>
    </row>
    <row r="679" spans="1:2" x14ac:dyDescent="0.25">
      <c r="A679" s="12">
        <v>45321</v>
      </c>
      <c r="B679" s="18">
        <v>1.17</v>
      </c>
    </row>
    <row r="680" spans="1:2" x14ac:dyDescent="0.25">
      <c r="A680" s="12">
        <v>45322</v>
      </c>
      <c r="B680" s="18">
        <v>1.1299999999999999</v>
      </c>
    </row>
    <row r="681" spans="1:2" x14ac:dyDescent="0.25">
      <c r="A681" s="12">
        <v>45323</v>
      </c>
      <c r="B681" s="18">
        <v>1.1399999999999999</v>
      </c>
    </row>
    <row r="682" spans="1:2" x14ac:dyDescent="0.25">
      <c r="A682" s="12">
        <v>45324</v>
      </c>
      <c r="B682" s="18">
        <v>1.1499999999999999</v>
      </c>
    </row>
    <row r="683" spans="1:2" x14ac:dyDescent="0.25">
      <c r="A683" s="12">
        <v>45327</v>
      </c>
      <c r="B683" s="18">
        <v>1.1499999999999999</v>
      </c>
    </row>
    <row r="684" spans="1:2" x14ac:dyDescent="0.25">
      <c r="A684" s="12">
        <v>45328</v>
      </c>
      <c r="B684" s="18">
        <v>1.1299999999999999</v>
      </c>
    </row>
    <row r="685" spans="1:2" x14ac:dyDescent="0.25">
      <c r="A685" s="12">
        <v>45329</v>
      </c>
      <c r="B685" s="18">
        <v>1.1200000000000001</v>
      </c>
    </row>
    <row r="686" spans="1:2" x14ac:dyDescent="0.25">
      <c r="A686" s="12">
        <v>45330</v>
      </c>
      <c r="B686" s="18">
        <v>1.1100000000000001</v>
      </c>
    </row>
    <row r="687" spans="1:2" x14ac:dyDescent="0.25">
      <c r="A687" s="12">
        <v>45331</v>
      </c>
      <c r="B687" s="18">
        <v>1.1299999999999999</v>
      </c>
    </row>
    <row r="688" spans="1:2" x14ac:dyDescent="0.25">
      <c r="A688" s="12">
        <v>45334</v>
      </c>
      <c r="B688" s="18">
        <v>1.27</v>
      </c>
    </row>
    <row r="689" spans="1:2" x14ac:dyDescent="0.25">
      <c r="A689" s="12">
        <v>45335</v>
      </c>
      <c r="B689" s="18">
        <v>1.3</v>
      </c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tabSelected="1" workbookViewId="0">
      <selection activeCell="G118" sqref="G118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43</v>
      </c>
      <c r="B1" s="1" t="s">
        <v>70</v>
      </c>
      <c r="C1" s="1" t="s">
        <v>0</v>
      </c>
      <c r="D1" s="1" t="s">
        <v>134</v>
      </c>
      <c r="H1" s="119" t="s">
        <v>135</v>
      </c>
      <c r="I1" s="120"/>
      <c r="J1" s="120"/>
      <c r="K1" s="120"/>
      <c r="L1" s="120"/>
      <c r="M1" s="121"/>
    </row>
    <row r="2" spans="1:13" ht="15.75" thickBot="1" x14ac:dyDescent="0.3">
      <c r="B2" s="12">
        <v>45390</v>
      </c>
      <c r="C2" s="17">
        <v>1.05</v>
      </c>
      <c r="D2" s="56">
        <f>C2/C3-1</f>
        <v>-3.669724770642202E-2</v>
      </c>
      <c r="H2" s="57"/>
      <c r="I2" s="58"/>
      <c r="J2" s="58"/>
      <c r="K2" s="58"/>
      <c r="L2" s="58"/>
      <c r="M2" s="59"/>
    </row>
    <row r="3" spans="1:13" ht="15.75" thickBot="1" x14ac:dyDescent="0.3">
      <c r="B3" s="12">
        <v>45383</v>
      </c>
      <c r="C3" s="17">
        <v>1.0900000000000001</v>
      </c>
      <c r="D3" s="56">
        <f t="shared" ref="D3:D66" si="0">C3/C4-1</f>
        <v>-3.5398230088495408E-2</v>
      </c>
      <c r="H3" s="60" t="s">
        <v>136</v>
      </c>
      <c r="I3" s="61" t="s">
        <v>137</v>
      </c>
      <c r="J3" s="62" t="s">
        <v>138</v>
      </c>
      <c r="K3" s="63" t="s">
        <v>139</v>
      </c>
      <c r="L3" s="63" t="s">
        <v>140</v>
      </c>
      <c r="M3" s="64" t="s">
        <v>141</v>
      </c>
    </row>
    <row r="4" spans="1:13" x14ac:dyDescent="0.25">
      <c r="B4" s="12">
        <v>45376</v>
      </c>
      <c r="C4" s="17">
        <v>1.1299999999999999</v>
      </c>
      <c r="D4" s="56">
        <f>C4/C5-1</f>
        <v>0.1188118811881187</v>
      </c>
      <c r="H4" s="65">
        <f>$I$19-3*$I$23</f>
        <v>-0.3624160858660202</v>
      </c>
      <c r="I4" s="66">
        <f>H4</f>
        <v>-0.3624160858660202</v>
      </c>
      <c r="J4" s="67">
        <f>COUNTIF(D:D,"&lt;="&amp;H4)</f>
        <v>0</v>
      </c>
      <c r="K4" s="67" t="str">
        <f>"Less than "&amp;TEXT(H4,"0,00%")</f>
        <v>Less than -36,24%</v>
      </c>
      <c r="L4" s="68">
        <f>J4/$I$31</f>
        <v>0</v>
      </c>
      <c r="M4" s="69">
        <f>L4</f>
        <v>0</v>
      </c>
    </row>
    <row r="5" spans="1:13" x14ac:dyDescent="0.25">
      <c r="B5" s="12">
        <v>45369</v>
      </c>
      <c r="C5" s="17">
        <v>1.01</v>
      </c>
      <c r="D5" s="56">
        <f t="shared" si="0"/>
        <v>1.8145161290322509E-2</v>
      </c>
      <c r="H5" s="70">
        <f>$I$19-2.4*$I$23</f>
        <v>-0.29270370032461013</v>
      </c>
      <c r="I5" s="71">
        <f>H5</f>
        <v>-0.29270370032461013</v>
      </c>
      <c r="J5" s="72">
        <f>COUNTIFS(D:D,"&lt;="&amp;H5,D:D,"&gt;"&amp;H4)</f>
        <v>0</v>
      </c>
      <c r="K5" s="73" t="str">
        <f t="shared" ref="K5:K14" si="1">TEXT(H4,"0,00%")&amp;" to "&amp;TEXT(H5,"0,00%")</f>
        <v>-36,24% to -29,27%</v>
      </c>
      <c r="L5" s="74">
        <f>J5/$I$31</f>
        <v>0</v>
      </c>
      <c r="M5" s="75">
        <f>M4+L5</f>
        <v>0</v>
      </c>
    </row>
    <row r="6" spans="1:13" x14ac:dyDescent="0.25">
      <c r="B6" s="12">
        <v>45362</v>
      </c>
      <c r="C6" s="17">
        <v>0.99199999999999999</v>
      </c>
      <c r="D6" s="56">
        <f t="shared" si="0"/>
        <v>-1.7821782178217838E-2</v>
      </c>
      <c r="H6" s="70">
        <f>$I$19-1.8*$I$23</f>
        <v>-0.22299131478320014</v>
      </c>
      <c r="I6" s="71">
        <f t="shared" ref="I6:I14" si="2">H6</f>
        <v>-0.22299131478320014</v>
      </c>
      <c r="J6" s="72">
        <f t="shared" ref="J6:J14" si="3">COUNTIFS(D:D,"&lt;="&amp;H6,D:D,"&gt;"&amp;H5)</f>
        <v>2</v>
      </c>
      <c r="K6" s="73" t="str">
        <f t="shared" si="1"/>
        <v>-29,27% to -22,30%</v>
      </c>
      <c r="L6" s="74">
        <f t="shared" ref="L6:L15" si="4">J6/$I$31</f>
        <v>1.3245033112582781E-2</v>
      </c>
      <c r="M6" s="75">
        <f t="shared" ref="M6:M15" si="5">M5+L6</f>
        <v>1.3245033112582781E-2</v>
      </c>
    </row>
    <row r="7" spans="1:13" x14ac:dyDescent="0.25">
      <c r="B7" s="12">
        <v>45355</v>
      </c>
      <c r="C7" s="17">
        <v>1.01</v>
      </c>
      <c r="D7" s="56">
        <f t="shared" si="0"/>
        <v>-6.4814814814814881E-2</v>
      </c>
      <c r="H7" s="70">
        <f>$I$19-1.2*$I$23</f>
        <v>-0.1532789292417901</v>
      </c>
      <c r="I7" s="71">
        <f t="shared" si="2"/>
        <v>-0.1532789292417901</v>
      </c>
      <c r="J7" s="72">
        <f t="shared" si="3"/>
        <v>9</v>
      </c>
      <c r="K7" s="73" t="str">
        <f t="shared" si="1"/>
        <v>-22,30% to -15,33%</v>
      </c>
      <c r="L7" s="74">
        <f t="shared" si="4"/>
        <v>5.9602649006622516E-2</v>
      </c>
      <c r="M7" s="75">
        <f>M6+L7</f>
        <v>7.2847682119205295E-2</v>
      </c>
    </row>
    <row r="8" spans="1:13" x14ac:dyDescent="0.25">
      <c r="B8" s="12">
        <v>45348</v>
      </c>
      <c r="C8" s="17">
        <v>1.08</v>
      </c>
      <c r="D8" s="56">
        <f t="shared" si="0"/>
        <v>-6.0869565217391175E-2</v>
      </c>
      <c r="H8" s="70">
        <f>$I$19-0.6*$I$23</f>
        <v>-8.3566543700380108E-2</v>
      </c>
      <c r="I8" s="71">
        <f t="shared" si="2"/>
        <v>-8.3566543700380108E-2</v>
      </c>
      <c r="J8" s="72">
        <f t="shared" si="3"/>
        <v>24</v>
      </c>
      <c r="K8" s="73" t="str">
        <f t="shared" si="1"/>
        <v>-15,33% to -8,36%</v>
      </c>
      <c r="L8" s="74">
        <f t="shared" si="4"/>
        <v>0.15894039735099338</v>
      </c>
      <c r="M8" s="75">
        <f t="shared" si="5"/>
        <v>0.23178807947019869</v>
      </c>
    </row>
    <row r="9" spans="1:13" x14ac:dyDescent="0.25">
      <c r="B9" s="12">
        <v>45341</v>
      </c>
      <c r="C9" s="17">
        <v>1.1499999999999999</v>
      </c>
      <c r="D9" s="56">
        <f t="shared" si="0"/>
        <v>-6.1224489795918546E-2</v>
      </c>
      <c r="H9" s="70">
        <f>$I$19</f>
        <v>-1.3854158158970099E-2</v>
      </c>
      <c r="I9" s="71">
        <f t="shared" si="2"/>
        <v>-1.3854158158970099E-2</v>
      </c>
      <c r="J9" s="72">
        <f t="shared" si="3"/>
        <v>51</v>
      </c>
      <c r="K9" s="73" t="str">
        <f t="shared" si="1"/>
        <v>-8,36% to -1,39%</v>
      </c>
      <c r="L9" s="74">
        <f t="shared" si="4"/>
        <v>0.33774834437086093</v>
      </c>
      <c r="M9" s="75">
        <f t="shared" si="5"/>
        <v>0.56953642384105962</v>
      </c>
    </row>
    <row r="10" spans="1:13" x14ac:dyDescent="0.25">
      <c r="B10" s="12">
        <v>45334</v>
      </c>
      <c r="C10" s="17">
        <v>1.2250000000000001</v>
      </c>
      <c r="D10" s="56">
        <f t="shared" si="0"/>
        <v>8.4070796460177233E-2</v>
      </c>
      <c r="H10" s="70">
        <f>$I$19+0.6*$I$23</f>
        <v>5.5858227382439903E-2</v>
      </c>
      <c r="I10" s="71">
        <f t="shared" si="2"/>
        <v>5.5858227382439903E-2</v>
      </c>
      <c r="J10" s="72">
        <f t="shared" si="3"/>
        <v>36</v>
      </c>
      <c r="K10" s="73" t="str">
        <f t="shared" si="1"/>
        <v>-1,39% to 5,59%</v>
      </c>
      <c r="L10" s="74">
        <f t="shared" si="4"/>
        <v>0.23841059602649006</v>
      </c>
      <c r="M10" s="75">
        <f t="shared" si="5"/>
        <v>0.80794701986754969</v>
      </c>
    </row>
    <row r="11" spans="1:13" x14ac:dyDescent="0.25">
      <c r="B11" s="12">
        <v>45327</v>
      </c>
      <c r="C11" s="17">
        <v>1.1299999999999999</v>
      </c>
      <c r="D11" s="56">
        <f t="shared" si="0"/>
        <v>-1.7391304347826098E-2</v>
      </c>
      <c r="H11" s="70">
        <f>$I$19+1.2*$I$23</f>
        <v>0.12557061292384991</v>
      </c>
      <c r="I11" s="71">
        <f t="shared" si="2"/>
        <v>0.12557061292384991</v>
      </c>
      <c r="J11" s="72">
        <f t="shared" si="3"/>
        <v>15</v>
      </c>
      <c r="K11" s="73" t="str">
        <f t="shared" si="1"/>
        <v>5,59% to 12,56%</v>
      </c>
      <c r="L11" s="74">
        <f t="shared" si="4"/>
        <v>9.9337748344370855E-2</v>
      </c>
      <c r="M11" s="75">
        <f t="shared" si="5"/>
        <v>0.9072847682119205</v>
      </c>
    </row>
    <row r="12" spans="1:13" x14ac:dyDescent="0.25">
      <c r="B12" s="12">
        <v>45320</v>
      </c>
      <c r="C12" s="17">
        <v>1.1499999999999999</v>
      </c>
      <c r="D12" s="56">
        <f t="shared" si="0"/>
        <v>8.7719298245614308E-3</v>
      </c>
      <c r="H12" s="70">
        <f>$I$19+1.8*$I$23</f>
        <v>0.19528299846525995</v>
      </c>
      <c r="I12" s="71">
        <f t="shared" si="2"/>
        <v>0.19528299846525995</v>
      </c>
      <c r="J12" s="72">
        <f t="shared" si="3"/>
        <v>7</v>
      </c>
      <c r="K12" s="73" t="str">
        <f t="shared" si="1"/>
        <v>12,56% to 19,53%</v>
      </c>
      <c r="L12" s="74">
        <f t="shared" si="4"/>
        <v>4.6357615894039736E-2</v>
      </c>
      <c r="M12" s="75">
        <f t="shared" si="5"/>
        <v>0.95364238410596025</v>
      </c>
    </row>
    <row r="13" spans="1:13" x14ac:dyDescent="0.25">
      <c r="B13" s="12">
        <v>45313</v>
      </c>
      <c r="C13" s="17">
        <v>1.1399999999999999</v>
      </c>
      <c r="D13" s="56">
        <f t="shared" si="0"/>
        <v>8.5714285714285632E-2</v>
      </c>
      <c r="H13" s="70">
        <f>$I$19+2.4*$I$23</f>
        <v>0.26499538400666989</v>
      </c>
      <c r="I13" s="71">
        <f t="shared" si="2"/>
        <v>0.26499538400666989</v>
      </c>
      <c r="J13" s="72">
        <f t="shared" si="3"/>
        <v>3</v>
      </c>
      <c r="K13" s="73" t="str">
        <f t="shared" si="1"/>
        <v>19,53% to 26,50%</v>
      </c>
      <c r="L13" s="74">
        <f t="shared" si="4"/>
        <v>1.9867549668874173E-2</v>
      </c>
      <c r="M13" s="75">
        <f t="shared" si="5"/>
        <v>0.97350993377483441</v>
      </c>
    </row>
    <row r="14" spans="1:13" x14ac:dyDescent="0.25">
      <c r="B14" s="12">
        <v>45306</v>
      </c>
      <c r="C14" s="17">
        <v>1.05</v>
      </c>
      <c r="D14" s="56">
        <f t="shared" si="0"/>
        <v>-4.5454545454545525E-2</v>
      </c>
      <c r="H14" s="70">
        <f>$I$19+3*$I$23</f>
        <v>0.33470776954807996</v>
      </c>
      <c r="I14" s="71">
        <f t="shared" si="2"/>
        <v>0.33470776954807996</v>
      </c>
      <c r="J14" s="72">
        <f t="shared" si="3"/>
        <v>0</v>
      </c>
      <c r="K14" s="73" t="str">
        <f t="shared" si="1"/>
        <v>26,50% to 33,47%</v>
      </c>
      <c r="L14" s="74">
        <f t="shared" si="4"/>
        <v>0</v>
      </c>
      <c r="M14" s="75">
        <f t="shared" si="5"/>
        <v>0.97350993377483441</v>
      </c>
    </row>
    <row r="15" spans="1:13" ht="15.75" thickBot="1" x14ac:dyDescent="0.3">
      <c r="B15" s="12">
        <v>45299</v>
      </c>
      <c r="C15" s="17">
        <v>1.1000000000000001</v>
      </c>
      <c r="D15" s="56">
        <f t="shared" si="0"/>
        <v>-6.7796610169491456E-2</v>
      </c>
      <c r="H15" s="76"/>
      <c r="I15" s="77" t="s">
        <v>142</v>
      </c>
      <c r="J15" s="77">
        <f>COUNTIF(D:D,"&gt;"&amp;H14)</f>
        <v>4</v>
      </c>
      <c r="K15" s="77" t="str">
        <f>"Greater than "&amp;TEXT(H14,"0,00%")</f>
        <v>Greater than 33,47%</v>
      </c>
      <c r="L15" s="78">
        <f t="shared" si="4"/>
        <v>2.6490066225165563E-2</v>
      </c>
      <c r="M15" s="78">
        <f t="shared" si="5"/>
        <v>1</v>
      </c>
    </row>
    <row r="16" spans="1:13" ht="15.75" thickBot="1" x14ac:dyDescent="0.3">
      <c r="B16" s="12">
        <v>45292</v>
      </c>
      <c r="C16" s="17">
        <v>1.18</v>
      </c>
      <c r="D16" s="56">
        <f t="shared" si="0"/>
        <v>0</v>
      </c>
      <c r="H16" s="79"/>
      <c r="M16" s="80"/>
    </row>
    <row r="17" spans="2:13" x14ac:dyDescent="0.25">
      <c r="B17" s="12">
        <v>45285</v>
      </c>
      <c r="C17" s="17">
        <v>1.18</v>
      </c>
      <c r="D17" s="56">
        <f t="shared" si="0"/>
        <v>-4.8387096774193616E-2</v>
      </c>
      <c r="H17" s="122" t="s">
        <v>143</v>
      </c>
      <c r="I17" s="123"/>
      <c r="M17" s="80"/>
    </row>
    <row r="18" spans="2:13" x14ac:dyDescent="0.25">
      <c r="B18" s="12">
        <v>45278</v>
      </c>
      <c r="C18" s="17">
        <v>1.24</v>
      </c>
      <c r="D18" s="56">
        <f t="shared" si="0"/>
        <v>1.6393442622950838E-2</v>
      </c>
      <c r="H18" s="124"/>
      <c r="I18" s="125"/>
      <c r="M18" s="80"/>
    </row>
    <row r="19" spans="2:13" x14ac:dyDescent="0.25">
      <c r="B19" s="12">
        <v>45271</v>
      </c>
      <c r="C19" s="17">
        <v>1.22</v>
      </c>
      <c r="D19" s="56">
        <f t="shared" si="0"/>
        <v>9.9099099099098975E-2</v>
      </c>
      <c r="H19" s="81" t="s">
        <v>144</v>
      </c>
      <c r="I19" s="82">
        <f>AVERAGE(D:D)</f>
        <v>-1.3854158158970099E-2</v>
      </c>
      <c r="M19" s="80"/>
    </row>
    <row r="20" spans="2:13" x14ac:dyDescent="0.25">
      <c r="B20" s="12">
        <v>45264</v>
      </c>
      <c r="C20" s="17">
        <v>1.1100000000000001</v>
      </c>
      <c r="D20" s="56">
        <f t="shared" si="0"/>
        <v>7.7669902912621325E-2</v>
      </c>
      <c r="H20" s="81" t="s">
        <v>145</v>
      </c>
      <c r="I20" s="82">
        <f>_xlfn.STDEV.S(D:D)/SQRT(COUNT(D:D))</f>
        <v>9.4551891311674859E-3</v>
      </c>
      <c r="M20" s="80"/>
    </row>
    <row r="21" spans="2:13" x14ac:dyDescent="0.25">
      <c r="B21" s="12">
        <v>45257</v>
      </c>
      <c r="C21" s="17">
        <v>1.03</v>
      </c>
      <c r="D21" s="56">
        <f t="shared" si="0"/>
        <v>0.34816753926701582</v>
      </c>
      <c r="H21" s="81" t="s">
        <v>146</v>
      </c>
      <c r="I21" s="82">
        <f>MEDIAN(D:D)</f>
        <v>-3.3441208198489725E-2</v>
      </c>
      <c r="M21" s="80"/>
    </row>
    <row r="22" spans="2:13" x14ac:dyDescent="0.25">
      <c r="B22" s="12">
        <v>45250</v>
      </c>
      <c r="C22" s="17">
        <v>0.76400000000000001</v>
      </c>
      <c r="D22" s="56">
        <f t="shared" si="0"/>
        <v>-7.2815533980582492E-2</v>
      </c>
      <c r="H22" s="81" t="s">
        <v>147</v>
      </c>
      <c r="I22" s="82">
        <f>MODE(D:D)</f>
        <v>0</v>
      </c>
      <c r="M22" s="80"/>
    </row>
    <row r="23" spans="2:13" x14ac:dyDescent="0.25">
      <c r="B23" s="12">
        <v>45243</v>
      </c>
      <c r="C23" s="17">
        <v>0.82399999999999995</v>
      </c>
      <c r="D23" s="56">
        <f t="shared" si="0"/>
        <v>0.52592592592592569</v>
      </c>
      <c r="H23" s="81" t="s">
        <v>148</v>
      </c>
      <c r="I23" s="82">
        <f>_xlfn.STDEV.S(D:D)</f>
        <v>0.11618730923568335</v>
      </c>
      <c r="M23" s="80"/>
    </row>
    <row r="24" spans="2:13" x14ac:dyDescent="0.25">
      <c r="B24" s="12">
        <v>45236</v>
      </c>
      <c r="C24" s="17">
        <v>0.54</v>
      </c>
      <c r="D24" s="56">
        <f t="shared" si="0"/>
        <v>-0.14285714285714279</v>
      </c>
      <c r="H24" s="81" t="s">
        <v>149</v>
      </c>
      <c r="I24" s="82">
        <f>_xlfn.VAR.S(D:D)</f>
        <v>1.3499490827428311E-2</v>
      </c>
      <c r="M24" s="80"/>
    </row>
    <row r="25" spans="2:13" x14ac:dyDescent="0.25">
      <c r="B25" s="12">
        <v>45229</v>
      </c>
      <c r="C25" s="17">
        <v>0.63</v>
      </c>
      <c r="D25" s="56">
        <f t="shared" si="0"/>
        <v>0.38461538461538458</v>
      </c>
      <c r="H25" s="81" t="s">
        <v>150</v>
      </c>
      <c r="I25" s="83">
        <f>KURT(D:D)</f>
        <v>4.8499814316805407</v>
      </c>
      <c r="M25" s="80"/>
    </row>
    <row r="26" spans="2:13" x14ac:dyDescent="0.25">
      <c r="B26" s="12">
        <v>45222</v>
      </c>
      <c r="C26" s="17">
        <v>0.45500000000000002</v>
      </c>
      <c r="D26" s="56">
        <f t="shared" si="0"/>
        <v>-0.16819012797074961</v>
      </c>
      <c r="H26" s="81" t="s">
        <v>151</v>
      </c>
      <c r="I26" s="83">
        <f>SKEW(D:D)</f>
        <v>1.5711322777013221</v>
      </c>
      <c r="M26" s="80"/>
    </row>
    <row r="27" spans="2:13" x14ac:dyDescent="0.25">
      <c r="B27" s="12">
        <v>45215</v>
      </c>
      <c r="C27" s="17">
        <v>0.54700000000000004</v>
      </c>
      <c r="D27" s="56">
        <f t="shared" si="0"/>
        <v>-0.15062111801242228</v>
      </c>
      <c r="H27" s="81" t="s">
        <v>139</v>
      </c>
      <c r="I27" s="82">
        <f>I29-I28</f>
        <v>0.7666666666666665</v>
      </c>
      <c r="M27" s="80"/>
    </row>
    <row r="28" spans="2:13" x14ac:dyDescent="0.25">
      <c r="B28" s="12">
        <v>45208</v>
      </c>
      <c r="C28" s="17">
        <v>0.64400000000000002</v>
      </c>
      <c r="D28" s="56">
        <f t="shared" si="0"/>
        <v>-6.6666666666666541E-2</v>
      </c>
      <c r="H28" s="81" t="s">
        <v>152</v>
      </c>
      <c r="I28" s="82">
        <f>MIN(D:D)</f>
        <v>-0.24074074074074081</v>
      </c>
      <c r="M28" s="80"/>
    </row>
    <row r="29" spans="2:13" x14ac:dyDescent="0.25">
      <c r="B29" s="12">
        <v>45201</v>
      </c>
      <c r="C29" s="17">
        <v>0.69</v>
      </c>
      <c r="D29" s="56">
        <f t="shared" si="0"/>
        <v>-0.22991071428571441</v>
      </c>
      <c r="H29" s="81" t="s">
        <v>153</v>
      </c>
      <c r="I29" s="82">
        <f>MAX(D:D)</f>
        <v>0.52592592592592569</v>
      </c>
      <c r="M29" s="80"/>
    </row>
    <row r="30" spans="2:13" x14ac:dyDescent="0.25">
      <c r="B30" s="12">
        <v>45194</v>
      </c>
      <c r="C30" s="17">
        <v>0.89600000000000002</v>
      </c>
      <c r="D30" s="56">
        <f t="shared" si="0"/>
        <v>-3.3441208198489725E-2</v>
      </c>
      <c r="H30" s="81" t="s">
        <v>154</v>
      </c>
      <c r="I30" s="83">
        <f>SUM(D:D)</f>
        <v>-2.091977882004485</v>
      </c>
      <c r="M30" s="80"/>
    </row>
    <row r="31" spans="2:13" ht="15.75" thickBot="1" x14ac:dyDescent="0.3">
      <c r="B31" s="12">
        <v>45187</v>
      </c>
      <c r="C31" s="17">
        <v>0.92700000000000005</v>
      </c>
      <c r="D31" s="56">
        <f t="shared" si="0"/>
        <v>-0.1086538461538461</v>
      </c>
      <c r="H31" s="84" t="s">
        <v>155</v>
      </c>
      <c r="I31" s="85">
        <f>COUNT(D:D)</f>
        <v>151</v>
      </c>
      <c r="M31" s="80"/>
    </row>
    <row r="32" spans="2:13" ht="15.75" thickBot="1" x14ac:dyDescent="0.3">
      <c r="B32" s="12">
        <v>45180</v>
      </c>
      <c r="C32" s="17">
        <v>1.04</v>
      </c>
      <c r="D32" s="56">
        <f t="shared" si="0"/>
        <v>-7.1428571428571508E-2</v>
      </c>
      <c r="H32" s="86"/>
      <c r="M32" s="80"/>
    </row>
    <row r="33" spans="2:13" x14ac:dyDescent="0.25">
      <c r="B33" s="12">
        <v>45173</v>
      </c>
      <c r="C33" s="17">
        <v>1.1200000000000001</v>
      </c>
      <c r="D33" s="56">
        <f t="shared" si="0"/>
        <v>-0.11111111111111105</v>
      </c>
      <c r="H33" s="87"/>
      <c r="I33" s="88" t="s">
        <v>156</v>
      </c>
      <c r="J33" s="88" t="s">
        <v>155</v>
      </c>
      <c r="K33" s="88" t="s">
        <v>157</v>
      </c>
      <c r="L33" s="89" t="s">
        <v>158</v>
      </c>
      <c r="M33" s="80"/>
    </row>
    <row r="34" spans="2:13" x14ac:dyDescent="0.25">
      <c r="B34" s="12">
        <v>45166</v>
      </c>
      <c r="C34" s="17">
        <v>1.26</v>
      </c>
      <c r="D34" s="56">
        <f t="shared" si="0"/>
        <v>8.0000000000000071E-3</v>
      </c>
      <c r="H34" s="90" t="s">
        <v>159</v>
      </c>
      <c r="I34" s="74">
        <f>AVERAGEIF(D:D,"&gt;0")</f>
        <v>0.10010576389818351</v>
      </c>
      <c r="J34" s="72">
        <f>COUNTIF(D:D,"&gt;0")</f>
        <v>53</v>
      </c>
      <c r="K34" s="74">
        <f>J34/$I$31</f>
        <v>0.35099337748344372</v>
      </c>
      <c r="L34" s="75">
        <f>K34*I34</f>
        <v>3.5136460176183618E-2</v>
      </c>
      <c r="M34" s="80"/>
    </row>
    <row r="35" spans="2:13" x14ac:dyDescent="0.25">
      <c r="B35" s="12">
        <v>45159</v>
      </c>
      <c r="C35" s="17">
        <v>1.25</v>
      </c>
      <c r="D35" s="56">
        <f t="shared" si="0"/>
        <v>-3.8461538461538547E-2</v>
      </c>
      <c r="H35" s="90" t="s">
        <v>160</v>
      </c>
      <c r="I35" s="74">
        <f>AVERAGEIF(D:D,"&lt;0")</f>
        <v>-7.8697695410725674E-2</v>
      </c>
      <c r="J35" s="72">
        <f>COUNTIF(D:D,"&lt;0")</f>
        <v>94</v>
      </c>
      <c r="K35" s="74">
        <f>J35/$I$31</f>
        <v>0.62251655629139069</v>
      </c>
      <c r="L35" s="75">
        <f t="shared" ref="L35:L36" si="6">K35*I35</f>
        <v>-4.8990618335153731E-2</v>
      </c>
      <c r="M35" s="80"/>
    </row>
    <row r="36" spans="2:13" ht="15.75" thickBot="1" x14ac:dyDescent="0.3">
      <c r="B36" s="12">
        <v>45152</v>
      </c>
      <c r="C36" s="17">
        <v>1.3</v>
      </c>
      <c r="D36" s="56">
        <f t="shared" si="0"/>
        <v>-0.10344827586206895</v>
      </c>
      <c r="H36" s="91" t="s">
        <v>161</v>
      </c>
      <c r="I36" s="77">
        <v>0</v>
      </c>
      <c r="J36" s="77">
        <f>COUNTIF(D:D,"0")</f>
        <v>4</v>
      </c>
      <c r="K36" s="92">
        <f>J36/$I$31</f>
        <v>2.6490066225165563E-2</v>
      </c>
      <c r="L36" s="78">
        <f t="shared" si="6"/>
        <v>0</v>
      </c>
      <c r="M36" s="80"/>
    </row>
    <row r="37" spans="2:13" ht="15.75" thickBot="1" x14ac:dyDescent="0.3">
      <c r="B37" s="12">
        <v>45145</v>
      </c>
      <c r="C37" s="17">
        <v>1.45</v>
      </c>
      <c r="D37" s="56">
        <f t="shared" si="0"/>
        <v>0</v>
      </c>
      <c r="H37" s="86"/>
      <c r="I37" s="93"/>
      <c r="J37" s="93"/>
      <c r="K37" s="93"/>
      <c r="L37" s="93"/>
      <c r="M37" s="80"/>
    </row>
    <row r="38" spans="2:13" x14ac:dyDescent="0.25">
      <c r="B38" s="12">
        <v>45138</v>
      </c>
      <c r="C38" s="17">
        <v>1.45</v>
      </c>
      <c r="D38" s="56">
        <f t="shared" si="0"/>
        <v>-0.11585365853658536</v>
      </c>
      <c r="H38" s="65" t="s">
        <v>162</v>
      </c>
      <c r="I38" s="88" t="s">
        <v>163</v>
      </c>
      <c r="J38" s="88" t="s">
        <v>164</v>
      </c>
      <c r="K38" s="88" t="s">
        <v>165</v>
      </c>
      <c r="L38" s="88" t="s">
        <v>166</v>
      </c>
      <c r="M38" s="89" t="s">
        <v>167</v>
      </c>
    </row>
    <row r="39" spans="2:13" x14ac:dyDescent="0.25">
      <c r="B39" s="12">
        <v>45131</v>
      </c>
      <c r="C39" s="17">
        <v>1.64</v>
      </c>
      <c r="D39" s="56">
        <f t="shared" si="0"/>
        <v>-0.24074074074074081</v>
      </c>
      <c r="H39" s="94">
        <v>1</v>
      </c>
      <c r="I39" s="74">
        <f>$I$19+($H39*$I$23)</f>
        <v>0.10233315107671326</v>
      </c>
      <c r="J39" s="74">
        <f>$I$19-($H39*$I$23)</f>
        <v>-0.13004146739465344</v>
      </c>
      <c r="K39" s="72">
        <f>COUNTIFS(D:D,"&lt;"&amp;I39,D:D,"&gt;"&amp;J39)</f>
        <v>118</v>
      </c>
      <c r="L39" s="74">
        <f>K39/$I$31</f>
        <v>0.7814569536423841</v>
      </c>
      <c r="M39" s="75">
        <v>0.68269999999999997</v>
      </c>
    </row>
    <row r="40" spans="2:13" x14ac:dyDescent="0.25">
      <c r="B40" s="12">
        <v>45124</v>
      </c>
      <c r="C40" s="17">
        <v>2.16</v>
      </c>
      <c r="D40" s="56">
        <f t="shared" si="0"/>
        <v>3.3492822966507241E-2</v>
      </c>
      <c r="H40" s="94">
        <v>2</v>
      </c>
      <c r="I40" s="74">
        <f>$I$19+($H40*$I$23)</f>
        <v>0.21852046031239661</v>
      </c>
      <c r="J40" s="74">
        <f>$I$19-($H40*$I$23)</f>
        <v>-0.24622877663033679</v>
      </c>
      <c r="K40" s="72">
        <f>COUNTIFS(D:D,"&lt;"&amp;I40,D:D,"&gt;"&amp;J40)</f>
        <v>146</v>
      </c>
      <c r="L40" s="74">
        <f>K40/$I$31</f>
        <v>0.9668874172185431</v>
      </c>
      <c r="M40" s="75">
        <v>0.95450000000000002</v>
      </c>
    </row>
    <row r="41" spans="2:13" x14ac:dyDescent="0.25">
      <c r="B41" s="12">
        <v>45117</v>
      </c>
      <c r="C41" s="17">
        <v>2.09</v>
      </c>
      <c r="D41" s="56">
        <f t="shared" si="0"/>
        <v>5.555555555555558E-2</v>
      </c>
      <c r="H41" s="94">
        <v>3</v>
      </c>
      <c r="I41" s="74">
        <f>$I$19+($H41*$I$23)</f>
        <v>0.33470776954807996</v>
      </c>
      <c r="J41" s="74">
        <f>$I$19-($H41*$I$23)</f>
        <v>-0.3624160858660202</v>
      </c>
      <c r="K41" s="72">
        <f>COUNTIFS(D:D,"&lt;"&amp;I41,D:D,"&gt;"&amp;J41)</f>
        <v>147</v>
      </c>
      <c r="L41" s="74">
        <f>K41/$I$31</f>
        <v>0.97350993377483441</v>
      </c>
      <c r="M41" s="95">
        <v>0.99729999999999996</v>
      </c>
    </row>
    <row r="42" spans="2:13" ht="15.75" thickBot="1" x14ac:dyDescent="0.3">
      <c r="B42" s="12">
        <v>45110</v>
      </c>
      <c r="C42" s="17">
        <v>1.98</v>
      </c>
      <c r="D42" s="56">
        <f t="shared" si="0"/>
        <v>-3.4146341463414553E-2</v>
      </c>
      <c r="H42" s="70"/>
      <c r="M42" s="95"/>
    </row>
    <row r="43" spans="2:13" ht="15.75" thickBot="1" x14ac:dyDescent="0.3">
      <c r="B43" s="12">
        <v>45103</v>
      </c>
      <c r="C43" s="17">
        <v>2.0499999999999998</v>
      </c>
      <c r="D43" s="56">
        <f t="shared" si="0"/>
        <v>0.13259668508287281</v>
      </c>
      <c r="H43" s="126" t="s">
        <v>168</v>
      </c>
      <c r="I43" s="127"/>
      <c r="J43" s="127"/>
      <c r="K43" s="127"/>
      <c r="L43" s="127"/>
      <c r="M43" s="128"/>
    </row>
    <row r="44" spans="2:13" x14ac:dyDescent="0.25">
      <c r="B44" s="12">
        <v>45096</v>
      </c>
      <c r="C44" s="17">
        <v>1.81</v>
      </c>
      <c r="D44" s="56">
        <f t="shared" si="0"/>
        <v>-3.208556149732622E-2</v>
      </c>
      <c r="H44" s="96">
        <v>0.01</v>
      </c>
      <c r="I44" s="97">
        <f t="shared" ref="I44:I58" si="7">_xlfn.PERCENTILE.INC(D:D,H44)</f>
        <v>-0.2176169541010321</v>
      </c>
      <c r="J44" s="98">
        <v>0.2</v>
      </c>
      <c r="K44" s="97">
        <f t="shared" ref="K44:K56" si="8">_xlfn.PERCENTILE.INC(D:D,J44)</f>
        <v>-9.5091969024047152E-2</v>
      </c>
      <c r="L44" s="98">
        <v>0.85</v>
      </c>
      <c r="M44" s="99">
        <f t="shared" ref="M44:M58" si="9">_xlfn.PERCENTILE.INC(D:D,L44)</f>
        <v>7.8438911852350302E-2</v>
      </c>
    </row>
    <row r="45" spans="2:13" x14ac:dyDescent="0.25">
      <c r="B45" s="12">
        <v>45089</v>
      </c>
      <c r="C45" s="17">
        <v>1.87</v>
      </c>
      <c r="D45" s="56">
        <f t="shared" si="0"/>
        <v>-6.9651741293532132E-2</v>
      </c>
      <c r="H45" s="100">
        <v>0.02</v>
      </c>
      <c r="I45" s="101">
        <f t="shared" si="7"/>
        <v>-0.20408163265306134</v>
      </c>
      <c r="J45" s="102">
        <v>0.25</v>
      </c>
      <c r="K45" s="101">
        <f t="shared" si="8"/>
        <v>-7.9862134204953139E-2</v>
      </c>
      <c r="L45" s="102">
        <v>0.86</v>
      </c>
      <c r="M45" s="103">
        <f t="shared" si="9"/>
        <v>8.4070796460177233E-2</v>
      </c>
    </row>
    <row r="46" spans="2:13" x14ac:dyDescent="0.25">
      <c r="B46" s="12">
        <v>45082</v>
      </c>
      <c r="C46" s="17">
        <v>2.0099999999999998</v>
      </c>
      <c r="D46" s="56">
        <f t="shared" si="0"/>
        <v>0.16860465116279055</v>
      </c>
      <c r="H46" s="100">
        <v>0.03</v>
      </c>
      <c r="I46" s="101">
        <f t="shared" si="7"/>
        <v>-0.1860219068956932</v>
      </c>
      <c r="J46" s="102">
        <v>0.3</v>
      </c>
      <c r="K46" s="101">
        <f t="shared" si="8"/>
        <v>-6.7796610169491456E-2</v>
      </c>
      <c r="L46" s="102">
        <v>0.87</v>
      </c>
      <c r="M46" s="103">
        <f t="shared" si="9"/>
        <v>8.9774032937571802E-2</v>
      </c>
    </row>
    <row r="47" spans="2:13" x14ac:dyDescent="0.25">
      <c r="B47" s="12">
        <v>45075</v>
      </c>
      <c r="C47" s="17">
        <v>1.72</v>
      </c>
      <c r="D47" s="56">
        <f t="shared" si="0"/>
        <v>-2.2727272727272707E-2</v>
      </c>
      <c r="H47" s="100">
        <v>0.04</v>
      </c>
      <c r="I47" s="101">
        <f t="shared" si="7"/>
        <v>-0.173170731707317</v>
      </c>
      <c r="J47" s="102">
        <v>0.35</v>
      </c>
      <c r="K47" s="101">
        <f t="shared" si="8"/>
        <v>-6.1047027506654861E-2</v>
      </c>
      <c r="L47" s="102">
        <v>0.88</v>
      </c>
      <c r="M47" s="103">
        <f t="shared" si="9"/>
        <v>9.9099099099098975E-2</v>
      </c>
    </row>
    <row r="48" spans="2:13" x14ac:dyDescent="0.25">
      <c r="B48" s="12">
        <v>45068</v>
      </c>
      <c r="C48" s="17">
        <v>1.76</v>
      </c>
      <c r="D48" s="56">
        <f t="shared" si="0"/>
        <v>-1.1235955056179803E-2</v>
      </c>
      <c r="H48" s="100">
        <v>0.05</v>
      </c>
      <c r="I48" s="101">
        <f t="shared" si="7"/>
        <v>-0.17044459862860128</v>
      </c>
      <c r="J48" s="102">
        <v>0.4</v>
      </c>
      <c r="K48" s="101">
        <f t="shared" si="8"/>
        <v>-4.5454545454545525E-2</v>
      </c>
      <c r="L48" s="102">
        <v>0.89</v>
      </c>
      <c r="M48" s="103">
        <f t="shared" si="9"/>
        <v>0.11814088035309556</v>
      </c>
    </row>
    <row r="49" spans="2:13" x14ac:dyDescent="0.25">
      <c r="B49" s="12">
        <v>45061</v>
      </c>
      <c r="C49" s="17">
        <v>1.78</v>
      </c>
      <c r="D49" s="56">
        <f t="shared" si="0"/>
        <v>-0.15238095238095239</v>
      </c>
      <c r="H49" s="100">
        <v>0.06</v>
      </c>
      <c r="I49" s="101">
        <f t="shared" si="7"/>
        <v>-0.16173908695652184</v>
      </c>
      <c r="J49" s="102">
        <v>0.45</v>
      </c>
      <c r="K49" s="101">
        <f t="shared" si="8"/>
        <v>-3.8136241867585241E-2</v>
      </c>
      <c r="L49" s="102">
        <v>0.9</v>
      </c>
      <c r="M49" s="103">
        <f t="shared" si="9"/>
        <v>0.12206572769953072</v>
      </c>
    </row>
    <row r="50" spans="2:13" x14ac:dyDescent="0.25">
      <c r="B50" s="12">
        <v>45054</v>
      </c>
      <c r="C50" s="17">
        <v>2.1</v>
      </c>
      <c r="D50" s="56">
        <f t="shared" si="0"/>
        <v>0</v>
      </c>
      <c r="H50" s="100">
        <v>7.0000000000000007E-2</v>
      </c>
      <c r="I50" s="101">
        <f t="shared" si="7"/>
        <v>-0.15359633393106198</v>
      </c>
      <c r="J50" s="102">
        <v>0.5</v>
      </c>
      <c r="K50" s="101">
        <f t="shared" si="8"/>
        <v>-3.3441208198489725E-2</v>
      </c>
      <c r="L50" s="102">
        <v>0.91</v>
      </c>
      <c r="M50" s="103">
        <f t="shared" si="9"/>
        <v>0.12619086921662026</v>
      </c>
    </row>
    <row r="51" spans="2:13" x14ac:dyDescent="0.25">
      <c r="B51" s="12">
        <v>45047</v>
      </c>
      <c r="C51" s="17">
        <v>2.1</v>
      </c>
      <c r="D51" s="56">
        <f t="shared" si="0"/>
        <v>-9.8712446351931327E-2</v>
      </c>
      <c r="H51" s="100">
        <v>0.08</v>
      </c>
      <c r="I51" s="101">
        <f t="shared" si="7"/>
        <v>-0.15062111801242228</v>
      </c>
      <c r="J51" s="102">
        <v>0.55000000000000004</v>
      </c>
      <c r="K51" s="101">
        <f t="shared" si="8"/>
        <v>-1.9967402145620039E-2</v>
      </c>
      <c r="L51" s="102">
        <v>0.92</v>
      </c>
      <c r="M51" s="103">
        <f t="shared" si="9"/>
        <v>0.13259668508287281</v>
      </c>
    </row>
    <row r="52" spans="2:13" x14ac:dyDescent="0.25">
      <c r="B52" s="12">
        <v>45040</v>
      </c>
      <c r="C52" s="17">
        <v>2.33</v>
      </c>
      <c r="D52" s="56">
        <f t="shared" si="0"/>
        <v>3.5555555555555562E-2</v>
      </c>
      <c r="H52" s="100">
        <v>0.09</v>
      </c>
      <c r="I52" s="101">
        <f t="shared" si="7"/>
        <v>-0.14630166787527188</v>
      </c>
      <c r="J52" s="102">
        <v>0.6</v>
      </c>
      <c r="K52" s="101">
        <f t="shared" si="8"/>
        <v>-7.8740157480314821E-3</v>
      </c>
      <c r="L52" s="102">
        <v>0.93</v>
      </c>
      <c r="M52" s="103">
        <f t="shared" si="9"/>
        <v>0.14418654980252121</v>
      </c>
    </row>
    <row r="53" spans="2:13" x14ac:dyDescent="0.25">
      <c r="B53" s="12">
        <v>45033</v>
      </c>
      <c r="C53" s="17">
        <v>2.25</v>
      </c>
      <c r="D53" s="56">
        <f t="shared" si="0"/>
        <v>-1.3157894736842035E-2</v>
      </c>
      <c r="H53" s="100">
        <v>0.1</v>
      </c>
      <c r="I53" s="101">
        <f t="shared" si="7"/>
        <v>-0.12401574803149606</v>
      </c>
      <c r="J53" s="102">
        <v>0.65</v>
      </c>
      <c r="K53" s="101">
        <f t="shared" si="8"/>
        <v>9.2191149354636792E-4</v>
      </c>
      <c r="L53" s="102">
        <v>0.94</v>
      </c>
      <c r="M53" s="103">
        <f t="shared" si="9"/>
        <v>0.14629258517034049</v>
      </c>
    </row>
    <row r="54" spans="2:13" x14ac:dyDescent="0.25">
      <c r="B54" s="12">
        <v>45026</v>
      </c>
      <c r="C54" s="17">
        <v>2.2799999999999998</v>
      </c>
      <c r="D54" s="56">
        <f t="shared" si="0"/>
        <v>0</v>
      </c>
      <c r="H54" s="100">
        <v>0.11</v>
      </c>
      <c r="I54" s="101">
        <f t="shared" si="7"/>
        <v>-0.12285308943825657</v>
      </c>
      <c r="J54" s="102">
        <v>0.7</v>
      </c>
      <c r="K54" s="101">
        <f t="shared" si="8"/>
        <v>1.2552301255229992E-2</v>
      </c>
      <c r="L54" s="102">
        <v>0.95</v>
      </c>
      <c r="M54" s="103">
        <f t="shared" si="9"/>
        <v>0.16971496153788912</v>
      </c>
    </row>
    <row r="55" spans="2:13" x14ac:dyDescent="0.25">
      <c r="B55" s="12">
        <v>45019</v>
      </c>
      <c r="C55" s="17">
        <v>2.2799999999999998</v>
      </c>
      <c r="D55" s="56">
        <f t="shared" si="0"/>
        <v>-5.7851239669421517E-2</v>
      </c>
      <c r="H55" s="100">
        <v>0.12</v>
      </c>
      <c r="I55" s="101">
        <f t="shared" si="7"/>
        <v>-0.11875843454790824</v>
      </c>
      <c r="J55" s="102">
        <v>0.75</v>
      </c>
      <c r="K55" s="101">
        <f t="shared" si="8"/>
        <v>3.4039644565960314E-2</v>
      </c>
      <c r="L55" s="102">
        <v>0.96</v>
      </c>
      <c r="M55" s="103">
        <f t="shared" si="9"/>
        <v>0.20098039215686292</v>
      </c>
    </row>
    <row r="56" spans="2:13" x14ac:dyDescent="0.25">
      <c r="B56" s="12">
        <v>45012</v>
      </c>
      <c r="C56" s="17">
        <v>2.42</v>
      </c>
      <c r="D56" s="56">
        <f t="shared" si="0"/>
        <v>1.2552301255229992E-2</v>
      </c>
      <c r="H56" s="100">
        <v>0.13</v>
      </c>
      <c r="I56" s="101">
        <f t="shared" si="7"/>
        <v>-0.11757928978042825</v>
      </c>
      <c r="J56" s="102">
        <v>0.8</v>
      </c>
      <c r="K56" s="101">
        <f t="shared" si="8"/>
        <v>5.555555555555558E-2</v>
      </c>
      <c r="L56" s="102">
        <v>0.97</v>
      </c>
      <c r="M56" s="103">
        <f t="shared" si="9"/>
        <v>0.21548763837747442</v>
      </c>
    </row>
    <row r="57" spans="2:13" x14ac:dyDescent="0.25">
      <c r="B57" s="12">
        <v>45005</v>
      </c>
      <c r="C57" s="17">
        <v>2.39</v>
      </c>
      <c r="D57" s="56">
        <f t="shared" si="0"/>
        <v>3.463203463203457E-2</v>
      </c>
      <c r="H57" s="100">
        <v>0.14000000000000001</v>
      </c>
      <c r="I57" s="101">
        <f t="shared" si="7"/>
        <v>-0.11585365853658534</v>
      </c>
      <c r="J57" s="102"/>
      <c r="K57" s="101"/>
      <c r="L57" s="102">
        <v>0.98</v>
      </c>
      <c r="M57" s="103">
        <f t="shared" si="9"/>
        <v>0.34816753926701582</v>
      </c>
    </row>
    <row r="58" spans="2:13" ht="15.75" thickBot="1" x14ac:dyDescent="0.3">
      <c r="B58" s="12">
        <v>44998</v>
      </c>
      <c r="C58" s="17">
        <v>2.31</v>
      </c>
      <c r="D58" s="56">
        <f t="shared" si="0"/>
        <v>0.14356435643564347</v>
      </c>
      <c r="H58" s="104">
        <v>0.15</v>
      </c>
      <c r="I58" s="105">
        <f t="shared" si="7"/>
        <v>-0.10988247863247858</v>
      </c>
      <c r="J58" s="106"/>
      <c r="K58" s="107"/>
      <c r="L58" s="108">
        <v>0.99</v>
      </c>
      <c r="M58" s="109">
        <f t="shared" si="9"/>
        <v>0.42219274977895671</v>
      </c>
    </row>
    <row r="59" spans="2:13" ht="15.75" thickBot="1" x14ac:dyDescent="0.3">
      <c r="B59" s="12">
        <v>44991</v>
      </c>
      <c r="C59" s="17">
        <v>2.02</v>
      </c>
      <c r="D59" s="56">
        <f t="shared" si="0"/>
        <v>-0.15481171548117156</v>
      </c>
    </row>
    <row r="60" spans="2:13" x14ac:dyDescent="0.25">
      <c r="B60" s="12">
        <v>44984</v>
      </c>
      <c r="C60" s="17">
        <v>2.39</v>
      </c>
      <c r="D60" s="56">
        <f t="shared" si="0"/>
        <v>0.12206572769953072</v>
      </c>
      <c r="H60" s="110" t="s">
        <v>169</v>
      </c>
      <c r="I60" s="111">
        <v>0.24</v>
      </c>
    </row>
    <row r="61" spans="2:13" ht="15.75" thickBot="1" x14ac:dyDescent="0.3">
      <c r="B61" s="12">
        <v>44977</v>
      </c>
      <c r="C61" s="17">
        <v>2.13</v>
      </c>
      <c r="D61" s="56">
        <f t="shared" si="0"/>
        <v>-3.6199095022624417E-2</v>
      </c>
      <c r="H61" s="112" t="s">
        <v>170</v>
      </c>
      <c r="I61" s="113">
        <v>1</v>
      </c>
    </row>
    <row r="62" spans="2:13" ht="15.75" thickBot="1" x14ac:dyDescent="0.3">
      <c r="B62" s="12">
        <v>44970</v>
      </c>
      <c r="C62" s="17">
        <v>2.21</v>
      </c>
      <c r="D62" s="56">
        <f t="shared" si="0"/>
        <v>5.741626794258381E-2</v>
      </c>
      <c r="H62" s="114"/>
    </row>
    <row r="63" spans="2:13" x14ac:dyDescent="0.25">
      <c r="B63" s="12">
        <v>44963</v>
      </c>
      <c r="C63" s="17">
        <v>2.09</v>
      </c>
      <c r="D63" s="56">
        <f t="shared" si="0"/>
        <v>-0.20532319391634979</v>
      </c>
      <c r="H63" s="110" t="s">
        <v>171</v>
      </c>
      <c r="I63" s="115">
        <v>1.03</v>
      </c>
    </row>
    <row r="64" spans="2:13" x14ac:dyDescent="0.25">
      <c r="B64" s="12">
        <v>44956</v>
      </c>
      <c r="C64" s="17">
        <v>2.63</v>
      </c>
      <c r="D64" s="56">
        <f t="shared" si="0"/>
        <v>0.12875536480686689</v>
      </c>
      <c r="H64" s="116" t="s">
        <v>172</v>
      </c>
      <c r="I64" s="117">
        <f>I63*(1-I60)</f>
        <v>0.78280000000000005</v>
      </c>
    </row>
    <row r="65" spans="2:9" ht="15.75" thickBot="1" x14ac:dyDescent="0.3">
      <c r="B65" s="12">
        <v>44949</v>
      </c>
      <c r="C65" s="17">
        <v>2.33</v>
      </c>
      <c r="D65" s="56">
        <f t="shared" si="0"/>
        <v>-8.2677165354330673E-2</v>
      </c>
      <c r="H65" s="112" t="s">
        <v>173</v>
      </c>
      <c r="I65" s="118">
        <f>I63*(1+I61)</f>
        <v>2.06</v>
      </c>
    </row>
    <row r="66" spans="2:9" x14ac:dyDescent="0.25">
      <c r="B66" s="12">
        <v>44942</v>
      </c>
      <c r="C66" s="17">
        <v>2.54</v>
      </c>
      <c r="D66" s="56">
        <f t="shared" si="0"/>
        <v>7.9365079365079083E-3</v>
      </c>
    </row>
    <row r="67" spans="2:9" x14ac:dyDescent="0.25">
      <c r="B67" s="12">
        <v>44935</v>
      </c>
      <c r="C67" s="17">
        <v>2.52</v>
      </c>
      <c r="D67" s="56">
        <f t="shared" ref="D67:D130" si="10">C67/C68-1</f>
        <v>-7.8740157480314821E-3</v>
      </c>
    </row>
    <row r="68" spans="2:9" x14ac:dyDescent="0.25">
      <c r="B68" s="12">
        <v>44928</v>
      </c>
      <c r="C68" s="17">
        <v>2.54</v>
      </c>
      <c r="D68" s="56">
        <f t="shared" si="10"/>
        <v>0.45977011494252884</v>
      </c>
    </row>
    <row r="69" spans="2:9" x14ac:dyDescent="0.25">
      <c r="B69" s="12">
        <v>44921</v>
      </c>
      <c r="C69" s="17">
        <v>1.74</v>
      </c>
      <c r="D69" s="56">
        <f t="shared" si="10"/>
        <v>0.22535211267605648</v>
      </c>
    </row>
    <row r="70" spans="2:9" x14ac:dyDescent="0.25">
      <c r="B70" s="12">
        <v>44914</v>
      </c>
      <c r="C70" s="17">
        <v>1.42</v>
      </c>
      <c r="D70" s="56">
        <f t="shared" si="10"/>
        <v>4.4117647058823373E-2</v>
      </c>
    </row>
    <row r="71" spans="2:9" x14ac:dyDescent="0.25">
      <c r="B71" s="12">
        <v>44907</v>
      </c>
      <c r="C71" s="17">
        <v>1.36</v>
      </c>
      <c r="D71" s="56">
        <f t="shared" si="10"/>
        <v>-4.2253521126760396E-2</v>
      </c>
    </row>
    <row r="72" spans="2:9" x14ac:dyDescent="0.25">
      <c r="B72" s="12">
        <v>44900</v>
      </c>
      <c r="C72" s="17">
        <v>1.42</v>
      </c>
      <c r="D72" s="56">
        <f t="shared" si="10"/>
        <v>-0.12345679012345689</v>
      </c>
    </row>
    <row r="73" spans="2:9" x14ac:dyDescent="0.25">
      <c r="B73" s="12">
        <v>44893</v>
      </c>
      <c r="C73" s="17">
        <v>1.62</v>
      </c>
      <c r="D73" s="56">
        <f t="shared" si="10"/>
        <v>1.2499999999999956E-2</v>
      </c>
    </row>
    <row r="74" spans="2:9" x14ac:dyDescent="0.25">
      <c r="B74" s="12">
        <v>44886</v>
      </c>
      <c r="C74" s="17">
        <v>1.6</v>
      </c>
      <c r="D74" s="56">
        <f t="shared" si="10"/>
        <v>-0.1794871794871794</v>
      </c>
    </row>
    <row r="75" spans="2:9" x14ac:dyDescent="0.25">
      <c r="B75" s="12">
        <v>44879</v>
      </c>
      <c r="C75" s="17">
        <v>1.95</v>
      </c>
      <c r="D75" s="56">
        <f t="shared" si="10"/>
        <v>-0.20408163265306134</v>
      </c>
    </row>
    <row r="76" spans="2:9" x14ac:dyDescent="0.25">
      <c r="B76" s="12">
        <v>44872</v>
      </c>
      <c r="C76" s="17">
        <v>2.4500000000000002</v>
      </c>
      <c r="D76" s="56">
        <f t="shared" si="10"/>
        <v>0.20098039215686292</v>
      </c>
    </row>
    <row r="77" spans="2:9" x14ac:dyDescent="0.25">
      <c r="B77" s="12">
        <v>44865</v>
      </c>
      <c r="C77" s="17">
        <v>2.04</v>
      </c>
      <c r="D77" s="56">
        <f t="shared" si="10"/>
        <v>-5.9907834101382451E-2</v>
      </c>
    </row>
    <row r="78" spans="2:9" x14ac:dyDescent="0.25">
      <c r="B78" s="12">
        <v>44858</v>
      </c>
      <c r="C78" s="17">
        <v>2.17</v>
      </c>
      <c r="D78" s="56">
        <f t="shared" si="10"/>
        <v>5.8536585365853711E-2</v>
      </c>
    </row>
    <row r="79" spans="2:9" x14ac:dyDescent="0.25">
      <c r="B79" s="12">
        <v>44851</v>
      </c>
      <c r="C79" s="17">
        <v>2.0499999999999998</v>
      </c>
      <c r="D79" s="56">
        <f t="shared" si="10"/>
        <v>-8.8888888888889017E-2</v>
      </c>
    </row>
    <row r="80" spans="2:9" x14ac:dyDescent="0.25">
      <c r="B80" s="12">
        <v>44844</v>
      </c>
      <c r="C80" s="17">
        <v>2.25</v>
      </c>
      <c r="D80" s="56">
        <f t="shared" si="10"/>
        <v>-0.11764705882352933</v>
      </c>
    </row>
    <row r="81" spans="2:4" x14ac:dyDescent="0.25">
      <c r="B81" s="12">
        <v>44837</v>
      </c>
      <c r="C81" s="17">
        <v>2.5499999999999998</v>
      </c>
      <c r="D81" s="56">
        <f t="shared" si="10"/>
        <v>-3.041825095057038E-2</v>
      </c>
    </row>
    <row r="82" spans="2:4" x14ac:dyDescent="0.25">
      <c r="B82" s="12">
        <v>44830</v>
      </c>
      <c r="C82" s="17">
        <v>2.63</v>
      </c>
      <c r="D82" s="56">
        <f t="shared" si="10"/>
        <v>-2.2304832713754719E-2</v>
      </c>
    </row>
    <row r="83" spans="2:4" x14ac:dyDescent="0.25">
      <c r="B83" s="12">
        <v>44823</v>
      </c>
      <c r="C83" s="17">
        <v>2.69</v>
      </c>
      <c r="D83" s="56">
        <f t="shared" si="10"/>
        <v>-0.10033444816053516</v>
      </c>
    </row>
    <row r="84" spans="2:4" x14ac:dyDescent="0.25">
      <c r="B84" s="12">
        <v>44816</v>
      </c>
      <c r="C84" s="17">
        <v>2.99</v>
      </c>
      <c r="D84" s="56">
        <f t="shared" si="10"/>
        <v>-8.5626911314984677E-2</v>
      </c>
    </row>
    <row r="85" spans="2:4" x14ac:dyDescent="0.25">
      <c r="B85" s="12">
        <v>44809</v>
      </c>
      <c r="C85" s="17">
        <v>3.27</v>
      </c>
      <c r="D85" s="56">
        <f t="shared" si="10"/>
        <v>7.9207920792079278E-2</v>
      </c>
    </row>
    <row r="86" spans="2:4" x14ac:dyDescent="0.25">
      <c r="B86" s="12">
        <v>44802</v>
      </c>
      <c r="C86" s="17">
        <v>3.03</v>
      </c>
      <c r="D86" s="56">
        <f t="shared" si="10"/>
        <v>-6.7692307692307718E-2</v>
      </c>
    </row>
    <row r="87" spans="2:4" x14ac:dyDescent="0.25">
      <c r="B87" s="12">
        <v>44795</v>
      </c>
      <c r="C87" s="17">
        <v>3.25</v>
      </c>
      <c r="D87" s="56">
        <f t="shared" si="10"/>
        <v>-4.1297935103244865E-2</v>
      </c>
    </row>
    <row r="88" spans="2:4" x14ac:dyDescent="0.25">
      <c r="B88" s="12">
        <v>44788</v>
      </c>
      <c r="C88" s="17">
        <v>3.39</v>
      </c>
      <c r="D88" s="56">
        <f t="shared" si="10"/>
        <v>-0.173170731707317</v>
      </c>
    </row>
    <row r="89" spans="2:4" x14ac:dyDescent="0.25">
      <c r="B89" s="12">
        <v>44781</v>
      </c>
      <c r="C89" s="17">
        <v>4.0999999999999996</v>
      </c>
      <c r="D89" s="56">
        <f t="shared" si="10"/>
        <v>3.2745591939546514E-2</v>
      </c>
    </row>
    <row r="90" spans="2:4" x14ac:dyDescent="0.25">
      <c r="B90" s="12">
        <v>44774</v>
      </c>
      <c r="C90" s="17">
        <v>3.97</v>
      </c>
      <c r="D90" s="56">
        <f t="shared" si="10"/>
        <v>6.7204301075268758E-2</v>
      </c>
    </row>
    <row r="91" spans="2:4" x14ac:dyDescent="0.25">
      <c r="B91" s="12">
        <v>44767</v>
      </c>
      <c r="C91" s="17">
        <v>3.72</v>
      </c>
      <c r="D91" s="56">
        <f t="shared" si="10"/>
        <v>-1.5873015873015817E-2</v>
      </c>
    </row>
    <row r="92" spans="2:4" x14ac:dyDescent="0.25">
      <c r="B92" s="12">
        <v>44760</v>
      </c>
      <c r="C92" s="17">
        <v>3.78</v>
      </c>
      <c r="D92" s="56">
        <f t="shared" si="10"/>
        <v>5.2924791086351064E-2</v>
      </c>
    </row>
    <row r="93" spans="2:4" x14ac:dyDescent="0.25">
      <c r="B93" s="12">
        <v>44753</v>
      </c>
      <c r="C93" s="17">
        <v>3.59</v>
      </c>
      <c r="D93" s="56">
        <f t="shared" si="10"/>
        <v>-0.12224938875305624</v>
      </c>
    </row>
    <row r="94" spans="2:4" x14ac:dyDescent="0.25">
      <c r="B94" s="12">
        <v>44746</v>
      </c>
      <c r="C94" s="17">
        <v>4.09</v>
      </c>
      <c r="D94" s="56">
        <f t="shared" si="10"/>
        <v>0.12362637362637363</v>
      </c>
    </row>
    <row r="95" spans="2:4" x14ac:dyDescent="0.25">
      <c r="B95" s="12">
        <v>44739</v>
      </c>
      <c r="C95" s="17">
        <v>3.64</v>
      </c>
      <c r="D95" s="56">
        <f t="shared" si="10"/>
        <v>-0.10784313725490191</v>
      </c>
    </row>
    <row r="96" spans="2:4" x14ac:dyDescent="0.25">
      <c r="B96" s="12">
        <v>44732</v>
      </c>
      <c r="C96" s="17">
        <v>4.08</v>
      </c>
      <c r="D96" s="56">
        <f t="shared" si="10"/>
        <v>9.3833780160857971E-2</v>
      </c>
    </row>
    <row r="97" spans="2:4" x14ac:dyDescent="0.25">
      <c r="B97" s="12">
        <v>44725</v>
      </c>
      <c r="C97" s="17">
        <v>3.73</v>
      </c>
      <c r="D97" s="56">
        <f t="shared" si="10"/>
        <v>-4.1131105398457657E-2</v>
      </c>
    </row>
    <row r="98" spans="2:4" x14ac:dyDescent="0.25">
      <c r="B98" s="12">
        <v>44718</v>
      </c>
      <c r="C98" s="17">
        <v>3.89</v>
      </c>
      <c r="D98" s="56">
        <f t="shared" si="10"/>
        <v>-3.9506172839506082E-2</v>
      </c>
    </row>
    <row r="99" spans="2:4" x14ac:dyDescent="0.25">
      <c r="B99" s="12">
        <v>44711</v>
      </c>
      <c r="C99" s="17">
        <v>4.05</v>
      </c>
      <c r="D99" s="56">
        <f t="shared" si="10"/>
        <v>-3.341288782816243E-2</v>
      </c>
    </row>
    <row r="100" spans="2:4" x14ac:dyDescent="0.25">
      <c r="B100" s="12">
        <v>44704</v>
      </c>
      <c r="C100" s="17">
        <v>4.1900000000000004</v>
      </c>
      <c r="D100" s="56">
        <f t="shared" si="10"/>
        <v>0.14480874316939896</v>
      </c>
    </row>
    <row r="101" spans="2:4" x14ac:dyDescent="0.25">
      <c r="B101" s="12">
        <v>44697</v>
      </c>
      <c r="C101" s="17">
        <v>3.66</v>
      </c>
      <c r="D101" s="56">
        <f t="shared" si="10"/>
        <v>-1.3477088948786964E-2</v>
      </c>
    </row>
    <row r="102" spans="2:4" x14ac:dyDescent="0.25">
      <c r="B102" s="12">
        <v>44690</v>
      </c>
      <c r="C102" s="17">
        <v>3.71</v>
      </c>
      <c r="D102" s="56">
        <f t="shared" si="10"/>
        <v>0.11746987951807242</v>
      </c>
    </row>
    <row r="103" spans="2:4" x14ac:dyDescent="0.25">
      <c r="B103" s="12">
        <v>44683</v>
      </c>
      <c r="C103" s="17">
        <v>3.32</v>
      </c>
      <c r="D103" s="56">
        <f t="shared" si="10"/>
        <v>-6.7415730337078705E-2</v>
      </c>
    </row>
    <row r="104" spans="2:4" x14ac:dyDescent="0.25">
      <c r="B104" s="12">
        <v>44676</v>
      </c>
      <c r="C104" s="17">
        <v>3.56</v>
      </c>
      <c r="D104" s="56">
        <f t="shared" si="10"/>
        <v>-7.0496083550913857E-2</v>
      </c>
    </row>
    <row r="105" spans="2:4" x14ac:dyDescent="0.25">
      <c r="B105" s="12">
        <v>44669</v>
      </c>
      <c r="C105" s="17">
        <v>3.83</v>
      </c>
      <c r="D105" s="56">
        <f t="shared" si="10"/>
        <v>-0.11751152073732718</v>
      </c>
    </row>
    <row r="106" spans="2:4" x14ac:dyDescent="0.25">
      <c r="B106" s="12">
        <v>44662</v>
      </c>
      <c r="C106" s="17">
        <v>4.34</v>
      </c>
      <c r="D106" s="56">
        <f t="shared" si="10"/>
        <v>-2.4719101123595544E-2</v>
      </c>
    </row>
    <row r="107" spans="2:4" x14ac:dyDescent="0.25">
      <c r="B107" s="12">
        <v>44655</v>
      </c>
      <c r="C107" s="17">
        <v>4.45</v>
      </c>
      <c r="D107" s="56">
        <f t="shared" si="10"/>
        <v>-0.12401574803149606</v>
      </c>
    </row>
    <row r="108" spans="2:4" x14ac:dyDescent="0.25">
      <c r="B108" s="12">
        <v>44648</v>
      </c>
      <c r="C108" s="17">
        <v>5.08</v>
      </c>
      <c r="D108" s="56">
        <f t="shared" si="10"/>
        <v>-7.8125E-3</v>
      </c>
    </row>
    <row r="109" spans="2:4" x14ac:dyDescent="0.25">
      <c r="B109" s="12">
        <v>44641</v>
      </c>
      <c r="C109" s="17">
        <v>5.12</v>
      </c>
      <c r="D109" s="56">
        <f t="shared" si="10"/>
        <v>-0.10489510489510478</v>
      </c>
    </row>
    <row r="110" spans="2:4" x14ac:dyDescent="0.25">
      <c r="B110" s="12">
        <v>44634</v>
      </c>
      <c r="C110" s="17">
        <v>5.72</v>
      </c>
      <c r="D110" s="56">
        <f t="shared" si="10"/>
        <v>0.14629258517034049</v>
      </c>
    </row>
    <row r="111" spans="2:4" x14ac:dyDescent="0.25">
      <c r="B111" s="12">
        <v>44627</v>
      </c>
      <c r="C111" s="17">
        <v>4.99</v>
      </c>
      <c r="D111" s="56">
        <f t="shared" si="10"/>
        <v>-0.192556634304207</v>
      </c>
    </row>
    <row r="112" spans="2:4" x14ac:dyDescent="0.25">
      <c r="B112" s="12">
        <v>44620</v>
      </c>
      <c r="C112" s="17">
        <v>6.18</v>
      </c>
      <c r="D112" s="56">
        <f t="shared" si="10"/>
        <v>-8.1723625557206692E-2</v>
      </c>
    </row>
    <row r="113" spans="2:4" x14ac:dyDescent="0.25">
      <c r="B113" s="12">
        <v>44613</v>
      </c>
      <c r="C113" s="17">
        <v>6.73</v>
      </c>
      <c r="D113" s="56">
        <f t="shared" si="10"/>
        <v>-3.4433285509325562E-2</v>
      </c>
    </row>
    <row r="114" spans="2:4" x14ac:dyDescent="0.25">
      <c r="B114" s="12">
        <v>44606</v>
      </c>
      <c r="C114" s="17">
        <v>6.97</v>
      </c>
      <c r="D114" s="56">
        <f t="shared" si="10"/>
        <v>-4.9113233287858216E-2</v>
      </c>
    </row>
    <row r="115" spans="2:4" x14ac:dyDescent="0.25">
      <c r="B115" s="12">
        <v>44599</v>
      </c>
      <c r="C115" s="17">
        <v>7.33</v>
      </c>
      <c r="D115" s="56">
        <f t="shared" si="10"/>
        <v>6.5406976744186052E-2</v>
      </c>
    </row>
    <row r="116" spans="2:4" x14ac:dyDescent="0.25">
      <c r="B116" s="12">
        <v>44592</v>
      </c>
      <c r="C116" s="17">
        <v>6.88</v>
      </c>
      <c r="D116" s="56">
        <f t="shared" si="10"/>
        <v>3.4586466165413388E-2</v>
      </c>
    </row>
    <row r="117" spans="2:4" x14ac:dyDescent="0.25">
      <c r="B117" s="12">
        <v>44585</v>
      </c>
      <c r="C117" s="17">
        <v>6.65</v>
      </c>
      <c r="D117" s="56">
        <f t="shared" si="10"/>
        <v>1.8376722817764257E-2</v>
      </c>
    </row>
    <row r="118" spans="2:4" x14ac:dyDescent="0.25">
      <c r="B118" s="12">
        <v>44578</v>
      </c>
      <c r="C118" s="17">
        <v>6.53</v>
      </c>
      <c r="D118" s="56">
        <f t="shared" si="10"/>
        <v>-0.11875843454790824</v>
      </c>
    </row>
    <row r="119" spans="2:4" x14ac:dyDescent="0.25">
      <c r="B119" s="12">
        <v>44571</v>
      </c>
      <c r="C119" s="17">
        <v>7.41</v>
      </c>
      <c r="D119" s="56">
        <f t="shared" si="10"/>
        <v>-7.1428571428571508E-2</v>
      </c>
    </row>
    <row r="120" spans="2:4" x14ac:dyDescent="0.25">
      <c r="B120" s="12">
        <v>44564</v>
      </c>
      <c r="C120" s="17">
        <v>7.98</v>
      </c>
      <c r="D120" s="56">
        <f t="shared" si="10"/>
        <v>2.5125628140703071E-3</v>
      </c>
    </row>
    <row r="121" spans="2:4" x14ac:dyDescent="0.25">
      <c r="B121" s="12">
        <v>44557</v>
      </c>
      <c r="C121" s="17">
        <v>7.96</v>
      </c>
      <c r="D121" s="56">
        <f t="shared" si="10"/>
        <v>-2.211302211302224E-2</v>
      </c>
    </row>
    <row r="122" spans="2:4" x14ac:dyDescent="0.25">
      <c r="B122" s="12">
        <v>44550</v>
      </c>
      <c r="C122" s="17">
        <v>8.14</v>
      </c>
      <c r="D122" s="56">
        <f t="shared" si="10"/>
        <v>1.8773466833541974E-2</v>
      </c>
    </row>
    <row r="123" spans="2:4" x14ac:dyDescent="0.25">
      <c r="B123" s="12">
        <v>44543</v>
      </c>
      <c r="C123" s="17">
        <v>7.99</v>
      </c>
      <c r="D123" s="56">
        <f t="shared" si="10"/>
        <v>-5.9999999999999942E-2</v>
      </c>
    </row>
    <row r="124" spans="2:4" x14ac:dyDescent="0.25">
      <c r="B124" s="12">
        <v>44536</v>
      </c>
      <c r="C124" s="17">
        <v>8.5</v>
      </c>
      <c r="D124" s="56">
        <f t="shared" si="10"/>
        <v>6.25E-2</v>
      </c>
    </row>
    <row r="125" spans="2:4" x14ac:dyDescent="0.25">
      <c r="B125" s="12">
        <v>44529</v>
      </c>
      <c r="C125" s="17">
        <v>8</v>
      </c>
      <c r="D125" s="56">
        <f t="shared" si="10"/>
        <v>-0.17269906928645296</v>
      </c>
    </row>
    <row r="126" spans="2:4" x14ac:dyDescent="0.25">
      <c r="B126" s="12">
        <v>44522</v>
      </c>
      <c r="C126" s="17">
        <v>9.67</v>
      </c>
      <c r="D126" s="56">
        <f t="shared" si="10"/>
        <v>-3.7810945273631935E-2</v>
      </c>
    </row>
    <row r="127" spans="2:4" x14ac:dyDescent="0.25">
      <c r="B127" s="12">
        <v>44515</v>
      </c>
      <c r="C127" s="17">
        <v>10.050000000000001</v>
      </c>
      <c r="D127" s="56">
        <f t="shared" si="10"/>
        <v>-0.14974619289340096</v>
      </c>
    </row>
    <row r="128" spans="2:4" x14ac:dyDescent="0.25">
      <c r="B128" s="12">
        <v>44508</v>
      </c>
      <c r="C128" s="17">
        <v>11.82</v>
      </c>
      <c r="D128" s="56">
        <f t="shared" si="10"/>
        <v>-0.10114068441064639</v>
      </c>
    </row>
    <row r="129" spans="2:4" x14ac:dyDescent="0.25">
      <c r="B129" s="12">
        <v>44501</v>
      </c>
      <c r="C129" s="17">
        <v>13.15</v>
      </c>
      <c r="D129" s="56">
        <f t="shared" si="10"/>
        <v>2.0170674941815347E-2</v>
      </c>
    </row>
    <row r="130" spans="2:4" x14ac:dyDescent="0.25">
      <c r="B130" s="12">
        <v>44494</v>
      </c>
      <c r="C130" s="17">
        <v>12.89</v>
      </c>
      <c r="D130" s="56">
        <f t="shared" si="10"/>
        <v>-7.9942897930049939E-2</v>
      </c>
    </row>
    <row r="131" spans="2:4" x14ac:dyDescent="0.25">
      <c r="B131" s="12">
        <v>44487</v>
      </c>
      <c r="C131" s="17">
        <v>14.01</v>
      </c>
      <c r="D131" s="56">
        <f t="shared" ref="D131:D151" si="11">C131/C132-1</f>
        <v>-3.4458993797381154E-2</v>
      </c>
    </row>
    <row r="132" spans="2:4" x14ac:dyDescent="0.25">
      <c r="B132" s="12">
        <v>44480</v>
      </c>
      <c r="C132" s="17">
        <v>14.51</v>
      </c>
      <c r="D132" s="56">
        <f t="shared" si="11"/>
        <v>-6.164383561643838E-3</v>
      </c>
    </row>
    <row r="133" spans="2:4" x14ac:dyDescent="0.25">
      <c r="B133" s="12">
        <v>44473</v>
      </c>
      <c r="C133" s="17">
        <v>14.6</v>
      </c>
      <c r="D133" s="56">
        <f t="shared" si="11"/>
        <v>-1.0169491525423791E-2</v>
      </c>
    </row>
    <row r="134" spans="2:4" x14ac:dyDescent="0.25">
      <c r="B134" s="12">
        <v>44466</v>
      </c>
      <c r="C134" s="17">
        <v>14.75</v>
      </c>
      <c r="D134" s="56">
        <f t="shared" si="11"/>
        <v>-9.5091969024047152E-2</v>
      </c>
    </row>
    <row r="135" spans="2:4" x14ac:dyDescent="0.25">
      <c r="B135" s="12">
        <v>44459</v>
      </c>
      <c r="C135" s="17">
        <v>16.299999</v>
      </c>
      <c r="D135" s="56">
        <f t="shared" si="11"/>
        <v>1.8438229870927358E-3</v>
      </c>
    </row>
    <row r="136" spans="2:4" x14ac:dyDescent="0.25">
      <c r="B136" s="12">
        <v>44452</v>
      </c>
      <c r="C136" s="17">
        <v>16.27</v>
      </c>
      <c r="D136" s="56">
        <f t="shared" si="11"/>
        <v>-6.7621829935711752E-2</v>
      </c>
    </row>
    <row r="137" spans="2:4" x14ac:dyDescent="0.25">
      <c r="B137" s="12">
        <v>44445</v>
      </c>
      <c r="C137" s="17">
        <v>17.450001</v>
      </c>
      <c r="D137" s="56">
        <f t="shared" si="11"/>
        <v>3.622333729216165E-2</v>
      </c>
    </row>
    <row r="138" spans="2:4" x14ac:dyDescent="0.25">
      <c r="B138" s="12">
        <v>44438</v>
      </c>
      <c r="C138" s="17">
        <v>16.84</v>
      </c>
      <c r="D138" s="56">
        <f t="shared" si="11"/>
        <v>-7.9781370479856339E-2</v>
      </c>
    </row>
    <row r="139" spans="2:4" x14ac:dyDescent="0.25">
      <c r="B139" s="12">
        <v>44431</v>
      </c>
      <c r="C139" s="17">
        <v>18.299999</v>
      </c>
      <c r="D139" s="56">
        <f t="shared" si="11"/>
        <v>0.17082527191298769</v>
      </c>
    </row>
    <row r="140" spans="2:4" x14ac:dyDescent="0.25">
      <c r="B140" s="12">
        <v>44424</v>
      </c>
      <c r="C140" s="17">
        <v>15.63</v>
      </c>
      <c r="D140" s="56">
        <f t="shared" si="11"/>
        <v>-7.3503315145031611E-2</v>
      </c>
    </row>
    <row r="141" spans="2:4" x14ac:dyDescent="0.25">
      <c r="B141" s="12">
        <v>44417</v>
      </c>
      <c r="C141" s="17">
        <v>16.870000999999998</v>
      </c>
      <c r="D141" s="56">
        <f t="shared" si="11"/>
        <v>-8.6626859048557714E-2</v>
      </c>
    </row>
    <row r="142" spans="2:4" x14ac:dyDescent="0.25">
      <c r="B142" s="12">
        <v>44410</v>
      </c>
      <c r="C142" s="17">
        <v>18.469999000000001</v>
      </c>
      <c r="D142" s="56">
        <f t="shared" si="11"/>
        <v>4.0563323943662022E-2</v>
      </c>
    </row>
    <row r="143" spans="2:4" x14ac:dyDescent="0.25">
      <c r="B143" s="12">
        <v>44403</v>
      </c>
      <c r="C143" s="17">
        <v>17.75</v>
      </c>
      <c r="D143" s="56">
        <f t="shared" si="11"/>
        <v>-3.8982081157665549E-2</v>
      </c>
    </row>
    <row r="144" spans="2:4" x14ac:dyDescent="0.25">
      <c r="B144" s="12">
        <v>44396</v>
      </c>
      <c r="C144" s="17">
        <v>18.469999000000001</v>
      </c>
      <c r="D144" s="56">
        <f t="shared" si="11"/>
        <v>-4.2012549688145606E-2</v>
      </c>
    </row>
    <row r="145" spans="2:4" x14ac:dyDescent="0.25">
      <c r="B145" s="12">
        <v>44389</v>
      </c>
      <c r="C145" s="17">
        <v>19.280000999999999</v>
      </c>
      <c r="D145" s="56">
        <f t="shared" si="11"/>
        <v>-0.16173908695652184</v>
      </c>
    </row>
    <row r="146" spans="2:4" x14ac:dyDescent="0.25">
      <c r="B146" s="12">
        <v>44382</v>
      </c>
      <c r="C146" s="17">
        <v>23</v>
      </c>
      <c r="D146" s="56">
        <f t="shared" si="11"/>
        <v>-3.8977912516240387E-3</v>
      </c>
    </row>
    <row r="147" spans="2:4" x14ac:dyDescent="0.25">
      <c r="B147" s="12">
        <v>44375</v>
      </c>
      <c r="C147" s="17">
        <v>23.09</v>
      </c>
      <c r="D147" s="56">
        <f t="shared" si="11"/>
        <v>-5.3688524590163933E-2</v>
      </c>
    </row>
    <row r="148" spans="2:4" x14ac:dyDescent="0.25">
      <c r="B148" s="12">
        <v>44368</v>
      </c>
      <c r="C148" s="17">
        <v>24.4</v>
      </c>
      <c r="D148" s="56">
        <f t="shared" si="11"/>
        <v>-6.1538461538461542E-2</v>
      </c>
    </row>
    <row r="149" spans="2:4" x14ac:dyDescent="0.25">
      <c r="B149" s="12">
        <v>44361</v>
      </c>
      <c r="C149" s="17">
        <v>26</v>
      </c>
      <c r="D149" s="56">
        <f t="shared" si="11"/>
        <v>-9.5022624434389136E-2</v>
      </c>
    </row>
    <row r="150" spans="2:4" x14ac:dyDescent="0.25">
      <c r="B150" s="12">
        <v>44354</v>
      </c>
      <c r="C150" s="17">
        <v>28.73</v>
      </c>
      <c r="D150" s="56">
        <f t="shared" si="11"/>
        <v>0.20562316407889236</v>
      </c>
    </row>
    <row r="151" spans="2:4" x14ac:dyDescent="0.25">
      <c r="B151" s="12">
        <v>44347</v>
      </c>
      <c r="C151" s="17">
        <v>23.83</v>
      </c>
      <c r="D151" s="56">
        <f t="shared" si="11"/>
        <v>5.0611980202950324E-3</v>
      </c>
    </row>
    <row r="152" spans="2:4" x14ac:dyDescent="0.25">
      <c r="B152" s="12">
        <v>44340</v>
      </c>
      <c r="C152" s="17">
        <v>23.709999</v>
      </c>
      <c r="D152" s="56">
        <f>C152/C153-1</f>
        <v>5.5654499361286636E-2</v>
      </c>
    </row>
    <row r="153" spans="2:4" x14ac:dyDescent="0.25">
      <c r="B153" s="12">
        <v>44333</v>
      </c>
      <c r="C153" s="17">
        <v>22.459999</v>
      </c>
      <c r="D153" s="56"/>
    </row>
    <row r="154" spans="2:4" x14ac:dyDescent="0.25">
      <c r="B154" s="12"/>
      <c r="C154" s="17"/>
      <c r="D154" s="56"/>
    </row>
    <row r="155" spans="2:4" x14ac:dyDescent="0.25">
      <c r="B155" s="12"/>
      <c r="C155" s="17"/>
      <c r="D155" s="56"/>
    </row>
    <row r="156" spans="2:4" x14ac:dyDescent="0.25">
      <c r="B156" s="12"/>
      <c r="C156" s="17"/>
      <c r="D156" s="56"/>
    </row>
    <row r="157" spans="2:4" x14ac:dyDescent="0.25">
      <c r="B157" s="12"/>
      <c r="C157" s="17"/>
      <c r="D157" s="56"/>
    </row>
    <row r="158" spans="2:4" x14ac:dyDescent="0.25">
      <c r="B158" s="12"/>
      <c r="C158" s="17"/>
      <c r="D158" s="56"/>
    </row>
  </sheetData>
  <mergeCells count="4">
    <mergeCell ref="H1:M1"/>
    <mergeCell ref="H17:I17"/>
    <mergeCell ref="H18:I18"/>
    <mergeCell ref="H43:M43"/>
  </mergeCells>
  <hyperlinks>
    <hyperlink ref="A1" location="Main!A1" display="Main" xr:uid="{D252785F-C9B5-4588-8297-C3A21B328E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2024-04-11T15:26:20Z</dcterms:modified>
</cp:coreProperties>
</file>