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mc:AlternateContent xmlns:mc="http://schemas.openxmlformats.org/markup-compatibility/2006">
    <mc:Choice Requires="x15">
      <x15ac:absPath xmlns:x15ac="http://schemas.microsoft.com/office/spreadsheetml/2010/11/ac" url="C:\Users\simon\Documents\models\Business - Technology Services\"/>
    </mc:Choice>
  </mc:AlternateContent>
  <xr:revisionPtr revIDLastSave="0" documentId="13_ncr:1_{799EB2DC-4EB2-4A26-81E3-E31374916F82}" xr6:coauthVersionLast="47" xr6:coauthVersionMax="47" xr10:uidLastSave="{00000000-0000-0000-0000-000000000000}"/>
  <bookViews>
    <workbookView xWindow="18300" yWindow="195" windowWidth="10470" windowHeight="15195" xr2:uid="{00000000-000D-0000-FFFF-FFFF00000000}"/>
  </bookViews>
  <sheets>
    <sheet name="Main" sheetId="1" r:id="rId1"/>
    <sheet name="Model" sheetId="2" r:id="rId2"/>
    <sheet name="Analysts" sheetId="7" r:id="rId3"/>
    <sheet name="Model-graph" sheetId="3" r:id="rId4"/>
    <sheet name="KPIs" sheetId="6" r:id="rId5"/>
    <sheet name="Catalysts" sheetId="4" r:id="rId6"/>
    <sheet name="DoR" sheetId="5" r:id="rId7"/>
  </sheets>
  <definedNames>
    <definedName name="_xlchart.v1.0" hidden="1">Model!$B$21</definedName>
    <definedName name="_xlchart.v1.1" hidden="1">Model!$B$22</definedName>
    <definedName name="_xlchart.v1.2" hidden="1">Model!$N$21:$AA$21</definedName>
    <definedName name="_xlchart.v1.3" hidden="1">Model!$N$22:$AA$22</definedName>
    <definedName name="_xlchart.v1.4" hidden="1">Model!$N$2:$AA$2</definedName>
    <definedName name="_xlchart.v1.5" hidden="1">Model!$B$5</definedName>
    <definedName name="_xlchart.v1.6" hidden="1">Model!$B$6</definedName>
    <definedName name="_xlchart.v1.7" hidden="1">Model!$N$2:$AA$2</definedName>
    <definedName name="_xlchart.v1.8" hidden="1">Model!$N$5:$AA$5</definedName>
    <definedName name="_xlchart.v1.9" hidden="1">Model!$N$6:$AA$6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 l="1"/>
  <c r="C9" i="1"/>
  <c r="C7" i="1"/>
  <c r="AC25" i="2"/>
  <c r="Z24" i="2"/>
  <c r="AA24" i="2"/>
  <c r="AA23" i="2"/>
  <c r="AA13" i="2"/>
  <c r="AA11" i="2"/>
  <c r="AA8" i="2"/>
  <c r="AA5" i="2"/>
  <c r="AC31" i="2"/>
  <c r="C27" i="1" l="1"/>
  <c r="C25" i="1"/>
  <c r="C24" i="1"/>
  <c r="C23" i="1"/>
  <c r="C22" i="1"/>
  <c r="C21" i="1"/>
  <c r="C20" i="1"/>
  <c r="C17" i="1"/>
  <c r="C16" i="1"/>
  <c r="C15" i="1"/>
  <c r="C14" i="1"/>
  <c r="C13" i="1"/>
  <c r="C11" i="1"/>
  <c r="M14" i="6"/>
  <c r="L14" i="6"/>
  <c r="K14" i="6"/>
  <c r="J14" i="6"/>
  <c r="N14" i="6"/>
  <c r="I9" i="6"/>
  <c r="I8" i="6"/>
  <c r="I7" i="6"/>
  <c r="I5" i="6"/>
  <c r="I4" i="6"/>
  <c r="I3" i="6"/>
  <c r="I2" i="6"/>
  <c r="I6" i="6" s="1"/>
  <c r="M9" i="6"/>
  <c r="M8" i="6"/>
  <c r="M10" i="6" s="1"/>
  <c r="M7" i="6"/>
  <c r="M5" i="6"/>
  <c r="M4" i="6"/>
  <c r="M3" i="6"/>
  <c r="M2" i="6"/>
  <c r="M6" i="6" s="1"/>
  <c r="I10" i="6"/>
  <c r="H10" i="6"/>
  <c r="H11" i="6" s="1"/>
  <c r="G10" i="6"/>
  <c r="F10" i="6"/>
  <c r="H6" i="6"/>
  <c r="G6" i="6"/>
  <c r="F6" i="6"/>
  <c r="N10" i="6"/>
  <c r="L10" i="6"/>
  <c r="K10" i="6"/>
  <c r="J10" i="6"/>
  <c r="L6" i="6"/>
  <c r="K6" i="6"/>
  <c r="J6" i="6"/>
  <c r="N6" i="6"/>
  <c r="J31" i="2"/>
  <c r="I31" i="2"/>
  <c r="J25" i="2"/>
  <c r="I25" i="2"/>
  <c r="X31" i="2"/>
  <c r="Y31" i="2"/>
  <c r="Z31" i="2"/>
  <c r="AB31" i="2"/>
  <c r="AA31" i="2"/>
  <c r="AA25" i="2"/>
  <c r="AB25" i="2"/>
  <c r="Z23" i="2"/>
  <c r="U18" i="2"/>
  <c r="U16" i="2"/>
  <c r="U15" i="2"/>
  <c r="U14" i="2"/>
  <c r="U13" i="2"/>
  <c r="U11" i="2"/>
  <c r="U10" i="2"/>
  <c r="U9" i="2"/>
  <c r="U8" i="2"/>
  <c r="U7" i="2"/>
  <c r="U4" i="2"/>
  <c r="R13" i="2"/>
  <c r="U3" i="2"/>
  <c r="U5" i="2" s="1"/>
  <c r="Y21" i="2"/>
  <c r="Y18" i="2"/>
  <c r="Y16" i="2"/>
  <c r="Y15" i="2"/>
  <c r="Y14" i="2"/>
  <c r="Y13" i="2"/>
  <c r="Y11" i="2"/>
  <c r="Y10" i="2"/>
  <c r="Y9" i="2"/>
  <c r="Y8" i="2"/>
  <c r="Y7" i="2"/>
  <c r="Y4" i="2"/>
  <c r="Y3" i="2"/>
  <c r="Y5" i="2" s="1"/>
  <c r="S13" i="2"/>
  <c r="W13" i="2"/>
  <c r="T13" i="2"/>
  <c r="X13" i="2"/>
  <c r="Z27" i="2"/>
  <c r="Z26" i="2"/>
  <c r="V23" i="2"/>
  <c r="Q23" i="2"/>
  <c r="P23" i="2"/>
  <c r="O23" i="2"/>
  <c r="N23" i="2"/>
  <c r="V13" i="2"/>
  <c r="Z13" i="2"/>
  <c r="U61" i="2"/>
  <c r="U60" i="2"/>
  <c r="U59" i="2"/>
  <c r="U58" i="2"/>
  <c r="U57" i="2"/>
  <c r="U55" i="2"/>
  <c r="U56" i="2" s="1"/>
  <c r="U54" i="2"/>
  <c r="U53" i="2"/>
  <c r="U52" i="2"/>
  <c r="U51" i="2"/>
  <c r="U49" i="2"/>
  <c r="U48" i="2"/>
  <c r="U47" i="2"/>
  <c r="U46" i="2"/>
  <c r="U45" i="2"/>
  <c r="U44" i="2"/>
  <c r="U42" i="2"/>
  <c r="U41" i="2"/>
  <c r="U40" i="2"/>
  <c r="U39" i="2"/>
  <c r="U43" i="2" s="1"/>
  <c r="U38" i="2"/>
  <c r="U37" i="2"/>
  <c r="P19" i="2"/>
  <c r="O19" i="2"/>
  <c r="N19" i="2"/>
  <c r="N21" i="2" s="1"/>
  <c r="Q17" i="2"/>
  <c r="Q19" i="2" s="1"/>
  <c r="P17" i="2"/>
  <c r="O17" i="2"/>
  <c r="N17" i="2"/>
  <c r="AA12" i="2"/>
  <c r="Q12" i="2"/>
  <c r="P12" i="2"/>
  <c r="O12" i="2"/>
  <c r="N12" i="2"/>
  <c r="Y61" i="2"/>
  <c r="Y60" i="2"/>
  <c r="Y59" i="2"/>
  <c r="Y58" i="2"/>
  <c r="Y57" i="2"/>
  <c r="Y55" i="2"/>
  <c r="Y54" i="2"/>
  <c r="Y53" i="2"/>
  <c r="Y52" i="2"/>
  <c r="Y51" i="2"/>
  <c r="Y56" i="2" s="1"/>
  <c r="Y49" i="2"/>
  <c r="Y48" i="2"/>
  <c r="Y47" i="2"/>
  <c r="Y46" i="2"/>
  <c r="Y45" i="2"/>
  <c r="Y44" i="2"/>
  <c r="Y42" i="2"/>
  <c r="Y41" i="2"/>
  <c r="Y40" i="2"/>
  <c r="Y39" i="2"/>
  <c r="Y38" i="2"/>
  <c r="Y43" i="2" s="1"/>
  <c r="Y37" i="2"/>
  <c r="C6" i="6"/>
  <c r="C10" i="6"/>
  <c r="B10" i="6"/>
  <c r="B6" i="6"/>
  <c r="B11" i="6" s="1"/>
  <c r="H23" i="2"/>
  <c r="H24" i="2"/>
  <c r="G23" i="2"/>
  <c r="G15" i="2"/>
  <c r="G17" i="2" s="1"/>
  <c r="F12" i="2"/>
  <c r="F17" i="2" s="1"/>
  <c r="E12" i="2"/>
  <c r="E17" i="2" s="1"/>
  <c r="D12" i="2"/>
  <c r="D17" i="2" s="1"/>
  <c r="C12" i="2"/>
  <c r="H17" i="2"/>
  <c r="H13" i="2"/>
  <c r="H12" i="2"/>
  <c r="G12" i="2"/>
  <c r="G13" i="2"/>
  <c r="Z5" i="2"/>
  <c r="Z36" i="2"/>
  <c r="AA36" i="2"/>
  <c r="Z43" i="2"/>
  <c r="Z50" i="2" s="1"/>
  <c r="AA43" i="2"/>
  <c r="AA50" i="2" s="1"/>
  <c r="Z56" i="2"/>
  <c r="Z62" i="2" s="1"/>
  <c r="AA56" i="2"/>
  <c r="AA62" i="2" s="1"/>
  <c r="H43" i="2"/>
  <c r="H50" i="2" s="1"/>
  <c r="I43" i="2"/>
  <c r="I50" i="2" s="1"/>
  <c r="J43" i="2"/>
  <c r="J50" i="2" s="1"/>
  <c r="H56" i="2"/>
  <c r="H62" i="2" s="1"/>
  <c r="I56" i="2"/>
  <c r="I62" i="2" s="1"/>
  <c r="J56" i="2"/>
  <c r="J62" i="2" s="1"/>
  <c r="H36" i="2"/>
  <c r="I36" i="2"/>
  <c r="J36" i="2"/>
  <c r="H29" i="2"/>
  <c r="I29" i="2"/>
  <c r="J29" i="2"/>
  <c r="H30" i="2"/>
  <c r="I30" i="2"/>
  <c r="J30" i="2"/>
  <c r="H5" i="2"/>
  <c r="H27" i="2" s="1"/>
  <c r="I27" i="2"/>
  <c r="J27" i="2"/>
  <c r="C36" i="2"/>
  <c r="G36" i="2"/>
  <c r="F36" i="2"/>
  <c r="E36" i="2"/>
  <c r="D36" i="2"/>
  <c r="X36" i="2"/>
  <c r="W36" i="2"/>
  <c r="V36" i="2"/>
  <c r="U36" i="2"/>
  <c r="T36" i="2"/>
  <c r="S36" i="2"/>
  <c r="R36" i="2"/>
  <c r="Q36" i="2"/>
  <c r="P36" i="2"/>
  <c r="O36" i="2"/>
  <c r="N36" i="2"/>
  <c r="X56" i="2"/>
  <c r="X62" i="2" s="1"/>
  <c r="W56" i="2"/>
  <c r="W62" i="2" s="1"/>
  <c r="V56" i="2"/>
  <c r="V62" i="2" s="1"/>
  <c r="X43" i="2"/>
  <c r="X50" i="2" s="1"/>
  <c r="W43" i="2"/>
  <c r="W50" i="2" s="1"/>
  <c r="V43" i="2"/>
  <c r="V50" i="2" s="1"/>
  <c r="X5" i="2"/>
  <c r="X27" i="2" s="1"/>
  <c r="W5" i="2"/>
  <c r="W27" i="2" s="1"/>
  <c r="V5" i="2"/>
  <c r="V26" i="2" s="1"/>
  <c r="N5" i="2"/>
  <c r="O5" i="2"/>
  <c r="O27" i="2" s="1"/>
  <c r="P5" i="2"/>
  <c r="P27" i="2" s="1"/>
  <c r="Q5" i="2"/>
  <c r="Q27" i="2" s="1"/>
  <c r="R5" i="2"/>
  <c r="R27" i="2" s="1"/>
  <c r="S5" i="2"/>
  <c r="S12" i="2" s="1"/>
  <c r="S23" i="2" s="1"/>
  <c r="T5" i="2"/>
  <c r="T27" i="2" s="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N27" i="2"/>
  <c r="AA17" i="2" l="1"/>
  <c r="AA19" i="2" s="1"/>
  <c r="AA21" i="2" s="1"/>
  <c r="I11" i="6"/>
  <c r="F11" i="6"/>
  <c r="G11" i="6"/>
  <c r="C11" i="6"/>
  <c r="N11" i="6"/>
  <c r="K11" i="6"/>
  <c r="L11" i="6"/>
  <c r="M11" i="6"/>
  <c r="J11" i="6"/>
  <c r="R12" i="2"/>
  <c r="U26" i="2"/>
  <c r="Y25" i="2"/>
  <c r="U12" i="2"/>
  <c r="Y26" i="2"/>
  <c r="Y12" i="2"/>
  <c r="S17" i="2"/>
  <c r="S19" i="2" s="1"/>
  <c r="S21" i="2" s="1"/>
  <c r="W12" i="2"/>
  <c r="T12" i="2"/>
  <c r="X12" i="2"/>
  <c r="V12" i="2"/>
  <c r="V17" i="2" s="1"/>
  <c r="V19" i="2" s="1"/>
  <c r="Z12" i="2"/>
  <c r="Z17" i="2" s="1"/>
  <c r="Z19" i="2" s="1"/>
  <c r="U62" i="2"/>
  <c r="U50" i="2"/>
  <c r="U63" i="2" s="1"/>
  <c r="Y62" i="2"/>
  <c r="Y50" i="2"/>
  <c r="Y36" i="2"/>
  <c r="AA27" i="2"/>
  <c r="P21" i="2"/>
  <c r="H32" i="2"/>
  <c r="J26" i="2"/>
  <c r="AA26" i="2"/>
  <c r="I32" i="2"/>
  <c r="Z63" i="2"/>
  <c r="J12" i="2"/>
  <c r="J32" i="2"/>
  <c r="I63" i="2"/>
  <c r="H63" i="2"/>
  <c r="O21" i="2"/>
  <c r="I12" i="2"/>
  <c r="I26" i="2"/>
  <c r="H26" i="2"/>
  <c r="AA63" i="2"/>
  <c r="J63" i="2"/>
  <c r="Z25" i="2"/>
  <c r="Y63" i="2"/>
  <c r="Y27" i="2"/>
  <c r="X63" i="2"/>
  <c r="Q21" i="2"/>
  <c r="S27" i="2"/>
  <c r="W26" i="2"/>
  <c r="W63" i="2"/>
  <c r="V63" i="2"/>
  <c r="U25" i="2"/>
  <c r="X26" i="2"/>
  <c r="W25" i="2"/>
  <c r="U27" i="2"/>
  <c r="X25" i="2"/>
  <c r="V27" i="2"/>
  <c r="V25" i="2"/>
  <c r="C31" i="1"/>
  <c r="C35" i="1"/>
  <c r="C29" i="1"/>
  <c r="C8" i="1"/>
  <c r="I31" i="5"/>
  <c r="I30" i="5"/>
  <c r="I29" i="5"/>
  <c r="I28" i="5"/>
  <c r="I26" i="5"/>
  <c r="I25" i="5"/>
  <c r="I24" i="5"/>
  <c r="I23" i="5"/>
  <c r="I22" i="5"/>
  <c r="I21" i="5"/>
  <c r="I20" i="5"/>
  <c r="I19" i="5"/>
  <c r="I65" i="5"/>
  <c r="I64" i="5"/>
  <c r="I17" i="2" l="1"/>
  <c r="I19" i="2" s="1"/>
  <c r="I23" i="2"/>
  <c r="J23" i="2"/>
  <c r="J17" i="2"/>
  <c r="J19" i="2" s="1"/>
  <c r="J21" i="2" s="1"/>
  <c r="R17" i="2"/>
  <c r="R19" i="2" s="1"/>
  <c r="R21" i="2" s="1"/>
  <c r="R23" i="2"/>
  <c r="U17" i="2"/>
  <c r="U19" i="2" s="1"/>
  <c r="U21" i="2" s="1"/>
  <c r="U23" i="2"/>
  <c r="Y23" i="2"/>
  <c r="Y17" i="2"/>
  <c r="Y19" i="2" s="1"/>
  <c r="W17" i="2"/>
  <c r="W19" i="2" s="1"/>
  <c r="W24" i="2" s="1"/>
  <c r="W23" i="2"/>
  <c r="T17" i="2"/>
  <c r="T19" i="2" s="1"/>
  <c r="T21" i="2" s="1"/>
  <c r="T23" i="2"/>
  <c r="X17" i="2"/>
  <c r="X19" i="2" s="1"/>
  <c r="X24" i="2" s="1"/>
  <c r="X23" i="2"/>
  <c r="J33" i="2"/>
  <c r="H19" i="2"/>
  <c r="H33" i="2"/>
  <c r="I33" i="2"/>
  <c r="Z21" i="2"/>
  <c r="V24" i="2"/>
  <c r="V21" i="2"/>
  <c r="I27" i="5"/>
  <c r="C33" i="1"/>
  <c r="C34" i="1"/>
  <c r="C32" i="1"/>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5" i="2"/>
  <c r="C17" i="2" s="1"/>
  <c r="C19" i="2" s="1"/>
  <c r="D5" i="2"/>
  <c r="D19" i="2" s="1"/>
  <c r="E5" i="2"/>
  <c r="E19" i="2" s="1"/>
  <c r="F5" i="2"/>
  <c r="F19" i="2" s="1"/>
  <c r="G5" i="2"/>
  <c r="N25" i="2"/>
  <c r="O25" i="2"/>
  <c r="P25" i="2"/>
  <c r="Q25" i="2"/>
  <c r="R25" i="2"/>
  <c r="S25" i="2"/>
  <c r="T25" i="2"/>
  <c r="N26" i="2"/>
  <c r="O26" i="2"/>
  <c r="P26" i="2"/>
  <c r="Q26" i="2"/>
  <c r="R26" i="2"/>
  <c r="S26" i="2"/>
  <c r="T26" i="2"/>
  <c r="N43" i="2"/>
  <c r="N50" i="2" s="1"/>
  <c r="O43" i="2"/>
  <c r="O50" i="2" s="1"/>
  <c r="P43" i="2"/>
  <c r="P50" i="2" s="1"/>
  <c r="Q43" i="2"/>
  <c r="Q50" i="2" s="1"/>
  <c r="R43" i="2"/>
  <c r="R50" i="2" s="1"/>
  <c r="S43" i="2"/>
  <c r="S50" i="2" s="1"/>
  <c r="T43" i="2"/>
  <c r="T50" i="2" s="1"/>
  <c r="N56" i="2"/>
  <c r="N62" i="2" s="1"/>
  <c r="O56" i="2"/>
  <c r="O62" i="2" s="1"/>
  <c r="P56" i="2"/>
  <c r="P62" i="2" s="1"/>
  <c r="Q56" i="2"/>
  <c r="Q62" i="2" s="1"/>
  <c r="R56" i="2"/>
  <c r="R62" i="2" s="1"/>
  <c r="S56" i="2"/>
  <c r="S62" i="2" s="1"/>
  <c r="T56" i="2"/>
  <c r="T62" i="2" s="1"/>
  <c r="C43" i="2"/>
  <c r="C50" i="2" s="1"/>
  <c r="D43" i="2"/>
  <c r="D50" i="2" s="1"/>
  <c r="E43" i="2"/>
  <c r="E50" i="2" s="1"/>
  <c r="E30" i="2"/>
  <c r="F30" i="2"/>
  <c r="G30" i="2"/>
  <c r="E29" i="2"/>
  <c r="F29" i="2"/>
  <c r="G29" i="2"/>
  <c r="J24" i="2" l="1"/>
  <c r="V31" i="2"/>
  <c r="U24" i="2"/>
  <c r="U31" i="2"/>
  <c r="Y24" i="2"/>
  <c r="W21" i="2"/>
  <c r="W31" i="2"/>
  <c r="X21" i="2"/>
  <c r="G19" i="2"/>
  <c r="H25" i="2"/>
  <c r="I21" i="2"/>
  <c r="I24" i="2"/>
  <c r="H21" i="2"/>
  <c r="R63" i="2"/>
  <c r="Q63" i="2"/>
  <c r="O63" i="2"/>
  <c r="N63" i="2"/>
  <c r="T63" i="2"/>
  <c r="P63" i="2"/>
  <c r="S63" i="2"/>
  <c r="K11" i="5"/>
  <c r="G26" i="2"/>
  <c r="G27" i="2"/>
  <c r="F32" i="2"/>
  <c r="F27" i="2"/>
  <c r="E26" i="2"/>
  <c r="E27" i="2"/>
  <c r="D26" i="2"/>
  <c r="D27" i="2"/>
  <c r="C26" i="2"/>
  <c r="C27"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R24" i="2"/>
  <c r="R31" i="2"/>
  <c r="N24" i="2"/>
  <c r="Q24" i="2"/>
  <c r="Q31" i="2"/>
  <c r="T31" i="2"/>
  <c r="T24" i="2"/>
  <c r="S24" i="2"/>
  <c r="S31" i="2"/>
  <c r="P31" i="2"/>
  <c r="P24" i="2"/>
  <c r="O31" i="2"/>
  <c r="O24" i="2"/>
  <c r="C30" i="1" s="1"/>
  <c r="C23" i="2"/>
  <c r="G32" i="2"/>
  <c r="D32" i="2"/>
  <c r="E32" i="2"/>
  <c r="C32" i="2"/>
  <c r="F23" i="2"/>
  <c r="F26" i="2"/>
  <c r="E23" i="2"/>
  <c r="D23" i="2"/>
  <c r="G25" i="2"/>
  <c r="G56" i="2"/>
  <c r="G62" i="2" s="1"/>
  <c r="G43" i="2"/>
  <c r="G50" i="2" s="1"/>
  <c r="E25" i="2"/>
  <c r="F25" i="2"/>
  <c r="D25" i="2"/>
  <c r="D56" i="2"/>
  <c r="D62" i="2" s="1"/>
  <c r="D63" i="2" s="1"/>
  <c r="E56" i="2"/>
  <c r="F43" i="2"/>
  <c r="F50" i="2" s="1"/>
  <c r="G63" i="2" l="1"/>
  <c r="N31" i="2"/>
  <c r="C19" i="1"/>
  <c r="M5" i="5"/>
  <c r="M6" i="5" s="1"/>
  <c r="M7" i="5" s="1"/>
  <c r="M8" i="5" s="1"/>
  <c r="M9" i="5" s="1"/>
  <c r="M10" i="5" s="1"/>
  <c r="M11" i="5" s="1"/>
  <c r="M12" i="5" s="1"/>
  <c r="M13" i="5" s="1"/>
  <c r="M14" i="5" s="1"/>
  <c r="M15" i="5" s="1"/>
  <c r="D33" i="2"/>
  <c r="F33" i="2"/>
  <c r="G33" i="2"/>
  <c r="E33" i="2"/>
  <c r="C33" i="2"/>
  <c r="F56" i="2"/>
  <c r="F62" i="2" s="1"/>
  <c r="F63" i="2" s="1"/>
  <c r="E62" i="2"/>
  <c r="E63" i="2" s="1"/>
  <c r="C56" i="2"/>
  <c r="C62" i="2" s="1"/>
  <c r="C63" i="2" s="1"/>
  <c r="C18" i="1" l="1"/>
  <c r="C21" i="2"/>
  <c r="E21" i="2"/>
  <c r="D24" i="2"/>
  <c r="G21" i="2"/>
  <c r="H31" i="2" s="1"/>
  <c r="G24" i="2"/>
  <c r="C24" i="2" l="1"/>
  <c r="D31" i="2"/>
  <c r="E24" i="2"/>
  <c r="F21" i="2"/>
  <c r="F31" i="2" s="1"/>
  <c r="E31" i="2"/>
  <c r="D21" i="2"/>
  <c r="F24" i="2"/>
  <c r="G31" i="2" l="1"/>
  <c r="C12" i="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<sst xmlns="http://schemas.openxmlformats.org/spreadsheetml/2006/main" count="236" uniqueCount="213">
  <si>
    <t>Price</t>
  </si>
  <si>
    <t>Shares</t>
  </si>
  <si>
    <t>MC</t>
  </si>
  <si>
    <t>CASH</t>
  </si>
  <si>
    <t>DEBT</t>
  </si>
  <si>
    <t>EV</t>
  </si>
  <si>
    <t>Q222</t>
  </si>
  <si>
    <t>Q322</t>
  </si>
  <si>
    <t>Q422</t>
  </si>
  <si>
    <t>Q123</t>
  </si>
  <si>
    <t>Q122</t>
  </si>
  <si>
    <t>FY21</t>
  </si>
  <si>
    <t>FY22</t>
  </si>
  <si>
    <t>FY23</t>
  </si>
  <si>
    <t>Revenue</t>
  </si>
  <si>
    <t>FY20</t>
  </si>
  <si>
    <t>EBITDA</t>
  </si>
  <si>
    <t>Income Tax</t>
  </si>
  <si>
    <t>Net Income</t>
  </si>
  <si>
    <t>EPS</t>
  </si>
  <si>
    <t>Operational Income</t>
  </si>
  <si>
    <t>Cash</t>
  </si>
  <si>
    <t>Total Assets</t>
  </si>
  <si>
    <t>Total Liablities</t>
  </si>
  <si>
    <t>AP</t>
  </si>
  <si>
    <t>Gross Margin</t>
  </si>
  <si>
    <t>Net Margin</t>
  </si>
  <si>
    <t>FY24</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</si>
  <si>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</si>
  <si>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</si>
  <si>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</si>
  <si>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</si>
  <si>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</si>
  <si>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</si>
  <si>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</si>
  <si>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</si>
  <si>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</si>
  <si>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</si>
  <si>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</si>
  <si>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</si>
  <si>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</si>
  <si>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</si>
  <si>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</si>
  <si>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</si>
  <si>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</si>
  <si>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</si>
  <si>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</si>
  <si>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</si>
  <si>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</si>
  <si>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</si>
  <si>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</si>
  <si>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</si>
  <si>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</si>
  <si>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Current Assets</t>
  </si>
  <si>
    <t>Total Current Liabilities</t>
  </si>
  <si>
    <t>Q124</t>
  </si>
  <si>
    <t>EPS exp.</t>
  </si>
  <si>
    <t>Rev. Exp.</t>
  </si>
  <si>
    <t>Sales &amp; Marketing / REV</t>
  </si>
  <si>
    <t>Q224</t>
  </si>
  <si>
    <t>FY25</t>
  </si>
  <si>
    <t>PEG1</t>
  </si>
  <si>
    <t>PEG2</t>
  </si>
  <si>
    <t>EBIT</t>
  </si>
  <si>
    <t>EV/EBITDA</t>
  </si>
  <si>
    <t>Notes</t>
  </si>
  <si>
    <t>Restricted Cash</t>
  </si>
  <si>
    <t>PP&amp;E</t>
  </si>
  <si>
    <t>Intangible Asset</t>
  </si>
  <si>
    <t>Equity</t>
  </si>
  <si>
    <t>Interest exp / REV</t>
  </si>
  <si>
    <t>Interest exp / op Inc</t>
  </si>
  <si>
    <t>Interest Rate debt</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</si>
  <si>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</si>
  <si>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</si>
  <si>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</si>
  <si>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</si>
  <si>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</si>
  <si>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</si>
  <si>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</si>
  <si>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</si>
  <si>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</si>
  <si>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</si>
  <si>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</si>
  <si>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</si>
  <si>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</si>
  <si>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</si>
  <si>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</si>
  <si>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</si>
  <si>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</si>
  <si>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</si>
  <si>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</si>
  <si>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</si>
  <si>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</si>
  <si>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</si>
  <si>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</si>
  <si>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</si>
  <si>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</si>
  <si>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</si>
  <si>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</si>
  <si>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</si>
  <si>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</si>
  <si>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</si>
  <si>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</si>
  <si>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</si>
  <si>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</si>
  <si>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</si>
  <si>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</si>
  <si>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</si>
  <si>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</si>
  <si>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</si>
  <si>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</si>
  <si>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</si>
  <si>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</si>
  <si>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</si>
  <si>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</si>
  <si>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</si>
  <si>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</si>
  <si>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</si>
  <si>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</si>
  <si>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</si>
  <si>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</si>
  <si>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</si>
  <si>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</si>
  <si>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</si>
  <si>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Prod1 y/y</t>
  </si>
  <si>
    <t>Prod2 y/y</t>
  </si>
  <si>
    <t>R&amp;D / REV</t>
  </si>
  <si>
    <t>G&amp;A / REV</t>
  </si>
  <si>
    <t>Net Income before Tax</t>
  </si>
  <si>
    <t>Q324</t>
  </si>
  <si>
    <t>Q424</t>
  </si>
  <si>
    <t>EPS Growth</t>
  </si>
  <si>
    <t>Revenue Growth</t>
  </si>
  <si>
    <t>Sell</t>
  </si>
  <si>
    <t>Underperform</t>
  </si>
  <si>
    <t>Hold</t>
  </si>
  <si>
    <t>Buy</t>
  </si>
  <si>
    <t>Strong buy</t>
  </si>
  <si>
    <t>Price Targets</t>
  </si>
  <si>
    <t>FY26</t>
  </si>
  <si>
    <t>Q125</t>
  </si>
  <si>
    <t>Q225</t>
  </si>
  <si>
    <t>DAVE</t>
  </si>
  <si>
    <t>Dave Inc. provides various financial products and services through its financial services platform in the United States. The company offers Budget, personal financial management tool that helps members with budgeting, and managing income and expenses; ExtraCash, a short-term liquidity alternative, which allows members to advance funds to their account through automated clearing house network and avoid a fee; Side Hustle, a job application portal to find supplemental or temporary work; and Surveys, which allows member to take paid surveys within the Dave mobile application. It also provides Dave Banking, a digital checking and demand deposit account. Dave Inc. was founded in 2015 and is headquartered in Los Angeles, California.</t>
  </si>
  <si>
    <t>Mr. Jason Wilk</t>
  </si>
  <si>
    <t>Co-Founder, CEO, President &amp; Chairman</t>
  </si>
  <si>
    <t>Mr. Kyle Beilman</t>
  </si>
  <si>
    <t>CFO &amp; Secretary</t>
  </si>
  <si>
    <t>Mr. Gopi Kuchimanchi</t>
  </si>
  <si>
    <t>Vice President of Technology</t>
  </si>
  <si>
    <t>Ms. Joan Aristei J.D.</t>
  </si>
  <si>
    <t>Chief Legal Officer</t>
  </si>
  <si>
    <t>Mr. Kevin Frisch</t>
  </si>
  <si>
    <t>Chief Marketing Officer</t>
  </si>
  <si>
    <t>Ms. Shannon Sullivan</t>
  </si>
  <si>
    <t>Chief People Officer</t>
  </si>
  <si>
    <t>Mr. Grahame Fraser</t>
  </si>
  <si>
    <t>Head of Product Management</t>
  </si>
  <si>
    <t>Mr. Ryan Imai</t>
  </si>
  <si>
    <t>Director &amp; Corporate Controller</t>
  </si>
  <si>
    <t>Marketable Securities</t>
  </si>
  <si>
    <t>ExtraCash receivables</t>
  </si>
  <si>
    <t>Investments</t>
  </si>
  <si>
    <t>Prepaid Income Tax</t>
  </si>
  <si>
    <t>Prepaid Expense &amp; other</t>
  </si>
  <si>
    <t>Lease of right</t>
  </si>
  <si>
    <t>Debt facility commitment</t>
  </si>
  <si>
    <t>Other non-current assets</t>
  </si>
  <si>
    <t>Accrued Expense</t>
  </si>
  <si>
    <t>Lease liab</t>
  </si>
  <si>
    <t>Legal settlement accrual</t>
  </si>
  <si>
    <t>Other current</t>
  </si>
  <si>
    <t>Lease liab long-term</t>
  </si>
  <si>
    <t>Debt facility long-term</t>
  </si>
  <si>
    <t>Convertiblae debt, long-term</t>
  </si>
  <si>
    <t>Warrant and earnout</t>
  </si>
  <si>
    <t>Other non-current liablities</t>
  </si>
  <si>
    <t>Service Based Revenue</t>
  </si>
  <si>
    <t>Transaction based Rev</t>
  </si>
  <si>
    <t>Provision for credit losses</t>
  </si>
  <si>
    <t>Processing and servicing costs</t>
  </si>
  <si>
    <t>Advertising &amp; Marketing</t>
  </si>
  <si>
    <t>Compensation and benefits</t>
  </si>
  <si>
    <t>Other operating expense</t>
  </si>
  <si>
    <t>Interest cum</t>
  </si>
  <si>
    <t>Gain on convertible debt</t>
  </si>
  <si>
    <t>Changes in public and privat</t>
  </si>
  <si>
    <t>Changes in earnout</t>
  </si>
  <si>
    <t>Shares (diluted)</t>
  </si>
  <si>
    <t>Service based revenue, net</t>
  </si>
  <si>
    <t>     Processing fees, net</t>
  </si>
  <si>
    <t>     Tips</t>
  </si>
  <si>
    <t>     Subscriptions</t>
  </si>
  <si>
    <t>     Other</t>
  </si>
  <si>
    <t>Transaction based revenue, net</t>
  </si>
  <si>
    <t>     Interchange revenue, net</t>
  </si>
  <si>
    <t>     ATM revenue, net</t>
  </si>
  <si>
    <t>Total operating revenues, net</t>
  </si>
  <si>
    <t>Revnues</t>
  </si>
  <si>
    <t>Processing fees</t>
  </si>
  <si>
    <t>Q325</t>
  </si>
  <si>
    <t>Q425</t>
  </si>
  <si>
    <t>B Riley</t>
  </si>
  <si>
    <t>Canaccord</t>
  </si>
  <si>
    <t>barrington</t>
  </si>
  <si>
    <t>jmp</t>
  </si>
  <si>
    <t>citizens</t>
  </si>
  <si>
    <t>jpmorgan</t>
  </si>
  <si>
    <t>benchmark</t>
  </si>
  <si>
    <t>Neobanking focusing on Credit</t>
  </si>
  <si>
    <t>Growth Driver: New Users</t>
  </si>
  <si>
    <t>Grow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</si>
</sst>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
    <numFmt numFmtId="166" formatCode="0.0000"/>
    <numFmt numFmtId="167" formatCode="[$-407]mmm/\ yy;@"/>
    <numFmt numFmtId="168" formatCode="0.0"/>
    <numFmt numFmtId="169"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rgb="FFFF9B9B"/>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9" borderId="9" applyNumberFormat="0" applyAlignment="0" applyProtection="0"/>
  </cellStyleXfs>
  <cellXfs count="166">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0" fontId="6" fillId="6" borderId="0" xfId="0" applyFont="1" applyFill="1"/>
    <xf numFmtId="2" fontId="5" fillId="0" borderId="0" xfId="0" applyNumberFormat="1" applyFont="1"/>
    <xf numFmtId="2" fontId="0" fillId="0" borderId="2" xfId="0" applyNumberFormat="1" applyBorder="1"/>
    <xf numFmtId="9" fontId="0" fillId="7" borderId="0" xfId="1" applyFont="1" applyFill="1" applyBorder="1"/>
    <xf numFmtId="9" fontId="0" fillId="7" borderId="2" xfId="1" applyFont="1" applyFill="1" applyBorder="1"/>
    <xf numFmtId="9" fontId="0" fillId="7" borderId="0" xfId="1" applyFont="1" applyFill="1"/>
    <xf numFmtId="10" fontId="2" fillId="0" borderId="0" xfId="1" applyNumberFormat="1" applyFont="1"/>
    <xf numFmtId="0" fontId="7" fillId="0" borderId="0" xfId="0" applyFont="1" applyAlignment="1">
      <alignment horizontal="left" vertical="center" wrapText="1"/>
    </xf>
    <xf numFmtId="0" fontId="7" fillId="0" borderId="0" xfId="0" applyFont="1" applyAlignment="1">
      <alignment horizontal="left" vertical="center" indent="1"/>
    </xf>
    <xf numFmtId="0" fontId="7" fillId="0" borderId="0" xfId="0" applyFont="1" applyAlignment="1">
      <alignment horizontal="right" vertical="center" indent="1"/>
    </xf>
    <xf numFmtId="0" fontId="7" fillId="0" borderId="0" xfId="0" applyFont="1" applyAlignment="1">
      <alignment horizontal="right" vertical="center" wrapText="1"/>
    </xf>
    <xf numFmtId="0" fontId="0" fillId="3" borderId="7" xfId="0" applyFill="1" applyBorder="1" applyAlignment="1">
      <alignment horizontal="right"/>
    </xf>
    <xf numFmtId="0" fontId="12" fillId="11" borderId="13" xfId="0" applyFont="1" applyFill="1" applyBorder="1"/>
    <xf numFmtId="0" fontId="12" fillId="11" borderId="14" xfId="0" applyFont="1" applyFill="1" applyBorder="1"/>
    <xf numFmtId="0" fontId="12" fillId="11" borderId="15" xfId="0" applyFont="1" applyFill="1" applyBorder="1"/>
    <xf numFmtId="0" fontId="12" fillId="11" borderId="16" xfId="0" applyFont="1" applyFill="1" applyBorder="1"/>
    <xf numFmtId="0" fontId="13" fillId="11" borderId="17" xfId="0" applyFont="1" applyFill="1" applyBorder="1" applyAlignment="1">
      <alignment horizontal="center"/>
    </xf>
    <xf numFmtId="0" fontId="13" fillId="11" borderId="18" xfId="0" applyFont="1" applyFill="1" applyBorder="1" applyAlignment="1">
      <alignment horizontal="center"/>
    </xf>
    <xf numFmtId="0" fontId="12" fillId="11" borderId="19" xfId="0" applyFont="1" applyFill="1" applyBorder="1"/>
    <xf numFmtId="0" fontId="12" fillId="11" borderId="20" xfId="0" applyFont="1" applyFill="1" applyBorder="1"/>
    <xf numFmtId="166" fontId="12" fillId="11" borderId="21" xfId="0" applyNumberFormat="1" applyFont="1" applyFill="1" applyBorder="1"/>
    <xf numFmtId="166" fontId="12" fillId="11" borderId="22" xfId="0" applyNumberFormat="1" applyFont="1" applyFill="1" applyBorder="1"/>
    <xf numFmtId="0" fontId="12" fillId="11" borderId="22" xfId="0" applyFont="1" applyFill="1" applyBorder="1"/>
    <xf numFmtId="10" fontId="12" fillId="11" borderId="22" xfId="0" applyNumberFormat="1" applyFont="1" applyFill="1" applyBorder="1"/>
    <xf numFmtId="10" fontId="12" fillId="11" borderId="23" xfId="0" applyNumberFormat="1" applyFont="1" applyFill="1" applyBorder="1"/>
    <xf numFmtId="166" fontId="12" fillId="11" borderId="24" xfId="0" applyNumberFormat="1" applyFont="1" applyFill="1" applyBorder="1"/>
    <xf numFmtId="166" fontId="12" fillId="11" borderId="25" xfId="0" applyNumberFormat="1" applyFont="1" applyFill="1" applyBorder="1"/>
    <xf numFmtId="0" fontId="12" fillId="11" borderId="25" xfId="0" applyFont="1" applyFill="1" applyBorder="1"/>
    <xf numFmtId="0" fontId="12" fillId="11" borderId="25" xfId="0" quotePrefix="1" applyFont="1" applyFill="1" applyBorder="1"/>
    <xf numFmtId="10" fontId="12" fillId="11" borderId="25" xfId="0" applyNumberFormat="1" applyFont="1" applyFill="1" applyBorder="1"/>
    <xf numFmtId="10" fontId="12" fillId="11" borderId="26" xfId="0" applyNumberFormat="1" applyFont="1" applyFill="1" applyBorder="1"/>
    <xf numFmtId="0" fontId="12" fillId="11" borderId="27" xfId="0" applyFont="1" applyFill="1" applyBorder="1"/>
    <xf numFmtId="0" fontId="12" fillId="11" borderId="28" xfId="0" applyFont="1" applyFill="1" applyBorder="1"/>
    <xf numFmtId="10" fontId="12" fillId="11" borderId="29" xfId="0" applyNumberFormat="1" applyFont="1" applyFill="1" applyBorder="1"/>
    <xf numFmtId="166" fontId="12" fillId="11" borderId="30" xfId="0" applyNumberFormat="1" applyFont="1" applyFill="1" applyBorder="1"/>
    <xf numFmtId="0" fontId="12" fillId="11" borderId="31" xfId="0" applyFont="1" applyFill="1" applyBorder="1"/>
    <xf numFmtId="166" fontId="12" fillId="11" borderId="34" xfId="0" applyNumberFormat="1" applyFont="1" applyFill="1" applyBorder="1"/>
    <xf numFmtId="166" fontId="12" fillId="11" borderId="13" xfId="0" applyNumberFormat="1" applyFont="1" applyFill="1" applyBorder="1"/>
    <xf numFmtId="0" fontId="0" fillId="11" borderId="35" xfId="0" applyFill="1" applyBorder="1"/>
    <xf numFmtId="166" fontId="12" fillId="11" borderId="36" xfId="0" applyNumberFormat="1" applyFont="1" applyFill="1" applyBorder="1"/>
    <xf numFmtId="166" fontId="12" fillId="11" borderId="37" xfId="0" applyNumberFormat="1" applyFont="1" applyFill="1" applyBorder="1"/>
    <xf numFmtId="0" fontId="14" fillId="11" borderId="22" xfId="0" applyFont="1" applyFill="1" applyBorder="1"/>
    <xf numFmtId="0" fontId="14" fillId="11" borderId="23" xfId="0" applyFont="1" applyFill="1" applyBorder="1"/>
    <xf numFmtId="166" fontId="14" fillId="11" borderId="24" xfId="0" applyNumberFormat="1" applyFont="1" applyFill="1" applyBorder="1"/>
    <xf numFmtId="166" fontId="14" fillId="11" borderId="30" xfId="0" applyNumberFormat="1" applyFont="1" applyFill="1" applyBorder="1"/>
    <xf numFmtId="10" fontId="12" fillId="11" borderId="28" xfId="0" applyNumberFormat="1" applyFont="1" applyFill="1" applyBorder="1"/>
    <xf numFmtId="0" fontId="12" fillId="11" borderId="0" xfId="0" applyFont="1" applyFill="1"/>
    <xf numFmtId="1" fontId="12" fillId="11" borderId="24" xfId="0" applyNumberFormat="1" applyFont="1" applyFill="1" applyBorder="1"/>
    <xf numFmtId="10" fontId="12" fillId="11" borderId="38" xfId="0" applyNumberFormat="1" applyFont="1" applyFill="1" applyBorder="1"/>
    <xf numFmtId="9" fontId="14" fillId="11" borderId="39" xfId="0" applyNumberFormat="1" applyFont="1" applyFill="1" applyBorder="1"/>
    <xf numFmtId="10" fontId="0" fillId="11" borderId="41" xfId="0" applyNumberFormat="1" applyFill="1" applyBorder="1" applyAlignment="1">
      <alignment horizontal="centerContinuous"/>
    </xf>
    <xf numFmtId="9" fontId="14" fillId="11" borderId="42" xfId="0" applyNumberFormat="1" applyFont="1" applyFill="1" applyBorder="1"/>
    <xf numFmtId="10" fontId="0" fillId="11" borderId="40" xfId="0" applyNumberFormat="1" applyFill="1" applyBorder="1" applyAlignment="1">
      <alignment horizontal="centerContinuous"/>
    </xf>
    <xf numFmtId="9" fontId="14" fillId="11" borderId="34" xfId="0" applyNumberFormat="1" applyFont="1" applyFill="1" applyBorder="1"/>
    <xf numFmtId="10" fontId="0" fillId="11" borderId="2" xfId="0" applyNumberFormat="1" applyFill="1" applyBorder="1" applyAlignment="1">
      <alignment horizontal="centerContinuous"/>
    </xf>
    <xf numFmtId="9" fontId="14" fillId="11" borderId="1" xfId="0" applyNumberFormat="1" applyFont="1" applyFill="1" applyBorder="1"/>
    <xf numFmtId="10" fontId="0" fillId="11" borderId="31" xfId="0" applyNumberFormat="1" applyFill="1" applyBorder="1" applyAlignment="1">
      <alignment horizontal="centerContinuous"/>
    </xf>
    <xf numFmtId="9" fontId="14" fillId="11" borderId="13" xfId="0" applyNumberFormat="1" applyFont="1" applyFill="1" applyBorder="1"/>
    <xf numFmtId="10" fontId="0" fillId="11" borderId="35" xfId="0" applyNumberFormat="1" applyFill="1" applyBorder="1" applyAlignment="1">
      <alignment horizontal="centerContinuous"/>
    </xf>
    <xf numFmtId="0" fontId="12" fillId="11" borderId="43" xfId="0" applyFont="1" applyFill="1" applyBorder="1"/>
    <xf numFmtId="9" fontId="14" fillId="11" borderId="43" xfId="0" applyNumberFormat="1" applyFont="1" applyFill="1" applyBorder="1"/>
    <xf numFmtId="10" fontId="0" fillId="11" borderId="15" xfId="0" applyNumberFormat="1" applyFill="1" applyBorder="1" applyAlignment="1">
      <alignment horizontal="centerContinuous"/>
    </xf>
    <xf numFmtId="0" fontId="14" fillId="0" borderId="21" xfId="0" applyFont="1" applyBorder="1"/>
    <xf numFmtId="9" fontId="10" fillId="9" borderId="23" xfId="3" applyNumberFormat="1" applyBorder="1"/>
    <xf numFmtId="0" fontId="14" fillId="0" borderId="27" xfId="0" applyFont="1" applyBorder="1"/>
    <xf numFmtId="9" fontId="10" fillId="9" borderId="29" xfId="3" applyNumberFormat="1" applyBorder="1"/>
    <xf numFmtId="0" fontId="12" fillId="0" borderId="0" xfId="0" applyFont="1"/>
    <xf numFmtId="2" fontId="10" fillId="9"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165" fontId="12" fillId="11" borderId="31" xfId="0" applyNumberFormat="1" applyFont="1" applyFill="1" applyBorder="1"/>
    <xf numFmtId="2" fontId="12" fillId="11" borderId="31" xfId="0" applyNumberFormat="1" applyFont="1" applyFill="1" applyBorder="1"/>
    <xf numFmtId="3" fontId="5" fillId="0" borderId="2" xfId="0" applyNumberFormat="1" applyFont="1" applyBorder="1"/>
    <xf numFmtId="2" fontId="5" fillId="0" borderId="2" xfId="0" applyNumberFormat="1" applyFont="1" applyBorder="1"/>
    <xf numFmtId="167" fontId="0" fillId="0" borderId="0" xfId="0" applyNumberFormat="1"/>
    <xf numFmtId="2" fontId="2" fillId="3" borderId="0" xfId="0" applyNumberFormat="1" applyFont="1" applyFill="1"/>
    <xf numFmtId="10" fontId="2" fillId="0" borderId="0" xfId="1" applyNumberFormat="1" applyFont="1" applyBorder="1"/>
    <xf numFmtId="0" fontId="0" fillId="6" borderId="0" xfId="0" applyFill="1"/>
    <xf numFmtId="2" fontId="6" fillId="0" borderId="2" xfId="0" applyNumberFormat="1" applyFont="1" applyBorder="1"/>
    <xf numFmtId="168" fontId="0" fillId="0" borderId="0" xfId="0" applyNumberFormat="1"/>
    <xf numFmtId="168" fontId="0" fillId="0" borderId="2" xfId="0" applyNumberFormat="1" applyBorder="1"/>
    <xf numFmtId="168" fontId="2" fillId="0" borderId="2" xfId="0" applyNumberFormat="1" applyFont="1" applyBorder="1"/>
    <xf numFmtId="169" fontId="0" fillId="0" borderId="0" xfId="0" applyNumberFormat="1"/>
    <xf numFmtId="169" fontId="2" fillId="0" borderId="0" xfId="0" applyNumberFormat="1" applyFont="1"/>
    <xf numFmtId="168" fontId="2" fillId="0" borderId="0" xfId="0" applyNumberFormat="1" applyFont="1"/>
    <xf numFmtId="168" fontId="5" fillId="0" borderId="0" xfId="0" applyNumberFormat="1" applyFont="1"/>
    <xf numFmtId="10" fontId="0" fillId="0" borderId="0" xfId="0" applyNumberFormat="1"/>
    <xf numFmtId="10" fontId="0" fillId="0" borderId="0" xfId="1" applyNumberFormat="1" applyFont="1"/>
    <xf numFmtId="0" fontId="0" fillId="8" borderId="3" xfId="0" applyFill="1" applyBorder="1" applyAlignment="1">
      <alignment horizontal="center" vertical="center" wrapText="1"/>
    </xf>
    <xf numFmtId="0" fontId="0" fillId="8" borderId="7"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11" fillId="10" borderId="10" xfId="0" applyFont="1" applyFill="1" applyBorder="1" applyAlignment="1">
      <alignment horizontal="center"/>
    </xf>
    <xf numFmtId="0" fontId="11" fillId="10" borderId="11" xfId="0" applyFont="1" applyFill="1" applyBorder="1" applyAlignment="1">
      <alignment horizontal="center"/>
    </xf>
    <xf numFmtId="0" fontId="11" fillId="10" borderId="12" xfId="0" applyFont="1" applyFill="1" applyBorder="1" applyAlignment="1">
      <alignment horizontal="center"/>
    </xf>
    <xf numFmtId="166" fontId="12" fillId="11" borderId="32" xfId="0" applyNumberFormat="1" applyFont="1" applyFill="1" applyBorder="1" applyAlignment="1">
      <alignment horizontal="center"/>
    </xf>
    <xf numFmtId="166" fontId="12" fillId="11" borderId="44" xfId="0" applyNumberFormat="1" applyFont="1" applyFill="1" applyBorder="1" applyAlignment="1">
      <alignment horizontal="center"/>
    </xf>
    <xf numFmtId="166" fontId="12" fillId="11" borderId="33" xfId="0" applyNumberFormat="1" applyFont="1" applyFill="1" applyBorder="1" applyAlignment="1">
      <alignment horizontal="center"/>
    </xf>
    <xf numFmtId="166" fontId="12" fillId="11"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0" fontId="0" fillId="0" borderId="0" xfId="0" applyBorder="1"/>
    <xf numFmtId="168" fontId="0" fillId="0" borderId="0" xfId="0" applyNumberFormat="1" applyBorder="1"/>
    <xf numFmtId="168" fontId="2" fillId="0" borderId="0" xfId="0" applyNumberFormat="1" applyFont="1" applyBorder="1"/>
    <xf numFmtId="168" fontId="5" fillId="0" borderId="0" xfId="0" applyNumberFormat="1" applyFont="1" applyBorder="1"/>
    <xf numFmtId="2" fontId="2" fillId="0" borderId="0" xfId="0" applyNumberFormat="1" applyFont="1" applyBorder="1"/>
    <xf numFmtId="2" fontId="5" fillId="0" borderId="0" xfId="0" applyNumberFormat="1" applyFont="1" applyBorder="1"/>
    <xf numFmtId="9" fontId="0" fillId="0" borderId="0" xfId="0" applyNumberFormat="1" applyBorder="1"/>
    <xf numFmtId="3" fontId="2" fillId="0" borderId="0" xfId="0" applyNumberFormat="1" applyFont="1" applyBorder="1"/>
    <xf numFmtId="3" fontId="0" fillId="0" borderId="0" xfId="0" applyNumberFormat="1" applyBorder="1"/>
    <xf numFmtId="0" fontId="2" fillId="0" borderId="0" xfId="0" applyFont="1" applyBorder="1"/>
    <xf numFmtId="0" fontId="5" fillId="0" borderId="0" xfId="0" applyFont="1" applyBorder="1"/>
    <xf numFmtId="169" fontId="5" fillId="0" borderId="2" xfId="0" applyNumberFormat="1" applyFont="1" applyBorder="1"/>
    <xf numFmtId="169" fontId="0" fillId="0" borderId="2" xfId="0" applyNumberFormat="1" applyBorder="1"/>
    <xf numFmtId="169" fontId="2" fillId="0" borderId="2" xfId="0" applyNumberFormat="1" applyFont="1" applyBorder="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0000"/>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de-DE">
                <a:solidFill>
                  <a:schemeClr val="tx1"/>
                </a:solidFill>
              </a:rPr>
              <a:t>Analystenratings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stacked"/>
        <c:varyColors val="0"/>
        <c:ser>
          <c:idx val="0"/>
          <c:order val="0"/>
          <c:tx>
            <c:strRef>
              <c:f>Analysts!$A$2</c:f>
              <c:strCache>
                <c:ptCount val="1"/>
                <c:pt idx="0">
                  <c:v>Sell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Analysts!$B$1:$S$1</c:f>
              <c:numCache>
                <c:formatCode>[$-407]mmm/\ yy;@</c:formatCode>
                <c:ptCount val="18"/>
                <c:pt idx="0">
                  <c:v>45413</c:v>
                </c:pt>
                <c:pt idx="1">
                  <c:v>45444</c:v>
                </c:pt>
                <c:pt idx="2">
                  <c:v>45474</c:v>
                </c:pt>
                <c:pt idx="3">
                  <c:v>45505</c:v>
                </c:pt>
                <c:pt idx="4">
                  <c:v>45536</c:v>
                </c:pt>
                <c:pt idx="5">
                  <c:v>45566</c:v>
                </c:pt>
                <c:pt idx="6">
                  <c:v>45597</c:v>
                </c:pt>
                <c:pt idx="7">
                  <c:v>45627</c:v>
                </c:pt>
                <c:pt idx="8">
                  <c:v>45658</c:v>
                </c:pt>
                <c:pt idx="9">
                  <c:v>45689</c:v>
                </c:pt>
                <c:pt idx="10">
                  <c:v>45717</c:v>
                </c:pt>
                <c:pt idx="11">
                  <c:v>45748</c:v>
                </c:pt>
                <c:pt idx="12">
                  <c:v>45778</c:v>
                </c:pt>
                <c:pt idx="13">
                  <c:v>45809</c:v>
                </c:pt>
                <c:pt idx="14">
                  <c:v>45839</c:v>
                </c:pt>
                <c:pt idx="15">
                  <c:v>45870</c:v>
                </c:pt>
                <c:pt idx="16">
                  <c:v>45901</c:v>
                </c:pt>
                <c:pt idx="17">
                  <c:v>45931</c:v>
                </c:pt>
              </c:numCache>
            </c:numRef>
          </c:cat>
          <c:val>
            <c:numRef>
              <c:f>Analysts!$B$2:$S$2</c:f>
              <c:numCache>
                <c:formatCode>General</c:formatCode>
                <c:ptCount val="18"/>
              </c:numCache>
            </c:numRef>
          </c:val>
          <c:extLst>
            <c:ext xmlns:c16="http://schemas.microsoft.com/office/drawing/2014/chart" uri="{C3380CC4-5D6E-409C-BE32-E72D297353CC}">
              <c16:uniqueId val="{00000000-579C-4350-B83D-5F2E75DDA864}"/>
            </c:ext>
          </c:extLst>
        </c:ser>
        <c:ser>
          <c:idx val="1"/>
          <c:order val="1"/>
          <c:tx>
            <c:strRef>
              <c:f>Analysts!$A$3</c:f>
              <c:strCache>
                <c:ptCount val="1"/>
                <c:pt idx="0">
                  <c:v>Underperform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Analysts!$B$1:$S$1</c:f>
              <c:numCache>
                <c:formatCode>[$-407]mmm/\ yy;@</c:formatCode>
                <c:ptCount val="18"/>
                <c:pt idx="0">
                  <c:v>45413</c:v>
                </c:pt>
                <c:pt idx="1">
                  <c:v>45444</c:v>
                </c:pt>
                <c:pt idx="2">
                  <c:v>45474</c:v>
                </c:pt>
                <c:pt idx="3">
                  <c:v>45505</c:v>
                </c:pt>
                <c:pt idx="4">
                  <c:v>45536</c:v>
                </c:pt>
                <c:pt idx="5">
                  <c:v>45566</c:v>
                </c:pt>
                <c:pt idx="6">
                  <c:v>45597</c:v>
                </c:pt>
                <c:pt idx="7">
                  <c:v>45627</c:v>
                </c:pt>
                <c:pt idx="8">
                  <c:v>45658</c:v>
                </c:pt>
                <c:pt idx="9">
                  <c:v>45689</c:v>
                </c:pt>
                <c:pt idx="10">
                  <c:v>45717</c:v>
                </c:pt>
                <c:pt idx="11">
                  <c:v>45748</c:v>
                </c:pt>
                <c:pt idx="12">
                  <c:v>45778</c:v>
                </c:pt>
                <c:pt idx="13">
                  <c:v>45809</c:v>
                </c:pt>
                <c:pt idx="14">
                  <c:v>45839</c:v>
                </c:pt>
                <c:pt idx="15">
                  <c:v>45870</c:v>
                </c:pt>
                <c:pt idx="16">
                  <c:v>45901</c:v>
                </c:pt>
                <c:pt idx="17">
                  <c:v>45931</c:v>
                </c:pt>
              </c:numCache>
            </c:numRef>
          </c:cat>
          <c:val>
            <c:numRef>
              <c:f>Analysts!$B$3:$S$3</c:f>
              <c:numCache>
                <c:formatCode>General</c:formatCode>
                <c:ptCount val="18"/>
              </c:numCache>
            </c:numRef>
          </c:val>
          <c:extLst>
            <c:ext xmlns:c16="http://schemas.microsoft.com/office/drawing/2014/chart" uri="{C3380CC4-5D6E-409C-BE32-E72D297353CC}">
              <c16:uniqueId val="{00000001-579C-4350-B83D-5F2E75DDA864}"/>
            </c:ext>
          </c:extLst>
        </c:ser>
        <c:ser>
          <c:idx val="2"/>
          <c:order val="2"/>
          <c:tx>
            <c:strRef>
              <c:f>Analysts!$A$4</c:f>
              <c:strCache>
                <c:ptCount val="1"/>
                <c:pt idx="0">
                  <c:v>Hold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Analysts!$B$1:$S$1</c:f>
              <c:numCache>
                <c:formatCode>[$-407]mmm/\ yy;@</c:formatCode>
                <c:ptCount val="18"/>
                <c:pt idx="0">
                  <c:v>45413</c:v>
                </c:pt>
                <c:pt idx="1">
                  <c:v>45444</c:v>
                </c:pt>
                <c:pt idx="2">
                  <c:v>45474</c:v>
                </c:pt>
                <c:pt idx="3">
                  <c:v>45505</c:v>
                </c:pt>
                <c:pt idx="4">
                  <c:v>45536</c:v>
                </c:pt>
                <c:pt idx="5">
                  <c:v>45566</c:v>
                </c:pt>
                <c:pt idx="6">
                  <c:v>45597</c:v>
                </c:pt>
                <c:pt idx="7">
                  <c:v>45627</c:v>
                </c:pt>
                <c:pt idx="8">
                  <c:v>45658</c:v>
                </c:pt>
                <c:pt idx="9">
                  <c:v>45689</c:v>
                </c:pt>
                <c:pt idx="10">
                  <c:v>45717</c:v>
                </c:pt>
                <c:pt idx="11">
                  <c:v>45748</c:v>
                </c:pt>
                <c:pt idx="12">
                  <c:v>45778</c:v>
                </c:pt>
                <c:pt idx="13">
                  <c:v>45809</c:v>
                </c:pt>
                <c:pt idx="14">
                  <c:v>45839</c:v>
                </c:pt>
                <c:pt idx="15">
                  <c:v>45870</c:v>
                </c:pt>
                <c:pt idx="16">
                  <c:v>45901</c:v>
                </c:pt>
                <c:pt idx="17">
                  <c:v>45931</c:v>
                </c:pt>
              </c:numCache>
            </c:numRef>
          </c:cat>
          <c:val>
            <c:numRef>
              <c:f>Analysts!$B$4:$S$4</c:f>
              <c:numCache>
                <c:formatCode>General</c:formatCode>
                <c:ptCount val="18"/>
                <c:pt idx="15">
                  <c:v>1</c:v>
                </c:pt>
                <c:pt idx="16">
                  <c:v>1</c:v>
                </c:pt>
                <c:pt idx="17">
                  <c:v>3</c:v>
                </c:pt>
              </c:numCache>
            </c:numRef>
          </c:val>
          <c:extLst>
            <c:ext xmlns:c16="http://schemas.microsoft.com/office/drawing/2014/chart" uri="{C3380CC4-5D6E-409C-BE32-E72D297353CC}">
              <c16:uniqueId val="{00000002-579C-4350-B83D-5F2E75DDA864}"/>
            </c:ext>
          </c:extLst>
        </c:ser>
        <c:ser>
          <c:idx val="3"/>
          <c:order val="3"/>
          <c:tx>
            <c:strRef>
              <c:f>Analysts!$A$5</c:f>
              <c:strCache>
                <c:ptCount val="1"/>
                <c:pt idx="0">
                  <c:v>Buy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Analysts!$B$1:$S$1</c:f>
              <c:numCache>
                <c:formatCode>[$-407]mmm/\ yy;@</c:formatCode>
                <c:ptCount val="18"/>
                <c:pt idx="0">
                  <c:v>45413</c:v>
                </c:pt>
                <c:pt idx="1">
                  <c:v>45444</c:v>
                </c:pt>
                <c:pt idx="2">
                  <c:v>45474</c:v>
                </c:pt>
                <c:pt idx="3">
                  <c:v>45505</c:v>
                </c:pt>
                <c:pt idx="4">
                  <c:v>45536</c:v>
                </c:pt>
                <c:pt idx="5">
                  <c:v>45566</c:v>
                </c:pt>
                <c:pt idx="6">
                  <c:v>45597</c:v>
                </c:pt>
                <c:pt idx="7">
                  <c:v>45627</c:v>
                </c:pt>
                <c:pt idx="8">
                  <c:v>45658</c:v>
                </c:pt>
                <c:pt idx="9">
                  <c:v>45689</c:v>
                </c:pt>
                <c:pt idx="10">
                  <c:v>45717</c:v>
                </c:pt>
                <c:pt idx="11">
                  <c:v>45748</c:v>
                </c:pt>
                <c:pt idx="12">
                  <c:v>45778</c:v>
                </c:pt>
                <c:pt idx="13">
                  <c:v>45809</c:v>
                </c:pt>
                <c:pt idx="14">
                  <c:v>45839</c:v>
                </c:pt>
                <c:pt idx="15">
                  <c:v>45870</c:v>
                </c:pt>
                <c:pt idx="16">
                  <c:v>45901</c:v>
                </c:pt>
                <c:pt idx="17">
                  <c:v>45931</c:v>
                </c:pt>
              </c:numCache>
            </c:numRef>
          </c:cat>
          <c:val>
            <c:numRef>
              <c:f>Analysts!$B$5:$S$5</c:f>
              <c:numCache>
                <c:formatCode>General</c:formatCode>
                <c:ptCount val="18"/>
                <c:pt idx="0">
                  <c:v>2</c:v>
                </c:pt>
                <c:pt idx="1">
                  <c:v>2</c:v>
                </c:pt>
                <c:pt idx="2">
                  <c:v>3</c:v>
                </c:pt>
                <c:pt idx="3">
                  <c:v>4</c:v>
                </c:pt>
                <c:pt idx="4">
                  <c:v>5</c:v>
                </c:pt>
                <c:pt idx="5">
                  <c:v>5</c:v>
                </c:pt>
                <c:pt idx="6">
                  <c:v>5</c:v>
                </c:pt>
                <c:pt idx="7">
                  <c:v>5</c:v>
                </c:pt>
                <c:pt idx="8">
                  <c:v>5</c:v>
                </c:pt>
                <c:pt idx="9">
                  <c:v>6</c:v>
                </c:pt>
                <c:pt idx="10">
                  <c:v>6</c:v>
                </c:pt>
                <c:pt idx="11">
                  <c:v>6</c:v>
                </c:pt>
                <c:pt idx="12">
                  <c:v>6</c:v>
                </c:pt>
                <c:pt idx="13">
                  <c:v>6</c:v>
                </c:pt>
                <c:pt idx="14">
                  <c:v>7</c:v>
                </c:pt>
                <c:pt idx="15">
                  <c:v>8</c:v>
                </c:pt>
                <c:pt idx="16">
                  <c:v>8</c:v>
                </c:pt>
                <c:pt idx="17">
                  <c:v>8</c:v>
                </c:pt>
              </c:numCache>
            </c:numRef>
          </c:val>
          <c:extLst>
            <c:ext xmlns:c16="http://schemas.microsoft.com/office/drawing/2014/chart" uri="{C3380CC4-5D6E-409C-BE32-E72D297353CC}">
              <c16:uniqueId val="{00000003-579C-4350-B83D-5F2E75DDA864}"/>
            </c:ext>
          </c:extLst>
        </c:ser>
        <c:ser>
          <c:idx val="4"/>
          <c:order val="4"/>
          <c:tx>
            <c:strRef>
              <c:f>Analysts!$A$6</c:f>
              <c:strCache>
                <c:ptCount val="1"/>
                <c:pt idx="0">
                  <c:v>Strong buy</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Analysts!$B$1:$S$1</c:f>
              <c:numCache>
                <c:formatCode>[$-407]mmm/\ yy;@</c:formatCode>
                <c:ptCount val="18"/>
                <c:pt idx="0">
                  <c:v>45413</c:v>
                </c:pt>
                <c:pt idx="1">
                  <c:v>45444</c:v>
                </c:pt>
                <c:pt idx="2">
                  <c:v>45474</c:v>
                </c:pt>
                <c:pt idx="3">
                  <c:v>45505</c:v>
                </c:pt>
                <c:pt idx="4">
                  <c:v>45536</c:v>
                </c:pt>
                <c:pt idx="5">
                  <c:v>45566</c:v>
                </c:pt>
                <c:pt idx="6">
                  <c:v>45597</c:v>
                </c:pt>
                <c:pt idx="7">
                  <c:v>45627</c:v>
                </c:pt>
                <c:pt idx="8">
                  <c:v>45658</c:v>
                </c:pt>
                <c:pt idx="9">
                  <c:v>45689</c:v>
                </c:pt>
                <c:pt idx="10">
                  <c:v>45717</c:v>
                </c:pt>
                <c:pt idx="11">
                  <c:v>45748</c:v>
                </c:pt>
                <c:pt idx="12">
                  <c:v>45778</c:v>
                </c:pt>
                <c:pt idx="13">
                  <c:v>45809</c:v>
                </c:pt>
                <c:pt idx="14">
                  <c:v>45839</c:v>
                </c:pt>
                <c:pt idx="15">
                  <c:v>45870</c:v>
                </c:pt>
                <c:pt idx="16">
                  <c:v>45901</c:v>
                </c:pt>
                <c:pt idx="17">
                  <c:v>45931</c:v>
                </c:pt>
              </c:numCache>
            </c:numRef>
          </c:cat>
          <c:val>
            <c:numRef>
              <c:f>Analysts!$B$6:$S$6</c:f>
              <c:numCache>
                <c:formatCode>General</c:formatCode>
                <c:ptCount val="18"/>
                <c:pt idx="2">
                  <c:v>1</c:v>
                </c:pt>
                <c:pt idx="3">
                  <c:v>1</c:v>
                </c:pt>
                <c:pt idx="4">
                  <c:v>1</c:v>
                </c:pt>
                <c:pt idx="5">
                  <c:v>1</c:v>
                </c:pt>
                <c:pt idx="6">
                  <c:v>1</c:v>
                </c:pt>
                <c:pt idx="7">
                  <c:v>1</c:v>
                </c:pt>
                <c:pt idx="8">
                  <c:v>1</c:v>
                </c:pt>
                <c:pt idx="9">
                  <c:v>1</c:v>
                </c:pt>
                <c:pt idx="10">
                  <c:v>1</c:v>
                </c:pt>
                <c:pt idx="11">
                  <c:v>1</c:v>
                </c:pt>
                <c:pt idx="12">
                  <c:v>1</c:v>
                </c:pt>
                <c:pt idx="13">
                  <c:v>1</c:v>
                </c:pt>
              </c:numCache>
            </c:numRef>
          </c:val>
          <c:extLst>
            <c:ext xmlns:c16="http://schemas.microsoft.com/office/drawing/2014/chart" uri="{C3380CC4-5D6E-409C-BE32-E72D297353CC}">
              <c16:uniqueId val="{00000004-579C-4350-B83D-5F2E75DDA864}"/>
            </c:ext>
          </c:extLst>
        </c:ser>
        <c:dLbls>
          <c:dLblPos val="ctr"/>
          <c:showLegendKey val="0"/>
          <c:showVal val="1"/>
          <c:showCatName val="0"/>
          <c:showSerName val="0"/>
          <c:showPercent val="0"/>
          <c:showBubbleSize val="0"/>
        </c:dLbls>
        <c:gapWidth val="150"/>
        <c:overlap val="100"/>
        <c:axId val="562824575"/>
        <c:axId val="562812095"/>
      </c:barChart>
      <c:dateAx>
        <c:axId val="562824575"/>
        <c:scaling>
          <c:orientation val="minMax"/>
        </c:scaling>
        <c:delete val="0"/>
        <c:axPos val="b"/>
        <c:numFmt formatCode="[$-407]mmm/\ 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de-DE"/>
          </a:p>
        </c:txPr>
        <c:crossAx val="562812095"/>
        <c:crosses val="autoZero"/>
        <c:auto val="1"/>
        <c:lblOffset val="100"/>
        <c:baseTimeUnit val="months"/>
      </c:dateAx>
      <c:valAx>
        <c:axId val="56281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562824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numRef>
              <c:f>DoR!$K$4:$K$15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DoR!$J$4:$J$15</c:f>
              <c:numCache>
                <c:formatCode>General</c:formatCode>
                <c:ptCount val="12"/>
                <c:pt idx="0">
                  <c:v>67</c:v>
                </c:pt>
                <c:pt idx="1">
                  <c:v>67</c:v>
                </c:pt>
                <c:pt idx="2">
                  <c:v>67</c:v>
                </c:pt>
                <c:pt idx="3">
                  <c:v>67</c:v>
                </c:pt>
                <c:pt idx="4">
                  <c:v>67</c:v>
                </c:pt>
                <c:pt idx="5">
                  <c:v>67</c:v>
                </c:pt>
                <c:pt idx="6">
                  <c:v>67</c:v>
                </c:pt>
                <c:pt idx="7">
                  <c:v>67</c:v>
                </c:pt>
                <c:pt idx="8">
                  <c:v>67</c:v>
                </c:pt>
                <c:pt idx="9">
                  <c:v>67</c:v>
                </c:pt>
                <c:pt idx="10">
                  <c:v>67</c:v>
                </c:pt>
                <c:pt idx="11">
                  <c:v>67</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de-DE" b="1">
                <a:solidFill>
                  <a:schemeClr val="bg1"/>
                </a:solidFill>
              </a:rPr>
              <a:t>Price Targets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de-DE"/>
        </a:p>
      </c:txPr>
    </c:title>
    <c:autoTitleDeleted val="0"/>
    <c:plotArea>
      <c:layout/>
      <c:lineChart>
        <c:grouping val="standard"/>
        <c:varyColors val="0"/>
        <c:ser>
          <c:idx val="0"/>
          <c:order val="0"/>
          <c:tx>
            <c:strRef>
              <c:f>Analysts!$A$10</c:f>
              <c:strCache>
                <c:ptCount val="1"/>
                <c:pt idx="0">
                  <c:v>B Riley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Analysts!$B$1:$S$1</c:f>
              <c:numCache>
                <c:formatCode>[$-407]mmm/\ yy;@</c:formatCode>
                <c:ptCount val="18"/>
                <c:pt idx="0">
                  <c:v>45413</c:v>
                </c:pt>
                <c:pt idx="1">
                  <c:v>45444</c:v>
                </c:pt>
                <c:pt idx="2">
                  <c:v>45474</c:v>
                </c:pt>
                <c:pt idx="3">
                  <c:v>45505</c:v>
                </c:pt>
                <c:pt idx="4">
                  <c:v>45536</c:v>
                </c:pt>
                <c:pt idx="5">
                  <c:v>45566</c:v>
                </c:pt>
                <c:pt idx="6">
                  <c:v>45597</c:v>
                </c:pt>
                <c:pt idx="7">
                  <c:v>45627</c:v>
                </c:pt>
                <c:pt idx="8">
                  <c:v>45658</c:v>
                </c:pt>
                <c:pt idx="9">
                  <c:v>45689</c:v>
                </c:pt>
                <c:pt idx="10">
                  <c:v>45717</c:v>
                </c:pt>
                <c:pt idx="11">
                  <c:v>45748</c:v>
                </c:pt>
                <c:pt idx="12">
                  <c:v>45778</c:v>
                </c:pt>
                <c:pt idx="13">
                  <c:v>45809</c:v>
                </c:pt>
                <c:pt idx="14">
                  <c:v>45839</c:v>
                </c:pt>
                <c:pt idx="15">
                  <c:v>45870</c:v>
                </c:pt>
                <c:pt idx="16">
                  <c:v>45901</c:v>
                </c:pt>
                <c:pt idx="17">
                  <c:v>45931</c:v>
                </c:pt>
              </c:numCache>
            </c:numRef>
          </c:cat>
          <c:val>
            <c:numRef>
              <c:f>Analysts!$B$10:$S$10</c:f>
              <c:numCache>
                <c:formatCode>General</c:formatCode>
                <c:ptCount val="18"/>
                <c:pt idx="8">
                  <c:v>239</c:v>
                </c:pt>
                <c:pt idx="9">
                  <c:v>239</c:v>
                </c:pt>
                <c:pt idx="10">
                  <c:v>239</c:v>
                </c:pt>
                <c:pt idx="11">
                  <c:v>239</c:v>
                </c:pt>
                <c:pt idx="12">
                  <c:v>239</c:v>
                </c:pt>
                <c:pt idx="13">
                  <c:v>277</c:v>
                </c:pt>
              </c:numCache>
            </c:numRef>
          </c:val>
          <c:smooth val="0"/>
          <c:extLst>
            <c:ext xmlns:c16="http://schemas.microsoft.com/office/drawing/2014/chart" uri="{C3380CC4-5D6E-409C-BE32-E72D297353CC}">
              <c16:uniqueId val="{00000000-056B-4CCB-ADAE-0606DD7B1945}"/>
            </c:ext>
          </c:extLst>
        </c:ser>
        <c:ser>
          <c:idx val="1"/>
          <c:order val="1"/>
          <c:tx>
            <c:strRef>
              <c:f>Analysts!$A$11</c:f>
              <c:strCache>
                <c:ptCount val="1"/>
                <c:pt idx="0">
                  <c:v>Canaccord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Analysts!$B$1:$S$1</c:f>
              <c:numCache>
                <c:formatCode>[$-407]mmm/\ yy;@</c:formatCode>
                <c:ptCount val="18"/>
                <c:pt idx="0">
                  <c:v>45413</c:v>
                </c:pt>
                <c:pt idx="1">
                  <c:v>45444</c:v>
                </c:pt>
                <c:pt idx="2">
                  <c:v>45474</c:v>
                </c:pt>
                <c:pt idx="3">
                  <c:v>45505</c:v>
                </c:pt>
                <c:pt idx="4">
                  <c:v>45536</c:v>
                </c:pt>
                <c:pt idx="5">
                  <c:v>45566</c:v>
                </c:pt>
                <c:pt idx="6">
                  <c:v>45597</c:v>
                </c:pt>
                <c:pt idx="7">
                  <c:v>45627</c:v>
                </c:pt>
                <c:pt idx="8">
                  <c:v>45658</c:v>
                </c:pt>
                <c:pt idx="9">
                  <c:v>45689</c:v>
                </c:pt>
                <c:pt idx="10">
                  <c:v>45717</c:v>
                </c:pt>
                <c:pt idx="11">
                  <c:v>45748</c:v>
                </c:pt>
                <c:pt idx="12">
                  <c:v>45778</c:v>
                </c:pt>
                <c:pt idx="13">
                  <c:v>45809</c:v>
                </c:pt>
                <c:pt idx="14">
                  <c:v>45839</c:v>
                </c:pt>
                <c:pt idx="15">
                  <c:v>45870</c:v>
                </c:pt>
                <c:pt idx="16">
                  <c:v>45901</c:v>
                </c:pt>
                <c:pt idx="17">
                  <c:v>45931</c:v>
                </c:pt>
              </c:numCache>
            </c:numRef>
          </c:cat>
          <c:val>
            <c:numRef>
              <c:f>Analysts!$B$11:$S$11</c:f>
              <c:numCache>
                <c:formatCode>General</c:formatCode>
                <c:ptCount val="18"/>
                <c:pt idx="10">
                  <c:v>179</c:v>
                </c:pt>
                <c:pt idx="11">
                  <c:v>179</c:v>
                </c:pt>
                <c:pt idx="12">
                  <c:v>179</c:v>
                </c:pt>
                <c:pt idx="13">
                  <c:v>179</c:v>
                </c:pt>
                <c:pt idx="14">
                  <c:v>179</c:v>
                </c:pt>
                <c:pt idx="15">
                  <c:v>229</c:v>
                </c:pt>
              </c:numCache>
            </c:numRef>
          </c:val>
          <c:smooth val="0"/>
          <c:extLst>
            <c:ext xmlns:c16="http://schemas.microsoft.com/office/drawing/2014/chart" uri="{C3380CC4-5D6E-409C-BE32-E72D297353CC}">
              <c16:uniqueId val="{00000001-056B-4CCB-ADAE-0606DD7B1945}"/>
            </c:ext>
          </c:extLst>
        </c:ser>
        <c:ser>
          <c:idx val="2"/>
          <c:order val="2"/>
          <c:tx>
            <c:strRef>
              <c:f>Analysts!$A$12</c:f>
              <c:strCache>
                <c:ptCount val="1"/>
                <c:pt idx="0">
                  <c:v>barrington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Analysts!$B$1:$S$1</c:f>
              <c:numCache>
                <c:formatCode>[$-407]mmm/\ yy;@</c:formatCode>
                <c:ptCount val="18"/>
                <c:pt idx="0">
                  <c:v>45413</c:v>
                </c:pt>
                <c:pt idx="1">
                  <c:v>45444</c:v>
                </c:pt>
                <c:pt idx="2">
                  <c:v>45474</c:v>
                </c:pt>
                <c:pt idx="3">
                  <c:v>45505</c:v>
                </c:pt>
                <c:pt idx="4">
                  <c:v>45536</c:v>
                </c:pt>
                <c:pt idx="5">
                  <c:v>45566</c:v>
                </c:pt>
                <c:pt idx="6">
                  <c:v>45597</c:v>
                </c:pt>
                <c:pt idx="7">
                  <c:v>45627</c:v>
                </c:pt>
                <c:pt idx="8">
                  <c:v>45658</c:v>
                </c:pt>
                <c:pt idx="9">
                  <c:v>45689</c:v>
                </c:pt>
                <c:pt idx="10">
                  <c:v>45717</c:v>
                </c:pt>
                <c:pt idx="11">
                  <c:v>45748</c:v>
                </c:pt>
                <c:pt idx="12">
                  <c:v>45778</c:v>
                </c:pt>
                <c:pt idx="13">
                  <c:v>45809</c:v>
                </c:pt>
                <c:pt idx="14">
                  <c:v>45839</c:v>
                </c:pt>
                <c:pt idx="15">
                  <c:v>45870</c:v>
                </c:pt>
                <c:pt idx="16">
                  <c:v>45901</c:v>
                </c:pt>
                <c:pt idx="17">
                  <c:v>45931</c:v>
                </c:pt>
              </c:numCache>
            </c:numRef>
          </c:cat>
          <c:val>
            <c:numRef>
              <c:f>Analysts!$B$12:$S$12</c:f>
              <c:numCache>
                <c:formatCode>General</c:formatCode>
                <c:ptCount val="18"/>
                <c:pt idx="15">
                  <c:v>290</c:v>
                </c:pt>
              </c:numCache>
            </c:numRef>
          </c:val>
          <c:smooth val="0"/>
          <c:extLst>
            <c:ext xmlns:c16="http://schemas.microsoft.com/office/drawing/2014/chart" uri="{C3380CC4-5D6E-409C-BE32-E72D297353CC}">
              <c16:uniqueId val="{00000002-056B-4CCB-ADAE-0606DD7B1945}"/>
            </c:ext>
          </c:extLst>
        </c:ser>
        <c:ser>
          <c:idx val="3"/>
          <c:order val="3"/>
          <c:tx>
            <c:strRef>
              <c:f>Analysts!$A$13</c:f>
              <c:strCache>
                <c:ptCount val="1"/>
                <c:pt idx="0">
                  <c:v>jmp</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Analysts!$B$1:$S$1</c:f>
              <c:numCache>
                <c:formatCode>[$-407]mmm/\ yy;@</c:formatCode>
                <c:ptCount val="18"/>
                <c:pt idx="0">
                  <c:v>45413</c:v>
                </c:pt>
                <c:pt idx="1">
                  <c:v>45444</c:v>
                </c:pt>
                <c:pt idx="2">
                  <c:v>45474</c:v>
                </c:pt>
                <c:pt idx="3">
                  <c:v>45505</c:v>
                </c:pt>
                <c:pt idx="4">
                  <c:v>45536</c:v>
                </c:pt>
                <c:pt idx="5">
                  <c:v>45566</c:v>
                </c:pt>
                <c:pt idx="6">
                  <c:v>45597</c:v>
                </c:pt>
                <c:pt idx="7">
                  <c:v>45627</c:v>
                </c:pt>
                <c:pt idx="8">
                  <c:v>45658</c:v>
                </c:pt>
                <c:pt idx="9">
                  <c:v>45689</c:v>
                </c:pt>
                <c:pt idx="10">
                  <c:v>45717</c:v>
                </c:pt>
                <c:pt idx="11">
                  <c:v>45748</c:v>
                </c:pt>
                <c:pt idx="12">
                  <c:v>45778</c:v>
                </c:pt>
                <c:pt idx="13">
                  <c:v>45809</c:v>
                </c:pt>
                <c:pt idx="14">
                  <c:v>45839</c:v>
                </c:pt>
                <c:pt idx="15">
                  <c:v>45870</c:v>
                </c:pt>
                <c:pt idx="16">
                  <c:v>45901</c:v>
                </c:pt>
                <c:pt idx="17">
                  <c:v>45931</c:v>
                </c:pt>
              </c:numCache>
            </c:numRef>
          </c:cat>
          <c:val>
            <c:numRef>
              <c:f>Analysts!$B$13:$S$13</c:f>
              <c:numCache>
                <c:formatCode>General</c:formatCode>
                <c:ptCount val="18"/>
                <c:pt idx="10">
                  <c:v>280</c:v>
                </c:pt>
                <c:pt idx="11">
                  <c:v>280</c:v>
                </c:pt>
                <c:pt idx="12">
                  <c:v>280</c:v>
                </c:pt>
                <c:pt idx="13">
                  <c:v>280</c:v>
                </c:pt>
                <c:pt idx="14">
                  <c:v>280</c:v>
                </c:pt>
                <c:pt idx="15">
                  <c:v>280</c:v>
                </c:pt>
                <c:pt idx="16">
                  <c:v>300</c:v>
                </c:pt>
              </c:numCache>
            </c:numRef>
          </c:val>
          <c:smooth val="0"/>
          <c:extLst>
            <c:ext xmlns:c16="http://schemas.microsoft.com/office/drawing/2014/chart" uri="{C3380CC4-5D6E-409C-BE32-E72D297353CC}">
              <c16:uniqueId val="{00000000-179B-4BC2-8924-E23F65F40B3B}"/>
            </c:ext>
          </c:extLst>
        </c:ser>
        <c:ser>
          <c:idx val="4"/>
          <c:order val="4"/>
          <c:tx>
            <c:strRef>
              <c:f>Analysts!$A$14</c:f>
              <c:strCache>
                <c:ptCount val="1"/>
                <c:pt idx="0">
                  <c:v>citizens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Analysts!$B$1:$S$1</c:f>
              <c:numCache>
                <c:formatCode>[$-407]mmm/\ yy;@</c:formatCode>
                <c:ptCount val="18"/>
                <c:pt idx="0">
                  <c:v>45413</c:v>
                </c:pt>
                <c:pt idx="1">
                  <c:v>45444</c:v>
                </c:pt>
                <c:pt idx="2">
                  <c:v>45474</c:v>
                </c:pt>
                <c:pt idx="3">
                  <c:v>45505</c:v>
                </c:pt>
                <c:pt idx="4">
                  <c:v>45536</c:v>
                </c:pt>
                <c:pt idx="5">
                  <c:v>45566</c:v>
                </c:pt>
                <c:pt idx="6">
                  <c:v>45597</c:v>
                </c:pt>
                <c:pt idx="7">
                  <c:v>45627</c:v>
                </c:pt>
                <c:pt idx="8">
                  <c:v>45658</c:v>
                </c:pt>
                <c:pt idx="9">
                  <c:v>45689</c:v>
                </c:pt>
                <c:pt idx="10">
                  <c:v>45717</c:v>
                </c:pt>
                <c:pt idx="11">
                  <c:v>45748</c:v>
                </c:pt>
                <c:pt idx="12">
                  <c:v>45778</c:v>
                </c:pt>
                <c:pt idx="13">
                  <c:v>45809</c:v>
                </c:pt>
                <c:pt idx="14">
                  <c:v>45839</c:v>
                </c:pt>
                <c:pt idx="15">
                  <c:v>45870</c:v>
                </c:pt>
                <c:pt idx="16">
                  <c:v>45901</c:v>
                </c:pt>
                <c:pt idx="17">
                  <c:v>45931</c:v>
                </c:pt>
              </c:numCache>
            </c:numRef>
          </c:cat>
          <c:val>
            <c:numRef>
              <c:f>Analysts!$B$14:$S$14</c:f>
              <c:numCache>
                <c:formatCode>General</c:formatCode>
                <c:ptCount val="18"/>
                <c:pt idx="10">
                  <c:v>280</c:v>
                </c:pt>
                <c:pt idx="11">
                  <c:v>280</c:v>
                </c:pt>
                <c:pt idx="12">
                  <c:v>280</c:v>
                </c:pt>
                <c:pt idx="13">
                  <c:v>280</c:v>
                </c:pt>
                <c:pt idx="14">
                  <c:v>280</c:v>
                </c:pt>
                <c:pt idx="15">
                  <c:v>280</c:v>
                </c:pt>
                <c:pt idx="16">
                  <c:v>300</c:v>
                </c:pt>
              </c:numCache>
            </c:numRef>
          </c:val>
          <c:smooth val="0"/>
          <c:extLst>
            <c:ext xmlns:c16="http://schemas.microsoft.com/office/drawing/2014/chart" uri="{C3380CC4-5D6E-409C-BE32-E72D297353CC}">
              <c16:uniqueId val="{00000001-179B-4BC2-8924-E23F65F40B3B}"/>
            </c:ext>
          </c:extLst>
        </c:ser>
        <c:ser>
          <c:idx val="5"/>
          <c:order val="5"/>
          <c:tx>
            <c:strRef>
              <c:f>Analysts!$A$15</c:f>
              <c:strCache>
                <c:ptCount val="1"/>
                <c:pt idx="0">
                  <c:v>jpmorgan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Analysts!$B$1:$S$1</c:f>
              <c:numCache>
                <c:formatCode>[$-407]mmm/\ yy;@</c:formatCode>
                <c:ptCount val="18"/>
                <c:pt idx="0">
                  <c:v>45413</c:v>
                </c:pt>
                <c:pt idx="1">
                  <c:v>45444</c:v>
                </c:pt>
                <c:pt idx="2">
                  <c:v>45474</c:v>
                </c:pt>
                <c:pt idx="3">
                  <c:v>45505</c:v>
                </c:pt>
                <c:pt idx="4">
                  <c:v>45536</c:v>
                </c:pt>
                <c:pt idx="5">
                  <c:v>45566</c:v>
                </c:pt>
                <c:pt idx="6">
                  <c:v>45597</c:v>
                </c:pt>
                <c:pt idx="7">
                  <c:v>45627</c:v>
                </c:pt>
                <c:pt idx="8">
                  <c:v>45658</c:v>
                </c:pt>
                <c:pt idx="9">
                  <c:v>45689</c:v>
                </c:pt>
                <c:pt idx="10">
                  <c:v>45717</c:v>
                </c:pt>
                <c:pt idx="11">
                  <c:v>45748</c:v>
                </c:pt>
                <c:pt idx="12">
                  <c:v>45778</c:v>
                </c:pt>
                <c:pt idx="13">
                  <c:v>45809</c:v>
                </c:pt>
                <c:pt idx="14">
                  <c:v>45839</c:v>
                </c:pt>
                <c:pt idx="15">
                  <c:v>45870</c:v>
                </c:pt>
                <c:pt idx="16">
                  <c:v>45901</c:v>
                </c:pt>
                <c:pt idx="17">
                  <c:v>45931</c:v>
                </c:pt>
              </c:numCache>
            </c:numRef>
          </c:cat>
          <c:val>
            <c:numRef>
              <c:f>Analysts!$B$15:$S$15</c:f>
              <c:numCache>
                <c:formatCode>General</c:formatCode>
                <c:ptCount val="18"/>
                <c:pt idx="16">
                  <c:v>300</c:v>
                </c:pt>
              </c:numCache>
            </c:numRef>
          </c:val>
          <c:smooth val="0"/>
          <c:extLst>
            <c:ext xmlns:c16="http://schemas.microsoft.com/office/drawing/2014/chart" uri="{C3380CC4-5D6E-409C-BE32-E72D297353CC}">
              <c16:uniqueId val="{00000002-179B-4BC2-8924-E23F65F40B3B}"/>
            </c:ext>
          </c:extLst>
        </c:ser>
        <c:ser>
          <c:idx val="6"/>
          <c:order val="6"/>
          <c:tx>
            <c:strRef>
              <c:f>Analysts!$A$16</c:f>
              <c:strCache>
                <c:ptCount val="1"/>
                <c:pt idx="0">
                  <c:v>benchmark</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Analysts!$B$1:$S$1</c:f>
              <c:numCache>
                <c:formatCode>[$-407]mmm/\ yy;@</c:formatCode>
                <c:ptCount val="18"/>
                <c:pt idx="0">
                  <c:v>45413</c:v>
                </c:pt>
                <c:pt idx="1">
                  <c:v>45444</c:v>
                </c:pt>
                <c:pt idx="2">
                  <c:v>45474</c:v>
                </c:pt>
                <c:pt idx="3">
                  <c:v>45505</c:v>
                </c:pt>
                <c:pt idx="4">
                  <c:v>45536</c:v>
                </c:pt>
                <c:pt idx="5">
                  <c:v>45566</c:v>
                </c:pt>
                <c:pt idx="6">
                  <c:v>45597</c:v>
                </c:pt>
                <c:pt idx="7">
                  <c:v>45627</c:v>
                </c:pt>
                <c:pt idx="8">
                  <c:v>45658</c:v>
                </c:pt>
                <c:pt idx="9">
                  <c:v>45689</c:v>
                </c:pt>
                <c:pt idx="10">
                  <c:v>45717</c:v>
                </c:pt>
                <c:pt idx="11">
                  <c:v>45748</c:v>
                </c:pt>
                <c:pt idx="12">
                  <c:v>45778</c:v>
                </c:pt>
                <c:pt idx="13">
                  <c:v>45809</c:v>
                </c:pt>
                <c:pt idx="14">
                  <c:v>45839</c:v>
                </c:pt>
                <c:pt idx="15">
                  <c:v>45870</c:v>
                </c:pt>
                <c:pt idx="16">
                  <c:v>45901</c:v>
                </c:pt>
                <c:pt idx="17">
                  <c:v>45931</c:v>
                </c:pt>
              </c:numCache>
            </c:numRef>
          </c:cat>
          <c:val>
            <c:numRef>
              <c:f>Analysts!$B$16:$S$16</c:f>
              <c:numCache>
                <c:formatCode>General</c:formatCode>
                <c:ptCount val="18"/>
                <c:pt idx="17">
                  <c:v>320</c:v>
                </c:pt>
              </c:numCache>
            </c:numRef>
          </c:val>
          <c:smooth val="0"/>
          <c:extLst>
            <c:ext xmlns:c16="http://schemas.microsoft.com/office/drawing/2014/chart" uri="{C3380CC4-5D6E-409C-BE32-E72D297353CC}">
              <c16:uniqueId val="{00000003-179B-4BC2-8924-E23F65F40B3B}"/>
            </c:ext>
          </c:extLst>
        </c:ser>
        <c:dLbls>
          <c:showLegendKey val="0"/>
          <c:showVal val="0"/>
          <c:showCatName val="0"/>
          <c:showSerName val="0"/>
          <c:showPercent val="0"/>
          <c:showBubbleSize val="0"/>
        </c:dLbls>
        <c:marker val="1"/>
        <c:smooth val="0"/>
        <c:axId val="616931375"/>
        <c:axId val="616948175"/>
      </c:lineChart>
      <c:dateAx>
        <c:axId val="616931375"/>
        <c:scaling>
          <c:orientation val="minMax"/>
        </c:scaling>
        <c:delete val="0"/>
        <c:axPos val="b"/>
        <c:numFmt formatCode="[$-407]mmm/\ 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de-DE"/>
          </a:p>
        </c:txPr>
        <c:crossAx val="616948175"/>
        <c:crosses val="autoZero"/>
        <c:auto val="1"/>
        <c:lblOffset val="100"/>
        <c:baseTimeUnit val="months"/>
      </c:dateAx>
      <c:valAx>
        <c:axId val="616948175"/>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crossAx val="616931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Model!$N$2:$AA$2</c:f>
              <c:strCache>
                <c:ptCount val="14"/>
                <c:pt idx="0">
                  <c:v>Q122</c:v>
                </c:pt>
                <c:pt idx="1">
                  <c:v>Q222</c:v>
                </c:pt>
                <c:pt idx="2">
                  <c:v>Q322</c:v>
                </c:pt>
                <c:pt idx="3">
                  <c:v>Q422</c:v>
                </c:pt>
                <c:pt idx="4">
                  <c:v>Q123</c:v>
                </c:pt>
                <c:pt idx="5">
                  <c:v>Q223</c:v>
                </c:pt>
                <c:pt idx="6">
                  <c:v>Q323</c:v>
                </c:pt>
                <c:pt idx="7">
                  <c:v>Q423</c:v>
                </c:pt>
                <c:pt idx="8">
                  <c:v>Q124</c:v>
                </c:pt>
                <c:pt idx="9">
                  <c:v>Q224</c:v>
                </c:pt>
                <c:pt idx="10">
                  <c:v>Q324</c:v>
                </c:pt>
                <c:pt idx="11">
                  <c:v>Q424</c:v>
                </c:pt>
                <c:pt idx="12">
                  <c:v>Q125</c:v>
                </c:pt>
                <c:pt idx="13">
                  <c:v>Q225</c:v>
                </c:pt>
              </c:strCache>
            </c:strRef>
          </c:cat>
          <c:val>
            <c:numRef>
              <c:f>Model!$N$5:$AA$5</c:f>
              <c:numCache>
                <c:formatCode>#,##0</c:formatCode>
                <c:ptCount val="14"/>
                <c:pt idx="0">
                  <c:v>0</c:v>
                </c:pt>
                <c:pt idx="1">
                  <c:v>0</c:v>
                </c:pt>
                <c:pt idx="2">
                  <c:v>0</c:v>
                </c:pt>
                <c:pt idx="3">
                  <c:v>0</c:v>
                </c:pt>
                <c:pt idx="4">
                  <c:v>58.927999999999997</c:v>
                </c:pt>
                <c:pt idx="5">
                  <c:v>61.234999999999999</c:v>
                </c:pt>
                <c:pt idx="6" formatCode="0.0">
                  <c:v>65.811000000000007</c:v>
                </c:pt>
                <c:pt idx="7">
                  <c:v>73.119</c:v>
                </c:pt>
                <c:pt idx="8" formatCode="0.0">
                  <c:v>73.63</c:v>
                </c:pt>
                <c:pt idx="9" formatCode="0.0">
                  <c:v>80.11699999999999</c:v>
                </c:pt>
                <c:pt idx="10" formatCode="0.0">
                  <c:v>92.489000000000004</c:v>
                </c:pt>
                <c:pt idx="11" formatCode="0.0">
                  <c:v>100.83999999999999</c:v>
                </c:pt>
                <c:pt idx="12" formatCode="0.0">
                  <c:v>107.979</c:v>
                </c:pt>
                <c:pt idx="13" formatCode="0.0">
                  <c:v>131.75700000000001</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Model!$B$25</c:f>
              <c:strCache>
                <c:ptCount val="1"/>
                <c:pt idx="0">
                  <c:v>Revenue Growth</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Model!$N$25:$AA$25</c:f>
              <c:numCache>
                <c:formatCode>0%</c:formatCode>
                <c:ptCount val="14"/>
                <c:pt idx="0">
                  <c:v>0</c:v>
                </c:pt>
                <c:pt idx="1">
                  <c:v>0</c:v>
                </c:pt>
                <c:pt idx="2">
                  <c:v>0</c:v>
                </c:pt>
                <c:pt idx="3">
                  <c:v>0</c:v>
                </c:pt>
                <c:pt idx="4">
                  <c:v>0</c:v>
                </c:pt>
                <c:pt idx="5">
                  <c:v>0</c:v>
                </c:pt>
                <c:pt idx="6">
                  <c:v>0</c:v>
                </c:pt>
                <c:pt idx="7">
                  <c:v>0</c:v>
                </c:pt>
                <c:pt idx="8">
                  <c:v>0.24949090415422215</c:v>
                </c:pt>
                <c:pt idx="9">
                  <c:v>0.30835306605699331</c:v>
                </c:pt>
                <c:pt idx="10">
                  <c:v>0.40537296196684447</c:v>
                </c:pt>
                <c:pt idx="11">
                  <c:v>0.37912170571260528</c:v>
                </c:pt>
                <c:pt idx="12">
                  <c:v>0.46650821675947318</c:v>
                </c:pt>
                <c:pt idx="13">
                  <c:v>0.39745622027784377</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Model!$C$2:$J$2</c:f>
              <c:strCache>
                <c:ptCount val="8"/>
                <c:pt idx="0">
                  <c:v>FY19</c:v>
                </c:pt>
                <c:pt idx="1">
                  <c:v>FY20</c:v>
                </c:pt>
                <c:pt idx="2">
                  <c:v>FY21</c:v>
                </c:pt>
                <c:pt idx="3">
                  <c:v>FY22</c:v>
                </c:pt>
                <c:pt idx="4">
                  <c:v>FY23</c:v>
                </c:pt>
                <c:pt idx="5">
                  <c:v>FY24</c:v>
                </c:pt>
                <c:pt idx="6">
                  <c:v>FY25</c:v>
                </c:pt>
                <c:pt idx="7">
                  <c:v>FY26</c:v>
                </c:pt>
              </c:strCache>
            </c:strRef>
          </c:cat>
          <c:val>
            <c:numRef>
              <c:f>Model!$C$5:$J$5</c:f>
              <c:numCache>
                <c:formatCode>#,##0</c:formatCode>
                <c:ptCount val="8"/>
                <c:pt idx="0">
                  <c:v>0</c:v>
                </c:pt>
                <c:pt idx="1">
                  <c:v>0</c:v>
                </c:pt>
                <c:pt idx="2">
                  <c:v>0</c:v>
                </c:pt>
                <c:pt idx="3">
                  <c:v>0</c:v>
                </c:pt>
                <c:pt idx="4">
                  <c:v>259.09300000000002</c:v>
                </c:pt>
                <c:pt idx="5">
                  <c:v>347.07599999999996</c:v>
                </c:pt>
                <c:pt idx="6">
                  <c:v>512.11</c:v>
                </c:pt>
                <c:pt idx="7">
                  <c:v>591.26</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Model!$B$25</c:f>
              <c:strCache>
                <c:ptCount val="1"/>
                <c:pt idx="0">
                  <c:v>Revenue Growth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Model!$C$25:$J$25</c:f>
              <c:numCache>
                <c:formatCode>0%</c:formatCode>
                <c:ptCount val="8"/>
                <c:pt idx="1">
                  <c:v>0</c:v>
                </c:pt>
                <c:pt idx="2">
                  <c:v>0</c:v>
                </c:pt>
                <c:pt idx="3">
                  <c:v>0</c:v>
                </c:pt>
                <c:pt idx="4">
                  <c:v>0</c:v>
                </c:pt>
                <c:pt idx="5">
                  <c:v>0.33958076829555384</c:v>
                </c:pt>
                <c:pt idx="6">
                  <c:v>0.47549816178589155</c:v>
                </c:pt>
                <c:pt idx="7">
                  <c:v>0.15455663822225696</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Model!$B$21</c:f>
              <c:strCache>
                <c:ptCount val="1"/>
                <c:pt idx="0">
                  <c:v>EPS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Model!$N$2:$AA$2</c:f>
              <c:strCache>
                <c:ptCount val="14"/>
                <c:pt idx="0">
                  <c:v>Q122</c:v>
                </c:pt>
                <c:pt idx="1">
                  <c:v>Q222</c:v>
                </c:pt>
                <c:pt idx="2">
                  <c:v>Q322</c:v>
                </c:pt>
                <c:pt idx="3">
                  <c:v>Q422</c:v>
                </c:pt>
                <c:pt idx="4">
                  <c:v>Q123</c:v>
                </c:pt>
                <c:pt idx="5">
                  <c:v>Q223</c:v>
                </c:pt>
                <c:pt idx="6">
                  <c:v>Q323</c:v>
                </c:pt>
                <c:pt idx="7">
                  <c:v>Q423</c:v>
                </c:pt>
                <c:pt idx="8">
                  <c:v>Q124</c:v>
                </c:pt>
                <c:pt idx="9">
                  <c:v>Q224</c:v>
                </c:pt>
                <c:pt idx="10">
                  <c:v>Q324</c:v>
                </c:pt>
                <c:pt idx="11">
                  <c:v>Q424</c:v>
                </c:pt>
                <c:pt idx="12">
                  <c:v>Q125</c:v>
                </c:pt>
                <c:pt idx="13">
                  <c:v>Q225</c:v>
                </c:pt>
              </c:strCache>
            </c:strRef>
          </c:cat>
          <c:val>
            <c:numRef>
              <c:f>Model!$N$21:$AA$21</c:f>
              <c:numCache>
                <c:formatCode>0.00</c:formatCode>
                <c:ptCount val="14"/>
                <c:pt idx="0">
                  <c:v>0</c:v>
                </c:pt>
                <c:pt idx="1">
                  <c:v>0</c:v>
                </c:pt>
                <c:pt idx="2">
                  <c:v>0</c:v>
                </c:pt>
                <c:pt idx="3">
                  <c:v>0</c:v>
                </c:pt>
                <c:pt idx="4">
                  <c:v>-1.1870053509608776</c:v>
                </c:pt>
                <c:pt idx="5">
                  <c:v>-1.9086676617032139</c:v>
                </c:pt>
                <c:pt idx="6">
                  <c:v>-1.007710199502039</c:v>
                </c:pt>
                <c:pt idx="7">
                  <c:v>1.496557916791472E-2</c:v>
                </c:pt>
                <c:pt idx="8">
                  <c:v>2.5976071185798584</c:v>
                </c:pt>
                <c:pt idx="9">
                  <c:v>0.46944515982695234</c:v>
                </c:pt>
                <c:pt idx="10">
                  <c:v>3.3446611599859906E-2</c:v>
                </c:pt>
                <c:pt idx="11">
                  <c:v>1.2062312329339726</c:v>
                </c:pt>
                <c:pt idx="12">
                  <c:v>1.9671558975828116</c:v>
                </c:pt>
                <c:pt idx="13">
                  <c:v>0.62112577948193404</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Model!$B$31</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Model!$N$31:$AA$31</c:f>
              <c:numCache>
                <c:formatCode>0%</c:formatCode>
                <c:ptCount val="14"/>
                <c:pt idx="0">
                  <c:v>0</c:v>
                </c:pt>
                <c:pt idx="1">
                  <c:v>0</c:v>
                </c:pt>
                <c:pt idx="2">
                  <c:v>0</c:v>
                </c:pt>
                <c:pt idx="3">
                  <c:v>0</c:v>
                </c:pt>
                <c:pt idx="4">
                  <c:v>0</c:v>
                </c:pt>
                <c:pt idx="5">
                  <c:v>0</c:v>
                </c:pt>
                <c:pt idx="6">
                  <c:v>0</c:v>
                </c:pt>
                <c:pt idx="7">
                  <c:v>0</c:v>
                </c:pt>
                <c:pt idx="8">
                  <c:v>-3.4415686274509807</c:v>
                </c:pt>
                <c:pt idx="9">
                  <c:v>-1.2811035458484386</c:v>
                </c:pt>
                <c:pt idx="10">
                  <c:v>-1.0331907046454303</c:v>
                </c:pt>
                <c:pt idx="11">
                  <c:v>79.600370984643092</c:v>
                </c:pt>
                <c:pt idx="12">
                  <c:v>-0.24270460936437599</c:v>
                </c:pt>
                <c:pt idx="13">
                  <c:v>3.1325380811576071</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by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Model!$B$21</c:f>
              <c:strCache>
                <c:ptCount val="1"/>
                <c:pt idx="0">
                  <c:v>EPS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Model!$C$2:$J$2</c:f>
              <c:strCache>
                <c:ptCount val="8"/>
                <c:pt idx="0">
                  <c:v>FY19</c:v>
                </c:pt>
                <c:pt idx="1">
                  <c:v>FY20</c:v>
                </c:pt>
                <c:pt idx="2">
                  <c:v>FY21</c:v>
                </c:pt>
                <c:pt idx="3">
                  <c:v>FY22</c:v>
                </c:pt>
                <c:pt idx="4">
                  <c:v>FY23</c:v>
                </c:pt>
                <c:pt idx="5">
                  <c:v>FY24</c:v>
                </c:pt>
                <c:pt idx="6">
                  <c:v>FY25</c:v>
                </c:pt>
                <c:pt idx="7">
                  <c:v>FY26</c:v>
                </c:pt>
              </c:strCache>
            </c:strRef>
          </c:cat>
          <c:val>
            <c:numRef>
              <c:f>Model!$C$21:$J$21</c:f>
              <c:numCache>
                <c:formatCode>0.00</c:formatCode>
                <c:ptCount val="8"/>
                <c:pt idx="0">
                  <c:v>0</c:v>
                </c:pt>
                <c:pt idx="1">
                  <c:v>0</c:v>
                </c:pt>
                <c:pt idx="2">
                  <c:v>0</c:v>
                </c:pt>
                <c:pt idx="3">
                  <c:v>0</c:v>
                </c:pt>
                <c:pt idx="4">
                  <c:v>-4.0652051635319824</c:v>
                </c:pt>
                <c:pt idx="5">
                  <c:v>4.186844397088759</c:v>
                </c:pt>
                <c:pt idx="6">
                  <c:v>0</c:v>
                </c:pt>
                <c:pt idx="7">
                  <c:v>0</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Model!$B$31</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Model!$C$31:$J$31</c:f>
              <c:numCache>
                <c:formatCode>0%</c:formatCode>
                <c:ptCount val="8"/>
                <c:pt idx="1">
                  <c:v>0</c:v>
                </c:pt>
                <c:pt idx="2">
                  <c:v>0</c:v>
                </c:pt>
                <c:pt idx="3">
                  <c:v>0</c:v>
                </c:pt>
                <c:pt idx="4">
                  <c:v>0</c:v>
                </c:pt>
                <c:pt idx="5">
                  <c:v>-2.0299220405031395</c:v>
                </c:pt>
                <c:pt idx="6">
                  <c:v>1.39798737373214</c:v>
                </c:pt>
                <c:pt idx="7">
                  <c:v>0.15936254980079689</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Model!$B$26</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Model!$N$2:$AA$2</c:f>
              <c:strCache>
                <c:ptCount val="14"/>
                <c:pt idx="0">
                  <c:v>Q122</c:v>
                </c:pt>
                <c:pt idx="1">
                  <c:v>Q222</c:v>
                </c:pt>
                <c:pt idx="2">
                  <c:v>Q322</c:v>
                </c:pt>
                <c:pt idx="3">
                  <c:v>Q422</c:v>
                </c:pt>
                <c:pt idx="4">
                  <c:v>Q123</c:v>
                </c:pt>
                <c:pt idx="5">
                  <c:v>Q223</c:v>
                </c:pt>
                <c:pt idx="6">
                  <c:v>Q323</c:v>
                </c:pt>
                <c:pt idx="7">
                  <c:v>Q423</c:v>
                </c:pt>
                <c:pt idx="8">
                  <c:v>Q124</c:v>
                </c:pt>
                <c:pt idx="9">
                  <c:v>Q224</c:v>
                </c:pt>
                <c:pt idx="10">
                  <c:v>Q324</c:v>
                </c:pt>
                <c:pt idx="11">
                  <c:v>Q424</c:v>
                </c:pt>
                <c:pt idx="12">
                  <c:v>Q125</c:v>
                </c:pt>
                <c:pt idx="13">
                  <c:v>Q225</c:v>
                </c:pt>
              </c:strCache>
            </c:strRef>
          </c:cat>
          <c:val>
            <c:numRef>
              <c:f>Model!$N$26:$AA$26</c:f>
              <c:numCache>
                <c:formatCode>0%</c:formatCode>
                <c:ptCount val="14"/>
                <c:pt idx="0">
                  <c:v>0</c:v>
                </c:pt>
                <c:pt idx="1">
                  <c:v>0</c:v>
                </c:pt>
                <c:pt idx="2">
                  <c:v>0</c:v>
                </c:pt>
                <c:pt idx="3">
                  <c:v>0</c:v>
                </c:pt>
                <c:pt idx="4">
                  <c:v>0.16072155851208256</c:v>
                </c:pt>
                <c:pt idx="5">
                  <c:v>0.24471299093655588</c:v>
                </c:pt>
                <c:pt idx="6">
                  <c:v>0.21142362219081914</c:v>
                </c:pt>
                <c:pt idx="7">
                  <c:v>0.1370642377494222</c:v>
                </c:pt>
                <c:pt idx="8">
                  <c:v>0.12355018334917832</c:v>
                </c:pt>
                <c:pt idx="9">
                  <c:v>0.13409139134016504</c:v>
                </c:pt>
                <c:pt idx="10">
                  <c:v>0.13516201926715607</c:v>
                </c:pt>
                <c:pt idx="11">
                  <c:v>0.1245834986116621</c:v>
                </c:pt>
                <c:pt idx="12">
                  <c:v>9.5527834115892898E-2</c:v>
                </c:pt>
                <c:pt idx="13">
                  <c:v>0.11730686035656548</c:v>
                </c:pt>
              </c:numCache>
            </c:numRef>
          </c:val>
          <c:smooth val="0"/>
          <c:extLst>
            <c:ext xmlns:c16="http://schemas.microsoft.com/office/drawing/2014/chart" uri="{C3380CC4-5D6E-409C-BE32-E72D297353CC}">
              <c16:uniqueId val="{00000001-35FE-4BEB-944F-3D772460C6A2}"/>
            </c:ext>
          </c:extLst>
        </c:ser>
        <c:ser>
          <c:idx val="0"/>
          <c:order val="1"/>
          <c:tx>
            <c:strRef>
              <c:f>Model!$B$27</c:f>
              <c:strCache>
                <c:ptCount val="1"/>
                <c:pt idx="0">
                  <c:v>R&amp;D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Model!$N$2:$AA$2</c:f>
              <c:strCache>
                <c:ptCount val="14"/>
                <c:pt idx="0">
                  <c:v>Q122</c:v>
                </c:pt>
                <c:pt idx="1">
                  <c:v>Q222</c:v>
                </c:pt>
                <c:pt idx="2">
                  <c:v>Q322</c:v>
                </c:pt>
                <c:pt idx="3">
                  <c:v>Q422</c:v>
                </c:pt>
                <c:pt idx="4">
                  <c:v>Q123</c:v>
                </c:pt>
                <c:pt idx="5">
                  <c:v>Q223</c:v>
                </c:pt>
                <c:pt idx="6">
                  <c:v>Q323</c:v>
                </c:pt>
                <c:pt idx="7">
                  <c:v>Q423</c:v>
                </c:pt>
                <c:pt idx="8">
                  <c:v>Q124</c:v>
                </c:pt>
                <c:pt idx="9">
                  <c:v>Q224</c:v>
                </c:pt>
                <c:pt idx="10">
                  <c:v>Q324</c:v>
                </c:pt>
                <c:pt idx="11">
                  <c:v>Q424</c:v>
                </c:pt>
                <c:pt idx="12">
                  <c:v>Q125</c:v>
                </c:pt>
                <c:pt idx="13">
                  <c:v>Q225</c:v>
                </c:pt>
              </c:strCache>
            </c:strRef>
          </c:cat>
          <c:val>
            <c:numRef>
              <c:f>Model!$N$27:$AA$27</c:f>
              <c:numCache>
                <c:formatCode>0%</c:formatCode>
                <c:ptCount val="14"/>
                <c:pt idx="0">
                  <c:v>0</c:v>
                </c:pt>
                <c:pt idx="1">
                  <c:v>0</c:v>
                </c:pt>
                <c:pt idx="2">
                  <c:v>0</c:v>
                </c:pt>
                <c:pt idx="3">
                  <c:v>0</c:v>
                </c:pt>
                <c:pt idx="4">
                  <c:v>0.41350461580233511</c:v>
                </c:pt>
                <c:pt idx="5">
                  <c:v>0.39082224218175876</c:v>
                </c:pt>
                <c:pt idx="6">
                  <c:v>0.3507164455790065</c:v>
                </c:pt>
                <c:pt idx="7">
                  <c:v>0.32180418222349855</c:v>
                </c:pt>
                <c:pt idx="8">
                  <c:v>0.33345103897867717</c:v>
                </c:pt>
                <c:pt idx="9">
                  <c:v>0.30598998964015134</c:v>
                </c:pt>
                <c:pt idx="10">
                  <c:v>0.33261252689509024</c:v>
                </c:pt>
                <c:pt idx="11">
                  <c:v>0.26971439904799688</c:v>
                </c:pt>
                <c:pt idx="12">
                  <c:v>0.25477176117578421</c:v>
                </c:pt>
                <c:pt idx="13">
                  <c:v>0.20059655274482568</c:v>
                </c:pt>
              </c:numCache>
            </c:numRef>
          </c:val>
          <c:smooth val="0"/>
          <c:extLst>
            <c:ext xmlns:c16="http://schemas.microsoft.com/office/drawing/2014/chart" uri="{C3380CC4-5D6E-409C-BE32-E72D297353CC}">
              <c16:uniqueId val="{00000000-1CAA-4791-8C2B-1B9112E1C867}"/>
            </c:ext>
          </c:extLst>
        </c:ser>
        <c:ser>
          <c:idx val="2"/>
          <c:order val="2"/>
          <c:tx>
            <c:strRef>
              <c:f>Model!$B$28</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Model!$N$2:$AA$2</c:f>
              <c:strCache>
                <c:ptCount val="14"/>
                <c:pt idx="0">
                  <c:v>Q122</c:v>
                </c:pt>
                <c:pt idx="1">
                  <c:v>Q222</c:v>
                </c:pt>
                <c:pt idx="2">
                  <c:v>Q322</c:v>
                </c:pt>
                <c:pt idx="3">
                  <c:v>Q422</c:v>
                </c:pt>
                <c:pt idx="4">
                  <c:v>Q123</c:v>
                </c:pt>
                <c:pt idx="5">
                  <c:v>Q223</c:v>
                </c:pt>
                <c:pt idx="6">
                  <c:v>Q323</c:v>
                </c:pt>
                <c:pt idx="7">
                  <c:v>Q423</c:v>
                </c:pt>
                <c:pt idx="8">
                  <c:v>Q124</c:v>
                </c:pt>
                <c:pt idx="9">
                  <c:v>Q224</c:v>
                </c:pt>
                <c:pt idx="10">
                  <c:v>Q324</c:v>
                </c:pt>
                <c:pt idx="11">
                  <c:v>Q424</c:v>
                </c:pt>
                <c:pt idx="12">
                  <c:v>Q125</c:v>
                </c:pt>
                <c:pt idx="13">
                  <c:v>Q225</c:v>
                </c:pt>
              </c:strCache>
            </c:strRef>
          </c:cat>
          <c:val>
            <c:numRef>
              <c:f>Model!$N$28:$AA$28</c:f>
              <c:numCache>
                <c:formatCode>0%</c:formatCode>
                <c:ptCount val="14"/>
              </c:numCache>
            </c:numRef>
          </c:val>
          <c:smooth val="0"/>
          <c:extLst>
            <c:ext xmlns:c16="http://schemas.microsoft.com/office/drawing/2014/chart" uri="{C3380CC4-5D6E-409C-BE32-E72D297353CC}">
              <c16:uniqueId val="{00000001-1CAA-4791-8C2B-1B9112E1C867}"/>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Model!$B$26</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Model!$C$2:$J$2</c:f>
              <c:strCache>
                <c:ptCount val="8"/>
                <c:pt idx="0">
                  <c:v>FY19</c:v>
                </c:pt>
                <c:pt idx="1">
                  <c:v>FY20</c:v>
                </c:pt>
                <c:pt idx="2">
                  <c:v>FY21</c:v>
                </c:pt>
                <c:pt idx="3">
                  <c:v>FY22</c:v>
                </c:pt>
                <c:pt idx="4">
                  <c:v>FY23</c:v>
                </c:pt>
                <c:pt idx="5">
                  <c:v>FY24</c:v>
                </c:pt>
                <c:pt idx="6">
                  <c:v>FY25</c:v>
                </c:pt>
                <c:pt idx="7">
                  <c:v>FY26</c:v>
                </c:pt>
              </c:strCache>
            </c:strRef>
          </c:cat>
          <c:val>
            <c:numRef>
              <c:f>Model!$C$26:$J$26</c:f>
              <c:numCache>
                <c:formatCode>0%</c:formatCode>
                <c:ptCount val="8"/>
                <c:pt idx="0">
                  <c:v>0</c:v>
                </c:pt>
                <c:pt idx="1">
                  <c:v>0</c:v>
                </c:pt>
                <c:pt idx="2">
                  <c:v>0</c:v>
                </c:pt>
                <c:pt idx="3">
                  <c:v>0</c:v>
                </c:pt>
                <c:pt idx="4">
                  <c:v>0.18677463304682101</c:v>
                </c:pt>
                <c:pt idx="5">
                  <c:v>0.12937800366490337</c:v>
                </c:pt>
                <c:pt idx="6">
                  <c:v>0</c:v>
                </c:pt>
                <c:pt idx="7">
                  <c:v>0</c:v>
                </c:pt>
              </c:numCache>
            </c:numRef>
          </c:val>
          <c:smooth val="0"/>
          <c:extLst>
            <c:ext xmlns:c16="http://schemas.microsoft.com/office/drawing/2014/chart" uri="{C3380CC4-5D6E-409C-BE32-E72D297353CC}">
              <c16:uniqueId val="{00000000-E79C-46D7-BBD0-0EABFCB1E143}"/>
            </c:ext>
          </c:extLst>
        </c:ser>
        <c:ser>
          <c:idx val="0"/>
          <c:order val="1"/>
          <c:tx>
            <c:strRef>
              <c:f>Model!$B$27</c:f>
              <c:strCache>
                <c:ptCount val="1"/>
                <c:pt idx="0">
                  <c:v>R&amp;D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Model!$C$2:$J$2</c:f>
              <c:strCache>
                <c:ptCount val="8"/>
                <c:pt idx="0">
                  <c:v>FY19</c:v>
                </c:pt>
                <c:pt idx="1">
                  <c:v>FY20</c:v>
                </c:pt>
                <c:pt idx="2">
                  <c:v>FY21</c:v>
                </c:pt>
                <c:pt idx="3">
                  <c:v>FY22</c:v>
                </c:pt>
                <c:pt idx="4">
                  <c:v>FY23</c:v>
                </c:pt>
                <c:pt idx="5">
                  <c:v>FY24</c:v>
                </c:pt>
                <c:pt idx="6">
                  <c:v>FY25</c:v>
                </c:pt>
                <c:pt idx="7">
                  <c:v>FY26</c:v>
                </c:pt>
              </c:strCache>
            </c:strRef>
          </c:cat>
          <c:val>
            <c:numRef>
              <c:f>Model!$C$27:$I$27</c:f>
              <c:numCache>
                <c:formatCode>0%</c:formatCode>
                <c:ptCount val="7"/>
                <c:pt idx="0">
                  <c:v>0</c:v>
                </c:pt>
                <c:pt idx="1">
                  <c:v>0</c:v>
                </c:pt>
                <c:pt idx="2">
                  <c:v>0</c:v>
                </c:pt>
                <c:pt idx="3">
                  <c:v>0</c:v>
                </c:pt>
                <c:pt idx="4">
                  <c:v>0.36631634200846797</c:v>
                </c:pt>
                <c:pt idx="5">
                  <c:v>0.308370500985375</c:v>
                </c:pt>
                <c:pt idx="6">
                  <c:v>0</c:v>
                </c:pt>
              </c:numCache>
            </c:numRef>
          </c:val>
          <c:smooth val="0"/>
          <c:extLst>
            <c:ext xmlns:c16="http://schemas.microsoft.com/office/drawing/2014/chart" uri="{C3380CC4-5D6E-409C-BE32-E72D297353CC}">
              <c16:uniqueId val="{00000001-E79C-46D7-BBD0-0EABFCB1E143}"/>
            </c:ext>
          </c:extLst>
        </c:ser>
        <c:ser>
          <c:idx val="2"/>
          <c:order val="2"/>
          <c:tx>
            <c:strRef>
              <c:f>Model!$B$28</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Model!$C$2:$J$2</c:f>
              <c:strCache>
                <c:ptCount val="8"/>
                <c:pt idx="0">
                  <c:v>FY19</c:v>
                </c:pt>
                <c:pt idx="1">
                  <c:v>FY20</c:v>
                </c:pt>
                <c:pt idx="2">
                  <c:v>FY21</c:v>
                </c:pt>
                <c:pt idx="3">
                  <c:v>FY22</c:v>
                </c:pt>
                <c:pt idx="4">
                  <c:v>FY23</c:v>
                </c:pt>
                <c:pt idx="5">
                  <c:v>FY24</c:v>
                </c:pt>
                <c:pt idx="6">
                  <c:v>FY25</c:v>
                </c:pt>
                <c:pt idx="7">
                  <c:v>FY26</c:v>
                </c:pt>
              </c:strCache>
            </c:strRef>
          </c:cat>
          <c:val>
            <c:numRef>
              <c:f>Model!$C$28:$I$28</c:f>
              <c:numCache>
                <c:formatCode>0%</c:formatCode>
                <c:ptCount val="7"/>
              </c:numCache>
            </c:numRef>
          </c:val>
          <c:smooth val="0"/>
          <c:extLst>
            <c:ext xmlns:c16="http://schemas.microsoft.com/office/drawing/2014/chart" uri="{C3380CC4-5D6E-409C-BE32-E72D297353CC}">
              <c16:uniqueId val="{00000002-E79C-46D7-BBD0-0EABFCB1E143}"/>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numCache>
            </c:numRef>
          </c:cat>
          <c:val>
            <c:numRef>
              <c:f>Catalysts!$C$2:$C$10000</c:f>
              <c:numCache>
                <c:formatCode>0.00</c:formatCode>
                <c:ptCount val="9999"/>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catAx>
        <c:axId val="693983327"/>
        <c:scaling>
          <c:orientation val="minMax"/>
          <c:min val="7148"/>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Algn val="ctr"/>
        <c:lblOffset val="100"/>
        <c:noMultiLvlLbl val="1"/>
      </c:cat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_xlchart.v1.3</cx:f>
      </cx:numDim>
    </cx:data>
    <cx:data id="1">
      <cx:strDim type="cat">
        <cx:f dir="row">_xlchart.v1.4</cx:f>
      </cx:strDim>
      <cx:numDim type="val">
        <cx:f dir="row">_xlchart.v1.2</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_xlchart.v1.0</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_xlchart.v1.9</cx:f>
      </cx:numDim>
    </cx:data>
    <cx:data id="1">
      <cx:strDim type="cat">
        <cx:f dir="row">_xlchart.v1.7</cx:f>
      </cx:strDim>
      <cx:numDim type="val">
        <cx:f dir="row">_xlchart.v1.8</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_xlchart.v1.6</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_xlchart.v1.5</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5.xml"/><Relationship Id="rId7" Type="http://schemas.microsoft.com/office/2014/relationships/chartEx" Target="../charts/chartEx2.xml"/><Relationship Id="rId2" Type="http://schemas.openxmlformats.org/officeDocument/2006/relationships/chart" Target="../charts/chart4.xml"/><Relationship Id="rId1" Type="http://schemas.openxmlformats.org/officeDocument/2006/relationships/chart" Target="../charts/chart3.xml"/><Relationship Id="rId6" Type="http://schemas.microsoft.com/office/2014/relationships/chartEx" Target="../charts/chartEx1.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171449</xdr:colOff>
      <xdr:row>18</xdr:row>
      <xdr:rowOff>123825</xdr:rowOff>
    </xdr:from>
    <xdr:to>
      <xdr:col>7</xdr:col>
      <xdr:colOff>581024</xdr:colOff>
      <xdr:row>35</xdr:row>
      <xdr:rowOff>19050</xdr:rowOff>
    </xdr:to>
    <xdr:graphicFrame macro="">
      <xdr:nvGraphicFramePr>
        <xdr:cNvPr id="2" name="Chart 1">
          <a:extLst>
            <a:ext uri="{FF2B5EF4-FFF2-40B4-BE49-F238E27FC236}">
              <a16:creationId xmlns:a16="http://schemas.microsoft.com/office/drawing/2014/main" id="{0A02B15D-726B-473F-90BD-9DE5AEBE5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18</xdr:row>
      <xdr:rowOff>109536</xdr:rowOff>
    </xdr:from>
    <xdr:to>
      <xdr:col>16</xdr:col>
      <xdr:colOff>123825</xdr:colOff>
      <xdr:row>35</xdr:row>
      <xdr:rowOff>0</xdr:rowOff>
    </xdr:to>
    <xdr:graphicFrame macro="">
      <xdr:nvGraphicFramePr>
        <xdr:cNvPr id="3" name="Chart 2">
          <a:extLst>
            <a:ext uri="{FF2B5EF4-FFF2-40B4-BE49-F238E27FC236}">
              <a16:creationId xmlns:a16="http://schemas.microsoft.com/office/drawing/2014/main" id="{C18602F0-0E7E-4D3A-B594-2B15361E1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30</xdr:row>
      <xdr:rowOff>42862</xdr:rowOff>
    </xdr:from>
    <xdr:to>
      <xdr:col>11</xdr:col>
      <xdr:colOff>0</xdr:colOff>
      <xdr:row>47</xdr:row>
      <xdr:rowOff>9525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9525</xdr:rowOff>
    </xdr:from>
    <xdr:to>
      <xdr:col>10</xdr:col>
      <xdr:colOff>600075</xdr:colOff>
      <xdr:row>64</xdr:row>
      <xdr:rowOff>61913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9525</xdr:rowOff>
    </xdr:from>
    <xdr:to>
      <xdr:col>20</xdr:col>
      <xdr:colOff>419100</xdr:colOff>
      <xdr:row>64</xdr:row>
      <xdr:rowOff>61913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30</xdr:row>
      <xdr:rowOff>57150</xdr:rowOff>
    </xdr:from>
    <xdr:to>
      <xdr:col>20</xdr:col>
      <xdr:colOff>390525</xdr:colOff>
      <xdr:row>47</xdr:row>
      <xdr:rowOff>23813</xdr:rowOff>
    </xdr:to>
    <xdr:graphicFrame macro="">
      <xdr:nvGraphicFramePr>
        <xdr:cNvPr id="7" name="Chart 6">
          <a:extLst>
            <a:ext uri="{FF2B5EF4-FFF2-40B4-BE49-F238E27FC236}">
              <a16:creationId xmlns:a16="http://schemas.microsoft.com/office/drawing/2014/main" id="{95AB5FA5-CC68-4269-BD2C-424BEF6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6"/>
  <sheetViews>
    <sheetView tabSelected="1" topLeftCell="B1" workbookViewId="0">
      <selection activeCell="C8" sqref="C8"/>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143</v>
      </c>
      <c r="C2" s="19"/>
      <c r="E2" s="24" t="s">
        <v>42</v>
      </c>
      <c r="F2" s="54" t="s">
        <v>43</v>
      </c>
      <c r="G2" s="25"/>
      <c r="H2" s="26" t="s">
        <v>50</v>
      </c>
      <c r="I2" s="26" t="s">
        <v>1</v>
      </c>
      <c r="J2" s="27" t="s">
        <v>43</v>
      </c>
      <c r="L2" s="30" t="s">
        <v>36</v>
      </c>
      <c r="M2" s="31" t="s">
        <v>52</v>
      </c>
      <c r="N2" s="32" t="s">
        <v>51</v>
      </c>
    </row>
    <row r="3" spans="2:14" x14ac:dyDescent="0.25">
      <c r="B3" s="5" t="s">
        <v>35</v>
      </c>
      <c r="C3" s="20">
        <v>45959</v>
      </c>
      <c r="E3" s="5"/>
      <c r="F3" s="28"/>
      <c r="I3" s="10"/>
      <c r="J3" s="38"/>
      <c r="L3" s="50" t="s">
        <v>145</v>
      </c>
      <c r="M3" s="50" t="s">
        <v>146</v>
      </c>
      <c r="N3" s="37"/>
    </row>
    <row r="4" spans="2:14" x14ac:dyDescent="0.25">
      <c r="B4" s="5"/>
      <c r="C4" s="21">
        <v>0.76875000000000004</v>
      </c>
      <c r="E4" s="5"/>
      <c r="F4" s="28"/>
      <c r="I4" s="10"/>
      <c r="J4" s="38"/>
      <c r="L4" s="50" t="s">
        <v>147</v>
      </c>
      <c r="M4" s="50" t="s">
        <v>148</v>
      </c>
      <c r="N4" s="13"/>
    </row>
    <row r="5" spans="2:14" x14ac:dyDescent="0.25">
      <c r="B5" s="5"/>
      <c r="C5" s="13"/>
      <c r="E5" s="5"/>
      <c r="F5" s="28"/>
      <c r="I5" s="10"/>
      <c r="J5" s="38"/>
      <c r="L5" s="50" t="s">
        <v>149</v>
      </c>
      <c r="M5" s="50" t="s">
        <v>150</v>
      </c>
      <c r="N5" s="13"/>
    </row>
    <row r="6" spans="2:14" x14ac:dyDescent="0.25">
      <c r="B6" s="5" t="s">
        <v>0</v>
      </c>
      <c r="C6" s="13">
        <v>248.62</v>
      </c>
      <c r="E6" s="5"/>
      <c r="F6" s="28"/>
      <c r="I6" s="10"/>
      <c r="J6" s="38"/>
      <c r="L6" s="50" t="s">
        <v>151</v>
      </c>
      <c r="M6" s="50" t="s">
        <v>152</v>
      </c>
      <c r="N6" s="13"/>
    </row>
    <row r="7" spans="2:14" x14ac:dyDescent="0.25">
      <c r="B7" s="5" t="s">
        <v>1</v>
      </c>
      <c r="C7" s="15">
        <f>Model!AA20</f>
        <v>14.554218000000001</v>
      </c>
      <c r="E7" s="5"/>
      <c r="F7" s="28"/>
      <c r="I7" s="10"/>
      <c r="J7" s="38"/>
      <c r="L7" s="50" t="s">
        <v>153</v>
      </c>
      <c r="M7" s="50" t="s">
        <v>154</v>
      </c>
      <c r="N7" s="13"/>
    </row>
    <row r="8" spans="2:14" x14ac:dyDescent="0.25">
      <c r="B8" s="5" t="s">
        <v>2</v>
      </c>
      <c r="C8" s="15">
        <f>C6*C7</f>
        <v>3618.4696791600004</v>
      </c>
      <c r="E8" s="5"/>
      <c r="F8" s="28"/>
      <c r="I8" s="10"/>
      <c r="J8" s="38"/>
      <c r="L8" s="50" t="s">
        <v>155</v>
      </c>
      <c r="M8" s="50" t="s">
        <v>156</v>
      </c>
      <c r="N8" s="13"/>
    </row>
    <row r="9" spans="2:14" x14ac:dyDescent="0.25">
      <c r="B9" s="5" t="s">
        <v>3</v>
      </c>
      <c r="C9" s="15">
        <f>Model!AA37+Model!AA38+Model!AA40</f>
        <v>102.85299999999999</v>
      </c>
      <c r="E9" s="5"/>
      <c r="F9" s="28"/>
      <c r="I9" s="10"/>
      <c r="J9" s="38"/>
      <c r="L9" s="50" t="s">
        <v>157</v>
      </c>
      <c r="M9" s="50" t="s">
        <v>158</v>
      </c>
      <c r="N9" s="13"/>
    </row>
    <row r="10" spans="2:14" x14ac:dyDescent="0.25">
      <c r="B10" s="5" t="s">
        <v>4</v>
      </c>
      <c r="C10" s="15">
        <f>Model!AA58</f>
        <v>75</v>
      </c>
      <c r="E10" s="5"/>
      <c r="F10" s="28"/>
      <c r="I10" s="10"/>
      <c r="J10" s="38"/>
      <c r="L10" s="51" t="s">
        <v>159</v>
      </c>
      <c r="M10" s="52" t="s">
        <v>160</v>
      </c>
      <c r="N10" s="13"/>
    </row>
    <row r="11" spans="2:14" x14ac:dyDescent="0.25">
      <c r="B11" s="5" t="s">
        <v>30</v>
      </c>
      <c r="C11" s="15">
        <f>C9-C10</f>
        <v>27.852999999999994</v>
      </c>
      <c r="E11" s="5"/>
      <c r="F11" s="28"/>
      <c r="I11" s="10"/>
      <c r="J11" s="38"/>
      <c r="L11" s="5"/>
      <c r="N11" s="13"/>
    </row>
    <row r="12" spans="2:14" x14ac:dyDescent="0.25">
      <c r="B12" s="5" t="s">
        <v>5</v>
      </c>
      <c r="C12" s="15">
        <f>C8-C9+C10</f>
        <v>3590.6166791600003</v>
      </c>
      <c r="E12" s="5"/>
      <c r="F12" s="28"/>
      <c r="J12" s="13"/>
      <c r="L12" s="5"/>
      <c r="N12" s="13"/>
    </row>
    <row r="13" spans="2:14" x14ac:dyDescent="0.25">
      <c r="B13" s="5" t="s">
        <v>41</v>
      </c>
      <c r="C13" s="36">
        <f>C6/Model!H21</f>
        <v>59.38123713717976</v>
      </c>
      <c r="E13" s="5"/>
      <c r="J13" s="13"/>
      <c r="L13" s="5"/>
      <c r="N13" s="13"/>
    </row>
    <row r="14" spans="2:14" x14ac:dyDescent="0.25">
      <c r="B14" s="5" t="s">
        <v>39</v>
      </c>
      <c r="C14" s="36">
        <f>C6/Model!I22</f>
        <v>24.762948207171316</v>
      </c>
      <c r="E14" s="22"/>
      <c r="F14" s="29"/>
      <c r="G14" s="29"/>
      <c r="H14" s="29"/>
      <c r="I14" s="29"/>
      <c r="J14" s="23"/>
      <c r="L14" s="22"/>
      <c r="M14" s="29"/>
      <c r="N14" s="23"/>
    </row>
    <row r="15" spans="2:14" x14ac:dyDescent="0.25">
      <c r="B15" s="5" t="s">
        <v>40</v>
      </c>
      <c r="C15" s="36">
        <f>C6/Model!J22</f>
        <v>21.359106529209622</v>
      </c>
    </row>
    <row r="16" spans="2:14" x14ac:dyDescent="0.25">
      <c r="B16" s="5" t="s">
        <v>37</v>
      </c>
      <c r="C16" s="6">
        <f>Model!I22/Model!H21-1</f>
        <v>1.39798737373214</v>
      </c>
    </row>
    <row r="17" spans="2:14" x14ac:dyDescent="0.25">
      <c r="B17" s="5" t="s">
        <v>38</v>
      </c>
      <c r="C17" s="6">
        <f>Model!J22/Model!I22-1</f>
        <v>0.15936254980079689</v>
      </c>
      <c r="E17" s="33" t="s">
        <v>48</v>
      </c>
      <c r="L17" s="133" t="s">
        <v>144</v>
      </c>
      <c r="M17" s="134"/>
      <c r="N17" s="135"/>
    </row>
    <row r="18" spans="2:14" x14ac:dyDescent="0.25">
      <c r="B18" s="5" t="s">
        <v>61</v>
      </c>
      <c r="C18" s="45">
        <f>C14/(C16*100)</f>
        <v>0.17713284592165418</v>
      </c>
      <c r="E18" t="s">
        <v>210</v>
      </c>
      <c r="L18" s="136"/>
      <c r="M18" s="137"/>
      <c r="N18" s="138"/>
    </row>
    <row r="19" spans="2:14" x14ac:dyDescent="0.25">
      <c r="B19" s="5" t="s">
        <v>62</v>
      </c>
      <c r="C19" s="45">
        <f>C15/(C17*100)</f>
        <v>1.3402839347079032</v>
      </c>
      <c r="E19" t="s">
        <v>211</v>
      </c>
      <c r="L19" s="136"/>
      <c r="M19" s="137"/>
      <c r="N19" s="138"/>
    </row>
    <row r="20" spans="2:14" x14ac:dyDescent="0.25">
      <c r="B20" s="5" t="s">
        <v>73</v>
      </c>
      <c r="C20" s="6">
        <f>Model!I6/Model!H5-1</f>
        <v>0.47549816178589155</v>
      </c>
      <c r="E20" t="s">
        <v>212</v>
      </c>
      <c r="L20" s="136"/>
      <c r="M20" s="137"/>
      <c r="N20" s="138"/>
    </row>
    <row r="21" spans="2:14" x14ac:dyDescent="0.25">
      <c r="B21" s="5" t="s">
        <v>74</v>
      </c>
      <c r="C21" s="6">
        <f>Model!J6/Model!I6-1</f>
        <v>0.15455663822225696</v>
      </c>
      <c r="L21" s="136"/>
      <c r="M21" s="137"/>
      <c r="N21" s="138"/>
    </row>
    <row r="22" spans="2:14" x14ac:dyDescent="0.25">
      <c r="B22" s="5" t="s">
        <v>63</v>
      </c>
      <c r="C22" s="15">
        <f>Model!H17</f>
        <v>60.353999999999935</v>
      </c>
      <c r="L22" s="136"/>
      <c r="M22" s="137"/>
      <c r="N22" s="138"/>
    </row>
    <row r="23" spans="2:14" x14ac:dyDescent="0.25">
      <c r="B23" s="5" t="s">
        <v>16</v>
      </c>
      <c r="C23" s="15">
        <f>Model!H12</f>
        <v>34.610999999999933</v>
      </c>
      <c r="L23" s="136"/>
      <c r="M23" s="137"/>
      <c r="N23" s="138"/>
    </row>
    <row r="24" spans="2:14" x14ac:dyDescent="0.25">
      <c r="B24" s="5" t="s">
        <v>25</v>
      </c>
      <c r="C24" s="7">
        <f>Model!H23</f>
        <v>9.9721674791688086E-2</v>
      </c>
      <c r="L24" s="136"/>
      <c r="M24" s="137"/>
      <c r="N24" s="138"/>
    </row>
    <row r="25" spans="2:14" x14ac:dyDescent="0.25">
      <c r="B25" s="5" t="s">
        <v>26</v>
      </c>
      <c r="C25" s="7">
        <f>Model!H24</f>
        <v>0.16674445942675362</v>
      </c>
      <c r="L25" s="136"/>
      <c r="M25" s="137"/>
      <c r="N25" s="138"/>
    </row>
    <row r="26" spans="2:14" x14ac:dyDescent="0.25">
      <c r="B26" s="5" t="s">
        <v>64</v>
      </c>
      <c r="C26" s="36">
        <f>C12/C23</f>
        <v>103.74206694865815</v>
      </c>
      <c r="L26" s="136"/>
      <c r="M26" s="137"/>
      <c r="N26" s="138"/>
    </row>
    <row r="27" spans="2:14" x14ac:dyDescent="0.25">
      <c r="B27" s="5" t="s">
        <v>75</v>
      </c>
      <c r="C27" s="114">
        <f>Model!H58/Model!H63</f>
        <v>0.40960999666850534</v>
      </c>
      <c r="E27" t="s">
        <v>65</v>
      </c>
      <c r="L27" s="136"/>
      <c r="M27" s="137"/>
      <c r="N27" s="138"/>
    </row>
    <row r="28" spans="2:14" x14ac:dyDescent="0.25">
      <c r="B28" s="5" t="s">
        <v>76</v>
      </c>
      <c r="C28" s="36"/>
      <c r="L28" s="139"/>
      <c r="M28" s="140"/>
      <c r="N28" s="141"/>
    </row>
    <row r="29" spans="2:14" x14ac:dyDescent="0.25">
      <c r="B29" s="5" t="s">
        <v>77</v>
      </c>
      <c r="C29" s="36" t="e">
        <f>Model!O30/Model!O40</f>
        <v>#DIV/0!</v>
      </c>
    </row>
    <row r="30" spans="2:14" x14ac:dyDescent="0.25">
      <c r="B30" s="5" t="s">
        <v>78</v>
      </c>
      <c r="C30" s="36" t="e">
        <f>(Model!O24+Model!O25)/Model!O40</f>
        <v>#DIV/0!</v>
      </c>
    </row>
    <row r="31" spans="2:14" x14ac:dyDescent="0.25">
      <c r="B31" s="5" t="s">
        <v>79</v>
      </c>
      <c r="C31" s="6" t="e">
        <f>(Model!O30-Model!O40)/Model!O36</f>
        <v>#DIV/0!</v>
      </c>
    </row>
    <row r="32" spans="2:14" x14ac:dyDescent="0.25">
      <c r="B32" s="5" t="s">
        <v>80</v>
      </c>
      <c r="C32" s="36">
        <f>(Model!O36-Model!O45)/Main!C7</f>
        <v>0</v>
      </c>
    </row>
    <row r="33" spans="2:9" x14ac:dyDescent="0.25">
      <c r="B33" s="5" t="s">
        <v>81</v>
      </c>
      <c r="C33" s="36" t="e">
        <f>Model!O3/Model!O36</f>
        <v>#DIV/0!</v>
      </c>
    </row>
    <row r="34" spans="2:9" x14ac:dyDescent="0.25">
      <c r="B34" s="5" t="s">
        <v>82</v>
      </c>
      <c r="C34" s="38" t="e">
        <f>Model!O11/Model!O36</f>
        <v>#DIV/0!</v>
      </c>
    </row>
    <row r="35" spans="2:9" x14ac:dyDescent="0.25">
      <c r="B35" s="5" t="s">
        <v>83</v>
      </c>
      <c r="C35" s="38" t="e">
        <f>Model!O11/Model!O46</f>
        <v>#DIV/0!</v>
      </c>
    </row>
    <row r="36" spans="2:9" x14ac:dyDescent="0.25">
      <c r="B36" s="22" t="s">
        <v>84</v>
      </c>
      <c r="C36" s="23"/>
    </row>
    <row r="41" spans="2:9" x14ac:dyDescent="0.25">
      <c r="E41" s="50"/>
      <c r="F41" s="50"/>
      <c r="G41" s="53"/>
      <c r="H41" s="53"/>
      <c r="I41" s="53"/>
    </row>
    <row r="42" spans="2:9" x14ac:dyDescent="0.25">
      <c r="E42" s="50"/>
      <c r="F42" s="50"/>
      <c r="G42" s="53"/>
      <c r="H42" s="53"/>
      <c r="I42" s="53"/>
    </row>
    <row r="43" spans="2:9" x14ac:dyDescent="0.25">
      <c r="E43" s="50"/>
      <c r="F43" s="50"/>
      <c r="G43" s="53"/>
      <c r="H43" s="53"/>
      <c r="I43" s="53"/>
    </row>
    <row r="44" spans="2:9" x14ac:dyDescent="0.25">
      <c r="E44" s="50"/>
      <c r="F44" s="50"/>
      <c r="G44" s="53"/>
      <c r="H44" s="53"/>
      <c r="I44" s="53"/>
    </row>
    <row r="45" spans="2:9" x14ac:dyDescent="0.25">
      <c r="E45" s="51"/>
      <c r="F45" s="52"/>
      <c r="G45" s="52"/>
    </row>
    <row r="46" spans="2:9" x14ac:dyDescent="0.25">
      <c r="E46" s="51"/>
      <c r="F46" s="52"/>
      <c r="G46" s="52"/>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AC84"/>
  <sheetViews>
    <sheetView zoomScaleNormal="100" workbookViewId="0">
      <pane xSplit="2" ySplit="2" topLeftCell="D3" activePane="bottomRight" state="frozen"/>
      <selection pane="topRight" activeCell="B1" sqref="B1"/>
      <selection pane="bottomLeft" activeCell="A3" sqref="A3"/>
      <selection pane="bottomRight" activeCell="AA26" sqref="AA26"/>
    </sheetView>
  </sheetViews>
  <sheetFormatPr defaultColWidth="11.42578125" defaultRowHeight="15" x14ac:dyDescent="0.25"/>
  <cols>
    <col min="1" max="1" width="4.7109375" customWidth="1"/>
    <col min="2" max="2" width="27.28515625" customWidth="1"/>
    <col min="8" max="8" width="11.42578125" style="13"/>
    <col min="26" max="26" width="11.42578125" style="152"/>
    <col min="27" max="27" width="11.42578125" style="13"/>
  </cols>
  <sheetData>
    <row r="1" spans="1:29" x14ac:dyDescent="0.25">
      <c r="A1" s="8" t="s">
        <v>31</v>
      </c>
    </row>
    <row r="2" spans="1:29" x14ac:dyDescent="0.25">
      <c r="C2" t="s">
        <v>28</v>
      </c>
      <c r="D2" t="s">
        <v>15</v>
      </c>
      <c r="E2" t="s">
        <v>11</v>
      </c>
      <c r="F2" t="s">
        <v>12</v>
      </c>
      <c r="G2" t="s">
        <v>13</v>
      </c>
      <c r="H2" s="13" t="s">
        <v>27</v>
      </c>
      <c r="I2" t="s">
        <v>60</v>
      </c>
      <c r="J2" t="s">
        <v>140</v>
      </c>
      <c r="N2" t="s">
        <v>10</v>
      </c>
      <c r="O2" t="s">
        <v>6</v>
      </c>
      <c r="P2" t="s">
        <v>7</v>
      </c>
      <c r="Q2" t="s">
        <v>8</v>
      </c>
      <c r="R2" t="s">
        <v>9</v>
      </c>
      <c r="S2" t="s">
        <v>29</v>
      </c>
      <c r="T2" t="s">
        <v>33</v>
      </c>
      <c r="U2" t="s">
        <v>34</v>
      </c>
      <c r="V2" t="s">
        <v>55</v>
      </c>
      <c r="W2" t="s">
        <v>59</v>
      </c>
      <c r="X2" t="s">
        <v>130</v>
      </c>
      <c r="Y2" t="s">
        <v>131</v>
      </c>
      <c r="Z2" s="152" t="s">
        <v>141</v>
      </c>
      <c r="AA2" s="13" t="s">
        <v>142</v>
      </c>
      <c r="AB2" t="s">
        <v>201</v>
      </c>
      <c r="AC2" t="s">
        <v>202</v>
      </c>
    </row>
    <row r="3" spans="1:29" x14ac:dyDescent="0.25">
      <c r="B3" s="9" t="s">
        <v>178</v>
      </c>
      <c r="G3" s="124">
        <v>232.24100000000001</v>
      </c>
      <c r="H3" s="13">
        <v>311.42599999999999</v>
      </c>
      <c r="R3">
        <v>52.576000000000001</v>
      </c>
      <c r="S3">
        <v>54.984999999999999</v>
      </c>
      <c r="T3" s="124">
        <v>59.179000000000002</v>
      </c>
      <c r="U3" s="124">
        <f>G3-T3-S3-R3</f>
        <v>65.501000000000005</v>
      </c>
      <c r="V3" s="124">
        <v>65.561999999999998</v>
      </c>
      <c r="W3" s="124">
        <v>71.650999999999996</v>
      </c>
      <c r="X3" s="124">
        <v>83.39</v>
      </c>
      <c r="Y3" s="124">
        <f>H3-X3-W3-V3</f>
        <v>90.822999999999993</v>
      </c>
      <c r="Z3" s="153">
        <v>97.850999999999999</v>
      </c>
      <c r="AA3" s="125">
        <v>121.593</v>
      </c>
    </row>
    <row r="4" spans="1:29" x14ac:dyDescent="0.25">
      <c r="B4" s="9" t="s">
        <v>179</v>
      </c>
      <c r="G4" s="124">
        <v>26.852</v>
      </c>
      <c r="H4" s="13">
        <v>35.65</v>
      </c>
      <c r="R4">
        <v>6.3520000000000003</v>
      </c>
      <c r="S4">
        <v>6.25</v>
      </c>
      <c r="T4" s="124">
        <v>6.6319999999999997</v>
      </c>
      <c r="U4" s="124">
        <f>G4-T4-S4-R4</f>
        <v>7.6179999999999986</v>
      </c>
      <c r="V4" s="124">
        <v>8.0679999999999996</v>
      </c>
      <c r="W4" s="124">
        <v>8.4659999999999993</v>
      </c>
      <c r="X4" s="124">
        <v>9.0990000000000002</v>
      </c>
      <c r="Y4" s="124">
        <f>H4-X4-W4-V4</f>
        <v>10.017000000000001</v>
      </c>
      <c r="Z4" s="153">
        <v>10.128</v>
      </c>
      <c r="AA4" s="125">
        <v>10.164</v>
      </c>
    </row>
    <row r="5" spans="1:29" s="1" customFormat="1" x14ac:dyDescent="0.25">
      <c r="B5" s="1" t="s">
        <v>14</v>
      </c>
      <c r="C5" s="11">
        <f t="shared" ref="C5:H5" si="0">SUM(C3:C4)</f>
        <v>0</v>
      </c>
      <c r="D5" s="11">
        <f t="shared" si="0"/>
        <v>0</v>
      </c>
      <c r="E5" s="11">
        <f t="shared" si="0"/>
        <v>0</v>
      </c>
      <c r="F5" s="11">
        <f t="shared" si="0"/>
        <v>0</v>
      </c>
      <c r="G5" s="11">
        <f t="shared" si="0"/>
        <v>259.09300000000002</v>
      </c>
      <c r="H5" s="14">
        <f t="shared" si="0"/>
        <v>347.07599999999996</v>
      </c>
      <c r="I5" s="11">
        <v>512.11</v>
      </c>
      <c r="J5" s="11">
        <v>591.26</v>
      </c>
      <c r="N5" s="11">
        <f t="shared" ref="N5:AA5" si="1">SUM(N3:N4)</f>
        <v>0</v>
      </c>
      <c r="O5" s="11">
        <f t="shared" si="1"/>
        <v>0</v>
      </c>
      <c r="P5" s="11">
        <f t="shared" si="1"/>
        <v>0</v>
      </c>
      <c r="Q5" s="11">
        <f t="shared" si="1"/>
        <v>0</v>
      </c>
      <c r="R5" s="11">
        <f t="shared" si="1"/>
        <v>58.927999999999997</v>
      </c>
      <c r="S5" s="11">
        <f t="shared" si="1"/>
        <v>61.234999999999999</v>
      </c>
      <c r="T5" s="129">
        <f t="shared" si="1"/>
        <v>65.811000000000007</v>
      </c>
      <c r="U5" s="11">
        <f t="shared" si="1"/>
        <v>73.119</v>
      </c>
      <c r="V5" s="129">
        <f t="shared" si="1"/>
        <v>73.63</v>
      </c>
      <c r="W5" s="129">
        <f t="shared" si="1"/>
        <v>80.11699999999999</v>
      </c>
      <c r="X5" s="129">
        <f t="shared" si="1"/>
        <v>92.489000000000004</v>
      </c>
      <c r="Y5" s="129">
        <f t="shared" si="1"/>
        <v>100.83999999999999</v>
      </c>
      <c r="Z5" s="154">
        <f t="shared" si="1"/>
        <v>107.979</v>
      </c>
      <c r="AA5" s="154">
        <f t="shared" si="1"/>
        <v>131.75700000000001</v>
      </c>
      <c r="AB5" s="1">
        <v>119.09</v>
      </c>
    </row>
    <row r="6" spans="1:29" x14ac:dyDescent="0.25">
      <c r="B6" s="9" t="s">
        <v>57</v>
      </c>
      <c r="C6" s="10"/>
      <c r="D6" s="10"/>
      <c r="E6" s="10"/>
      <c r="F6" s="10"/>
      <c r="G6" s="10"/>
      <c r="H6" s="117"/>
      <c r="I6" s="42">
        <v>512.11</v>
      </c>
      <c r="J6" s="122">
        <v>591.26</v>
      </c>
      <c r="N6" s="40"/>
      <c r="O6" s="40"/>
      <c r="P6" s="40"/>
      <c r="Q6" s="40"/>
      <c r="R6" s="40"/>
      <c r="S6" s="40"/>
      <c r="T6" s="130"/>
      <c r="U6" s="40"/>
      <c r="V6" s="130"/>
      <c r="W6" s="130"/>
      <c r="X6" s="130"/>
      <c r="Y6" s="130"/>
      <c r="Z6" s="155"/>
      <c r="AA6" s="117">
        <v>111.96</v>
      </c>
      <c r="AB6">
        <v>133.5</v>
      </c>
      <c r="AC6">
        <v>138.97</v>
      </c>
    </row>
    <row r="7" spans="1:29" x14ac:dyDescent="0.25">
      <c r="B7" s="9" t="s">
        <v>180</v>
      </c>
      <c r="C7" s="10"/>
      <c r="D7" s="10"/>
      <c r="E7" s="10"/>
      <c r="F7" s="10"/>
      <c r="G7" s="10">
        <v>58.386000000000003</v>
      </c>
      <c r="H7" s="117">
        <v>54.625999999999998</v>
      </c>
      <c r="I7" s="40"/>
      <c r="N7" s="40"/>
      <c r="O7" s="40"/>
      <c r="P7" s="40"/>
      <c r="Q7" s="40"/>
      <c r="R7" s="40">
        <v>11.952999999999999</v>
      </c>
      <c r="S7" s="40">
        <v>15.925000000000001</v>
      </c>
      <c r="T7" s="130">
        <v>15.983000000000001</v>
      </c>
      <c r="U7" s="124">
        <f t="shared" ref="U7:U11" si="2">G7-T7-S7-R7</f>
        <v>14.525000000000006</v>
      </c>
      <c r="V7" s="130">
        <v>9.9429999999999996</v>
      </c>
      <c r="W7" s="130">
        <v>14.365</v>
      </c>
      <c r="X7" s="130">
        <v>13.68</v>
      </c>
      <c r="Y7" s="124">
        <f t="shared" ref="Y7:Y11" si="3">H7-X7-W7-V7</f>
        <v>16.637999999999998</v>
      </c>
      <c r="Z7" s="155">
        <v>10.603</v>
      </c>
      <c r="AA7" s="163">
        <v>25.295000000000002</v>
      </c>
    </row>
    <row r="8" spans="1:29" x14ac:dyDescent="0.25">
      <c r="B8" s="9" t="s">
        <v>181</v>
      </c>
      <c r="C8" s="10"/>
      <c r="D8" s="10"/>
      <c r="E8" s="10"/>
      <c r="F8" s="10"/>
      <c r="G8" s="10">
        <v>28.925999999999998</v>
      </c>
      <c r="H8" s="117">
        <v>30.376999999999999</v>
      </c>
      <c r="I8" s="40"/>
      <c r="N8" s="40"/>
      <c r="O8" s="40"/>
      <c r="P8" s="40"/>
      <c r="Q8" s="40"/>
      <c r="R8" s="40">
        <v>7.1180000000000003</v>
      </c>
      <c r="S8" s="40">
        <v>7.2320000000000002</v>
      </c>
      <c r="T8" s="130">
        <v>7.0640000000000001</v>
      </c>
      <c r="U8" s="124">
        <f t="shared" si="2"/>
        <v>7.5119999999999987</v>
      </c>
      <c r="V8" s="130">
        <v>7.7229999999999999</v>
      </c>
      <c r="W8" s="130">
        <v>7.7939999999999996</v>
      </c>
      <c r="X8" s="130">
        <v>8.5760000000000005</v>
      </c>
      <c r="Y8" s="124">
        <f t="shared" si="3"/>
        <v>6.283999999999998</v>
      </c>
      <c r="Z8" s="155">
        <v>7.1059999999999999</v>
      </c>
      <c r="AA8" s="163">
        <f>7.17+7.227</f>
        <v>14.397</v>
      </c>
    </row>
    <row r="9" spans="1:29" x14ac:dyDescent="0.25">
      <c r="B9" s="9" t="s">
        <v>182</v>
      </c>
      <c r="C9" s="10"/>
      <c r="D9" s="10"/>
      <c r="E9" s="10"/>
      <c r="F9" s="10"/>
      <c r="G9" s="10">
        <v>48.392000000000003</v>
      </c>
      <c r="H9" s="117">
        <v>44.904000000000003</v>
      </c>
      <c r="I9" s="40"/>
      <c r="N9" s="10"/>
      <c r="O9" s="10"/>
      <c r="P9" s="10"/>
      <c r="Q9" s="10"/>
      <c r="R9" s="10">
        <v>9.4710000000000001</v>
      </c>
      <c r="S9" s="10">
        <v>14.984999999999999</v>
      </c>
      <c r="T9" s="124">
        <v>13.914</v>
      </c>
      <c r="U9" s="124">
        <f t="shared" si="2"/>
        <v>10.022000000000002</v>
      </c>
      <c r="V9" s="124">
        <v>9.0969999999999995</v>
      </c>
      <c r="W9" s="124">
        <v>10.743</v>
      </c>
      <c r="X9" s="124">
        <v>12.500999999999999</v>
      </c>
      <c r="Y9" s="124">
        <f t="shared" si="3"/>
        <v>12.563000000000004</v>
      </c>
      <c r="Z9" s="155">
        <v>10.315</v>
      </c>
      <c r="AA9" s="164">
        <v>15.456</v>
      </c>
    </row>
    <row r="10" spans="1:29" x14ac:dyDescent="0.25">
      <c r="B10" t="s">
        <v>183</v>
      </c>
      <c r="C10" s="10"/>
      <c r="D10" s="10"/>
      <c r="E10" s="10"/>
      <c r="F10" s="10"/>
      <c r="G10" s="10">
        <v>94.91</v>
      </c>
      <c r="H10" s="117">
        <v>107.02800000000001</v>
      </c>
      <c r="I10" s="40"/>
      <c r="N10" s="10"/>
      <c r="O10" s="10"/>
      <c r="P10" s="10"/>
      <c r="Q10" s="10"/>
      <c r="R10" s="10">
        <v>24.367000000000001</v>
      </c>
      <c r="S10" s="10">
        <v>23.931999999999999</v>
      </c>
      <c r="T10" s="124">
        <v>23.081</v>
      </c>
      <c r="U10" s="124">
        <f t="shared" si="2"/>
        <v>23.52999999999999</v>
      </c>
      <c r="V10" s="124">
        <v>24.552</v>
      </c>
      <c r="W10" s="124">
        <v>24.515000000000001</v>
      </c>
      <c r="X10" s="124">
        <v>30.763000000000002</v>
      </c>
      <c r="Y10" s="124">
        <f t="shared" si="3"/>
        <v>27.198</v>
      </c>
      <c r="Z10" s="153">
        <v>27.51</v>
      </c>
      <c r="AA10" s="164">
        <v>26.43</v>
      </c>
    </row>
    <row r="11" spans="1:29" x14ac:dyDescent="0.25">
      <c r="B11" t="s">
        <v>184</v>
      </c>
      <c r="C11" s="10"/>
      <c r="D11" s="10"/>
      <c r="E11" s="10"/>
      <c r="F11" s="10"/>
      <c r="G11" s="10">
        <v>70.679000000000002</v>
      </c>
      <c r="H11" s="15">
        <v>75.53</v>
      </c>
      <c r="I11" s="10"/>
      <c r="N11" s="10"/>
      <c r="O11" s="10"/>
      <c r="P11" s="10"/>
      <c r="Q11" s="10"/>
      <c r="R11" s="10">
        <v>18.501000000000001</v>
      </c>
      <c r="S11" s="10">
        <v>20.077999999999999</v>
      </c>
      <c r="T11" s="124">
        <v>16.343</v>
      </c>
      <c r="U11" s="124">
        <f t="shared" si="2"/>
        <v>15.756999999999994</v>
      </c>
      <c r="V11" s="124">
        <v>16.916</v>
      </c>
      <c r="W11" s="124">
        <v>17.030999999999999</v>
      </c>
      <c r="X11" s="124">
        <v>24.419</v>
      </c>
      <c r="Y11" s="124">
        <f t="shared" si="3"/>
        <v>17.164000000000005</v>
      </c>
      <c r="Z11" s="153">
        <v>17.295999999999999</v>
      </c>
      <c r="AA11" s="164">
        <f>2.894+6.203</f>
        <v>9.0970000000000013</v>
      </c>
    </row>
    <row r="12" spans="1:29" s="1" customFormat="1" x14ac:dyDescent="0.25">
      <c r="B12" s="1" t="s">
        <v>20</v>
      </c>
      <c r="C12" s="11">
        <f t="shared" ref="C12:F12" si="4">C5-SUM(C7:C11)</f>
        <v>0</v>
      </c>
      <c r="D12" s="11">
        <f t="shared" si="4"/>
        <v>0</v>
      </c>
      <c r="E12" s="11">
        <f t="shared" si="4"/>
        <v>0</v>
      </c>
      <c r="F12" s="11">
        <f t="shared" si="4"/>
        <v>0</v>
      </c>
      <c r="G12" s="11">
        <f>G5-SUM(G7:G11)</f>
        <v>-42.199999999999989</v>
      </c>
      <c r="H12" s="14">
        <f>H5-SUM(H7:H11)</f>
        <v>34.610999999999933</v>
      </c>
      <c r="I12" s="11">
        <f>I5-SUM(I9:I11)</f>
        <v>512.11</v>
      </c>
      <c r="J12" s="11">
        <f>J5-SUM(J9:J11)</f>
        <v>591.26</v>
      </c>
      <c r="K12" s="11"/>
      <c r="L12" s="11"/>
      <c r="M12" s="11"/>
      <c r="N12" s="11">
        <f t="shared" ref="N12:AA12" si="5">N5-SUM(N7:N11)</f>
        <v>0</v>
      </c>
      <c r="O12" s="11">
        <f t="shared" si="5"/>
        <v>0</v>
      </c>
      <c r="P12" s="11">
        <f t="shared" si="5"/>
        <v>0</v>
      </c>
      <c r="Q12" s="11">
        <f t="shared" si="5"/>
        <v>0</v>
      </c>
      <c r="R12" s="11">
        <f t="shared" si="5"/>
        <v>-12.481999999999999</v>
      </c>
      <c r="S12" s="11">
        <f t="shared" si="5"/>
        <v>-20.917000000000002</v>
      </c>
      <c r="T12" s="129">
        <f t="shared" si="5"/>
        <v>-10.573999999999998</v>
      </c>
      <c r="U12" s="11">
        <f t="shared" si="5"/>
        <v>1.7730000000000103</v>
      </c>
      <c r="V12" s="129">
        <f t="shared" si="5"/>
        <v>5.3990000000000009</v>
      </c>
      <c r="W12" s="129">
        <f t="shared" si="5"/>
        <v>5.6689999999999827</v>
      </c>
      <c r="X12" s="129">
        <f t="shared" si="5"/>
        <v>2.5500000000000114</v>
      </c>
      <c r="Y12" s="129">
        <f t="shared" si="5"/>
        <v>20.992999999999981</v>
      </c>
      <c r="Z12" s="154">
        <f t="shared" si="5"/>
        <v>35.148999999999987</v>
      </c>
      <c r="AA12" s="165">
        <f t="shared" si="5"/>
        <v>41.081999999999994</v>
      </c>
    </row>
    <row r="13" spans="1:29" x14ac:dyDescent="0.25">
      <c r="B13" t="s">
        <v>185</v>
      </c>
      <c r="C13" s="10"/>
      <c r="D13" s="10"/>
      <c r="E13" s="10"/>
      <c r="F13" s="10"/>
      <c r="G13" s="10">
        <f>-5.295+11.774</f>
        <v>6.4789999999999992</v>
      </c>
      <c r="H13" s="15">
        <f>-2.984+7.989</f>
        <v>5.0049999999999999</v>
      </c>
      <c r="I13" s="10"/>
      <c r="J13" s="10"/>
      <c r="N13" s="10"/>
      <c r="O13" s="10"/>
      <c r="P13" s="10"/>
      <c r="Q13" s="10"/>
      <c r="R13" s="10">
        <f>-1.192+2.898</f>
        <v>1.7060000000000002</v>
      </c>
      <c r="S13" s="10">
        <f>-1.485+3.027</f>
        <v>1.542</v>
      </c>
      <c r="T13" s="124">
        <f>-1.332+3.057</f>
        <v>1.7249999999999999</v>
      </c>
      <c r="U13" s="124">
        <f t="shared" ref="U13:U16" si="6">G13-T13-S13-R13</f>
        <v>1.5059999999999996</v>
      </c>
      <c r="V13" s="124">
        <f>-1.495+2.217</f>
        <v>0.72199999999999998</v>
      </c>
      <c r="W13" s="124">
        <f>-0.537+1.965</f>
        <v>1.4279999999999999</v>
      </c>
      <c r="X13" s="124">
        <f>-0.439+1.964</f>
        <v>1.5249999999999999</v>
      </c>
      <c r="Y13" s="124">
        <f t="shared" ref="Y13:Y16" si="7">H13-X13-W13-V13</f>
        <v>1.33</v>
      </c>
      <c r="Z13" s="153">
        <f>-0.431+1.758</f>
        <v>1.327</v>
      </c>
      <c r="AA13" s="164">
        <f>-0.588+1.777</f>
        <v>1.1890000000000001</v>
      </c>
    </row>
    <row r="14" spans="1:29" x14ac:dyDescent="0.25">
      <c r="B14" t="s">
        <v>186</v>
      </c>
      <c r="C14" s="10"/>
      <c r="D14" s="10"/>
      <c r="E14" s="10"/>
      <c r="F14" s="10"/>
      <c r="G14" s="10"/>
      <c r="H14" s="15">
        <v>-33.442</v>
      </c>
      <c r="I14" s="10"/>
      <c r="J14" s="10"/>
      <c r="N14" s="10"/>
      <c r="O14" s="10"/>
      <c r="P14" s="10"/>
      <c r="Q14" s="10"/>
      <c r="R14" s="10">
        <v>0</v>
      </c>
      <c r="S14" s="10">
        <v>0</v>
      </c>
      <c r="T14" s="124">
        <v>0</v>
      </c>
      <c r="U14" s="124">
        <f t="shared" si="6"/>
        <v>0</v>
      </c>
      <c r="V14" s="124">
        <v>-33.442</v>
      </c>
      <c r="W14" s="124"/>
      <c r="X14" s="124">
        <v>0</v>
      </c>
      <c r="Y14" s="124">
        <f t="shared" si="7"/>
        <v>0</v>
      </c>
      <c r="Z14" s="153">
        <v>0</v>
      </c>
      <c r="AA14" s="164">
        <v>0</v>
      </c>
    </row>
    <row r="15" spans="1:29" x14ac:dyDescent="0.25">
      <c r="B15" t="s">
        <v>188</v>
      </c>
      <c r="C15" s="10"/>
      <c r="D15" s="10"/>
      <c r="E15" s="10"/>
      <c r="F15" s="10"/>
      <c r="G15" s="10">
        <f>-0.022-0.26</f>
        <v>-0.28200000000000003</v>
      </c>
      <c r="H15" s="15">
        <v>0.96499999999999997</v>
      </c>
      <c r="I15" s="10"/>
      <c r="J15" s="10"/>
      <c r="N15" s="10"/>
      <c r="O15" s="10"/>
      <c r="P15" s="10"/>
      <c r="Q15" s="10"/>
      <c r="R15" s="10">
        <v>-2.5000000000000001E-2</v>
      </c>
      <c r="S15" s="10">
        <v>-1.2E-2</v>
      </c>
      <c r="T15" s="124">
        <v>2E-3</v>
      </c>
      <c r="U15" s="124">
        <f t="shared" si="6"/>
        <v>-0.24700000000000003</v>
      </c>
      <c r="V15" s="124">
        <v>0.19600000000000001</v>
      </c>
      <c r="W15" s="124">
        <v>-6.3E-2</v>
      </c>
      <c r="X15" s="124">
        <v>-1.7000000000000001E-2</v>
      </c>
      <c r="Y15" s="124">
        <f t="shared" si="7"/>
        <v>0.84899999999999998</v>
      </c>
      <c r="Z15" s="153">
        <v>-0.39800000000000002</v>
      </c>
      <c r="AA15" s="164">
        <v>7.8940000000000001</v>
      </c>
    </row>
    <row r="16" spans="1:29" x14ac:dyDescent="0.25">
      <c r="B16" t="s">
        <v>187</v>
      </c>
      <c r="C16" s="10"/>
      <c r="D16" s="10"/>
      <c r="E16" s="10"/>
      <c r="F16" s="10"/>
      <c r="G16" s="10"/>
      <c r="H16" s="15">
        <v>1.7290000000000001</v>
      </c>
      <c r="I16" s="10"/>
      <c r="J16" s="10"/>
      <c r="N16" s="10"/>
      <c r="O16" s="10"/>
      <c r="P16" s="10"/>
      <c r="Q16" s="10"/>
      <c r="R16" s="10">
        <v>-0.14599999999999999</v>
      </c>
      <c r="S16" s="10">
        <v>0.16400000000000001</v>
      </c>
      <c r="T16" s="124">
        <v>-0.25700000000000001</v>
      </c>
      <c r="U16" s="124">
        <f t="shared" si="6"/>
        <v>0.23899999999999999</v>
      </c>
      <c r="V16" s="124">
        <v>0.47699999999999998</v>
      </c>
      <c r="W16" s="124">
        <v>-0.27200000000000002</v>
      </c>
      <c r="X16" s="124">
        <v>0.20300000000000001</v>
      </c>
      <c r="Y16" s="124">
        <f t="shared" si="7"/>
        <v>1.3210000000000002</v>
      </c>
      <c r="Z16" s="153">
        <v>0.35199999999999998</v>
      </c>
      <c r="AA16" s="164">
        <v>20.491</v>
      </c>
    </row>
    <row r="17" spans="2:29" s="1" customFormat="1" x14ac:dyDescent="0.25">
      <c r="B17" s="1" t="s">
        <v>129</v>
      </c>
      <c r="C17" s="11">
        <f>C12+SUM(C13:C16)</f>
        <v>0</v>
      </c>
      <c r="D17" s="11">
        <f t="shared" ref="D17:F17" si="8">D12-SUM(D13:D16)</f>
        <v>0</v>
      </c>
      <c r="E17" s="11">
        <f t="shared" si="8"/>
        <v>0</v>
      </c>
      <c r="F17" s="11">
        <f t="shared" si="8"/>
        <v>0</v>
      </c>
      <c r="G17" s="11">
        <f>G12-SUM(G13:G16)</f>
        <v>-48.396999999999991</v>
      </c>
      <c r="H17" s="14">
        <f>H12-SUM(H13:H16)</f>
        <v>60.353999999999935</v>
      </c>
      <c r="I17" s="11">
        <f t="shared" ref="I17:J17" si="9">I12-SUM(I13:I16)</f>
        <v>512.11</v>
      </c>
      <c r="J17" s="11">
        <f t="shared" si="9"/>
        <v>591.26</v>
      </c>
      <c r="N17" s="11">
        <f t="shared" ref="N17:AA17" si="10">N12-SUM(N13:N16)</f>
        <v>0</v>
      </c>
      <c r="O17" s="11">
        <f t="shared" si="10"/>
        <v>0</v>
      </c>
      <c r="P17" s="11">
        <f t="shared" si="10"/>
        <v>0</v>
      </c>
      <c r="Q17" s="11">
        <f t="shared" si="10"/>
        <v>0</v>
      </c>
      <c r="R17" s="11">
        <f t="shared" si="10"/>
        <v>-14.016999999999999</v>
      </c>
      <c r="S17" s="11">
        <f t="shared" si="10"/>
        <v>-22.611000000000001</v>
      </c>
      <c r="T17" s="129">
        <f t="shared" si="10"/>
        <v>-12.043999999999997</v>
      </c>
      <c r="U17" s="11">
        <f t="shared" si="10"/>
        <v>0.27500000000001101</v>
      </c>
      <c r="V17" s="129">
        <f t="shared" si="10"/>
        <v>37.446000000000005</v>
      </c>
      <c r="W17" s="129">
        <f t="shared" si="10"/>
        <v>4.5759999999999827</v>
      </c>
      <c r="X17" s="129">
        <f t="shared" si="10"/>
        <v>0.83900000000001129</v>
      </c>
      <c r="Y17" s="129">
        <f t="shared" si="10"/>
        <v>17.492999999999981</v>
      </c>
      <c r="Z17" s="154">
        <f t="shared" si="10"/>
        <v>33.867999999999988</v>
      </c>
      <c r="AA17" s="165">
        <f t="shared" si="10"/>
        <v>11.507999999999996</v>
      </c>
    </row>
    <row r="18" spans="2:29" x14ac:dyDescent="0.25">
      <c r="B18" t="s">
        <v>17</v>
      </c>
      <c r="C18" s="10"/>
      <c r="D18" s="10"/>
      <c r="E18" s="10"/>
      <c r="F18" s="10"/>
      <c r="G18" s="10">
        <v>0.12</v>
      </c>
      <c r="H18" s="15">
        <v>2.4809999999999999</v>
      </c>
      <c r="I18" s="10"/>
      <c r="J18" s="10"/>
      <c r="N18" s="10"/>
      <c r="O18" s="10"/>
      <c r="P18" s="10"/>
      <c r="Q18" s="10"/>
      <c r="R18" s="10">
        <v>8.0000000000000002E-3</v>
      </c>
      <c r="S18" s="10">
        <v>7.0000000000000001E-3</v>
      </c>
      <c r="T18" s="124">
        <v>8.9999999999999993E-3</v>
      </c>
      <c r="U18" s="124">
        <f>G18-T18-S18-R18</f>
        <v>9.6000000000000002E-2</v>
      </c>
      <c r="V18" s="124">
        <v>3.2029999999999998</v>
      </c>
      <c r="W18" s="124">
        <v>-1.782</v>
      </c>
      <c r="X18" s="124">
        <v>0.373</v>
      </c>
      <c r="Y18" s="124">
        <f>H18-X18-W18-V18</f>
        <v>0.68699999999999983</v>
      </c>
      <c r="Z18" s="153">
        <v>5.056</v>
      </c>
      <c r="AA18" s="164">
        <v>2.468</v>
      </c>
    </row>
    <row r="19" spans="2:29" s="1" customFormat="1" x14ac:dyDescent="0.25">
      <c r="B19" s="1" t="s">
        <v>18</v>
      </c>
      <c r="C19" s="11">
        <f t="shared" ref="C19:J19" si="11">C17-SUM(C18:C18)</f>
        <v>0</v>
      </c>
      <c r="D19" s="11">
        <f t="shared" si="11"/>
        <v>0</v>
      </c>
      <c r="E19" s="11">
        <f t="shared" si="11"/>
        <v>0</v>
      </c>
      <c r="F19" s="11">
        <f t="shared" si="11"/>
        <v>0</v>
      </c>
      <c r="G19" s="11">
        <f t="shared" si="11"/>
        <v>-48.516999999999989</v>
      </c>
      <c r="H19" s="14">
        <f t="shared" si="11"/>
        <v>57.872999999999934</v>
      </c>
      <c r="I19" s="11">
        <f t="shared" si="11"/>
        <v>512.11</v>
      </c>
      <c r="J19" s="11">
        <f t="shared" si="11"/>
        <v>591.26</v>
      </c>
      <c r="N19" s="11">
        <f t="shared" ref="N19:AA19" si="12">N17-SUM(N18:N18)</f>
        <v>0</v>
      </c>
      <c r="O19" s="11">
        <f t="shared" si="12"/>
        <v>0</v>
      </c>
      <c r="P19" s="11">
        <f t="shared" si="12"/>
        <v>0</v>
      </c>
      <c r="Q19" s="11">
        <f t="shared" si="12"/>
        <v>0</v>
      </c>
      <c r="R19" s="11">
        <f t="shared" si="12"/>
        <v>-14.024999999999999</v>
      </c>
      <c r="S19" s="11">
        <f t="shared" si="12"/>
        <v>-22.618000000000002</v>
      </c>
      <c r="T19" s="129">
        <f t="shared" si="12"/>
        <v>-12.052999999999997</v>
      </c>
      <c r="U19" s="11">
        <f t="shared" si="12"/>
        <v>0.17900000000001101</v>
      </c>
      <c r="V19" s="129">
        <f t="shared" si="12"/>
        <v>34.243000000000002</v>
      </c>
      <c r="W19" s="129">
        <f t="shared" si="12"/>
        <v>6.3579999999999828</v>
      </c>
      <c r="X19" s="129">
        <f t="shared" si="12"/>
        <v>0.46600000000001129</v>
      </c>
      <c r="Y19" s="129">
        <f t="shared" si="12"/>
        <v>16.80599999999998</v>
      </c>
      <c r="Z19" s="154">
        <f t="shared" si="12"/>
        <v>28.811999999999987</v>
      </c>
      <c r="AA19" s="165">
        <f t="shared" si="12"/>
        <v>9.0399999999999956</v>
      </c>
    </row>
    <row r="20" spans="2:29" x14ac:dyDescent="0.25">
      <c r="B20" t="s">
        <v>189</v>
      </c>
      <c r="C20" s="10"/>
      <c r="D20" s="10"/>
      <c r="E20" s="10"/>
      <c r="F20" s="10"/>
      <c r="G20" s="10">
        <v>11.934699</v>
      </c>
      <c r="H20" s="15">
        <v>13.822582000000001</v>
      </c>
      <c r="I20" s="10"/>
      <c r="J20" s="10"/>
      <c r="N20" s="10"/>
      <c r="O20" s="10"/>
      <c r="P20" s="10"/>
      <c r="Q20" s="10"/>
      <c r="R20" s="10">
        <v>11.815448</v>
      </c>
      <c r="S20" s="10">
        <v>11.850151</v>
      </c>
      <c r="T20" s="124">
        <v>11.96078</v>
      </c>
      <c r="U20" s="124">
        <v>11.96078</v>
      </c>
      <c r="V20" s="124">
        <v>13.182517000000001</v>
      </c>
      <c r="W20" s="124">
        <v>13.543647999999999</v>
      </c>
      <c r="X20" s="124">
        <v>13.932651999999999</v>
      </c>
      <c r="Y20" s="124">
        <v>13.932651999999999</v>
      </c>
      <c r="Z20" s="153">
        <v>14.646526</v>
      </c>
      <c r="AA20" s="164">
        <v>14.554218000000001</v>
      </c>
    </row>
    <row r="21" spans="2:29" s="1" customFormat="1" x14ac:dyDescent="0.25">
      <c r="B21" s="1" t="s">
        <v>19</v>
      </c>
      <c r="C21" s="2" t="e">
        <f>C19/C20</f>
        <v>#DIV/0!</v>
      </c>
      <c r="D21" s="2" t="e">
        <f>D19/D20</f>
        <v>#DIV/0!</v>
      </c>
      <c r="E21" s="2" t="e">
        <f>E19/E20</f>
        <v>#DIV/0!</v>
      </c>
      <c r="F21" s="2" t="e">
        <f>F19/F20</f>
        <v>#DIV/0!</v>
      </c>
      <c r="G21" s="120">
        <f>G19/G20</f>
        <v>-4.0652051635319824</v>
      </c>
      <c r="H21" s="35">
        <f t="shared" ref="H21:J21" si="13">H19/H20</f>
        <v>4.186844397088759</v>
      </c>
      <c r="I21" s="2" t="e">
        <f t="shared" si="13"/>
        <v>#DIV/0!</v>
      </c>
      <c r="J21" s="2" t="e">
        <f t="shared" si="13"/>
        <v>#DIV/0!</v>
      </c>
      <c r="N21" s="2" t="e">
        <f t="shared" ref="N21:T21" si="14">N19/N20</f>
        <v>#DIV/0!</v>
      </c>
      <c r="O21" s="2" t="e">
        <f t="shared" si="14"/>
        <v>#DIV/0!</v>
      </c>
      <c r="P21" s="2" t="e">
        <f t="shared" si="14"/>
        <v>#DIV/0!</v>
      </c>
      <c r="Q21" s="2" t="e">
        <f t="shared" si="14"/>
        <v>#DIV/0!</v>
      </c>
      <c r="R21" s="2">
        <f t="shared" si="14"/>
        <v>-1.1870053509608776</v>
      </c>
      <c r="S21" s="2">
        <f t="shared" si="14"/>
        <v>-1.9086676617032139</v>
      </c>
      <c r="T21" s="2">
        <f t="shared" si="14"/>
        <v>-1.007710199502039</v>
      </c>
      <c r="U21" s="2">
        <f t="shared" ref="U21:X21" si="15">U19/U20</f>
        <v>1.496557916791472E-2</v>
      </c>
      <c r="V21" s="2">
        <f t="shared" si="15"/>
        <v>2.5976071185798584</v>
      </c>
      <c r="W21" s="2">
        <f t="shared" si="15"/>
        <v>0.46944515982695234</v>
      </c>
      <c r="X21" s="2">
        <f t="shared" si="15"/>
        <v>3.3446611599859906E-2</v>
      </c>
      <c r="Y21" s="2">
        <f>Y19/Y20</f>
        <v>1.2062312329339726</v>
      </c>
      <c r="Z21" s="156">
        <f t="shared" ref="Z21:AA21" si="16">Z19/Z20</f>
        <v>1.9671558975828116</v>
      </c>
      <c r="AA21" s="35">
        <f t="shared" si="16"/>
        <v>0.62112577948193404</v>
      </c>
    </row>
    <row r="22" spans="2:29" s="1" customFormat="1" x14ac:dyDescent="0.25">
      <c r="B22" s="9" t="s">
        <v>56</v>
      </c>
      <c r="C22" s="2"/>
      <c r="D22" s="2"/>
      <c r="E22" s="2"/>
      <c r="F22" s="2"/>
      <c r="G22" s="2"/>
      <c r="H22" s="123"/>
      <c r="I22" s="43">
        <v>10.039999999999999</v>
      </c>
      <c r="J22" s="1">
        <v>11.64</v>
      </c>
      <c r="N22" s="44"/>
      <c r="O22" s="44"/>
      <c r="P22" s="44"/>
      <c r="Q22" s="44"/>
      <c r="R22" s="44"/>
      <c r="S22" s="44"/>
      <c r="T22" s="44"/>
      <c r="U22" s="44"/>
      <c r="V22" s="44"/>
      <c r="W22" s="44"/>
      <c r="X22" s="44"/>
      <c r="Y22" s="44"/>
      <c r="Z22" s="157"/>
      <c r="AA22" s="118">
        <v>1.94</v>
      </c>
      <c r="AB22" s="1">
        <v>2.4700000000000002</v>
      </c>
      <c r="AC22" s="1">
        <v>2.72</v>
      </c>
    </row>
    <row r="23" spans="2:29" s="1" customFormat="1" x14ac:dyDescent="0.25">
      <c r="B23" t="s">
        <v>25</v>
      </c>
      <c r="C23" s="3" t="e">
        <f>1-#REF!/C5</f>
        <v>#REF!</v>
      </c>
      <c r="D23" s="3" t="e">
        <f>1-#REF!/D5</f>
        <v>#REF!</v>
      </c>
      <c r="E23" s="3" t="e">
        <f>1-#REF!/E5</f>
        <v>#REF!</v>
      </c>
      <c r="F23" s="3" t="e">
        <f>1-#REF!/F5</f>
        <v>#REF!</v>
      </c>
      <c r="G23" s="39">
        <f>G12/G5</f>
        <v>-0.1628758785455415</v>
      </c>
      <c r="H23" s="39">
        <f>H12/H5</f>
        <v>9.9721674791688086E-2</v>
      </c>
      <c r="I23" s="39">
        <f t="shared" ref="I23:J23" si="17">I12/I5</f>
        <v>1</v>
      </c>
      <c r="J23" s="39">
        <f t="shared" si="17"/>
        <v>1</v>
      </c>
      <c r="N23" s="39" t="e">
        <f t="shared" ref="N23:AA23" si="18">N12/N5</f>
        <v>#DIV/0!</v>
      </c>
      <c r="O23" s="39" t="e">
        <f t="shared" si="18"/>
        <v>#DIV/0!</v>
      </c>
      <c r="P23" s="39" t="e">
        <f t="shared" si="18"/>
        <v>#DIV/0!</v>
      </c>
      <c r="Q23" s="39" t="e">
        <f t="shared" si="18"/>
        <v>#DIV/0!</v>
      </c>
      <c r="R23" s="39">
        <f t="shared" si="18"/>
        <v>-0.2118178115666576</v>
      </c>
      <c r="S23" s="39">
        <f t="shared" si="18"/>
        <v>-0.34158569445578513</v>
      </c>
      <c r="T23" s="39">
        <f t="shared" si="18"/>
        <v>-0.16067222804698297</v>
      </c>
      <c r="U23" s="39">
        <f t="shared" si="18"/>
        <v>2.4248143437410389E-2</v>
      </c>
      <c r="V23" s="39">
        <f t="shared" si="18"/>
        <v>7.3326089909004494E-2</v>
      </c>
      <c r="W23" s="39">
        <f t="shared" si="18"/>
        <v>7.0759014940649095E-2</v>
      </c>
      <c r="X23" s="39">
        <f t="shared" si="18"/>
        <v>2.7570846262798942E-2</v>
      </c>
      <c r="Y23" s="39">
        <f t="shared" si="18"/>
        <v>0.20818127727092406</v>
      </c>
      <c r="Z23" s="39">
        <f>Z12/Z5</f>
        <v>0.3255169986756683</v>
      </c>
      <c r="AA23" s="6">
        <f>AA12/AA5</f>
        <v>0.31180127052073131</v>
      </c>
    </row>
    <row r="24" spans="2:29" x14ac:dyDescent="0.25">
      <c r="B24" t="s">
        <v>26</v>
      </c>
      <c r="C24" s="4" t="e">
        <f t="shared" ref="C24:J24" si="19">C19/C5</f>
        <v>#DIV/0!</v>
      </c>
      <c r="D24" s="4" t="e">
        <f t="shared" si="19"/>
        <v>#DIV/0!</v>
      </c>
      <c r="E24" s="4" t="e">
        <f t="shared" si="19"/>
        <v>#DIV/0!</v>
      </c>
      <c r="F24" s="4" t="e">
        <f t="shared" si="19"/>
        <v>#DIV/0!</v>
      </c>
      <c r="G24" s="4">
        <f t="shared" si="19"/>
        <v>-0.18725708529369758</v>
      </c>
      <c r="H24" s="7">
        <f t="shared" si="19"/>
        <v>0.16674445942675362</v>
      </c>
      <c r="I24" s="4">
        <f t="shared" si="19"/>
        <v>1</v>
      </c>
      <c r="J24" s="4">
        <f t="shared" si="19"/>
        <v>1</v>
      </c>
      <c r="N24" s="4" t="e">
        <f t="shared" ref="N24:AA24" si="20">N19/N5</f>
        <v>#DIV/0!</v>
      </c>
      <c r="O24" s="4" t="e">
        <f t="shared" si="20"/>
        <v>#DIV/0!</v>
      </c>
      <c r="P24" s="4" t="e">
        <f t="shared" si="20"/>
        <v>#DIV/0!</v>
      </c>
      <c r="Q24" s="4" t="e">
        <f t="shared" si="20"/>
        <v>#DIV/0!</v>
      </c>
      <c r="R24" s="4">
        <f t="shared" si="20"/>
        <v>-0.23800230790116753</v>
      </c>
      <c r="S24" s="4">
        <f t="shared" si="20"/>
        <v>-0.36936392585939415</v>
      </c>
      <c r="T24" s="4">
        <f t="shared" si="20"/>
        <v>-0.18314567473522658</v>
      </c>
      <c r="U24" s="4">
        <f t="shared" si="20"/>
        <v>2.4480641146625501E-3</v>
      </c>
      <c r="V24" s="4">
        <f t="shared" si="20"/>
        <v>0.4650685861741139</v>
      </c>
      <c r="W24" s="4">
        <f t="shared" si="20"/>
        <v>7.9358937553827322E-2</v>
      </c>
      <c r="X24" s="4">
        <f t="shared" si="20"/>
        <v>5.0384370033194356E-3</v>
      </c>
      <c r="Y24" s="4">
        <f t="shared" si="20"/>
        <v>0.16666005553351826</v>
      </c>
      <c r="Z24" s="158">
        <f>Z19/Z5</f>
        <v>0.26682966132303493</v>
      </c>
      <c r="AA24" s="7">
        <f>AA19/AA5</f>
        <v>6.8611155384533606E-2</v>
      </c>
    </row>
    <row r="25" spans="2:29" x14ac:dyDescent="0.25">
      <c r="B25" t="s">
        <v>133</v>
      </c>
      <c r="C25" s="3"/>
      <c r="D25" s="3" t="e">
        <f>D5/C5-1</f>
        <v>#DIV/0!</v>
      </c>
      <c r="E25" s="3" t="e">
        <f>E5/D5-1</f>
        <v>#DIV/0!</v>
      </c>
      <c r="F25" s="39" t="e">
        <f>F5/E5-1</f>
        <v>#DIV/0!</v>
      </c>
      <c r="G25" s="39" t="e">
        <f>G5/F5-1</f>
        <v>#DIV/0!</v>
      </c>
      <c r="H25" s="6">
        <f>H5/G5-1</f>
        <v>0.33958076829555384</v>
      </c>
      <c r="I25" s="39">
        <f>I6/H5-1</f>
        <v>0.47549816178589155</v>
      </c>
      <c r="J25" s="39">
        <f>J6/I6-1</f>
        <v>0.15455663822225696</v>
      </c>
      <c r="N25" s="4" t="e">
        <f>N5/#REF!-1</f>
        <v>#REF!</v>
      </c>
      <c r="O25" s="4" t="e">
        <f>O5/#REF!-1</f>
        <v>#REF!</v>
      </c>
      <c r="P25" s="4" t="e">
        <f>P5/#REF!-1</f>
        <v>#REF!</v>
      </c>
      <c r="Q25" s="4" t="e">
        <f>Q5/#REF!-1</f>
        <v>#REF!</v>
      </c>
      <c r="R25" s="4" t="e">
        <f t="shared" ref="R25:Z25" si="21">R5/N5-1</f>
        <v>#DIV/0!</v>
      </c>
      <c r="S25" s="4" t="e">
        <f t="shared" si="21"/>
        <v>#DIV/0!</v>
      </c>
      <c r="T25" s="4" t="e">
        <f t="shared" si="21"/>
        <v>#DIV/0!</v>
      </c>
      <c r="U25" s="4" t="e">
        <f t="shared" si="21"/>
        <v>#DIV/0!</v>
      </c>
      <c r="V25" s="4">
        <f t="shared" si="21"/>
        <v>0.24949090415422215</v>
      </c>
      <c r="W25" s="4">
        <f t="shared" si="21"/>
        <v>0.30835306605699331</v>
      </c>
      <c r="X25" s="4">
        <f t="shared" si="21"/>
        <v>0.40537296196684447</v>
      </c>
      <c r="Y25" s="4">
        <f t="shared" si="21"/>
        <v>0.37912170571260528</v>
      </c>
      <c r="Z25" s="158">
        <f t="shared" si="21"/>
        <v>0.46650821675947318</v>
      </c>
      <c r="AA25" s="7">
        <f>AA6/W5-1</f>
        <v>0.39745622027784377</v>
      </c>
      <c r="AB25" s="4">
        <f>AB6/X5-1</f>
        <v>0.44341489258182043</v>
      </c>
      <c r="AC25" s="4">
        <f>AC6/Y5-1</f>
        <v>0.37812376041253493</v>
      </c>
    </row>
    <row r="26" spans="2:29" x14ac:dyDescent="0.25">
      <c r="B26" t="s">
        <v>58</v>
      </c>
      <c r="C26" s="4" t="e">
        <f t="shared" ref="C26:J26" si="22">C9/C5</f>
        <v>#DIV/0!</v>
      </c>
      <c r="D26" s="4" t="e">
        <f t="shared" si="22"/>
        <v>#DIV/0!</v>
      </c>
      <c r="E26" s="4" t="e">
        <f t="shared" si="22"/>
        <v>#DIV/0!</v>
      </c>
      <c r="F26" s="4" t="e">
        <f t="shared" si="22"/>
        <v>#DIV/0!</v>
      </c>
      <c r="G26" s="4">
        <f t="shared" si="22"/>
        <v>0.18677463304682101</v>
      </c>
      <c r="H26" s="7">
        <f t="shared" si="22"/>
        <v>0.12937800366490337</v>
      </c>
      <c r="I26" s="4">
        <f t="shared" si="22"/>
        <v>0</v>
      </c>
      <c r="J26" s="4">
        <f t="shared" si="22"/>
        <v>0</v>
      </c>
      <c r="N26" s="4" t="e">
        <f t="shared" ref="N26:AA26" si="23">N9/N5</f>
        <v>#DIV/0!</v>
      </c>
      <c r="O26" s="4" t="e">
        <f t="shared" si="23"/>
        <v>#DIV/0!</v>
      </c>
      <c r="P26" s="4" t="e">
        <f t="shared" si="23"/>
        <v>#DIV/0!</v>
      </c>
      <c r="Q26" s="4" t="e">
        <f t="shared" si="23"/>
        <v>#DIV/0!</v>
      </c>
      <c r="R26" s="4">
        <f t="shared" si="23"/>
        <v>0.16072155851208256</v>
      </c>
      <c r="S26" s="4">
        <f t="shared" si="23"/>
        <v>0.24471299093655588</v>
      </c>
      <c r="T26" s="4">
        <f t="shared" si="23"/>
        <v>0.21142362219081914</v>
      </c>
      <c r="U26" s="4">
        <f t="shared" si="23"/>
        <v>0.1370642377494222</v>
      </c>
      <c r="V26" s="4">
        <f t="shared" si="23"/>
        <v>0.12355018334917832</v>
      </c>
      <c r="W26" s="4">
        <f t="shared" si="23"/>
        <v>0.13409139134016504</v>
      </c>
      <c r="X26" s="4">
        <f t="shared" si="23"/>
        <v>0.13516201926715607</v>
      </c>
      <c r="Y26" s="4">
        <f t="shared" si="23"/>
        <v>0.1245834986116621</v>
      </c>
      <c r="Z26" s="158">
        <f t="shared" si="23"/>
        <v>9.5527834115892898E-2</v>
      </c>
      <c r="AA26" s="7">
        <f t="shared" si="23"/>
        <v>0.11730686035656548</v>
      </c>
    </row>
    <row r="27" spans="2:29" x14ac:dyDescent="0.25">
      <c r="B27" t="s">
        <v>127</v>
      </c>
      <c r="C27" s="4" t="e">
        <f t="shared" ref="C27:J27" si="24">C10/C5</f>
        <v>#DIV/0!</v>
      </c>
      <c r="D27" s="4" t="e">
        <f t="shared" si="24"/>
        <v>#DIV/0!</v>
      </c>
      <c r="E27" s="4" t="e">
        <f t="shared" si="24"/>
        <v>#DIV/0!</v>
      </c>
      <c r="F27" s="4" t="e">
        <f t="shared" si="24"/>
        <v>#DIV/0!</v>
      </c>
      <c r="G27" s="4">
        <f t="shared" si="24"/>
        <v>0.36631634200846797</v>
      </c>
      <c r="H27" s="7">
        <f t="shared" si="24"/>
        <v>0.308370500985375</v>
      </c>
      <c r="I27" s="4">
        <f t="shared" si="24"/>
        <v>0</v>
      </c>
      <c r="J27" s="4">
        <f t="shared" si="24"/>
        <v>0</v>
      </c>
      <c r="N27" s="4" t="e">
        <f t="shared" ref="N27:AA27" si="25">N10/N5</f>
        <v>#DIV/0!</v>
      </c>
      <c r="O27" s="4" t="e">
        <f t="shared" si="25"/>
        <v>#DIV/0!</v>
      </c>
      <c r="P27" s="4" t="e">
        <f t="shared" si="25"/>
        <v>#DIV/0!</v>
      </c>
      <c r="Q27" s="4" t="e">
        <f t="shared" si="25"/>
        <v>#DIV/0!</v>
      </c>
      <c r="R27" s="4">
        <f t="shared" si="25"/>
        <v>0.41350461580233511</v>
      </c>
      <c r="S27" s="4">
        <f t="shared" si="25"/>
        <v>0.39082224218175876</v>
      </c>
      <c r="T27" s="4">
        <f t="shared" si="25"/>
        <v>0.3507164455790065</v>
      </c>
      <c r="U27" s="4">
        <f t="shared" si="25"/>
        <v>0.32180418222349855</v>
      </c>
      <c r="V27" s="4">
        <f t="shared" si="25"/>
        <v>0.33345103897867717</v>
      </c>
      <c r="W27" s="4">
        <f t="shared" si="25"/>
        <v>0.30598998964015134</v>
      </c>
      <c r="X27" s="4">
        <f t="shared" si="25"/>
        <v>0.33261252689509024</v>
      </c>
      <c r="Y27" s="4">
        <f t="shared" si="25"/>
        <v>0.26971439904799688</v>
      </c>
      <c r="Z27" s="158">
        <f t="shared" si="25"/>
        <v>0.25477176117578421</v>
      </c>
      <c r="AA27" s="7">
        <f t="shared" si="25"/>
        <v>0.20059655274482568</v>
      </c>
    </row>
    <row r="28" spans="2:29" x14ac:dyDescent="0.25">
      <c r="B28" t="s">
        <v>128</v>
      </c>
      <c r="C28" s="4"/>
      <c r="D28" s="4"/>
      <c r="E28" s="4"/>
      <c r="F28" s="4"/>
      <c r="G28" s="4"/>
      <c r="H28" s="7"/>
      <c r="I28" s="4"/>
      <c r="J28" s="4"/>
      <c r="N28" s="4"/>
      <c r="O28" s="4"/>
      <c r="P28" s="4"/>
      <c r="Q28" s="4"/>
      <c r="R28" s="4"/>
      <c r="S28" s="4"/>
      <c r="T28" s="4"/>
      <c r="U28" s="4"/>
      <c r="V28" s="4"/>
      <c r="W28" s="4"/>
      <c r="X28" s="4"/>
      <c r="Y28" s="4"/>
      <c r="Z28" s="158"/>
      <c r="AA28" s="7"/>
    </row>
    <row r="29" spans="2:29" x14ac:dyDescent="0.25">
      <c r="B29" t="s">
        <v>125</v>
      </c>
      <c r="C29" s="4"/>
      <c r="D29" s="4"/>
      <c r="E29" s="4" t="e">
        <f t="shared" ref="E29:J30" si="26">E3/D3-1</f>
        <v>#DIV/0!</v>
      </c>
      <c r="F29" s="4" t="e">
        <f t="shared" si="26"/>
        <v>#DIV/0!</v>
      </c>
      <c r="G29" s="4" t="e">
        <f t="shared" si="26"/>
        <v>#DIV/0!</v>
      </c>
      <c r="H29" s="7">
        <f t="shared" si="26"/>
        <v>0.34096046778992495</v>
      </c>
      <c r="I29" s="4">
        <f t="shared" si="26"/>
        <v>-1</v>
      </c>
      <c r="J29" s="4" t="e">
        <f t="shared" si="26"/>
        <v>#DIV/0!</v>
      </c>
      <c r="N29" s="4"/>
      <c r="O29" s="4"/>
      <c r="P29" s="4"/>
      <c r="Q29" s="4"/>
      <c r="R29" s="4"/>
      <c r="S29" s="4"/>
      <c r="T29" s="4"/>
      <c r="U29" s="4"/>
      <c r="V29" s="4"/>
      <c r="W29" s="4"/>
      <c r="X29" s="4"/>
      <c r="Y29" s="4"/>
      <c r="Z29" s="158"/>
      <c r="AA29" s="7"/>
    </row>
    <row r="30" spans="2:29" x14ac:dyDescent="0.25">
      <c r="B30" t="s">
        <v>126</v>
      </c>
      <c r="C30" s="4"/>
      <c r="D30" s="4"/>
      <c r="E30" s="4" t="e">
        <f t="shared" si="26"/>
        <v>#DIV/0!</v>
      </c>
      <c r="F30" s="4" t="e">
        <f t="shared" si="26"/>
        <v>#DIV/0!</v>
      </c>
      <c r="G30" s="4" t="e">
        <f t="shared" si="26"/>
        <v>#DIV/0!</v>
      </c>
      <c r="H30" s="7">
        <f t="shared" si="26"/>
        <v>0.32764784746015185</v>
      </c>
      <c r="I30" s="4">
        <f t="shared" si="26"/>
        <v>-1</v>
      </c>
      <c r="J30" s="4" t="e">
        <f t="shared" si="26"/>
        <v>#DIV/0!</v>
      </c>
      <c r="N30" s="4"/>
      <c r="O30" s="4"/>
      <c r="P30" s="4"/>
      <c r="Q30" s="4"/>
      <c r="R30" s="4"/>
      <c r="S30" s="4"/>
      <c r="T30" s="4"/>
      <c r="U30" s="4"/>
      <c r="V30" s="4"/>
      <c r="W30" s="4"/>
      <c r="X30" s="4"/>
      <c r="Y30" s="4"/>
      <c r="Z30" s="158"/>
      <c r="AA30" s="7"/>
    </row>
    <row r="31" spans="2:29" x14ac:dyDescent="0.25">
      <c r="B31" t="s">
        <v>132</v>
      </c>
      <c r="C31" s="3"/>
      <c r="D31" s="3" t="e">
        <f>-(D19/C19-1)</f>
        <v>#DIV/0!</v>
      </c>
      <c r="E31" s="3" t="e">
        <f>-(E19/D19-1)</f>
        <v>#DIV/0!</v>
      </c>
      <c r="F31" s="39" t="e">
        <f>F21/E21-1</f>
        <v>#DIV/0!</v>
      </c>
      <c r="G31" s="39" t="e">
        <f>G21/F21-1</f>
        <v>#DIV/0!</v>
      </c>
      <c r="H31" s="6">
        <f t="shared" ref="H31" si="27">H21/G21-1</f>
        <v>-2.0299220405031395</v>
      </c>
      <c r="I31" s="39">
        <f>I22/H21-1</f>
        <v>1.39798737373214</v>
      </c>
      <c r="J31" s="39">
        <f>J22/I22-1</f>
        <v>0.15936254980079689</v>
      </c>
      <c r="N31" s="4" t="e">
        <f>N19/#REF!-1</f>
        <v>#REF!</v>
      </c>
      <c r="O31" s="4" t="e">
        <f>O19/#REF!-1</f>
        <v>#REF!</v>
      </c>
      <c r="P31" s="4" t="e">
        <f>P19/#REF!-1</f>
        <v>#REF!</v>
      </c>
      <c r="Q31" s="4" t="e">
        <f>Q19/#REF!-1</f>
        <v>#REF!</v>
      </c>
      <c r="R31" s="4" t="e">
        <f t="shared" ref="R31:T31" si="28">R19/N19-1</f>
        <v>#DIV/0!</v>
      </c>
      <c r="S31" s="4" t="e">
        <f>S19/O19-1</f>
        <v>#DIV/0!</v>
      </c>
      <c r="T31" s="4" t="e">
        <f t="shared" si="28"/>
        <v>#DIV/0!</v>
      </c>
      <c r="U31" s="4" t="e">
        <f t="shared" ref="U31" si="29">U19/Q19-1</f>
        <v>#DIV/0!</v>
      </c>
      <c r="V31" s="4">
        <f t="shared" ref="V31" si="30">V19/R19-1</f>
        <v>-3.4415686274509807</v>
      </c>
      <c r="W31" s="4">
        <f t="shared" ref="W31" si="31">W19/S19-1</f>
        <v>-1.2811035458484386</v>
      </c>
      <c r="X31" s="4">
        <f>X21/T21-1</f>
        <v>-1.0331907046454303</v>
      </c>
      <c r="Y31" s="4">
        <f>Y21/U21-1</f>
        <v>79.600370984643092</v>
      </c>
      <c r="Z31" s="158">
        <f>Z21/V21-1</f>
        <v>-0.24270460936437599</v>
      </c>
      <c r="AA31" s="7">
        <f>AA22/W21-1</f>
        <v>3.1325380811576071</v>
      </c>
      <c r="AB31" s="4">
        <f>AB22/X21-1</f>
        <v>72.849035278968174</v>
      </c>
      <c r="AC31" s="4">
        <f>AC22/Y21-1</f>
        <v>1.2549573628466053</v>
      </c>
    </row>
    <row r="32" spans="2:29" x14ac:dyDescent="0.25">
      <c r="B32" t="s">
        <v>70</v>
      </c>
      <c r="C32" s="46" t="e">
        <f t="shared" ref="C32:J32" si="32">C13/C5</f>
        <v>#DIV/0!</v>
      </c>
      <c r="D32" s="46" t="e">
        <f t="shared" si="32"/>
        <v>#DIV/0!</v>
      </c>
      <c r="E32" s="46" t="e">
        <f t="shared" si="32"/>
        <v>#DIV/0!</v>
      </c>
      <c r="F32" s="46" t="e">
        <f t="shared" si="32"/>
        <v>#DIV/0!</v>
      </c>
      <c r="G32" s="46">
        <f t="shared" si="32"/>
        <v>2.500646486010814E-2</v>
      </c>
      <c r="H32" s="47">
        <f t="shared" si="32"/>
        <v>1.4420472749484265E-2</v>
      </c>
      <c r="I32" s="46">
        <f t="shared" si="32"/>
        <v>0</v>
      </c>
      <c r="J32" s="46">
        <f t="shared" si="32"/>
        <v>0</v>
      </c>
      <c r="N32" s="4"/>
      <c r="O32" s="4"/>
      <c r="P32" s="4"/>
      <c r="Q32" s="4"/>
      <c r="R32" s="4"/>
      <c r="S32" s="4"/>
      <c r="T32" s="4"/>
      <c r="U32" s="4"/>
      <c r="V32" s="4"/>
      <c r="W32" s="4"/>
      <c r="X32" s="4"/>
      <c r="Y32" s="4"/>
      <c r="Z32" s="158"/>
      <c r="AA32" s="7"/>
    </row>
    <row r="33" spans="2:27" x14ac:dyDescent="0.25">
      <c r="B33" t="s">
        <v>71</v>
      </c>
      <c r="C33" s="48" t="e">
        <f t="shared" ref="C33:J33" si="33">-C13/C12</f>
        <v>#DIV/0!</v>
      </c>
      <c r="D33" s="48" t="e">
        <f t="shared" si="33"/>
        <v>#DIV/0!</v>
      </c>
      <c r="E33" s="48" t="e">
        <f t="shared" si="33"/>
        <v>#DIV/0!</v>
      </c>
      <c r="F33" s="48" t="e">
        <f t="shared" si="33"/>
        <v>#DIV/0!</v>
      </c>
      <c r="G33" s="46">
        <f t="shared" si="33"/>
        <v>0.15353080568720381</v>
      </c>
      <c r="H33" s="47">
        <f t="shared" si="33"/>
        <v>-0.14460720580162403</v>
      </c>
      <c r="I33" s="46">
        <f t="shared" si="33"/>
        <v>0</v>
      </c>
      <c r="J33" s="46">
        <f t="shared" si="33"/>
        <v>0</v>
      </c>
      <c r="N33" s="4"/>
      <c r="O33" s="4"/>
      <c r="P33" s="4"/>
      <c r="Q33" s="4"/>
      <c r="R33" s="4"/>
      <c r="S33" s="4"/>
      <c r="T33" s="4"/>
      <c r="U33" s="4"/>
      <c r="V33" s="4"/>
      <c r="W33" s="4"/>
      <c r="X33" s="4"/>
      <c r="Y33" s="4"/>
      <c r="Z33" s="158"/>
      <c r="AA33" s="7"/>
    </row>
    <row r="36" spans="2:27" s="1" customFormat="1" x14ac:dyDescent="0.25">
      <c r="B36" s="1" t="s">
        <v>32</v>
      </c>
      <c r="C36" s="11">
        <f t="shared" ref="C36" si="34">C37+C38-C61-C51</f>
        <v>0</v>
      </c>
      <c r="D36" s="11">
        <f t="shared" ref="D36" si="35">D37+D38-D61-D51</f>
        <v>0</v>
      </c>
      <c r="E36" s="11">
        <f t="shared" ref="E36" si="36">E37+E38-E61-E51</f>
        <v>0</v>
      </c>
      <c r="F36" s="11">
        <f t="shared" ref="F36" si="37">F37+F38-F61-F51</f>
        <v>0</v>
      </c>
      <c r="G36" s="11">
        <f t="shared" ref="G36:J36" si="38">G37+G38-G61-G51</f>
        <v>37.097000000000001</v>
      </c>
      <c r="H36" s="14">
        <f t="shared" si="38"/>
        <v>40.015000000000001</v>
      </c>
      <c r="I36" s="11">
        <f t="shared" si="38"/>
        <v>0</v>
      </c>
      <c r="J36" s="11">
        <f t="shared" si="38"/>
        <v>0</v>
      </c>
      <c r="N36" s="11">
        <f t="shared" ref="N36:X36" si="39">N37+N38-N61-N51</f>
        <v>0</v>
      </c>
      <c r="O36" s="11">
        <f t="shared" si="39"/>
        <v>0</v>
      </c>
      <c r="P36" s="11">
        <f t="shared" si="39"/>
        <v>0</v>
      </c>
      <c r="Q36" s="11">
        <f t="shared" si="39"/>
        <v>0</v>
      </c>
      <c r="R36" s="11">
        <f t="shared" si="39"/>
        <v>0</v>
      </c>
      <c r="S36" s="11">
        <f t="shared" si="39"/>
        <v>0</v>
      </c>
      <c r="T36" s="11">
        <f t="shared" si="39"/>
        <v>0</v>
      </c>
      <c r="U36" s="11">
        <f t="shared" si="39"/>
        <v>37.097000000000001</v>
      </c>
      <c r="V36" s="11">
        <f t="shared" si="39"/>
        <v>44.923000000000002</v>
      </c>
      <c r="W36" s="11">
        <f t="shared" si="39"/>
        <v>36.384</v>
      </c>
      <c r="X36" s="11">
        <f t="shared" si="39"/>
        <v>23.356999999999996</v>
      </c>
      <c r="Y36" s="11">
        <f t="shared" ref="Y36:AA36" si="40">Y37+Y38-Y61-Y51</f>
        <v>40.015000000000001</v>
      </c>
      <c r="Z36" s="159">
        <f t="shared" si="40"/>
        <v>37.433000000000007</v>
      </c>
      <c r="AA36" s="14">
        <f t="shared" si="40"/>
        <v>50.412999999999997</v>
      </c>
    </row>
    <row r="37" spans="2:27" x14ac:dyDescent="0.25">
      <c r="B37" t="s">
        <v>21</v>
      </c>
      <c r="C37" s="10"/>
      <c r="D37" s="10"/>
      <c r="E37" s="10"/>
      <c r="F37" s="10"/>
      <c r="G37" s="127">
        <v>41.759</v>
      </c>
      <c r="H37" s="125">
        <v>49.718000000000004</v>
      </c>
      <c r="N37" s="10"/>
      <c r="O37" s="10"/>
      <c r="P37" s="10"/>
      <c r="Q37" s="10"/>
      <c r="R37" s="10"/>
      <c r="S37" s="10"/>
      <c r="T37" s="10"/>
      <c r="U37" s="10">
        <f>G37</f>
        <v>41.759</v>
      </c>
      <c r="V37" s="10">
        <v>55.524999999999999</v>
      </c>
      <c r="W37" s="10">
        <v>48.6</v>
      </c>
      <c r="X37" s="10">
        <v>35.058999999999997</v>
      </c>
      <c r="Y37" s="10">
        <f>H37</f>
        <v>49.718000000000004</v>
      </c>
      <c r="Z37" s="160">
        <v>47.002000000000002</v>
      </c>
      <c r="AA37" s="15">
        <v>61.686999999999998</v>
      </c>
    </row>
    <row r="38" spans="2:27" x14ac:dyDescent="0.25">
      <c r="B38" t="s">
        <v>161</v>
      </c>
      <c r="C38" s="10"/>
      <c r="D38" s="10"/>
      <c r="E38" s="10"/>
      <c r="F38" s="10"/>
      <c r="G38" s="127">
        <v>0.95199999999999996</v>
      </c>
      <c r="H38" s="125">
        <v>9.7000000000000003E-2</v>
      </c>
      <c r="N38" s="10"/>
      <c r="O38" s="10"/>
      <c r="P38" s="10"/>
      <c r="Q38" s="10"/>
      <c r="R38" s="10"/>
      <c r="S38" s="10"/>
      <c r="T38" s="10"/>
      <c r="U38" s="10">
        <f t="shared" ref="U38:U42" si="41">G38</f>
        <v>0.95199999999999996</v>
      </c>
      <c r="V38" s="10">
        <v>1.083</v>
      </c>
      <c r="W38" s="10">
        <v>9.5000000000000001E-2</v>
      </c>
      <c r="X38" s="10">
        <v>9.6000000000000002E-2</v>
      </c>
      <c r="Y38" s="10">
        <f t="shared" ref="Y38:Y42" si="42">H38</f>
        <v>9.7000000000000003E-2</v>
      </c>
      <c r="Z38" s="160">
        <v>9.8000000000000004E-2</v>
      </c>
      <c r="AA38" s="15">
        <v>9.9000000000000005E-2</v>
      </c>
    </row>
    <row r="39" spans="2:27" x14ac:dyDescent="0.25">
      <c r="B39" t="s">
        <v>162</v>
      </c>
      <c r="C39" s="10"/>
      <c r="D39" s="10"/>
      <c r="E39" s="10"/>
      <c r="F39" s="10"/>
      <c r="G39" s="127">
        <v>112.846</v>
      </c>
      <c r="H39" s="125">
        <v>175.857</v>
      </c>
      <c r="N39" s="10"/>
      <c r="O39" s="10"/>
      <c r="P39" s="10"/>
      <c r="Q39" s="10"/>
      <c r="R39" s="10"/>
      <c r="S39" s="10"/>
      <c r="T39" s="10"/>
      <c r="U39" s="10">
        <f t="shared" si="41"/>
        <v>112.846</v>
      </c>
      <c r="V39" s="10">
        <v>104.923</v>
      </c>
      <c r="W39" s="10">
        <v>127.759</v>
      </c>
      <c r="X39" s="10">
        <v>165.53299999999999</v>
      </c>
      <c r="Y39" s="10">
        <f t="shared" si="42"/>
        <v>175.857</v>
      </c>
      <c r="Z39" s="160">
        <v>194.672</v>
      </c>
      <c r="AA39" s="15">
        <v>225.66200000000001</v>
      </c>
    </row>
    <row r="40" spans="2:27" x14ac:dyDescent="0.25">
      <c r="B40" t="s">
        <v>163</v>
      </c>
      <c r="C40" s="10"/>
      <c r="D40" s="10"/>
      <c r="E40" s="10"/>
      <c r="F40" s="10"/>
      <c r="G40" s="127">
        <v>113.226</v>
      </c>
      <c r="H40" s="125">
        <v>40.472999999999999</v>
      </c>
      <c r="N40" s="10"/>
      <c r="O40" s="10"/>
      <c r="P40" s="10"/>
      <c r="Q40" s="10"/>
      <c r="R40" s="10"/>
      <c r="S40" s="10"/>
      <c r="T40" s="10"/>
      <c r="U40" s="10">
        <f t="shared" si="41"/>
        <v>113.226</v>
      </c>
      <c r="V40" s="10">
        <v>43.417000000000002</v>
      </c>
      <c r="W40" s="10">
        <v>39.508000000000003</v>
      </c>
      <c r="X40" s="10">
        <v>39.996000000000002</v>
      </c>
      <c r="Y40" s="10">
        <f t="shared" si="42"/>
        <v>40.472999999999999</v>
      </c>
      <c r="Z40" s="160">
        <v>40.976999999999997</v>
      </c>
      <c r="AA40" s="15">
        <v>41.067</v>
      </c>
    </row>
    <row r="41" spans="2:27" x14ac:dyDescent="0.25">
      <c r="B41" t="s">
        <v>164</v>
      </c>
      <c r="C41" s="10"/>
      <c r="D41" s="10"/>
      <c r="E41" s="10"/>
      <c r="F41" s="10"/>
      <c r="G41" s="127">
        <v>0.14799999999999999</v>
      </c>
      <c r="H41" s="125">
        <v>0</v>
      </c>
      <c r="N41" s="10"/>
      <c r="O41" s="10"/>
      <c r="P41" s="10"/>
      <c r="Q41" s="10"/>
      <c r="R41" s="10"/>
      <c r="S41" s="10"/>
      <c r="T41" s="10"/>
      <c r="U41" s="10">
        <f t="shared" si="41"/>
        <v>0.14799999999999999</v>
      </c>
      <c r="V41" s="10">
        <v>0</v>
      </c>
      <c r="W41" s="10">
        <v>0</v>
      </c>
      <c r="X41" s="10">
        <v>0</v>
      </c>
      <c r="Y41" s="10">
        <f t="shared" si="42"/>
        <v>0</v>
      </c>
      <c r="Z41" s="160">
        <v>0</v>
      </c>
      <c r="AA41" s="15">
        <v>0</v>
      </c>
    </row>
    <row r="42" spans="2:27" x14ac:dyDescent="0.25">
      <c r="B42" t="s">
        <v>165</v>
      </c>
      <c r="C42" s="10"/>
      <c r="D42" s="10"/>
      <c r="E42" s="10"/>
      <c r="F42" s="10"/>
      <c r="G42" s="127">
        <v>7.9550000000000001</v>
      </c>
      <c r="H42" s="125">
        <v>16.126999999999999</v>
      </c>
      <c r="N42" s="10"/>
      <c r="O42" s="10"/>
      <c r="P42" s="10"/>
      <c r="Q42" s="10"/>
      <c r="R42" s="10"/>
      <c r="S42" s="10"/>
      <c r="T42" s="10"/>
      <c r="U42" s="10">
        <f t="shared" si="41"/>
        <v>7.9550000000000001</v>
      </c>
      <c r="V42" s="10">
        <v>13.492000000000001</v>
      </c>
      <c r="W42" s="10">
        <v>13.55</v>
      </c>
      <c r="X42" s="10">
        <v>13.986000000000001</v>
      </c>
      <c r="Y42" s="10">
        <f t="shared" si="42"/>
        <v>16.126999999999999</v>
      </c>
      <c r="Z42" s="160">
        <v>16.035</v>
      </c>
      <c r="AA42" s="15">
        <v>17.853999999999999</v>
      </c>
    </row>
    <row r="43" spans="2:27" s="1" customFormat="1" x14ac:dyDescent="0.25">
      <c r="B43" s="1" t="s">
        <v>53</v>
      </c>
      <c r="C43" s="11">
        <f t="shared" ref="C43:D43" si="43">SUM(C37:C42)</f>
        <v>0</v>
      </c>
      <c r="D43" s="11">
        <f t="shared" si="43"/>
        <v>0</v>
      </c>
      <c r="E43" s="11">
        <f>SUM(E37:E42)</f>
        <v>0</v>
      </c>
      <c r="F43" s="11">
        <f t="shared" ref="F43:G43" si="44">SUM(F37:F42)</f>
        <v>0</v>
      </c>
      <c r="G43" s="128">
        <f t="shared" si="44"/>
        <v>276.88600000000002</v>
      </c>
      <c r="H43" s="126">
        <f t="shared" ref="H43:J43" si="45">SUM(H37:H42)</f>
        <v>282.27199999999999</v>
      </c>
      <c r="I43" s="11">
        <f t="shared" si="45"/>
        <v>0</v>
      </c>
      <c r="J43" s="11">
        <f t="shared" si="45"/>
        <v>0</v>
      </c>
      <c r="N43" s="11">
        <f t="shared" ref="N43:T43" si="46">SUM(N37:N42)</f>
        <v>0</v>
      </c>
      <c r="O43" s="11">
        <f t="shared" si="46"/>
        <v>0</v>
      </c>
      <c r="P43" s="11">
        <f t="shared" si="46"/>
        <v>0</v>
      </c>
      <c r="Q43" s="11">
        <f t="shared" si="46"/>
        <v>0</v>
      </c>
      <c r="R43" s="11">
        <f t="shared" si="46"/>
        <v>0</v>
      </c>
      <c r="S43" s="11">
        <f t="shared" si="46"/>
        <v>0</v>
      </c>
      <c r="T43" s="11">
        <f t="shared" si="46"/>
        <v>0</v>
      </c>
      <c r="U43" s="11">
        <f t="shared" ref="U43:X43" si="47">SUM(U37:U42)</f>
        <v>276.88600000000002</v>
      </c>
      <c r="V43" s="11">
        <f t="shared" si="47"/>
        <v>218.44</v>
      </c>
      <c r="W43" s="11">
        <f t="shared" si="47"/>
        <v>229.51200000000003</v>
      </c>
      <c r="X43" s="11">
        <f t="shared" si="47"/>
        <v>254.67</v>
      </c>
      <c r="Y43" s="11">
        <f t="shared" ref="Y43:AA43" si="48">SUM(Y37:Y42)</f>
        <v>282.27199999999999</v>
      </c>
      <c r="Z43" s="159">
        <f t="shared" si="48"/>
        <v>298.78399999999999</v>
      </c>
      <c r="AA43" s="14">
        <f t="shared" si="48"/>
        <v>346.36899999999997</v>
      </c>
    </row>
    <row r="44" spans="2:27" x14ac:dyDescent="0.25">
      <c r="B44" t="s">
        <v>67</v>
      </c>
      <c r="C44" s="10"/>
      <c r="D44" s="10"/>
      <c r="E44" s="10"/>
      <c r="F44" s="10"/>
      <c r="G44" s="127">
        <v>1.1180000000000001</v>
      </c>
      <c r="H44" s="125">
        <v>0.70399999999999996</v>
      </c>
      <c r="I44" s="10"/>
      <c r="J44" s="10"/>
      <c r="N44" s="10"/>
      <c r="O44" s="10"/>
      <c r="P44" s="10"/>
      <c r="Q44" s="10"/>
      <c r="R44" s="10"/>
      <c r="S44" s="10"/>
      <c r="T44" s="10"/>
      <c r="U44" s="10">
        <f t="shared" ref="U44:U49" si="49">G44</f>
        <v>1.1180000000000001</v>
      </c>
      <c r="V44" s="10">
        <v>0.996</v>
      </c>
      <c r="W44" s="10">
        <v>0.91100000000000003</v>
      </c>
      <c r="X44" s="10">
        <v>0.81</v>
      </c>
      <c r="Y44" s="10">
        <f t="shared" ref="Y44:Y49" si="50">H44</f>
        <v>0.70399999999999996</v>
      </c>
      <c r="Z44" s="160">
        <v>0.62</v>
      </c>
      <c r="AA44" s="15">
        <v>0.59099999999999997</v>
      </c>
    </row>
    <row r="45" spans="2:27" x14ac:dyDescent="0.25">
      <c r="B45" t="s">
        <v>166</v>
      </c>
      <c r="C45" s="10"/>
      <c r="D45" s="10"/>
      <c r="E45" s="10"/>
      <c r="F45" s="10"/>
      <c r="G45" s="127">
        <v>0.77300000000000002</v>
      </c>
      <c r="H45" s="125">
        <v>0.50700000000000001</v>
      </c>
      <c r="I45" s="10"/>
      <c r="J45" s="10"/>
      <c r="N45" s="10"/>
      <c r="O45" s="10"/>
      <c r="P45" s="10"/>
      <c r="Q45" s="10"/>
      <c r="R45" s="10"/>
      <c r="S45" s="10"/>
      <c r="T45" s="10"/>
      <c r="U45" s="10">
        <f t="shared" si="49"/>
        <v>0.77300000000000002</v>
      </c>
      <c r="V45" s="10">
        <v>0.70699999999999996</v>
      </c>
      <c r="W45" s="10">
        <v>0.64600000000000002</v>
      </c>
      <c r="X45" s="10">
        <v>0.57999999999999996</v>
      </c>
      <c r="Y45" s="10">
        <f t="shared" si="50"/>
        <v>0.50700000000000001</v>
      </c>
      <c r="Z45" s="160">
        <v>0.433</v>
      </c>
      <c r="AA45" s="15">
        <v>0.35599999999999998</v>
      </c>
    </row>
    <row r="46" spans="2:27" x14ac:dyDescent="0.25">
      <c r="B46" t="s">
        <v>68</v>
      </c>
      <c r="C46" s="10"/>
      <c r="D46" s="10"/>
      <c r="E46" s="10"/>
      <c r="F46" s="10"/>
      <c r="G46" s="127">
        <v>13.206</v>
      </c>
      <c r="H46" s="125">
        <v>13.641999999999999</v>
      </c>
      <c r="I46" s="10"/>
      <c r="J46" s="10"/>
      <c r="N46" s="10"/>
      <c r="O46" s="10"/>
      <c r="P46" s="10"/>
      <c r="Q46" s="10"/>
      <c r="R46" s="10"/>
      <c r="S46" s="10"/>
      <c r="T46" s="10"/>
      <c r="U46" s="10">
        <f t="shared" si="49"/>
        <v>13.206</v>
      </c>
      <c r="V46" s="10">
        <v>13.321999999999999</v>
      </c>
      <c r="W46" s="10">
        <v>13.895</v>
      </c>
      <c r="X46" s="10">
        <v>14.016999999999999</v>
      </c>
      <c r="Y46" s="10">
        <f t="shared" si="50"/>
        <v>13.641999999999999</v>
      </c>
      <c r="Z46" s="160">
        <v>13.653</v>
      </c>
      <c r="AA46" s="15">
        <v>13.938000000000001</v>
      </c>
    </row>
    <row r="47" spans="2:27" x14ac:dyDescent="0.25">
      <c r="B47" t="s">
        <v>167</v>
      </c>
      <c r="C47" s="10"/>
      <c r="D47" s="10"/>
      <c r="E47" s="10"/>
      <c r="F47" s="10"/>
      <c r="G47" s="127">
        <v>0.318</v>
      </c>
      <c r="H47" s="125">
        <v>0.16300000000000001</v>
      </c>
      <c r="I47" s="10"/>
      <c r="J47" s="10"/>
      <c r="N47" s="10"/>
      <c r="O47" s="10"/>
      <c r="P47" s="10"/>
      <c r="Q47" s="10"/>
      <c r="R47" s="10"/>
      <c r="S47" s="10"/>
      <c r="T47" s="10"/>
      <c r="U47" s="10">
        <f t="shared" si="49"/>
        <v>0.318</v>
      </c>
      <c r="V47" s="10">
        <v>0.28100000000000003</v>
      </c>
      <c r="W47" s="10">
        <v>0.24299999999999999</v>
      </c>
      <c r="X47" s="10">
        <v>0.20399999999999999</v>
      </c>
      <c r="Y47" s="10">
        <f t="shared" si="50"/>
        <v>0.16300000000000001</v>
      </c>
      <c r="Z47" s="160">
        <v>0.122</v>
      </c>
      <c r="AA47" s="15">
        <v>0.08</v>
      </c>
    </row>
    <row r="48" spans="2:27" s="1" customFormat="1" x14ac:dyDescent="0.25">
      <c r="B48" t="s">
        <v>66</v>
      </c>
      <c r="C48" s="10"/>
      <c r="D48" s="10"/>
      <c r="E48" s="10"/>
      <c r="F48" s="10"/>
      <c r="G48" s="127">
        <v>1.319</v>
      </c>
      <c r="H48" s="125">
        <v>1.659</v>
      </c>
      <c r="I48" s="10"/>
      <c r="J48" s="10"/>
      <c r="N48" s="10"/>
      <c r="O48" s="10"/>
      <c r="P48" s="10"/>
      <c r="Q48" s="10"/>
      <c r="R48" s="10"/>
      <c r="S48" s="10"/>
      <c r="T48" s="10"/>
      <c r="U48" s="10">
        <f t="shared" si="49"/>
        <v>1.319</v>
      </c>
      <c r="V48" s="10">
        <v>1.546</v>
      </c>
      <c r="W48" s="10">
        <v>1.546</v>
      </c>
      <c r="X48" s="10">
        <v>1.546</v>
      </c>
      <c r="Y48" s="10">
        <f t="shared" si="50"/>
        <v>1.659</v>
      </c>
      <c r="Z48" s="160">
        <v>1.659</v>
      </c>
      <c r="AA48" s="15">
        <v>1.841</v>
      </c>
    </row>
    <row r="49" spans="2:27" s="1" customFormat="1" x14ac:dyDescent="0.25">
      <c r="B49" t="s">
        <v>168</v>
      </c>
      <c r="C49" s="10"/>
      <c r="D49" s="10"/>
      <c r="E49" s="10"/>
      <c r="F49" s="10"/>
      <c r="G49" s="127">
        <v>0.40300000000000002</v>
      </c>
      <c r="H49" s="125">
        <v>0.38</v>
      </c>
      <c r="I49" s="10"/>
      <c r="J49" s="10"/>
      <c r="N49" s="10"/>
      <c r="O49" s="10"/>
      <c r="P49" s="10"/>
      <c r="Q49" s="10"/>
      <c r="R49" s="10"/>
      <c r="S49" s="10"/>
      <c r="T49" s="10"/>
      <c r="U49" s="10">
        <f t="shared" si="49"/>
        <v>0.40300000000000002</v>
      </c>
      <c r="V49" s="10">
        <v>0.40699999999999997</v>
      </c>
      <c r="W49" s="10">
        <v>0.41099999999999998</v>
      </c>
      <c r="X49" s="10">
        <v>0.41499999999999998</v>
      </c>
      <c r="Y49" s="10">
        <f t="shared" si="50"/>
        <v>0.38</v>
      </c>
      <c r="Z49" s="160">
        <v>0.38400000000000001</v>
      </c>
      <c r="AA49" s="15">
        <v>0.38800000000000001</v>
      </c>
    </row>
    <row r="50" spans="2:27" x14ac:dyDescent="0.25">
      <c r="B50" s="1" t="s">
        <v>22</v>
      </c>
      <c r="C50" s="11">
        <f>SUM(C43:C49)</f>
        <v>0</v>
      </c>
      <c r="D50" s="11">
        <f>SUM(D43:D49)</f>
        <v>0</v>
      </c>
      <c r="E50" s="11">
        <f>SUM(E43:E49)</f>
        <v>0</v>
      </c>
      <c r="F50" s="11">
        <f>SUM(F43:F49)</f>
        <v>0</v>
      </c>
      <c r="G50" s="128">
        <f>SUM(G43:G49)</f>
        <v>294.02300000000008</v>
      </c>
      <c r="H50" s="126">
        <f t="shared" ref="H50:J50" si="51">SUM(H43:H49)</f>
        <v>299.327</v>
      </c>
      <c r="I50" s="11">
        <f t="shared" si="51"/>
        <v>0</v>
      </c>
      <c r="J50" s="11">
        <f t="shared" si="51"/>
        <v>0</v>
      </c>
      <c r="N50" s="11">
        <f t="shared" ref="N50:T50" si="52">SUM(N43:N49)</f>
        <v>0</v>
      </c>
      <c r="O50" s="11">
        <f t="shared" si="52"/>
        <v>0</v>
      </c>
      <c r="P50" s="11">
        <f t="shared" si="52"/>
        <v>0</v>
      </c>
      <c r="Q50" s="11">
        <f t="shared" si="52"/>
        <v>0</v>
      </c>
      <c r="R50" s="11">
        <f t="shared" si="52"/>
        <v>0</v>
      </c>
      <c r="S50" s="11">
        <f t="shared" si="52"/>
        <v>0</v>
      </c>
      <c r="T50" s="11">
        <f t="shared" si="52"/>
        <v>0</v>
      </c>
      <c r="U50" s="11">
        <f t="shared" ref="U50:X50" si="53">SUM(U43:U49)</f>
        <v>294.02300000000008</v>
      </c>
      <c r="V50" s="11">
        <f t="shared" si="53"/>
        <v>235.69900000000001</v>
      </c>
      <c r="W50" s="11">
        <f t="shared" si="53"/>
        <v>247.16400000000002</v>
      </c>
      <c r="X50" s="11">
        <f t="shared" si="53"/>
        <v>272.24200000000002</v>
      </c>
      <c r="Y50" s="11">
        <f t="shared" ref="Y50:AA50" si="54">SUM(Y43:Y49)</f>
        <v>299.327</v>
      </c>
      <c r="Z50" s="159">
        <f t="shared" si="54"/>
        <v>315.65500000000003</v>
      </c>
      <c r="AA50" s="14">
        <f t="shared" si="54"/>
        <v>363.56299999999993</v>
      </c>
    </row>
    <row r="51" spans="2:27" x14ac:dyDescent="0.25">
      <c r="B51" t="s">
        <v>24</v>
      </c>
      <c r="C51" s="10"/>
      <c r="D51" s="10"/>
      <c r="E51" s="10"/>
      <c r="F51" s="10"/>
      <c r="G51" s="127">
        <v>5.4850000000000003</v>
      </c>
      <c r="H51" s="125">
        <v>6.7670000000000003</v>
      </c>
      <c r="I51" s="10"/>
      <c r="J51" s="10"/>
      <c r="N51" s="10"/>
      <c r="O51" s="10"/>
      <c r="P51" s="10"/>
      <c r="Q51" s="10"/>
      <c r="R51" s="10"/>
      <c r="S51" s="10"/>
      <c r="T51" s="10"/>
      <c r="U51" s="10">
        <f t="shared" ref="U51:U55" si="55">G51</f>
        <v>5.4850000000000003</v>
      </c>
      <c r="V51" s="10">
        <v>9.0129999999999999</v>
      </c>
      <c r="W51" s="10">
        <v>9.3179999999999996</v>
      </c>
      <c r="X51" s="10">
        <v>8.84</v>
      </c>
      <c r="Y51" s="10">
        <f t="shared" ref="Y51:Y55" si="56">H51</f>
        <v>6.7670000000000003</v>
      </c>
      <c r="Z51" s="160">
        <v>6.3209999999999997</v>
      </c>
      <c r="AA51" s="15">
        <v>7.7320000000000002</v>
      </c>
    </row>
    <row r="52" spans="2:27" x14ac:dyDescent="0.25">
      <c r="B52" t="s">
        <v>169</v>
      </c>
      <c r="C52" s="10"/>
      <c r="D52" s="10"/>
      <c r="E52" s="10"/>
      <c r="F52" s="10"/>
      <c r="G52" s="127">
        <v>12.625999999999999</v>
      </c>
      <c r="H52" s="125">
        <v>16.707000000000001</v>
      </c>
      <c r="I52" s="10"/>
      <c r="J52" s="10"/>
      <c r="N52" s="10"/>
      <c r="O52" s="10"/>
      <c r="P52" s="10"/>
      <c r="Q52" s="10"/>
      <c r="R52" s="10"/>
      <c r="S52" s="10"/>
      <c r="T52" s="10"/>
      <c r="U52" s="10">
        <f t="shared" si="55"/>
        <v>12.625999999999999</v>
      </c>
      <c r="V52" s="10">
        <v>15.069000000000001</v>
      </c>
      <c r="W52" s="10">
        <v>11.226000000000001</v>
      </c>
      <c r="X52" s="10">
        <v>17.111000000000001</v>
      </c>
      <c r="Y52" s="10">
        <f t="shared" si="56"/>
        <v>16.707000000000001</v>
      </c>
      <c r="Z52" s="160">
        <v>16.939</v>
      </c>
      <c r="AA52" s="15">
        <v>17.164999999999999</v>
      </c>
    </row>
    <row r="53" spans="2:27" x14ac:dyDescent="0.25">
      <c r="B53" t="s">
        <v>170</v>
      </c>
      <c r="C53" s="10"/>
      <c r="D53" s="10"/>
      <c r="E53" s="10"/>
      <c r="F53" s="10"/>
      <c r="G53" s="127">
        <v>0.29799999999999999</v>
      </c>
      <c r="H53" s="125">
        <v>0.35</v>
      </c>
      <c r="I53" s="10"/>
      <c r="J53" s="10"/>
      <c r="N53" s="10"/>
      <c r="O53" s="10"/>
      <c r="P53" s="10"/>
      <c r="Q53" s="10"/>
      <c r="R53" s="10"/>
      <c r="S53" s="10"/>
      <c r="T53" s="10"/>
      <c r="U53" s="10">
        <f t="shared" si="55"/>
        <v>0.29799999999999999</v>
      </c>
      <c r="V53" s="10">
        <v>0.31</v>
      </c>
      <c r="W53" s="10">
        <v>0.32300000000000001</v>
      </c>
      <c r="X53" s="10">
        <v>0.33700000000000002</v>
      </c>
      <c r="Y53" s="10">
        <f t="shared" si="56"/>
        <v>0.35</v>
      </c>
      <c r="Z53" s="160">
        <v>0.28000000000000003</v>
      </c>
      <c r="AA53" s="15">
        <v>0.21</v>
      </c>
    </row>
    <row r="54" spans="2:27" x14ac:dyDescent="0.25">
      <c r="B54" t="s">
        <v>171</v>
      </c>
      <c r="C54" s="10"/>
      <c r="D54" s="10"/>
      <c r="E54" s="10"/>
      <c r="F54" s="10"/>
      <c r="G54" s="127">
        <v>3.33</v>
      </c>
      <c r="H54" s="125">
        <v>7.1050000000000004</v>
      </c>
      <c r="I54" s="10"/>
      <c r="J54" s="10"/>
      <c r="N54" s="10"/>
      <c r="O54" s="10"/>
      <c r="P54" s="10"/>
      <c r="Q54" s="10"/>
      <c r="R54" s="10"/>
      <c r="S54" s="10"/>
      <c r="T54" s="10"/>
      <c r="U54" s="10">
        <f t="shared" si="55"/>
        <v>3.33</v>
      </c>
      <c r="V54" s="10">
        <v>0.69</v>
      </c>
      <c r="W54" s="10">
        <v>1.22</v>
      </c>
      <c r="X54" s="10">
        <v>7.1719999999999997</v>
      </c>
      <c r="Y54" s="10">
        <f t="shared" si="56"/>
        <v>7.1050000000000004</v>
      </c>
      <c r="Z54" s="160">
        <v>7.1589999999999998</v>
      </c>
      <c r="AA54" s="15">
        <v>7.2640000000000002</v>
      </c>
    </row>
    <row r="55" spans="2:27" x14ac:dyDescent="0.25">
      <c r="B55" t="s">
        <v>172</v>
      </c>
      <c r="C55" s="10"/>
      <c r="D55" s="10"/>
      <c r="E55" s="10"/>
      <c r="F55" s="10"/>
      <c r="G55" s="127">
        <v>3.8650000000000002</v>
      </c>
      <c r="H55" s="125">
        <v>4.1319999999999997</v>
      </c>
      <c r="I55" s="10"/>
      <c r="J55" s="10"/>
      <c r="N55" s="10"/>
      <c r="O55" s="10"/>
      <c r="P55" s="10"/>
      <c r="Q55" s="10"/>
      <c r="R55" s="10"/>
      <c r="S55" s="10"/>
      <c r="T55" s="10"/>
      <c r="U55" s="10">
        <f t="shared" si="55"/>
        <v>3.8650000000000002</v>
      </c>
      <c r="V55" s="10">
        <v>4.1639999999999997</v>
      </c>
      <c r="W55" s="10">
        <v>4.375</v>
      </c>
      <c r="X55" s="10">
        <v>3.956</v>
      </c>
      <c r="Y55" s="10">
        <f t="shared" si="56"/>
        <v>4.1319999999999997</v>
      </c>
      <c r="Z55" s="160">
        <v>4.0759999999999996</v>
      </c>
      <c r="AA55" s="15">
        <v>4.0369999999999999</v>
      </c>
    </row>
    <row r="56" spans="2:27" s="1" customFormat="1" x14ac:dyDescent="0.25">
      <c r="B56" s="1" t="s">
        <v>54</v>
      </c>
      <c r="C56" s="11">
        <f>SUM(C51:C55)</f>
        <v>0</v>
      </c>
      <c r="D56" s="11">
        <f>SUM(D51:D55)</f>
        <v>0</v>
      </c>
      <c r="E56" s="11">
        <f>SUM(E51:E55)</f>
        <v>0</v>
      </c>
      <c r="F56" s="11">
        <f>SUM(F51:F55)</f>
        <v>0</v>
      </c>
      <c r="G56" s="128">
        <f>SUM(G51:G55)</f>
        <v>25.603999999999999</v>
      </c>
      <c r="H56" s="126">
        <f t="shared" ref="H56:J56" si="57">SUM(H51:H55)</f>
        <v>35.061</v>
      </c>
      <c r="I56" s="11">
        <f t="shared" si="57"/>
        <v>0</v>
      </c>
      <c r="J56" s="11">
        <f t="shared" si="57"/>
        <v>0</v>
      </c>
      <c r="N56" s="11">
        <f t="shared" ref="N56:T56" si="58">SUM(N51:N55)</f>
        <v>0</v>
      </c>
      <c r="O56" s="11">
        <f t="shared" si="58"/>
        <v>0</v>
      </c>
      <c r="P56" s="11">
        <f t="shared" si="58"/>
        <v>0</v>
      </c>
      <c r="Q56" s="11">
        <f t="shared" si="58"/>
        <v>0</v>
      </c>
      <c r="R56" s="11">
        <f t="shared" si="58"/>
        <v>0</v>
      </c>
      <c r="S56" s="11">
        <f t="shared" si="58"/>
        <v>0</v>
      </c>
      <c r="T56" s="11">
        <f t="shared" si="58"/>
        <v>0</v>
      </c>
      <c r="U56" s="11">
        <f t="shared" ref="U56:X56" si="59">SUM(U51:U55)</f>
        <v>25.603999999999999</v>
      </c>
      <c r="V56" s="11">
        <f t="shared" si="59"/>
        <v>29.246000000000002</v>
      </c>
      <c r="W56" s="11">
        <f t="shared" si="59"/>
        <v>26.462</v>
      </c>
      <c r="X56" s="11">
        <f t="shared" si="59"/>
        <v>37.416000000000004</v>
      </c>
      <c r="Y56" s="11">
        <f t="shared" ref="Y56:AA56" si="60">SUM(Y51:Y55)</f>
        <v>35.061</v>
      </c>
      <c r="Z56" s="159">
        <f t="shared" si="60"/>
        <v>34.774999999999999</v>
      </c>
      <c r="AA56" s="14">
        <f t="shared" si="60"/>
        <v>36.408000000000001</v>
      </c>
    </row>
    <row r="57" spans="2:27" x14ac:dyDescent="0.25">
      <c r="B57" t="s">
        <v>173</v>
      </c>
      <c r="C57" s="10"/>
      <c r="D57" s="10"/>
      <c r="E57" s="10"/>
      <c r="F57" s="10"/>
      <c r="G57" s="127">
        <v>0.54300000000000004</v>
      </c>
      <c r="H57" s="125">
        <v>0.20399999999999999</v>
      </c>
      <c r="I57" s="10"/>
      <c r="J57" s="10"/>
      <c r="N57" s="10"/>
      <c r="O57" s="10"/>
      <c r="P57" s="10"/>
      <c r="Q57" s="10"/>
      <c r="R57" s="10"/>
      <c r="S57" s="10"/>
      <c r="T57" s="10"/>
      <c r="U57" s="10">
        <f t="shared" ref="U57:U61" si="61">G57</f>
        <v>0.54300000000000004</v>
      </c>
      <c r="V57" s="10">
        <v>0.46</v>
      </c>
      <c r="W57" s="10">
        <v>0.38</v>
      </c>
      <c r="X57" s="10">
        <v>0.29499999999999998</v>
      </c>
      <c r="Y57" s="10">
        <f t="shared" ref="Y57:Y61" si="62">H57</f>
        <v>0.20399999999999999</v>
      </c>
      <c r="Z57" s="160">
        <v>0.189</v>
      </c>
      <c r="AA57" s="15">
        <v>0.17299999999999999</v>
      </c>
    </row>
    <row r="58" spans="2:27" x14ac:dyDescent="0.25">
      <c r="B58" t="s">
        <v>174</v>
      </c>
      <c r="C58" s="10"/>
      <c r="D58" s="10"/>
      <c r="E58" s="10"/>
      <c r="F58" s="10"/>
      <c r="G58" s="127">
        <v>75</v>
      </c>
      <c r="H58" s="125">
        <v>75</v>
      </c>
      <c r="I58" s="10"/>
      <c r="J58" s="10"/>
      <c r="N58" s="10"/>
      <c r="O58" s="10"/>
      <c r="P58" s="10"/>
      <c r="Q58" s="10"/>
      <c r="R58" s="10"/>
      <c r="S58" s="10"/>
      <c r="T58" s="10"/>
      <c r="U58" s="10">
        <f t="shared" si="61"/>
        <v>75</v>
      </c>
      <c r="V58" s="10">
        <v>75</v>
      </c>
      <c r="W58" s="10">
        <v>75</v>
      </c>
      <c r="X58" s="10">
        <v>75</v>
      </c>
      <c r="Y58" s="10">
        <f t="shared" si="62"/>
        <v>75</v>
      </c>
      <c r="Z58" s="160">
        <v>75</v>
      </c>
      <c r="AA58" s="15">
        <v>75</v>
      </c>
    </row>
    <row r="59" spans="2:27" x14ac:dyDescent="0.25">
      <c r="B59" t="s">
        <v>175</v>
      </c>
      <c r="C59" s="10"/>
      <c r="D59" s="10"/>
      <c r="E59" s="10"/>
      <c r="F59" s="10"/>
      <c r="G59" s="127">
        <v>105.45099999999999</v>
      </c>
      <c r="H59" s="125">
        <v>0</v>
      </c>
      <c r="I59" s="10"/>
      <c r="J59" s="10"/>
      <c r="N59" s="10"/>
      <c r="O59" s="10"/>
      <c r="P59" s="10"/>
      <c r="Q59" s="10"/>
      <c r="R59" s="10"/>
      <c r="S59" s="10"/>
      <c r="T59" s="10"/>
      <c r="U59" s="10">
        <f t="shared" si="61"/>
        <v>105.45099999999999</v>
      </c>
      <c r="V59" s="10">
        <v>0</v>
      </c>
      <c r="W59" s="10">
        <v>0</v>
      </c>
      <c r="X59" s="10">
        <v>0</v>
      </c>
      <c r="Y59" s="10">
        <f t="shared" si="62"/>
        <v>0</v>
      </c>
      <c r="Z59" s="160"/>
      <c r="AA59" s="15"/>
    </row>
    <row r="60" spans="2:27" x14ac:dyDescent="0.25">
      <c r="B60" t="s">
        <v>176</v>
      </c>
      <c r="C60" s="10"/>
      <c r="D60" s="10"/>
      <c r="E60" s="10"/>
      <c r="F60" s="10"/>
      <c r="G60" s="127">
        <v>0.23300000000000001</v>
      </c>
      <c r="H60" s="125">
        <v>2.9279999999999999</v>
      </c>
      <c r="I60" s="10"/>
      <c r="J60" s="10"/>
      <c r="N60" s="10"/>
      <c r="O60" s="10"/>
      <c r="P60" s="10"/>
      <c r="Q60" s="10"/>
      <c r="R60" s="10"/>
      <c r="S60" s="10"/>
      <c r="T60" s="10"/>
      <c r="U60" s="10">
        <f t="shared" si="61"/>
        <v>0.23300000000000001</v>
      </c>
      <c r="V60" s="10">
        <v>0.90700000000000003</v>
      </c>
      <c r="W60" s="10">
        <v>0.57199999999999995</v>
      </c>
      <c r="X60" s="10">
        <v>0.75800000000000001</v>
      </c>
      <c r="Y60" s="10">
        <f t="shared" si="62"/>
        <v>2.9279999999999999</v>
      </c>
      <c r="Z60" s="160">
        <v>2.8820000000000001</v>
      </c>
      <c r="AA60" s="15">
        <v>31.266999999999999</v>
      </c>
    </row>
    <row r="61" spans="2:27" x14ac:dyDescent="0.25">
      <c r="B61" t="s">
        <v>177</v>
      </c>
      <c r="C61" s="10"/>
      <c r="D61" s="10"/>
      <c r="E61" s="10"/>
      <c r="F61" s="10"/>
      <c r="G61" s="127">
        <v>0.129</v>
      </c>
      <c r="H61" s="125">
        <v>3.0329999999999999</v>
      </c>
      <c r="I61" s="10"/>
      <c r="J61" s="10"/>
      <c r="N61" s="10"/>
      <c r="O61" s="10"/>
      <c r="P61" s="10"/>
      <c r="Q61" s="10"/>
      <c r="R61" s="10"/>
      <c r="S61" s="10"/>
      <c r="T61" s="10"/>
      <c r="U61" s="10">
        <f t="shared" si="61"/>
        <v>0.129</v>
      </c>
      <c r="V61" s="10">
        <v>2.6720000000000002</v>
      </c>
      <c r="W61" s="10">
        <v>2.9929999999999999</v>
      </c>
      <c r="X61" s="10">
        <v>2.9580000000000002</v>
      </c>
      <c r="Y61" s="10">
        <f t="shared" si="62"/>
        <v>3.0329999999999999</v>
      </c>
      <c r="Z61" s="160">
        <v>3.3460000000000001</v>
      </c>
      <c r="AA61" s="15">
        <v>3.641</v>
      </c>
    </row>
    <row r="62" spans="2:27" x14ac:dyDescent="0.25">
      <c r="B62" s="1" t="s">
        <v>23</v>
      </c>
      <c r="C62" s="11">
        <f>SUM(C56:C61)</f>
        <v>0</v>
      </c>
      <c r="D62" s="11">
        <f>SUM(D56:D61)</f>
        <v>0</v>
      </c>
      <c r="E62" s="11">
        <f>SUM(E56:E61)</f>
        <v>0</v>
      </c>
      <c r="F62" s="11">
        <f>SUM(F56:F61)</f>
        <v>0</v>
      </c>
      <c r="G62" s="11">
        <f>SUM(G56:G61)</f>
        <v>206.95999999999998</v>
      </c>
      <c r="H62" s="14">
        <f t="shared" ref="H62:J62" si="63">SUM(H56:H61)</f>
        <v>116.226</v>
      </c>
      <c r="I62" s="11">
        <f t="shared" si="63"/>
        <v>0</v>
      </c>
      <c r="J62" s="11">
        <f t="shared" si="63"/>
        <v>0</v>
      </c>
      <c r="N62" s="11">
        <f t="shared" ref="N62:T62" si="64">SUM(N56:N61)</f>
        <v>0</v>
      </c>
      <c r="O62" s="11">
        <f t="shared" si="64"/>
        <v>0</v>
      </c>
      <c r="P62" s="11">
        <f t="shared" si="64"/>
        <v>0</v>
      </c>
      <c r="Q62" s="11">
        <f t="shared" si="64"/>
        <v>0</v>
      </c>
      <c r="R62" s="11">
        <f t="shared" si="64"/>
        <v>0</v>
      </c>
      <c r="S62" s="11">
        <f t="shared" si="64"/>
        <v>0</v>
      </c>
      <c r="T62" s="11">
        <f t="shared" si="64"/>
        <v>0</v>
      </c>
      <c r="U62" s="11">
        <f t="shared" ref="U62:X62" si="65">SUM(U56:U61)</f>
        <v>206.95999999999998</v>
      </c>
      <c r="V62" s="11">
        <f t="shared" si="65"/>
        <v>108.285</v>
      </c>
      <c r="W62" s="11">
        <f t="shared" si="65"/>
        <v>105.407</v>
      </c>
      <c r="X62" s="11">
        <f t="shared" si="65"/>
        <v>116.42700000000001</v>
      </c>
      <c r="Y62" s="11">
        <f t="shared" ref="Y62:AA62" si="66">SUM(Y56:Y61)</f>
        <v>116.226</v>
      </c>
      <c r="Z62" s="159">
        <f t="shared" si="66"/>
        <v>116.19200000000001</v>
      </c>
      <c r="AA62" s="14">
        <f t="shared" si="66"/>
        <v>146.489</v>
      </c>
    </row>
    <row r="63" spans="2:27" x14ac:dyDescent="0.25">
      <c r="B63" t="s">
        <v>69</v>
      </c>
      <c r="C63" s="10">
        <f t="shared" ref="C63:E63" si="67">C50-C62</f>
        <v>0</v>
      </c>
      <c r="D63" s="10">
        <f t="shared" si="67"/>
        <v>0</v>
      </c>
      <c r="E63" s="10">
        <f t="shared" si="67"/>
        <v>0</v>
      </c>
      <c r="F63" s="10">
        <f>F50-F62</f>
        <v>0</v>
      </c>
      <c r="G63" s="10">
        <f>G50-G62</f>
        <v>87.063000000000102</v>
      </c>
      <c r="H63" s="15">
        <f t="shared" ref="H63:J63" si="68">H50-H62</f>
        <v>183.101</v>
      </c>
      <c r="I63" s="10">
        <f t="shared" si="68"/>
        <v>0</v>
      </c>
      <c r="J63" s="10">
        <f t="shared" si="68"/>
        <v>0</v>
      </c>
      <c r="N63" s="10">
        <f t="shared" ref="N63:T63" si="69">N50-N62</f>
        <v>0</v>
      </c>
      <c r="O63" s="10">
        <f t="shared" si="69"/>
        <v>0</v>
      </c>
      <c r="P63" s="10">
        <f t="shared" si="69"/>
        <v>0</v>
      </c>
      <c r="Q63" s="10">
        <f t="shared" si="69"/>
        <v>0</v>
      </c>
      <c r="R63" s="10">
        <f t="shared" si="69"/>
        <v>0</v>
      </c>
      <c r="S63" s="10">
        <f t="shared" si="69"/>
        <v>0</v>
      </c>
      <c r="T63" s="10">
        <f t="shared" si="69"/>
        <v>0</v>
      </c>
      <c r="U63" s="10">
        <f t="shared" ref="U63:X63" si="70">U50-U62</f>
        <v>87.063000000000102</v>
      </c>
      <c r="V63" s="10">
        <f t="shared" si="70"/>
        <v>127.41400000000002</v>
      </c>
      <c r="W63" s="10">
        <f t="shared" si="70"/>
        <v>141.75700000000001</v>
      </c>
      <c r="X63" s="10">
        <f t="shared" si="70"/>
        <v>155.815</v>
      </c>
      <c r="Y63" s="10">
        <f t="shared" ref="Y63:AA63" si="71">Y50-Y62</f>
        <v>183.101</v>
      </c>
      <c r="Z63" s="160">
        <f t="shared" si="71"/>
        <v>199.46300000000002</v>
      </c>
      <c r="AA63" s="15">
        <f t="shared" si="71"/>
        <v>217.07399999999993</v>
      </c>
    </row>
    <row r="65" spans="2:27" s="1" customFormat="1" x14ac:dyDescent="0.25">
      <c r="B65" s="1" t="s">
        <v>72</v>
      </c>
      <c r="C65" s="49"/>
      <c r="D65" s="49"/>
      <c r="E65" s="49"/>
      <c r="F65" s="49"/>
      <c r="G65" s="121"/>
      <c r="H65" s="16"/>
      <c r="Z65" s="161"/>
      <c r="AA65" s="16"/>
    </row>
    <row r="83" spans="8:27" s="9" customFormat="1" x14ac:dyDescent="0.25">
      <c r="H83" s="41"/>
      <c r="Z83" s="162"/>
      <c r="AA83" s="41"/>
    </row>
    <row r="84" spans="8:27" s="1" customFormat="1" x14ac:dyDescent="0.25">
      <c r="H84" s="16"/>
      <c r="Z84" s="161"/>
      <c r="AA84"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5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670AE-D1F2-4470-937E-18BA568AD24E}">
  <dimension ref="A1:S17"/>
  <sheetViews>
    <sheetView workbookViewId="0">
      <selection activeCell="W13" sqref="W13"/>
    </sheetView>
  </sheetViews>
  <sheetFormatPr defaultRowHeight="15" x14ac:dyDescent="0.25"/>
  <cols>
    <col min="1" max="1" width="14.85546875" customWidth="1"/>
    <col min="13" max="14" width="10.140625" bestFit="1" customWidth="1"/>
  </cols>
  <sheetData>
    <row r="1" spans="1:19" x14ac:dyDescent="0.25">
      <c r="B1" s="119">
        <v>45413</v>
      </c>
      <c r="C1" s="119">
        <v>45444</v>
      </c>
      <c r="D1" s="119">
        <v>45474</v>
      </c>
      <c r="E1" s="119">
        <v>45505</v>
      </c>
      <c r="F1" s="119">
        <v>45536</v>
      </c>
      <c r="G1" s="119">
        <v>45566</v>
      </c>
      <c r="H1" s="119">
        <v>45597</v>
      </c>
      <c r="I1" s="119">
        <v>45627</v>
      </c>
      <c r="J1" s="119">
        <v>45658</v>
      </c>
      <c r="K1" s="119">
        <v>45689</v>
      </c>
      <c r="L1" s="119">
        <v>45717</v>
      </c>
      <c r="M1" s="119">
        <v>45748</v>
      </c>
      <c r="N1" s="119">
        <v>45778</v>
      </c>
      <c r="O1" s="119">
        <v>45809</v>
      </c>
      <c r="P1" s="119">
        <v>45839</v>
      </c>
      <c r="Q1" s="119">
        <v>45870</v>
      </c>
      <c r="R1" s="119">
        <v>45901</v>
      </c>
      <c r="S1" s="119">
        <v>45931</v>
      </c>
    </row>
    <row r="2" spans="1:19" x14ac:dyDescent="0.25">
      <c r="A2" t="s">
        <v>134</v>
      </c>
    </row>
    <row r="3" spans="1:19" x14ac:dyDescent="0.25">
      <c r="A3" t="s">
        <v>135</v>
      </c>
    </row>
    <row r="4" spans="1:19" x14ac:dyDescent="0.25">
      <c r="A4" t="s">
        <v>136</v>
      </c>
      <c r="Q4">
        <v>1</v>
      </c>
      <c r="R4">
        <v>1</v>
      </c>
      <c r="S4">
        <v>3</v>
      </c>
    </row>
    <row r="5" spans="1:19" x14ac:dyDescent="0.25">
      <c r="A5" t="s">
        <v>137</v>
      </c>
      <c r="B5">
        <v>2</v>
      </c>
      <c r="C5">
        <v>2</v>
      </c>
      <c r="D5">
        <v>3</v>
      </c>
      <c r="E5">
        <v>4</v>
      </c>
      <c r="F5">
        <v>5</v>
      </c>
      <c r="G5">
        <v>5</v>
      </c>
      <c r="H5">
        <v>5</v>
      </c>
      <c r="I5">
        <v>5</v>
      </c>
      <c r="J5">
        <v>5</v>
      </c>
      <c r="K5">
        <v>6</v>
      </c>
      <c r="L5">
        <v>6</v>
      </c>
      <c r="M5">
        <v>6</v>
      </c>
      <c r="N5">
        <v>6</v>
      </c>
      <c r="O5">
        <v>6</v>
      </c>
      <c r="P5">
        <v>7</v>
      </c>
      <c r="Q5">
        <v>8</v>
      </c>
      <c r="R5">
        <v>8</v>
      </c>
      <c r="S5">
        <v>8</v>
      </c>
    </row>
    <row r="6" spans="1:19" x14ac:dyDescent="0.25">
      <c r="A6" t="s">
        <v>138</v>
      </c>
      <c r="D6">
        <v>1</v>
      </c>
      <c r="E6">
        <v>1</v>
      </c>
      <c r="F6">
        <v>1</v>
      </c>
      <c r="G6">
        <v>1</v>
      </c>
      <c r="H6">
        <v>1</v>
      </c>
      <c r="I6">
        <v>1</v>
      </c>
      <c r="J6">
        <v>1</v>
      </c>
      <c r="K6">
        <v>1</v>
      </c>
      <c r="L6">
        <v>1</v>
      </c>
      <c r="M6">
        <v>1</v>
      </c>
      <c r="N6">
        <v>1</v>
      </c>
      <c r="O6">
        <v>1</v>
      </c>
    </row>
    <row r="9" spans="1:19" x14ac:dyDescent="0.25">
      <c r="A9" s="1" t="s">
        <v>139</v>
      </c>
    </row>
    <row r="10" spans="1:19" x14ac:dyDescent="0.25">
      <c r="A10" s="1" t="s">
        <v>203</v>
      </c>
      <c r="J10">
        <v>239</v>
      </c>
      <c r="K10">
        <v>239</v>
      </c>
      <c r="L10">
        <v>239</v>
      </c>
      <c r="M10">
        <v>239</v>
      </c>
      <c r="N10">
        <v>239</v>
      </c>
      <c r="O10">
        <v>277</v>
      </c>
    </row>
    <row r="11" spans="1:19" x14ac:dyDescent="0.25">
      <c r="A11" s="1" t="s">
        <v>204</v>
      </c>
      <c r="L11">
        <v>179</v>
      </c>
      <c r="M11">
        <v>179</v>
      </c>
      <c r="N11">
        <v>179</v>
      </c>
      <c r="O11">
        <v>179</v>
      </c>
      <c r="P11">
        <v>179</v>
      </c>
      <c r="Q11">
        <v>229</v>
      </c>
    </row>
    <row r="12" spans="1:19" x14ac:dyDescent="0.25">
      <c r="A12" s="1" t="s">
        <v>205</v>
      </c>
      <c r="Q12">
        <v>290</v>
      </c>
    </row>
    <row r="13" spans="1:19" x14ac:dyDescent="0.25">
      <c r="A13" s="1" t="s">
        <v>206</v>
      </c>
      <c r="L13">
        <v>280</v>
      </c>
      <c r="M13">
        <v>280</v>
      </c>
      <c r="N13">
        <v>280</v>
      </c>
      <c r="O13">
        <v>280</v>
      </c>
      <c r="P13">
        <v>280</v>
      </c>
      <c r="Q13">
        <v>280</v>
      </c>
      <c r="R13">
        <v>300</v>
      </c>
    </row>
    <row r="14" spans="1:19" x14ac:dyDescent="0.25">
      <c r="A14" s="1" t="s">
        <v>207</v>
      </c>
      <c r="L14">
        <v>280</v>
      </c>
      <c r="M14">
        <v>280</v>
      </c>
      <c r="N14">
        <v>280</v>
      </c>
      <c r="O14">
        <v>280</v>
      </c>
      <c r="P14">
        <v>280</v>
      </c>
      <c r="Q14">
        <v>280</v>
      </c>
      <c r="R14">
        <v>300</v>
      </c>
    </row>
    <row r="15" spans="1:19" x14ac:dyDescent="0.25">
      <c r="A15" s="1" t="s">
        <v>208</v>
      </c>
      <c r="R15">
        <v>300</v>
      </c>
    </row>
    <row r="16" spans="1:19" x14ac:dyDescent="0.25">
      <c r="A16" s="1" t="s">
        <v>209</v>
      </c>
      <c r="S16">
        <v>320</v>
      </c>
    </row>
    <row r="17" spans="1:1" x14ac:dyDescent="0.25">
      <c r="A17"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topLeftCell="G1" workbookViewId="0">
      <selection activeCell="X56" sqref="X56"/>
    </sheetView>
  </sheetViews>
  <sheetFormatPr defaultRowHeight="15" x14ac:dyDescent="0.25"/>
  <sheetData>
    <row r="1" spans="1:1" x14ac:dyDescent="0.25">
      <c r="A1" s="8" t="s">
        <v>31</v>
      </c>
    </row>
  </sheetData>
  <hyperlinks>
    <hyperlink ref="A1" location="Main!A1" display="Main" xr:uid="{58C3B527-2D5B-414E-8D16-78915C434B11}"/>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N14"/>
  <sheetViews>
    <sheetView workbookViewId="0">
      <pane xSplit="1" ySplit="1" topLeftCell="F2" activePane="bottomRight" state="frozen"/>
      <selection pane="topRight" activeCell="B1" sqref="B1"/>
      <selection pane="bottomLeft" activeCell="A2" sqref="A2"/>
      <selection pane="bottomRight" activeCell="L16" sqref="L16"/>
    </sheetView>
  </sheetViews>
  <sheetFormatPr defaultRowHeight="15" x14ac:dyDescent="0.25"/>
  <cols>
    <col min="1" max="1" width="29.28515625" bestFit="1" customWidth="1"/>
  </cols>
  <sheetData>
    <row r="1" spans="1:14" x14ac:dyDescent="0.25">
      <c r="A1" t="s">
        <v>199</v>
      </c>
      <c r="B1">
        <v>2023</v>
      </c>
      <c r="C1">
        <v>2024</v>
      </c>
      <c r="F1" t="s">
        <v>9</v>
      </c>
      <c r="G1" t="s">
        <v>29</v>
      </c>
      <c r="H1" t="s">
        <v>33</v>
      </c>
      <c r="I1" t="s">
        <v>34</v>
      </c>
      <c r="J1" t="s">
        <v>55</v>
      </c>
      <c r="K1" t="s">
        <v>59</v>
      </c>
      <c r="L1" t="s">
        <v>130</v>
      </c>
      <c r="M1" t="s">
        <v>131</v>
      </c>
      <c r="N1" s="13" t="s">
        <v>141</v>
      </c>
    </row>
    <row r="2" spans="1:14" x14ac:dyDescent="0.25">
      <c r="A2" t="s">
        <v>191</v>
      </c>
      <c r="B2">
        <v>152.49</v>
      </c>
      <c r="C2">
        <v>218.80199999999999</v>
      </c>
      <c r="F2">
        <v>33.002000000000002</v>
      </c>
      <c r="G2">
        <v>35.984999999999999</v>
      </c>
      <c r="H2">
        <v>39.165999999999997</v>
      </c>
      <c r="I2">
        <f>B2-H2-G2-F2</f>
        <v>44.33700000000001</v>
      </c>
      <c r="J2">
        <v>44.595999999999997</v>
      </c>
      <c r="K2">
        <v>49.594999999999999</v>
      </c>
      <c r="L2">
        <v>58.658999999999999</v>
      </c>
      <c r="M2">
        <f>C2-L2-K2-J2</f>
        <v>65.951999999999998</v>
      </c>
      <c r="N2">
        <v>83.447999999999993</v>
      </c>
    </row>
    <row r="3" spans="1:14" x14ac:dyDescent="0.25">
      <c r="A3" t="s">
        <v>192</v>
      </c>
      <c r="B3">
        <v>56.945</v>
      </c>
      <c r="C3">
        <v>67.563000000000002</v>
      </c>
      <c r="F3">
        <v>13.76</v>
      </c>
      <c r="G3">
        <v>13.138999999999999</v>
      </c>
      <c r="H3">
        <v>14.548</v>
      </c>
      <c r="I3">
        <f t="shared" ref="I3:I5" si="0">B3-H3-G3-F3</f>
        <v>15.497999999999999</v>
      </c>
      <c r="J3">
        <v>14.91</v>
      </c>
      <c r="K3">
        <v>16.077000000000002</v>
      </c>
      <c r="L3">
        <v>18.295999999999999</v>
      </c>
      <c r="M3">
        <f t="shared" ref="M3:M5" si="1">C3-L3-K3-J3</f>
        <v>18.279999999999998</v>
      </c>
      <c r="N3">
        <v>7.4960000000000004</v>
      </c>
    </row>
    <row r="4" spans="1:14" x14ac:dyDescent="0.25">
      <c r="A4" t="s">
        <v>193</v>
      </c>
      <c r="B4">
        <v>21.483000000000001</v>
      </c>
      <c r="C4">
        <v>24.599</v>
      </c>
      <c r="F4">
        <v>5.6189999999999998</v>
      </c>
      <c r="G4">
        <v>5.4119999999999999</v>
      </c>
      <c r="H4">
        <v>5.1189999999999998</v>
      </c>
      <c r="I4">
        <f t="shared" si="0"/>
        <v>5.333000000000002</v>
      </c>
      <c r="J4">
        <v>5.9429999999999996</v>
      </c>
      <c r="K4">
        <v>5.85</v>
      </c>
      <c r="L4">
        <v>6.3330000000000002</v>
      </c>
      <c r="M4">
        <f t="shared" si="1"/>
        <v>6.472999999999999</v>
      </c>
      <c r="N4">
        <v>6.8170000000000002</v>
      </c>
    </row>
    <row r="5" spans="1:14" x14ac:dyDescent="0.25">
      <c r="A5" t="s">
        <v>194</v>
      </c>
      <c r="B5">
        <v>1.323</v>
      </c>
      <c r="C5">
        <v>0.46200000000000002</v>
      </c>
      <c r="F5">
        <v>0.19500000000000001</v>
      </c>
      <c r="G5">
        <v>0.44900000000000001</v>
      </c>
      <c r="H5">
        <v>0.34599999999999997</v>
      </c>
      <c r="I5">
        <f t="shared" si="0"/>
        <v>0.33300000000000002</v>
      </c>
      <c r="J5">
        <v>0.113</v>
      </c>
      <c r="K5">
        <v>0.129</v>
      </c>
      <c r="L5">
        <v>0.10199999999999999</v>
      </c>
      <c r="M5">
        <f t="shared" si="1"/>
        <v>0.11800000000000004</v>
      </c>
      <c r="N5">
        <v>0.09</v>
      </c>
    </row>
    <row r="6" spans="1:14" s="1" customFormat="1" x14ac:dyDescent="0.25">
      <c r="A6" s="1" t="s">
        <v>190</v>
      </c>
      <c r="B6" s="1">
        <f>SUM(B2:B5)</f>
        <v>232.24100000000001</v>
      </c>
      <c r="C6" s="1">
        <f>SUM(C2:C5)</f>
        <v>311.42599999999999</v>
      </c>
      <c r="F6" s="1">
        <f t="shared" ref="F6" si="2">SUM(F2:F5)</f>
        <v>52.576000000000001</v>
      </c>
      <c r="G6" s="1">
        <f t="shared" ref="G6" si="3">SUM(G2:G5)</f>
        <v>54.984999999999992</v>
      </c>
      <c r="H6" s="1">
        <f t="shared" ref="H6" si="4">SUM(H2:H5)</f>
        <v>59.178999999999995</v>
      </c>
      <c r="I6" s="1">
        <f t="shared" ref="I6" si="5">SUM(I2:I5)</f>
        <v>65.501000000000005</v>
      </c>
      <c r="J6" s="1">
        <f t="shared" ref="J6:M6" si="6">SUM(J2:J5)</f>
        <v>65.561999999999998</v>
      </c>
      <c r="K6" s="1">
        <f t="shared" si="6"/>
        <v>71.650999999999996</v>
      </c>
      <c r="L6" s="1">
        <f t="shared" si="6"/>
        <v>83.39</v>
      </c>
      <c r="M6" s="1">
        <f t="shared" si="6"/>
        <v>90.822999999999993</v>
      </c>
      <c r="N6" s="1">
        <f>SUM(N2:N5)</f>
        <v>97.850999999999999</v>
      </c>
    </row>
    <row r="7" spans="1:14" x14ac:dyDescent="0.25">
      <c r="A7" t="s">
        <v>196</v>
      </c>
      <c r="B7">
        <v>17.004000000000001</v>
      </c>
      <c r="C7">
        <v>19.989999999999998</v>
      </c>
      <c r="F7">
        <v>3.99</v>
      </c>
      <c r="G7">
        <v>4.093</v>
      </c>
      <c r="H7">
        <v>4.3220000000000001</v>
      </c>
      <c r="I7">
        <f t="shared" ref="I7:I9" si="7">B7-H7-G7-F7</f>
        <v>4.599000000000002</v>
      </c>
      <c r="J7">
        <v>4.742</v>
      </c>
      <c r="K7">
        <v>4.742</v>
      </c>
      <c r="L7">
        <v>4.96</v>
      </c>
      <c r="M7">
        <f t="shared" ref="M7:M9" si="8">C7-L7-K7-J7</f>
        <v>5.5459999999999967</v>
      </c>
      <c r="N7">
        <v>5.8849999999999998</v>
      </c>
    </row>
    <row r="8" spans="1:14" x14ac:dyDescent="0.25">
      <c r="A8" t="s">
        <v>197</v>
      </c>
      <c r="B8">
        <v>2.605</v>
      </c>
      <c r="C8">
        <v>3.0870000000000002</v>
      </c>
      <c r="F8">
        <v>0.71799999999999997</v>
      </c>
      <c r="G8">
        <v>0.57699999999999996</v>
      </c>
      <c r="H8">
        <v>0.58399999999999996</v>
      </c>
      <c r="I8">
        <f t="shared" si="7"/>
        <v>0.72599999999999998</v>
      </c>
      <c r="J8">
        <v>0.80900000000000005</v>
      </c>
      <c r="K8">
        <v>0.76</v>
      </c>
      <c r="L8">
        <v>0.747</v>
      </c>
      <c r="M8">
        <f t="shared" si="8"/>
        <v>0.77100000000000024</v>
      </c>
      <c r="N8">
        <v>0.79400000000000004</v>
      </c>
    </row>
    <row r="9" spans="1:14" x14ac:dyDescent="0.25">
      <c r="A9" t="s">
        <v>194</v>
      </c>
      <c r="B9">
        <v>7.2430000000000003</v>
      </c>
      <c r="C9">
        <v>12.573</v>
      </c>
      <c r="F9">
        <v>1.6439999999999999</v>
      </c>
      <c r="G9">
        <v>1.58</v>
      </c>
      <c r="H9">
        <v>1.726</v>
      </c>
      <c r="I9">
        <f t="shared" si="7"/>
        <v>2.2930000000000001</v>
      </c>
      <c r="J9">
        <v>2.5169999999999999</v>
      </c>
      <c r="K9">
        <v>2.964</v>
      </c>
      <c r="L9">
        <v>3.3919999999999999</v>
      </c>
      <c r="M9">
        <f t="shared" si="8"/>
        <v>3.7000000000000006</v>
      </c>
      <c r="N9">
        <v>3.4489999999999998</v>
      </c>
    </row>
    <row r="10" spans="1:14" s="1" customFormat="1" x14ac:dyDescent="0.25">
      <c r="A10" s="1" t="s">
        <v>195</v>
      </c>
      <c r="B10" s="1">
        <f>SUM(B7:B9)</f>
        <v>26.852000000000004</v>
      </c>
      <c r="C10" s="1">
        <f>SUM(C7:C9)</f>
        <v>35.65</v>
      </c>
      <c r="F10" s="1">
        <f t="shared" ref="F10" si="9">SUM(F7:F9)</f>
        <v>6.3520000000000003</v>
      </c>
      <c r="G10" s="1">
        <f t="shared" ref="G10" si="10">SUM(G7:G9)</f>
        <v>6.25</v>
      </c>
      <c r="H10" s="1">
        <f t="shared" ref="H10" si="11">SUM(H7:H9)</f>
        <v>6.6319999999999997</v>
      </c>
      <c r="I10" s="1">
        <f t="shared" ref="I10" si="12">SUM(I7:I9)</f>
        <v>7.6180000000000021</v>
      </c>
      <c r="J10" s="1">
        <f t="shared" ref="J10:N10" si="13">SUM(J7:J9)</f>
        <v>8.0679999999999996</v>
      </c>
      <c r="K10" s="1">
        <f t="shared" si="13"/>
        <v>8.4659999999999993</v>
      </c>
      <c r="L10" s="1">
        <f t="shared" si="13"/>
        <v>9.0990000000000002</v>
      </c>
      <c r="M10" s="1">
        <f t="shared" si="13"/>
        <v>10.016999999999998</v>
      </c>
      <c r="N10" s="1">
        <f t="shared" si="13"/>
        <v>10.128</v>
      </c>
    </row>
    <row r="11" spans="1:14" s="1" customFormat="1" x14ac:dyDescent="0.25">
      <c r="A11" s="1" t="s">
        <v>198</v>
      </c>
      <c r="B11" s="1">
        <f>B6+B10</f>
        <v>259.09300000000002</v>
      </c>
      <c r="C11" s="1">
        <f>C6+C10</f>
        <v>347.07599999999996</v>
      </c>
      <c r="F11" s="1">
        <f t="shared" ref="F11" si="14">F6+F10</f>
        <v>58.927999999999997</v>
      </c>
      <c r="G11" s="1">
        <f t="shared" ref="G11" si="15">G6+G10</f>
        <v>61.234999999999992</v>
      </c>
      <c r="H11" s="1">
        <f t="shared" ref="H11" si="16">H6+H10</f>
        <v>65.810999999999993</v>
      </c>
      <c r="I11" s="1">
        <f t="shared" ref="I11" si="17">I6+I10</f>
        <v>73.119</v>
      </c>
      <c r="J11" s="1">
        <f t="shared" ref="J11:N11" si="18">J6+J10</f>
        <v>73.63</v>
      </c>
      <c r="K11" s="1">
        <f t="shared" si="18"/>
        <v>80.11699999999999</v>
      </c>
      <c r="L11" s="1">
        <f t="shared" si="18"/>
        <v>92.489000000000004</v>
      </c>
      <c r="M11" s="1">
        <f t="shared" si="18"/>
        <v>100.83999999999999</v>
      </c>
      <c r="N11" s="1">
        <f t="shared" si="18"/>
        <v>107.979</v>
      </c>
    </row>
    <row r="14" spans="1:14" x14ac:dyDescent="0.25">
      <c r="A14" t="s">
        <v>200</v>
      </c>
      <c r="J14" s="131">
        <f t="shared" ref="J14:M14" si="19">J2/F2-1</f>
        <v>0.35131204169444263</v>
      </c>
      <c r="K14" s="131">
        <f t="shared" si="19"/>
        <v>0.37821314436570797</v>
      </c>
      <c r="L14" s="131">
        <f t="shared" si="19"/>
        <v>0.49770208854618803</v>
      </c>
      <c r="M14" s="131">
        <f t="shared" si="19"/>
        <v>0.48751607009946496</v>
      </c>
      <c r="N14" s="132">
        <f>N2/J2-1</f>
        <v>0.87119921069154183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activeCell="S9" sqref="S9"/>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31</v>
      </c>
      <c r="B1" t="s">
        <v>44</v>
      </c>
      <c r="C1" s="17" t="s">
        <v>45</v>
      </c>
    </row>
    <row r="2" spans="1:13" x14ac:dyDescent="0.25">
      <c r="B2" s="12"/>
      <c r="C2" s="18"/>
      <c r="E2" t="s">
        <v>44</v>
      </c>
      <c r="F2" t="s">
        <v>46</v>
      </c>
      <c r="M2" t="s">
        <v>47</v>
      </c>
    </row>
    <row r="3" spans="1:13" x14ac:dyDescent="0.25">
      <c r="B3" s="12"/>
      <c r="C3" s="18"/>
      <c r="E3" s="12">
        <v>45328</v>
      </c>
      <c r="F3" t="s">
        <v>49</v>
      </c>
      <c r="M3" s="12"/>
    </row>
    <row r="4" spans="1:13" x14ac:dyDescent="0.25">
      <c r="B4" s="12"/>
      <c r="C4" s="18"/>
      <c r="E4" s="12">
        <v>45302</v>
      </c>
      <c r="F4" t="s">
        <v>49</v>
      </c>
      <c r="M4" s="12"/>
    </row>
    <row r="5" spans="1:13" x14ac:dyDescent="0.25">
      <c r="B5" s="12"/>
      <c r="C5" s="18"/>
      <c r="M5" s="12"/>
    </row>
    <row r="6" spans="1:13" x14ac:dyDescent="0.25">
      <c r="B6" s="12"/>
      <c r="C6" s="18"/>
      <c r="M6" s="12"/>
    </row>
    <row r="7" spans="1:13" x14ac:dyDescent="0.25">
      <c r="B7" s="12"/>
      <c r="C7" s="18"/>
      <c r="M7" s="12"/>
    </row>
    <row r="8" spans="1:13" x14ac:dyDescent="0.25">
      <c r="B8" s="12"/>
      <c r="C8" s="18"/>
      <c r="M8" s="12"/>
    </row>
    <row r="9" spans="1:13" x14ac:dyDescent="0.25">
      <c r="B9" s="12"/>
      <c r="C9" s="18"/>
      <c r="M9" s="12"/>
    </row>
    <row r="10" spans="1:13" x14ac:dyDescent="0.25">
      <c r="B10" s="12"/>
      <c r="C10" s="18"/>
      <c r="M10" s="12"/>
    </row>
    <row r="11" spans="1:13" x14ac:dyDescent="0.25">
      <c r="B11" s="12"/>
      <c r="C11" s="18"/>
      <c r="M11" s="12"/>
    </row>
    <row r="12" spans="1:13" x14ac:dyDescent="0.25">
      <c r="B12" s="12"/>
      <c r="C12" s="18"/>
      <c r="M12" s="12"/>
    </row>
    <row r="13" spans="1:13" x14ac:dyDescent="0.25">
      <c r="B13" s="12"/>
      <c r="C13" s="18"/>
    </row>
    <row r="14" spans="1:13" x14ac:dyDescent="0.25">
      <c r="B14" s="12"/>
      <c r="C14" s="18"/>
    </row>
    <row r="15" spans="1:13" x14ac:dyDescent="0.25">
      <c r="B15" s="12"/>
      <c r="C15" s="18"/>
    </row>
    <row r="16" spans="1:13" x14ac:dyDescent="0.25">
      <c r="B16" s="12"/>
      <c r="C16" s="18"/>
    </row>
    <row r="17" spans="2:3" x14ac:dyDescent="0.25">
      <c r="B17" s="12"/>
      <c r="C17" s="18"/>
    </row>
    <row r="18" spans="2:3" x14ac:dyDescent="0.25">
      <c r="B18" s="12"/>
      <c r="C18" s="18"/>
    </row>
    <row r="19" spans="2:3" x14ac:dyDescent="0.25">
      <c r="B19" s="12"/>
      <c r="C19" s="18"/>
    </row>
    <row r="20" spans="2:3" x14ac:dyDescent="0.25">
      <c r="B20" s="12"/>
      <c r="C20" s="18"/>
    </row>
    <row r="21" spans="2:3" x14ac:dyDescent="0.25">
      <c r="B21" s="12"/>
      <c r="C21" s="18"/>
    </row>
    <row r="22" spans="2:3" x14ac:dyDescent="0.25">
      <c r="B22" s="12"/>
      <c r="C22" s="18"/>
    </row>
    <row r="23" spans="2:3" x14ac:dyDescent="0.25">
      <c r="B23" s="12"/>
      <c r="C23" s="18"/>
    </row>
    <row r="24" spans="2:3" x14ac:dyDescent="0.25">
      <c r="B24" s="12"/>
      <c r="C24" s="18"/>
    </row>
    <row r="25" spans="2:3" x14ac:dyDescent="0.25">
      <c r="B25" s="12"/>
      <c r="C25" s="18"/>
    </row>
    <row r="26" spans="2:3" x14ac:dyDescent="0.25">
      <c r="B26" s="12"/>
      <c r="C26" s="18"/>
    </row>
    <row r="27" spans="2:3" x14ac:dyDescent="0.25">
      <c r="B27" s="12"/>
      <c r="C27" s="18"/>
    </row>
    <row r="28" spans="2:3" x14ac:dyDescent="0.25">
      <c r="B28" s="12"/>
      <c r="C28" s="18"/>
    </row>
    <row r="29" spans="2:3" x14ac:dyDescent="0.25">
      <c r="B29" s="12"/>
      <c r="C29" s="18"/>
    </row>
    <row r="30" spans="2:3" x14ac:dyDescent="0.25">
      <c r="B30" s="12"/>
      <c r="C30" s="18"/>
    </row>
    <row r="31" spans="2:3" x14ac:dyDescent="0.25">
      <c r="B31" s="12"/>
      <c r="C31" s="18"/>
    </row>
    <row r="32" spans="2:3" x14ac:dyDescent="0.25">
      <c r="B32" s="12"/>
      <c r="C32" s="18"/>
    </row>
    <row r="33" spans="2:3" x14ac:dyDescent="0.25">
      <c r="B33" s="12"/>
      <c r="C33" s="18"/>
    </row>
    <row r="34" spans="2:3" x14ac:dyDescent="0.25">
      <c r="B34" s="12"/>
      <c r="C34" s="18"/>
    </row>
    <row r="35" spans="2:3" x14ac:dyDescent="0.25">
      <c r="B35" s="12"/>
      <c r="C35" s="18"/>
    </row>
    <row r="36" spans="2:3" x14ac:dyDescent="0.25">
      <c r="B36" s="12"/>
      <c r="C36" s="18"/>
    </row>
    <row r="37" spans="2:3" x14ac:dyDescent="0.25">
      <c r="B37" s="12"/>
      <c r="C37" s="18"/>
    </row>
    <row r="38" spans="2:3" x14ac:dyDescent="0.25">
      <c r="B38" s="12"/>
      <c r="C38" s="18"/>
    </row>
    <row r="39" spans="2:3" x14ac:dyDescent="0.25">
      <c r="B39" s="12"/>
      <c r="C39" s="18"/>
    </row>
    <row r="40" spans="2:3" x14ac:dyDescent="0.25">
      <c r="B40" s="12"/>
      <c r="C40" s="18"/>
    </row>
    <row r="41" spans="2:3" x14ac:dyDescent="0.25">
      <c r="B41" s="12"/>
      <c r="C41" s="18"/>
    </row>
    <row r="42" spans="2:3" x14ac:dyDescent="0.25">
      <c r="B42" s="12"/>
      <c r="C42" s="18"/>
    </row>
    <row r="43" spans="2:3" x14ac:dyDescent="0.25">
      <c r="B43" s="12"/>
      <c r="C43" s="18"/>
    </row>
    <row r="44" spans="2:3" x14ac:dyDescent="0.25">
      <c r="B44" s="12"/>
      <c r="C44" s="18"/>
    </row>
    <row r="45" spans="2:3" x14ac:dyDescent="0.25">
      <c r="B45" s="12"/>
      <c r="C45" s="18"/>
    </row>
    <row r="46" spans="2:3" x14ac:dyDescent="0.25">
      <c r="B46" s="12"/>
      <c r="C46" s="18"/>
    </row>
    <row r="47" spans="2:3" x14ac:dyDescent="0.25">
      <c r="B47" s="12"/>
      <c r="C47" s="18"/>
    </row>
    <row r="48" spans="2:3" x14ac:dyDescent="0.25">
      <c r="B48" s="12"/>
      <c r="C48" s="18"/>
    </row>
    <row r="49" spans="2:3" x14ac:dyDescent="0.25">
      <c r="B49" s="12"/>
      <c r="C49" s="18"/>
    </row>
    <row r="50" spans="2:3" x14ac:dyDescent="0.25">
      <c r="B50" s="12"/>
      <c r="C50" s="18"/>
    </row>
    <row r="51" spans="2:3" x14ac:dyDescent="0.25">
      <c r="B51" s="12"/>
      <c r="C51" s="18"/>
    </row>
    <row r="52" spans="2:3" x14ac:dyDescent="0.25">
      <c r="B52" s="12"/>
      <c r="C52" s="18"/>
    </row>
    <row r="53" spans="2:3" x14ac:dyDescent="0.25">
      <c r="B53" s="12"/>
      <c r="C53" s="18"/>
    </row>
    <row r="54" spans="2:3" x14ac:dyDescent="0.25">
      <c r="B54" s="12"/>
      <c r="C54" s="18"/>
    </row>
    <row r="55" spans="2:3" x14ac:dyDescent="0.25">
      <c r="B55" s="12"/>
      <c r="C55" s="18"/>
    </row>
    <row r="56" spans="2:3" x14ac:dyDescent="0.25">
      <c r="B56" s="12"/>
      <c r="C56" s="18"/>
    </row>
    <row r="57" spans="2:3" x14ac:dyDescent="0.25">
      <c r="B57" s="12"/>
      <c r="C57" s="18"/>
    </row>
    <row r="58" spans="2:3" x14ac:dyDescent="0.25">
      <c r="B58" s="12"/>
      <c r="C58" s="18"/>
    </row>
    <row r="59" spans="2:3" x14ac:dyDescent="0.25">
      <c r="B59" s="12"/>
      <c r="C59" s="18"/>
    </row>
    <row r="60" spans="2:3" x14ac:dyDescent="0.25">
      <c r="B60" s="12"/>
      <c r="C60" s="18"/>
    </row>
    <row r="61" spans="2:3" x14ac:dyDescent="0.25">
      <c r="B61" s="12"/>
      <c r="C61" s="18"/>
    </row>
    <row r="62" spans="2:3" x14ac:dyDescent="0.25">
      <c r="B62" s="12"/>
      <c r="C62" s="18"/>
    </row>
    <row r="63" spans="2:3" x14ac:dyDescent="0.25">
      <c r="B63" s="12"/>
      <c r="C63" s="18"/>
    </row>
    <row r="64" spans="2:3" x14ac:dyDescent="0.25">
      <c r="B64" s="12"/>
      <c r="C64" s="18"/>
    </row>
    <row r="65" spans="2:3" x14ac:dyDescent="0.25">
      <c r="B65" s="12"/>
      <c r="C65" s="18"/>
    </row>
    <row r="66" spans="2:3" x14ac:dyDescent="0.25">
      <c r="B66" s="12"/>
      <c r="C66" s="18"/>
    </row>
    <row r="67" spans="2:3" x14ac:dyDescent="0.25">
      <c r="B67" s="12"/>
      <c r="C67" s="18"/>
    </row>
    <row r="68" spans="2:3" x14ac:dyDescent="0.25">
      <c r="B68" s="12"/>
      <c r="C68" s="18"/>
    </row>
    <row r="69" spans="2:3" x14ac:dyDescent="0.25">
      <c r="B69" s="12"/>
      <c r="C69" s="18"/>
    </row>
    <row r="70" spans="2:3" x14ac:dyDescent="0.25">
      <c r="B70" s="12"/>
      <c r="C70" s="18"/>
    </row>
    <row r="71" spans="2:3" x14ac:dyDescent="0.25">
      <c r="B71" s="12"/>
      <c r="C71" s="18"/>
    </row>
    <row r="72" spans="2:3" x14ac:dyDescent="0.25">
      <c r="B72" s="12"/>
      <c r="C72" s="18"/>
    </row>
    <row r="73" spans="2:3" x14ac:dyDescent="0.25">
      <c r="B73" s="12"/>
      <c r="C73" s="18"/>
    </row>
    <row r="74" spans="2:3" x14ac:dyDescent="0.25">
      <c r="B74" s="12"/>
      <c r="C74" s="18"/>
    </row>
    <row r="75" spans="2:3" x14ac:dyDescent="0.25">
      <c r="B75" s="12"/>
      <c r="C75" s="18"/>
    </row>
    <row r="76" spans="2:3" x14ac:dyDescent="0.25">
      <c r="B76" s="12"/>
      <c r="C76" s="18"/>
    </row>
    <row r="77" spans="2:3" x14ac:dyDescent="0.25">
      <c r="B77" s="12"/>
      <c r="C77" s="18"/>
    </row>
    <row r="78" spans="2:3" x14ac:dyDescent="0.25">
      <c r="B78" s="12"/>
      <c r="C78" s="18"/>
    </row>
    <row r="79" spans="2:3" x14ac:dyDescent="0.25">
      <c r="B79" s="12"/>
      <c r="C79" s="18"/>
    </row>
    <row r="80" spans="2:3" x14ac:dyDescent="0.25">
      <c r="B80" s="12"/>
      <c r="C80" s="18"/>
    </row>
    <row r="81" spans="2:3" x14ac:dyDescent="0.25">
      <c r="B81" s="12"/>
      <c r="C81" s="18"/>
    </row>
    <row r="82" spans="2:3" x14ac:dyDescent="0.25">
      <c r="B82" s="12"/>
      <c r="C82" s="18"/>
    </row>
    <row r="83" spans="2:3" x14ac:dyDescent="0.25">
      <c r="B83" s="12"/>
      <c r="C83" s="18"/>
    </row>
    <row r="84" spans="2:3" x14ac:dyDescent="0.25">
      <c r="B84" s="12"/>
      <c r="C84" s="18"/>
    </row>
    <row r="85" spans="2:3" x14ac:dyDescent="0.25">
      <c r="B85" s="12"/>
      <c r="C85" s="18"/>
    </row>
    <row r="86" spans="2:3" x14ac:dyDescent="0.25">
      <c r="B86" s="12"/>
      <c r="C86" s="18"/>
    </row>
    <row r="87" spans="2:3" x14ac:dyDescent="0.25">
      <c r="B87" s="12"/>
      <c r="C87" s="18"/>
    </row>
    <row r="88" spans="2:3" x14ac:dyDescent="0.25">
      <c r="B88" s="12"/>
      <c r="C88" s="18"/>
    </row>
    <row r="89" spans="2:3" x14ac:dyDescent="0.25">
      <c r="B89" s="12"/>
      <c r="C89" s="18"/>
    </row>
    <row r="90" spans="2:3" x14ac:dyDescent="0.25">
      <c r="B90" s="12"/>
      <c r="C90" s="18"/>
    </row>
    <row r="91" spans="2:3" x14ac:dyDescent="0.25">
      <c r="B91" s="12"/>
      <c r="C91" s="18"/>
    </row>
    <row r="92" spans="2:3" x14ac:dyDescent="0.25">
      <c r="B92" s="12"/>
      <c r="C92" s="18"/>
    </row>
    <row r="93" spans="2:3" x14ac:dyDescent="0.25">
      <c r="B93" s="12"/>
      <c r="C93" s="18"/>
    </row>
    <row r="94" spans="2:3" x14ac:dyDescent="0.25">
      <c r="B94" s="12"/>
      <c r="C94" s="18"/>
    </row>
    <row r="95" spans="2:3" x14ac:dyDescent="0.25">
      <c r="B95" s="12"/>
      <c r="C95" s="18"/>
    </row>
    <row r="96" spans="2:3" x14ac:dyDescent="0.25">
      <c r="B96" s="12"/>
      <c r="C96" s="18"/>
    </row>
    <row r="97" spans="2:3" x14ac:dyDescent="0.25">
      <c r="B97" s="12"/>
      <c r="C97" s="18"/>
    </row>
    <row r="98" spans="2:3" x14ac:dyDescent="0.25">
      <c r="B98" s="12"/>
      <c r="C98" s="18"/>
    </row>
    <row r="99" spans="2:3" x14ac:dyDescent="0.25">
      <c r="B99" s="12"/>
      <c r="C99" s="18"/>
    </row>
    <row r="100" spans="2:3" x14ac:dyDescent="0.25">
      <c r="B100" s="12"/>
      <c r="C100" s="18"/>
    </row>
    <row r="101" spans="2:3" x14ac:dyDescent="0.25">
      <c r="B101" s="12"/>
      <c r="C101" s="18"/>
    </row>
    <row r="102" spans="2:3" x14ac:dyDescent="0.25">
      <c r="B102" s="12"/>
      <c r="C102" s="18"/>
    </row>
    <row r="103" spans="2:3" x14ac:dyDescent="0.25">
      <c r="B103" s="12"/>
      <c r="C103" s="18"/>
    </row>
    <row r="104" spans="2:3" x14ac:dyDescent="0.25">
      <c r="B104" s="12"/>
      <c r="C104" s="18"/>
    </row>
    <row r="105" spans="2:3" x14ac:dyDescent="0.25">
      <c r="B105" s="12"/>
      <c r="C105" s="18"/>
    </row>
    <row r="106" spans="2:3" x14ac:dyDescent="0.25">
      <c r="B106" s="12"/>
      <c r="C106" s="18"/>
    </row>
    <row r="107" spans="2:3" x14ac:dyDescent="0.25">
      <c r="B107" s="12"/>
      <c r="C107" s="18"/>
    </row>
    <row r="108" spans="2:3" x14ac:dyDescent="0.25">
      <c r="B108" s="12"/>
      <c r="C108" s="18"/>
    </row>
    <row r="109" spans="2:3" x14ac:dyDescent="0.25">
      <c r="B109" s="12"/>
      <c r="C109" s="18"/>
    </row>
    <row r="110" spans="2:3" x14ac:dyDescent="0.25">
      <c r="B110" s="12"/>
      <c r="C110" s="18"/>
    </row>
    <row r="111" spans="2:3" x14ac:dyDescent="0.25">
      <c r="B111" s="12"/>
      <c r="C111" s="18"/>
    </row>
    <row r="112" spans="2:3" x14ac:dyDescent="0.25">
      <c r="B112" s="12"/>
      <c r="C112" s="18"/>
    </row>
    <row r="113" spans="2:3" x14ac:dyDescent="0.25">
      <c r="B113" s="12"/>
      <c r="C113" s="18"/>
    </row>
    <row r="114" spans="2:3" x14ac:dyDescent="0.25">
      <c r="B114" s="12"/>
      <c r="C114" s="18"/>
    </row>
    <row r="115" spans="2:3" x14ac:dyDescent="0.25">
      <c r="B115" s="12"/>
      <c r="C115" s="18"/>
    </row>
    <row r="116" spans="2:3" x14ac:dyDescent="0.25">
      <c r="B116" s="12"/>
      <c r="C116" s="18"/>
    </row>
    <row r="117" spans="2:3" x14ac:dyDescent="0.25">
      <c r="B117" s="12"/>
      <c r="C117" s="18"/>
    </row>
    <row r="118" spans="2:3" x14ac:dyDescent="0.25">
      <c r="B118" s="12"/>
      <c r="C118" s="18"/>
    </row>
    <row r="119" spans="2:3" x14ac:dyDescent="0.25">
      <c r="B119" s="12"/>
      <c r="C119" s="18"/>
    </row>
    <row r="120" spans="2:3" x14ac:dyDescent="0.25">
      <c r="B120" s="12"/>
      <c r="C120" s="18"/>
    </row>
    <row r="121" spans="2:3" x14ac:dyDescent="0.25">
      <c r="B121" s="12"/>
      <c r="C121" s="18"/>
    </row>
    <row r="122" spans="2:3" x14ac:dyDescent="0.25">
      <c r="B122" s="12"/>
      <c r="C122" s="18"/>
    </row>
    <row r="123" spans="2:3" x14ac:dyDescent="0.25">
      <c r="B123" s="12"/>
      <c r="C123" s="18"/>
    </row>
    <row r="124" spans="2:3" x14ac:dyDescent="0.25">
      <c r="B124" s="12"/>
      <c r="C124" s="18"/>
    </row>
    <row r="125" spans="2:3" x14ac:dyDescent="0.25">
      <c r="B125" s="12"/>
      <c r="C125" s="18"/>
    </row>
    <row r="126" spans="2:3" x14ac:dyDescent="0.25">
      <c r="B126" s="12"/>
      <c r="C126" s="18"/>
    </row>
    <row r="127" spans="2:3" x14ac:dyDescent="0.25">
      <c r="B127" s="12"/>
      <c r="C127" s="18"/>
    </row>
    <row r="128" spans="2:3" x14ac:dyDescent="0.25">
      <c r="B128" s="12"/>
      <c r="C128" s="18"/>
    </row>
    <row r="129" spans="2:3" x14ac:dyDescent="0.25">
      <c r="B129" s="12"/>
      <c r="C129" s="18"/>
    </row>
    <row r="130" spans="2:3" x14ac:dyDescent="0.25">
      <c r="B130" s="12"/>
      <c r="C130" s="18"/>
    </row>
    <row r="131" spans="2:3" x14ac:dyDescent="0.25">
      <c r="B131" s="12"/>
      <c r="C131" s="18"/>
    </row>
    <row r="132" spans="2:3" x14ac:dyDescent="0.25">
      <c r="B132" s="12"/>
      <c r="C132" s="18"/>
    </row>
    <row r="133" spans="2:3" x14ac:dyDescent="0.25">
      <c r="B133" s="12"/>
      <c r="C133" s="18"/>
    </row>
    <row r="134" spans="2:3" x14ac:dyDescent="0.25">
      <c r="B134" s="12"/>
      <c r="C134" s="18"/>
    </row>
    <row r="135" spans="2:3" x14ac:dyDescent="0.25">
      <c r="B135" s="12"/>
      <c r="C135" s="18"/>
    </row>
    <row r="136" spans="2:3" x14ac:dyDescent="0.25">
      <c r="B136" s="12"/>
      <c r="C136" s="18"/>
    </row>
    <row r="137" spans="2:3" x14ac:dyDescent="0.25">
      <c r="B137" s="12"/>
      <c r="C137" s="18"/>
    </row>
    <row r="138" spans="2:3" x14ac:dyDescent="0.25">
      <c r="B138" s="12"/>
      <c r="C138" s="18"/>
    </row>
    <row r="139" spans="2:3" x14ac:dyDescent="0.25">
      <c r="B139" s="12"/>
      <c r="C139" s="18"/>
    </row>
    <row r="140" spans="2:3" x14ac:dyDescent="0.25">
      <c r="B140" s="12"/>
      <c r="C140" s="18"/>
    </row>
    <row r="141" spans="2:3" x14ac:dyDescent="0.25">
      <c r="B141" s="12"/>
      <c r="C141" s="18"/>
    </row>
    <row r="142" spans="2:3" x14ac:dyDescent="0.25">
      <c r="B142" s="12"/>
      <c r="C142" s="18"/>
    </row>
    <row r="143" spans="2:3" x14ac:dyDescent="0.25">
      <c r="B143" s="12"/>
      <c r="C143" s="18"/>
    </row>
    <row r="144" spans="2:3" x14ac:dyDescent="0.25">
      <c r="B144" s="12"/>
      <c r="C144" s="18"/>
    </row>
    <row r="145" spans="2:3" x14ac:dyDescent="0.25">
      <c r="B145" s="12"/>
      <c r="C145" s="18"/>
    </row>
    <row r="146" spans="2:3" x14ac:dyDescent="0.25">
      <c r="B146" s="12"/>
      <c r="C146" s="18"/>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68"/>
  <sheetViews>
    <sheetView workbookViewId="0">
      <selection activeCell="E60" sqref="E60"/>
    </sheetView>
  </sheetViews>
  <sheetFormatPr defaultRowHeight="15" x14ac:dyDescent="0.25"/>
  <cols>
    <col min="1" max="1" width="5.5703125" customWidth="1"/>
    <col min="2" max="2" width="12.85546875"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31</v>
      </c>
      <c r="B1" s="1" t="s">
        <v>44</v>
      </c>
      <c r="C1" s="1" t="s">
        <v>0</v>
      </c>
      <c r="D1" s="1" t="s">
        <v>85</v>
      </c>
      <c r="H1" s="142" t="s">
        <v>86</v>
      </c>
      <c r="I1" s="143"/>
      <c r="J1" s="143"/>
      <c r="K1" s="143"/>
      <c r="L1" s="143"/>
      <c r="M1" s="144"/>
    </row>
    <row r="2" spans="1:13" ht="15.75" thickBot="1" x14ac:dyDescent="0.3">
      <c r="D2" t="e">
        <f>C2/C3-1</f>
        <v>#DIV/0!</v>
      </c>
      <c r="H2" s="55"/>
      <c r="I2" s="56"/>
      <c r="J2" s="56"/>
      <c r="K2" s="56"/>
      <c r="L2" s="56"/>
      <c r="M2" s="57"/>
    </row>
    <row r="3" spans="1:13" ht="15.75" thickBot="1" x14ac:dyDescent="0.3">
      <c r="D3" t="e">
        <f t="shared" ref="D3:D66" si="0">C3/C4-1</f>
        <v>#DIV/0!</v>
      </c>
      <c r="H3" s="58" t="s">
        <v>87</v>
      </c>
      <c r="I3" s="59" t="s">
        <v>88</v>
      </c>
      <c r="J3" s="60" t="s">
        <v>89</v>
      </c>
      <c r="K3" s="61" t="s">
        <v>90</v>
      </c>
      <c r="L3" s="61" t="s">
        <v>91</v>
      </c>
      <c r="M3" s="62" t="s">
        <v>92</v>
      </c>
    </row>
    <row r="4" spans="1:13" x14ac:dyDescent="0.25">
      <c r="D4" t="e">
        <f t="shared" si="0"/>
        <v>#DIV/0!</v>
      </c>
      <c r="H4" s="63" t="e">
        <f>$I$19-3*$I$23</f>
        <v>#DIV/0!</v>
      </c>
      <c r="I4" s="64" t="e">
        <f>H4</f>
        <v>#DIV/0!</v>
      </c>
      <c r="J4" s="65">
        <f>COUNTIF(D:D,"&lt;="&amp;H4)</f>
        <v>67</v>
      </c>
      <c r="K4" s="65" t="e">
        <f>"Less than "&amp;TEXT(H4,"0,00%")</f>
        <v>#DIV/0!</v>
      </c>
      <c r="L4" s="66" t="e">
        <f>J4/$I$31</f>
        <v>#DIV/0!</v>
      </c>
      <c r="M4" s="67" t="e">
        <f>L4</f>
        <v>#DIV/0!</v>
      </c>
    </row>
    <row r="5" spans="1:13" x14ac:dyDescent="0.25">
      <c r="D5" t="e">
        <f t="shared" si="0"/>
        <v>#DIV/0!</v>
      </c>
      <c r="H5" s="68" t="e">
        <f>$I$19-2.4*$I$23</f>
        <v>#DIV/0!</v>
      </c>
      <c r="I5" s="69" t="e">
        <f>H5</f>
        <v>#DIV/0!</v>
      </c>
      <c r="J5" s="70">
        <f>COUNTIFS(D:D,"&lt;="&amp;H5,D:D,"&gt;"&amp;H4)</f>
        <v>67</v>
      </c>
      <c r="K5" s="71" t="e">
        <f t="shared" ref="K5:K14" si="1">TEXT(H4,"0,00%")&amp;" to "&amp;TEXT(H5,"0,00%")</f>
        <v>#DIV/0!</v>
      </c>
      <c r="L5" s="72" t="e">
        <f>J5/$I$31</f>
        <v>#DIV/0!</v>
      </c>
      <c r="M5" s="73" t="e">
        <f>M4+L5</f>
        <v>#DIV/0!</v>
      </c>
    </row>
    <row r="6" spans="1:13" x14ac:dyDescent="0.25">
      <c r="D6" t="e">
        <f t="shared" si="0"/>
        <v>#DIV/0!</v>
      </c>
      <c r="H6" s="68" t="e">
        <f>$I$19-1.8*$I$23</f>
        <v>#DIV/0!</v>
      </c>
      <c r="I6" s="69" t="e">
        <f t="shared" ref="I6:I14" si="2">H6</f>
        <v>#DIV/0!</v>
      </c>
      <c r="J6" s="70">
        <f t="shared" ref="J6:J14" si="3">COUNTIFS(D:D,"&lt;="&amp;H6,D:D,"&gt;"&amp;H5)</f>
        <v>67</v>
      </c>
      <c r="K6" s="71" t="e">
        <f t="shared" si="1"/>
        <v>#DIV/0!</v>
      </c>
      <c r="L6" s="72" t="e">
        <f t="shared" ref="L6:L15" si="4">J6/$I$31</f>
        <v>#DIV/0!</v>
      </c>
      <c r="M6" s="73" t="e">
        <f t="shared" ref="M6:M15" si="5">M5+L6</f>
        <v>#DIV/0!</v>
      </c>
    </row>
    <row r="7" spans="1:13" x14ac:dyDescent="0.25">
      <c r="D7" t="e">
        <f t="shared" si="0"/>
        <v>#DIV/0!</v>
      </c>
      <c r="H7" s="68" t="e">
        <f>$I$19-1.2*$I$23</f>
        <v>#DIV/0!</v>
      </c>
      <c r="I7" s="69" t="e">
        <f t="shared" si="2"/>
        <v>#DIV/0!</v>
      </c>
      <c r="J7" s="70">
        <f t="shared" si="3"/>
        <v>67</v>
      </c>
      <c r="K7" s="71" t="e">
        <f t="shared" si="1"/>
        <v>#DIV/0!</v>
      </c>
      <c r="L7" s="72" t="e">
        <f t="shared" si="4"/>
        <v>#DIV/0!</v>
      </c>
      <c r="M7" s="73" t="e">
        <f t="shared" si="5"/>
        <v>#DIV/0!</v>
      </c>
    </row>
    <row r="8" spans="1:13" x14ac:dyDescent="0.25">
      <c r="D8" t="e">
        <f t="shared" si="0"/>
        <v>#DIV/0!</v>
      </c>
      <c r="H8" s="68" t="e">
        <f>$I$19-0.6*$I$23</f>
        <v>#DIV/0!</v>
      </c>
      <c r="I8" s="69" t="e">
        <f t="shared" si="2"/>
        <v>#DIV/0!</v>
      </c>
      <c r="J8" s="70">
        <f t="shared" si="3"/>
        <v>67</v>
      </c>
      <c r="K8" s="71" t="e">
        <f t="shared" si="1"/>
        <v>#DIV/0!</v>
      </c>
      <c r="L8" s="72" t="e">
        <f t="shared" si="4"/>
        <v>#DIV/0!</v>
      </c>
      <c r="M8" s="73" t="e">
        <f t="shared" si="5"/>
        <v>#DIV/0!</v>
      </c>
    </row>
    <row r="9" spans="1:13" x14ac:dyDescent="0.25">
      <c r="D9" t="e">
        <f t="shared" si="0"/>
        <v>#DIV/0!</v>
      </c>
      <c r="H9" s="68" t="e">
        <f>$I$19</f>
        <v>#DIV/0!</v>
      </c>
      <c r="I9" s="69" t="e">
        <f t="shared" si="2"/>
        <v>#DIV/0!</v>
      </c>
      <c r="J9" s="70">
        <f t="shared" si="3"/>
        <v>67</v>
      </c>
      <c r="K9" s="71" t="e">
        <f t="shared" si="1"/>
        <v>#DIV/0!</v>
      </c>
      <c r="L9" s="72" t="e">
        <f t="shared" si="4"/>
        <v>#DIV/0!</v>
      </c>
      <c r="M9" s="73" t="e">
        <f t="shared" si="5"/>
        <v>#DIV/0!</v>
      </c>
    </row>
    <row r="10" spans="1:13" x14ac:dyDescent="0.25">
      <c r="D10" t="e">
        <f t="shared" si="0"/>
        <v>#DIV/0!</v>
      </c>
      <c r="H10" s="68" t="e">
        <f>$I$19+0.6*$I$23</f>
        <v>#DIV/0!</v>
      </c>
      <c r="I10" s="69" t="e">
        <f t="shared" si="2"/>
        <v>#DIV/0!</v>
      </c>
      <c r="J10" s="70">
        <f t="shared" si="3"/>
        <v>67</v>
      </c>
      <c r="K10" s="71" t="e">
        <f t="shared" si="1"/>
        <v>#DIV/0!</v>
      </c>
      <c r="L10" s="72" t="e">
        <f t="shared" si="4"/>
        <v>#DIV/0!</v>
      </c>
      <c r="M10" s="73" t="e">
        <f t="shared" si="5"/>
        <v>#DIV/0!</v>
      </c>
    </row>
    <row r="11" spans="1:13" x14ac:dyDescent="0.25">
      <c r="D11" t="e">
        <f t="shared" si="0"/>
        <v>#DIV/0!</v>
      </c>
      <c r="H11" s="68" t="e">
        <f>$I$19+1.2*$I$23</f>
        <v>#DIV/0!</v>
      </c>
      <c r="I11" s="69" t="e">
        <f t="shared" si="2"/>
        <v>#DIV/0!</v>
      </c>
      <c r="J11" s="70">
        <f t="shared" si="3"/>
        <v>67</v>
      </c>
      <c r="K11" s="71" t="e">
        <f t="shared" si="1"/>
        <v>#DIV/0!</v>
      </c>
      <c r="L11" s="72" t="e">
        <f t="shared" si="4"/>
        <v>#DIV/0!</v>
      </c>
      <c r="M11" s="73" t="e">
        <f t="shared" si="5"/>
        <v>#DIV/0!</v>
      </c>
    </row>
    <row r="12" spans="1:13" x14ac:dyDescent="0.25">
      <c r="D12" t="e">
        <f t="shared" si="0"/>
        <v>#DIV/0!</v>
      </c>
      <c r="H12" s="68" t="e">
        <f>$I$19+1.8*$I$23</f>
        <v>#DIV/0!</v>
      </c>
      <c r="I12" s="69" t="e">
        <f t="shared" si="2"/>
        <v>#DIV/0!</v>
      </c>
      <c r="J12" s="70">
        <f t="shared" si="3"/>
        <v>67</v>
      </c>
      <c r="K12" s="71" t="e">
        <f t="shared" si="1"/>
        <v>#DIV/0!</v>
      </c>
      <c r="L12" s="72" t="e">
        <f t="shared" si="4"/>
        <v>#DIV/0!</v>
      </c>
      <c r="M12" s="73" t="e">
        <f t="shared" si="5"/>
        <v>#DIV/0!</v>
      </c>
    </row>
    <row r="13" spans="1:13" x14ac:dyDescent="0.25">
      <c r="D13" t="e">
        <f t="shared" si="0"/>
        <v>#DIV/0!</v>
      </c>
      <c r="H13" s="68" t="e">
        <f>$I$19+2.4*$I$23</f>
        <v>#DIV/0!</v>
      </c>
      <c r="I13" s="69" t="e">
        <f t="shared" si="2"/>
        <v>#DIV/0!</v>
      </c>
      <c r="J13" s="70">
        <f t="shared" si="3"/>
        <v>67</v>
      </c>
      <c r="K13" s="71" t="e">
        <f t="shared" si="1"/>
        <v>#DIV/0!</v>
      </c>
      <c r="L13" s="72" t="e">
        <f t="shared" si="4"/>
        <v>#DIV/0!</v>
      </c>
      <c r="M13" s="73" t="e">
        <f t="shared" si="5"/>
        <v>#DIV/0!</v>
      </c>
    </row>
    <row r="14" spans="1:13" x14ac:dyDescent="0.25">
      <c r="D14" t="e">
        <f t="shared" si="0"/>
        <v>#DIV/0!</v>
      </c>
      <c r="H14" s="68" t="e">
        <f>$I$19+3*$I$23</f>
        <v>#DIV/0!</v>
      </c>
      <c r="I14" s="69" t="e">
        <f t="shared" si="2"/>
        <v>#DIV/0!</v>
      </c>
      <c r="J14" s="70">
        <f t="shared" si="3"/>
        <v>67</v>
      </c>
      <c r="K14" s="71" t="e">
        <f t="shared" si="1"/>
        <v>#DIV/0!</v>
      </c>
      <c r="L14" s="72" t="e">
        <f t="shared" si="4"/>
        <v>#DIV/0!</v>
      </c>
      <c r="M14" s="73" t="e">
        <f t="shared" si="5"/>
        <v>#DIV/0!</v>
      </c>
    </row>
    <row r="15" spans="1:13" ht="15.75" thickBot="1" x14ac:dyDescent="0.3">
      <c r="D15" t="e">
        <f t="shared" si="0"/>
        <v>#DIV/0!</v>
      </c>
      <c r="H15" s="74"/>
      <c r="I15" s="75" t="s">
        <v>93</v>
      </c>
      <c r="J15" s="75">
        <f>COUNTIF(D:D,"&gt;"&amp;H14)</f>
        <v>67</v>
      </c>
      <c r="K15" s="75" t="e">
        <f>"Greater than "&amp;TEXT(H14,"0,00%")</f>
        <v>#DIV/0!</v>
      </c>
      <c r="L15" s="76" t="e">
        <f t="shared" si="4"/>
        <v>#DIV/0!</v>
      </c>
      <c r="M15" s="76" t="e">
        <f t="shared" si="5"/>
        <v>#DIV/0!</v>
      </c>
    </row>
    <row r="16" spans="1:13" ht="15.75" thickBot="1" x14ac:dyDescent="0.3">
      <c r="D16" t="e">
        <f t="shared" si="0"/>
        <v>#DIV/0!</v>
      </c>
      <c r="H16" s="77"/>
      <c r="M16" s="78"/>
    </row>
    <row r="17" spans="4:13" x14ac:dyDescent="0.25">
      <c r="D17" t="e">
        <f t="shared" si="0"/>
        <v>#DIV/0!</v>
      </c>
      <c r="H17" s="145" t="s">
        <v>124</v>
      </c>
      <c r="I17" s="146"/>
      <c r="M17" s="78"/>
    </row>
    <row r="18" spans="4:13" x14ac:dyDescent="0.25">
      <c r="D18" t="e">
        <f t="shared" si="0"/>
        <v>#DIV/0!</v>
      </c>
      <c r="H18" s="147"/>
      <c r="I18" s="148"/>
      <c r="M18" s="78"/>
    </row>
    <row r="19" spans="4:13" x14ac:dyDescent="0.25">
      <c r="D19" t="e">
        <f t="shared" si="0"/>
        <v>#DIV/0!</v>
      </c>
      <c r="H19" s="79" t="s">
        <v>94</v>
      </c>
      <c r="I19" s="115" t="e">
        <f>AVERAGE(D:D)</f>
        <v>#DIV/0!</v>
      </c>
      <c r="M19" s="78"/>
    </row>
    <row r="20" spans="4:13" x14ac:dyDescent="0.25">
      <c r="D20" t="e">
        <f t="shared" si="0"/>
        <v>#DIV/0!</v>
      </c>
      <c r="H20" s="79" t="s">
        <v>95</v>
      </c>
      <c r="I20" s="115" t="e">
        <f>_xlfn.STDEV.S(D:D)/SQRT(COUNT(D:D))</f>
        <v>#DIV/0!</v>
      </c>
      <c r="M20" s="78"/>
    </row>
    <row r="21" spans="4:13" x14ac:dyDescent="0.25">
      <c r="D21" t="e">
        <f t="shared" si="0"/>
        <v>#DIV/0!</v>
      </c>
      <c r="H21" s="79" t="s">
        <v>96</v>
      </c>
      <c r="I21" s="115" t="e">
        <f>MEDIAN(D:D)</f>
        <v>#DIV/0!</v>
      </c>
      <c r="M21" s="78"/>
    </row>
    <row r="22" spans="4:13" x14ac:dyDescent="0.25">
      <c r="D22" t="e">
        <f t="shared" si="0"/>
        <v>#DIV/0!</v>
      </c>
      <c r="H22" s="79" t="s">
        <v>97</v>
      </c>
      <c r="I22" s="115" t="e">
        <f>MODE(D:D)</f>
        <v>#DIV/0!</v>
      </c>
      <c r="M22" s="78"/>
    </row>
    <row r="23" spans="4:13" x14ac:dyDescent="0.25">
      <c r="D23" t="e">
        <f t="shared" si="0"/>
        <v>#DIV/0!</v>
      </c>
      <c r="H23" s="79" t="s">
        <v>98</v>
      </c>
      <c r="I23" s="115" t="e">
        <f>_xlfn.STDEV.S(D:D)</f>
        <v>#DIV/0!</v>
      </c>
      <c r="M23" s="78"/>
    </row>
    <row r="24" spans="4:13" x14ac:dyDescent="0.25">
      <c r="D24" t="e">
        <f t="shared" si="0"/>
        <v>#DIV/0!</v>
      </c>
      <c r="H24" s="79" t="s">
        <v>99</v>
      </c>
      <c r="I24" s="115" t="e">
        <f>_xlfn.VAR.S(D:D)</f>
        <v>#DIV/0!</v>
      </c>
      <c r="M24" s="78"/>
    </row>
    <row r="25" spans="4:13" x14ac:dyDescent="0.25">
      <c r="D25" t="e">
        <f t="shared" si="0"/>
        <v>#DIV/0!</v>
      </c>
      <c r="H25" s="79" t="s">
        <v>100</v>
      </c>
      <c r="I25" s="116" t="e">
        <f>KURT(D:D)</f>
        <v>#DIV/0!</v>
      </c>
      <c r="M25" s="78"/>
    </row>
    <row r="26" spans="4:13" x14ac:dyDescent="0.25">
      <c r="D26" t="e">
        <f t="shared" si="0"/>
        <v>#DIV/0!</v>
      </c>
      <c r="H26" s="79" t="s">
        <v>101</v>
      </c>
      <c r="I26" s="116" t="e">
        <f>SKEW(D:D)</f>
        <v>#DIV/0!</v>
      </c>
      <c r="M26" s="78"/>
    </row>
    <row r="27" spans="4:13" x14ac:dyDescent="0.25">
      <c r="D27" t="e">
        <f t="shared" si="0"/>
        <v>#DIV/0!</v>
      </c>
      <c r="H27" s="79" t="s">
        <v>90</v>
      </c>
      <c r="I27" s="115" t="e">
        <f>I29-I28</f>
        <v>#DIV/0!</v>
      </c>
      <c r="M27" s="78"/>
    </row>
    <row r="28" spans="4:13" x14ac:dyDescent="0.25">
      <c r="D28" t="e">
        <f t="shared" si="0"/>
        <v>#DIV/0!</v>
      </c>
      <c r="H28" s="79" t="s">
        <v>102</v>
      </c>
      <c r="I28" s="115" t="e">
        <f>MIN(D:D)</f>
        <v>#DIV/0!</v>
      </c>
      <c r="M28" s="78"/>
    </row>
    <row r="29" spans="4:13" x14ac:dyDescent="0.25">
      <c r="D29" t="e">
        <f t="shared" si="0"/>
        <v>#DIV/0!</v>
      </c>
      <c r="H29" s="79" t="s">
        <v>103</v>
      </c>
      <c r="I29" s="115" t="e">
        <f>MAX(D:D)</f>
        <v>#DIV/0!</v>
      </c>
      <c r="M29" s="78"/>
    </row>
    <row r="30" spans="4:13" x14ac:dyDescent="0.25">
      <c r="D30" t="e">
        <f t="shared" si="0"/>
        <v>#DIV/0!</v>
      </c>
      <c r="H30" s="79" t="s">
        <v>104</v>
      </c>
      <c r="I30" s="116" t="e">
        <f>SUM(D:D)</f>
        <v>#DIV/0!</v>
      </c>
      <c r="M30" s="78"/>
    </row>
    <row r="31" spans="4:13" ht="15.75" thickBot="1" x14ac:dyDescent="0.3">
      <c r="D31" t="e">
        <f t="shared" si="0"/>
        <v>#DIV/0!</v>
      </c>
      <c r="H31" s="80" t="s">
        <v>105</v>
      </c>
      <c r="I31" s="57">
        <f>COUNT(D:D)</f>
        <v>0</v>
      </c>
      <c r="M31" s="78"/>
    </row>
    <row r="32" spans="4:13" ht="15.75" thickBot="1" x14ac:dyDescent="0.3">
      <c r="D32" t="e">
        <f t="shared" si="0"/>
        <v>#DIV/0!</v>
      </c>
      <c r="H32" s="82"/>
      <c r="M32" s="78"/>
    </row>
    <row r="33" spans="4:13" x14ac:dyDescent="0.25">
      <c r="D33" t="e">
        <f t="shared" si="0"/>
        <v>#DIV/0!</v>
      </c>
      <c r="H33" s="83"/>
      <c r="I33" s="84" t="s">
        <v>106</v>
      </c>
      <c r="J33" s="84" t="s">
        <v>105</v>
      </c>
      <c r="K33" s="84" t="s">
        <v>107</v>
      </c>
      <c r="L33" s="85" t="s">
        <v>108</v>
      </c>
      <c r="M33" s="78"/>
    </row>
    <row r="34" spans="4:13" x14ac:dyDescent="0.25">
      <c r="D34" t="e">
        <f t="shared" si="0"/>
        <v>#DIV/0!</v>
      </c>
      <c r="H34" s="86" t="s">
        <v>109</v>
      </c>
      <c r="I34" s="72" t="e">
        <f>AVERAGEIF(D:D,"&gt;0")</f>
        <v>#DIV/0!</v>
      </c>
      <c r="J34" s="70">
        <f>COUNTIF(D:D,"&gt;0")</f>
        <v>0</v>
      </c>
      <c r="K34" s="72" t="e">
        <f>J34/$I$31</f>
        <v>#DIV/0!</v>
      </c>
      <c r="L34" s="73" t="e">
        <f>K34*I34</f>
        <v>#DIV/0!</v>
      </c>
      <c r="M34" s="78"/>
    </row>
    <row r="35" spans="4:13" x14ac:dyDescent="0.25">
      <c r="D35" t="e">
        <f t="shared" si="0"/>
        <v>#DIV/0!</v>
      </c>
      <c r="H35" s="86" t="s">
        <v>110</v>
      </c>
      <c r="I35" s="72" t="e">
        <f>AVERAGEIF(D:D,"&lt;0")</f>
        <v>#DIV/0!</v>
      </c>
      <c r="J35" s="70">
        <f>COUNTIF(D:D,"&lt;0")</f>
        <v>0</v>
      </c>
      <c r="K35" s="72" t="e">
        <f>J35/$I$31</f>
        <v>#DIV/0!</v>
      </c>
      <c r="L35" s="73" t="e">
        <f t="shared" ref="L35:L36" si="6">K35*I35</f>
        <v>#DIV/0!</v>
      </c>
      <c r="M35" s="78"/>
    </row>
    <row r="36" spans="4:13" ht="15.75" thickBot="1" x14ac:dyDescent="0.3">
      <c r="D36" t="e">
        <f t="shared" si="0"/>
        <v>#DIV/0!</v>
      </c>
      <c r="H36" s="87" t="s">
        <v>111</v>
      </c>
      <c r="I36" s="75">
        <v>0</v>
      </c>
      <c r="J36" s="75">
        <f>COUNTIF(D:D,"0")</f>
        <v>0</v>
      </c>
      <c r="K36" s="88" t="e">
        <f>J36/$I$31</f>
        <v>#DIV/0!</v>
      </c>
      <c r="L36" s="76" t="e">
        <f t="shared" si="6"/>
        <v>#DIV/0!</v>
      </c>
      <c r="M36" s="78"/>
    </row>
    <row r="37" spans="4:13" ht="15.75" thickBot="1" x14ac:dyDescent="0.3">
      <c r="D37" t="e">
        <f t="shared" si="0"/>
        <v>#DIV/0!</v>
      </c>
      <c r="H37" s="82"/>
      <c r="I37" s="89"/>
      <c r="J37" s="89"/>
      <c r="K37" s="89"/>
      <c r="L37" s="89"/>
      <c r="M37" s="78"/>
    </row>
    <row r="38" spans="4:13" x14ac:dyDescent="0.25">
      <c r="D38" t="e">
        <f t="shared" si="0"/>
        <v>#DIV/0!</v>
      </c>
      <c r="H38" s="63" t="s">
        <v>112</v>
      </c>
      <c r="I38" s="84" t="s">
        <v>113</v>
      </c>
      <c r="J38" s="84" t="s">
        <v>114</v>
      </c>
      <c r="K38" s="84" t="s">
        <v>115</v>
      </c>
      <c r="L38" s="84" t="s">
        <v>116</v>
      </c>
      <c r="M38" s="85" t="s">
        <v>117</v>
      </c>
    </row>
    <row r="39" spans="4:13" x14ac:dyDescent="0.25">
      <c r="D39" t="e">
        <f t="shared" si="0"/>
        <v>#DIV/0!</v>
      </c>
      <c r="H39" s="90">
        <v>1</v>
      </c>
      <c r="I39" s="72" t="e">
        <f>$I$19+($H39*$I$23)</f>
        <v>#DIV/0!</v>
      </c>
      <c r="J39" s="72" t="e">
        <f>$I$19-($H39*$I$23)</f>
        <v>#DIV/0!</v>
      </c>
      <c r="K39" s="70">
        <f>COUNTIFS(D:D,"&lt;"&amp;I39,D:D,"&gt;"&amp;J39)</f>
        <v>67</v>
      </c>
      <c r="L39" s="72" t="e">
        <f>K39/$I$31</f>
        <v>#DIV/0!</v>
      </c>
      <c r="M39" s="73">
        <v>0.68269999999999997</v>
      </c>
    </row>
    <row r="40" spans="4:13" x14ac:dyDescent="0.25">
      <c r="D40" t="e">
        <f t="shared" si="0"/>
        <v>#DIV/0!</v>
      </c>
      <c r="H40" s="90">
        <v>2</v>
      </c>
      <c r="I40" s="72" t="e">
        <f>$I$19+($H40*$I$23)</f>
        <v>#DIV/0!</v>
      </c>
      <c r="J40" s="72" t="e">
        <f>$I$19-($H40*$I$23)</f>
        <v>#DIV/0!</v>
      </c>
      <c r="K40" s="70">
        <f>COUNTIFS(D:D,"&lt;"&amp;I40,D:D,"&gt;"&amp;J40)</f>
        <v>67</v>
      </c>
      <c r="L40" s="72" t="e">
        <f>K40/$I$31</f>
        <v>#DIV/0!</v>
      </c>
      <c r="M40" s="73">
        <v>0.95450000000000002</v>
      </c>
    </row>
    <row r="41" spans="4:13" x14ac:dyDescent="0.25">
      <c r="D41" t="e">
        <f t="shared" si="0"/>
        <v>#DIV/0!</v>
      </c>
      <c r="H41" s="90">
        <v>3</v>
      </c>
      <c r="I41" s="72" t="e">
        <f>$I$19+($H41*$I$23)</f>
        <v>#DIV/0!</v>
      </c>
      <c r="J41" s="72" t="e">
        <f>$I$19-($H41*$I$23)</f>
        <v>#DIV/0!</v>
      </c>
      <c r="K41" s="70">
        <f>COUNTIFS(D:D,"&lt;"&amp;I41,D:D,"&gt;"&amp;J41)</f>
        <v>67</v>
      </c>
      <c r="L41" s="72" t="e">
        <f>K41/$I$31</f>
        <v>#DIV/0!</v>
      </c>
      <c r="M41" s="91">
        <v>0.99729999999999996</v>
      </c>
    </row>
    <row r="42" spans="4:13" ht="15.75" thickBot="1" x14ac:dyDescent="0.3">
      <c r="D42" t="e">
        <f t="shared" si="0"/>
        <v>#DIV/0!</v>
      </c>
      <c r="H42" s="68"/>
      <c r="M42" s="91"/>
    </row>
    <row r="43" spans="4:13" ht="15.75" thickBot="1" x14ac:dyDescent="0.3">
      <c r="D43" t="e">
        <f t="shared" si="0"/>
        <v>#DIV/0!</v>
      </c>
      <c r="H43" s="149" t="s">
        <v>118</v>
      </c>
      <c r="I43" s="150"/>
      <c r="J43" s="150"/>
      <c r="K43" s="150"/>
      <c r="L43" s="150"/>
      <c r="M43" s="151"/>
    </row>
    <row r="44" spans="4:13" x14ac:dyDescent="0.25">
      <c r="D44" t="e">
        <f t="shared" si="0"/>
        <v>#DIV/0!</v>
      </c>
      <c r="H44" s="92">
        <v>0.01</v>
      </c>
      <c r="I44" s="93" t="e">
        <f t="shared" ref="I44:I58" si="7">_xlfn.PERCENTILE.INC(D:D,H44)</f>
        <v>#DIV/0!</v>
      </c>
      <c r="J44" s="94">
        <v>0.2</v>
      </c>
      <c r="K44" s="93" t="e">
        <f t="shared" ref="K44:K56" si="8">_xlfn.PERCENTILE.INC(D:D,J44)</f>
        <v>#DIV/0!</v>
      </c>
      <c r="L44" s="94">
        <v>0.85</v>
      </c>
      <c r="M44" s="95" t="e">
        <f t="shared" ref="M44:M58" si="9">_xlfn.PERCENTILE.INC(D:D,L44)</f>
        <v>#DIV/0!</v>
      </c>
    </row>
    <row r="45" spans="4:13" x14ac:dyDescent="0.25">
      <c r="D45" t="e">
        <f t="shared" si="0"/>
        <v>#DIV/0!</v>
      </c>
      <c r="H45" s="96">
        <v>0.02</v>
      </c>
      <c r="I45" s="97" t="e">
        <f t="shared" si="7"/>
        <v>#DIV/0!</v>
      </c>
      <c r="J45" s="98">
        <v>0.25</v>
      </c>
      <c r="K45" s="97" t="e">
        <f t="shared" si="8"/>
        <v>#DIV/0!</v>
      </c>
      <c r="L45" s="98">
        <v>0.86</v>
      </c>
      <c r="M45" s="99" t="e">
        <f t="shared" si="9"/>
        <v>#DIV/0!</v>
      </c>
    </row>
    <row r="46" spans="4:13" x14ac:dyDescent="0.25">
      <c r="D46" t="e">
        <f t="shared" si="0"/>
        <v>#DIV/0!</v>
      </c>
      <c r="H46" s="96">
        <v>0.03</v>
      </c>
      <c r="I46" s="97" t="e">
        <f t="shared" si="7"/>
        <v>#DIV/0!</v>
      </c>
      <c r="J46" s="98">
        <v>0.3</v>
      </c>
      <c r="K46" s="97" t="e">
        <f t="shared" si="8"/>
        <v>#DIV/0!</v>
      </c>
      <c r="L46" s="98">
        <v>0.87</v>
      </c>
      <c r="M46" s="99" t="e">
        <f t="shared" si="9"/>
        <v>#DIV/0!</v>
      </c>
    </row>
    <row r="47" spans="4:13" x14ac:dyDescent="0.25">
      <c r="D47" t="e">
        <f t="shared" si="0"/>
        <v>#DIV/0!</v>
      </c>
      <c r="H47" s="96">
        <v>0.04</v>
      </c>
      <c r="I47" s="97" t="e">
        <f t="shared" si="7"/>
        <v>#DIV/0!</v>
      </c>
      <c r="J47" s="98">
        <v>0.35</v>
      </c>
      <c r="K47" s="97" t="e">
        <f t="shared" si="8"/>
        <v>#DIV/0!</v>
      </c>
      <c r="L47" s="98">
        <v>0.88</v>
      </c>
      <c r="M47" s="99" t="e">
        <f t="shared" si="9"/>
        <v>#DIV/0!</v>
      </c>
    </row>
    <row r="48" spans="4:13" x14ac:dyDescent="0.25">
      <c r="D48" t="e">
        <f t="shared" si="0"/>
        <v>#DIV/0!</v>
      </c>
      <c r="H48" s="96">
        <v>0.05</v>
      </c>
      <c r="I48" s="97" t="e">
        <f t="shared" si="7"/>
        <v>#DIV/0!</v>
      </c>
      <c r="J48" s="98">
        <v>0.4</v>
      </c>
      <c r="K48" s="97" t="e">
        <f t="shared" si="8"/>
        <v>#DIV/0!</v>
      </c>
      <c r="L48" s="98">
        <v>0.89</v>
      </c>
      <c r="M48" s="99" t="e">
        <f t="shared" si="9"/>
        <v>#DIV/0!</v>
      </c>
    </row>
    <row r="49" spans="4:13" x14ac:dyDescent="0.25">
      <c r="D49" t="e">
        <f t="shared" si="0"/>
        <v>#DIV/0!</v>
      </c>
      <c r="H49" s="96">
        <v>0.06</v>
      </c>
      <c r="I49" s="97" t="e">
        <f t="shared" si="7"/>
        <v>#DIV/0!</v>
      </c>
      <c r="J49" s="98">
        <v>0.45</v>
      </c>
      <c r="K49" s="97" t="e">
        <f t="shared" si="8"/>
        <v>#DIV/0!</v>
      </c>
      <c r="L49" s="98">
        <v>0.9</v>
      </c>
      <c r="M49" s="99" t="e">
        <f t="shared" si="9"/>
        <v>#DIV/0!</v>
      </c>
    </row>
    <row r="50" spans="4:13" x14ac:dyDescent="0.25">
      <c r="D50" t="e">
        <f t="shared" si="0"/>
        <v>#DIV/0!</v>
      </c>
      <c r="H50" s="96">
        <v>7.0000000000000007E-2</v>
      </c>
      <c r="I50" s="97" t="e">
        <f t="shared" si="7"/>
        <v>#DIV/0!</v>
      </c>
      <c r="J50" s="98">
        <v>0.5</v>
      </c>
      <c r="K50" s="97" t="e">
        <f t="shared" si="8"/>
        <v>#DIV/0!</v>
      </c>
      <c r="L50" s="98">
        <v>0.91</v>
      </c>
      <c r="M50" s="99" t="e">
        <f t="shared" si="9"/>
        <v>#DIV/0!</v>
      </c>
    </row>
    <row r="51" spans="4:13" x14ac:dyDescent="0.25">
      <c r="D51" t="e">
        <f t="shared" si="0"/>
        <v>#DIV/0!</v>
      </c>
      <c r="H51" s="96">
        <v>0.08</v>
      </c>
      <c r="I51" s="97" t="e">
        <f t="shared" si="7"/>
        <v>#DIV/0!</v>
      </c>
      <c r="J51" s="98">
        <v>0.55000000000000004</v>
      </c>
      <c r="K51" s="97" t="e">
        <f t="shared" si="8"/>
        <v>#DIV/0!</v>
      </c>
      <c r="L51" s="98">
        <v>0.92</v>
      </c>
      <c r="M51" s="99" t="e">
        <f t="shared" si="9"/>
        <v>#DIV/0!</v>
      </c>
    </row>
    <row r="52" spans="4:13" x14ac:dyDescent="0.25">
      <c r="D52" t="e">
        <f t="shared" si="0"/>
        <v>#DIV/0!</v>
      </c>
      <c r="H52" s="96">
        <v>0.09</v>
      </c>
      <c r="I52" s="97" t="e">
        <f t="shared" si="7"/>
        <v>#DIV/0!</v>
      </c>
      <c r="J52" s="98">
        <v>0.6</v>
      </c>
      <c r="K52" s="97" t="e">
        <f t="shared" si="8"/>
        <v>#DIV/0!</v>
      </c>
      <c r="L52" s="98">
        <v>0.93</v>
      </c>
      <c r="M52" s="99" t="e">
        <f t="shared" si="9"/>
        <v>#DIV/0!</v>
      </c>
    </row>
    <row r="53" spans="4:13" x14ac:dyDescent="0.25">
      <c r="D53" t="e">
        <f t="shared" si="0"/>
        <v>#DIV/0!</v>
      </c>
      <c r="H53" s="96">
        <v>0.1</v>
      </c>
      <c r="I53" s="97" t="e">
        <f t="shared" si="7"/>
        <v>#DIV/0!</v>
      </c>
      <c r="J53" s="98">
        <v>0.65</v>
      </c>
      <c r="K53" s="97" t="e">
        <f t="shared" si="8"/>
        <v>#DIV/0!</v>
      </c>
      <c r="L53" s="98">
        <v>0.94</v>
      </c>
      <c r="M53" s="99" t="e">
        <f t="shared" si="9"/>
        <v>#DIV/0!</v>
      </c>
    </row>
    <row r="54" spans="4:13" x14ac:dyDescent="0.25">
      <c r="D54" t="e">
        <f t="shared" si="0"/>
        <v>#DIV/0!</v>
      </c>
      <c r="H54" s="96">
        <v>0.11</v>
      </c>
      <c r="I54" s="97" t="e">
        <f t="shared" si="7"/>
        <v>#DIV/0!</v>
      </c>
      <c r="J54" s="98">
        <v>0.7</v>
      </c>
      <c r="K54" s="97" t="e">
        <f t="shared" si="8"/>
        <v>#DIV/0!</v>
      </c>
      <c r="L54" s="98">
        <v>0.95</v>
      </c>
      <c r="M54" s="99" t="e">
        <f t="shared" si="9"/>
        <v>#DIV/0!</v>
      </c>
    </row>
    <row r="55" spans="4:13" x14ac:dyDescent="0.25">
      <c r="D55" t="e">
        <f t="shared" si="0"/>
        <v>#DIV/0!</v>
      </c>
      <c r="H55" s="96">
        <v>0.12</v>
      </c>
      <c r="I55" s="97" t="e">
        <f t="shared" si="7"/>
        <v>#DIV/0!</v>
      </c>
      <c r="J55" s="98">
        <v>0.75</v>
      </c>
      <c r="K55" s="97" t="e">
        <f t="shared" si="8"/>
        <v>#DIV/0!</v>
      </c>
      <c r="L55" s="98">
        <v>0.96</v>
      </c>
      <c r="M55" s="99" t="e">
        <f t="shared" si="9"/>
        <v>#DIV/0!</v>
      </c>
    </row>
    <row r="56" spans="4:13" x14ac:dyDescent="0.25">
      <c r="D56" t="e">
        <f t="shared" si="0"/>
        <v>#DIV/0!</v>
      </c>
      <c r="H56" s="96">
        <v>0.13</v>
      </c>
      <c r="I56" s="97" t="e">
        <f t="shared" si="7"/>
        <v>#DIV/0!</v>
      </c>
      <c r="J56" s="98">
        <v>0.8</v>
      </c>
      <c r="K56" s="97" t="e">
        <f t="shared" si="8"/>
        <v>#DIV/0!</v>
      </c>
      <c r="L56" s="98">
        <v>0.97</v>
      </c>
      <c r="M56" s="99" t="e">
        <f t="shared" si="9"/>
        <v>#DIV/0!</v>
      </c>
    </row>
    <row r="57" spans="4:13" x14ac:dyDescent="0.25">
      <c r="D57" t="e">
        <f t="shared" si="0"/>
        <v>#DIV/0!</v>
      </c>
      <c r="H57" s="96">
        <v>0.14000000000000001</v>
      </c>
      <c r="I57" s="97" t="e">
        <f t="shared" si="7"/>
        <v>#DIV/0!</v>
      </c>
      <c r="J57" s="98"/>
      <c r="K57" s="97"/>
      <c r="L57" s="98">
        <v>0.98</v>
      </c>
      <c r="M57" s="99" t="e">
        <f t="shared" si="9"/>
        <v>#DIV/0!</v>
      </c>
    </row>
    <row r="58" spans="4:13" ht="15.75" thickBot="1" x14ac:dyDescent="0.3">
      <c r="D58" t="e">
        <f t="shared" si="0"/>
        <v>#DIV/0!</v>
      </c>
      <c r="H58" s="100">
        <v>0.15</v>
      </c>
      <c r="I58" s="101" t="e">
        <f t="shared" si="7"/>
        <v>#DIV/0!</v>
      </c>
      <c r="J58" s="102"/>
      <c r="K58" s="81"/>
      <c r="L58" s="103">
        <v>0.99</v>
      </c>
      <c r="M58" s="104" t="e">
        <f t="shared" si="9"/>
        <v>#DIV/0!</v>
      </c>
    </row>
    <row r="59" spans="4:13" ht="15.75" thickBot="1" x14ac:dyDescent="0.3">
      <c r="D59" t="e">
        <f t="shared" si="0"/>
        <v>#DIV/0!</v>
      </c>
    </row>
    <row r="60" spans="4:13" x14ac:dyDescent="0.25">
      <c r="D60" t="e">
        <f t="shared" si="0"/>
        <v>#DIV/0!</v>
      </c>
      <c r="H60" s="105" t="s">
        <v>119</v>
      </c>
      <c r="I60" s="106"/>
    </row>
    <row r="61" spans="4:13" ht="15.75" thickBot="1" x14ac:dyDescent="0.3">
      <c r="D61" t="e">
        <f t="shared" si="0"/>
        <v>#DIV/0!</v>
      </c>
      <c r="H61" s="107" t="s">
        <v>120</v>
      </c>
      <c r="I61" s="108"/>
    </row>
    <row r="62" spans="4:13" ht="15.75" thickBot="1" x14ac:dyDescent="0.3">
      <c r="D62" t="e">
        <f t="shared" si="0"/>
        <v>#DIV/0!</v>
      </c>
      <c r="H62" s="109"/>
    </row>
    <row r="63" spans="4:13" x14ac:dyDescent="0.25">
      <c r="D63" t="e">
        <f t="shared" si="0"/>
        <v>#DIV/0!</v>
      </c>
      <c r="H63" s="105" t="s">
        <v>121</v>
      </c>
      <c r="I63" s="110"/>
    </row>
    <row r="64" spans="4:13" x14ac:dyDescent="0.25">
      <c r="D64" t="e">
        <f t="shared" si="0"/>
        <v>#DIV/0!</v>
      </c>
      <c r="H64" s="111" t="s">
        <v>122</v>
      </c>
      <c r="I64" s="112">
        <f>I63*(1-I60)</f>
        <v>0</v>
      </c>
    </row>
    <row r="65" spans="4:9" ht="15.75" thickBot="1" x14ac:dyDescent="0.3">
      <c r="D65" t="e">
        <f t="shared" si="0"/>
        <v>#DIV/0!</v>
      </c>
      <c r="H65" s="107" t="s">
        <v>123</v>
      </c>
      <c r="I65" s="113">
        <f>I63*(1+I61)</f>
        <v>0</v>
      </c>
    </row>
    <row r="66" spans="4:9" x14ac:dyDescent="0.25">
      <c r="D66" t="e">
        <f t="shared" si="0"/>
        <v>#DIV/0!</v>
      </c>
    </row>
    <row r="67" spans="4:9" x14ac:dyDescent="0.25">
      <c r="D67" t="e">
        <f t="shared" ref="D67:D68" si="10">C67/C68-1</f>
        <v>#DIV/0!</v>
      </c>
    </row>
    <row r="68" spans="4:9" x14ac:dyDescent="0.25">
      <c r="D68" t="e">
        <f t="shared" si="10"/>
        <v>#DIV/0!</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Analysts</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2025-10-29T20:16:29Z</dcterms:modified>
</cp:coreProperties>
</file>