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42C517FB-8D78-4CD5-8A4F-17ED693C63F6}" xr6:coauthVersionLast="47" xr6:coauthVersionMax="47" xr10:uidLastSave="{00000000-0000-0000-0000-000000000000}"/>
  <bookViews>
    <workbookView xWindow="630" yWindow="240" windowWidth="14085" windowHeight="1515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Model!$B$22</definedName>
    <definedName name="_xlchart.v1.1" hidden="1">Model!$B$23</definedName>
    <definedName name="_xlchart.v1.2" hidden="1">Model!$J$22:$V$22</definedName>
    <definedName name="_xlchart.v1.3" hidden="1">Model!$J$23:$V$23</definedName>
    <definedName name="_xlchart.v1.4" hidden="1">Model!$J$2:$V$2</definedName>
    <definedName name="_xlchart.v1.5" hidden="1">Model!$B$5</definedName>
    <definedName name="_xlchart.v1.6" hidden="1">Model!$B$6</definedName>
    <definedName name="_xlchart.v1.7" hidden="1">Model!$J$2:$V$2</definedName>
    <definedName name="_xlchart.v1.8" hidden="1">Model!$J$5:$V$5</definedName>
    <definedName name="_xlchart.v1.9" hidden="1">Model!$J$6:$V$6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2" l="1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N29" i="2"/>
  <c r="N28" i="2"/>
  <c r="N27" i="2"/>
  <c r="C29" i="2"/>
  <c r="C28" i="2"/>
  <c r="C27" i="2"/>
  <c r="U3" i="2"/>
  <c r="U30" i="2"/>
  <c r="U31" i="2"/>
  <c r="U22" i="2"/>
  <c r="U19" i="2"/>
  <c r="U17" i="2"/>
  <c r="U16" i="2"/>
  <c r="U15" i="2"/>
  <c r="U13" i="2"/>
  <c r="U12" i="2"/>
  <c r="U11" i="2"/>
  <c r="U10" i="2"/>
  <c r="U9" i="2"/>
  <c r="U8" i="2"/>
  <c r="U7" i="2"/>
  <c r="U4" i="2"/>
  <c r="U5" i="2" s="1"/>
  <c r="U14" i="2" s="1"/>
  <c r="U18" i="2" s="1"/>
  <c r="Q19" i="2"/>
  <c r="Q17" i="2"/>
  <c r="Q16" i="2"/>
  <c r="Q15" i="2"/>
  <c r="Q13" i="2"/>
  <c r="Q12" i="2"/>
  <c r="Q11" i="2"/>
  <c r="Q10" i="2"/>
  <c r="Q9" i="2"/>
  <c r="Q8" i="2"/>
  <c r="Q7" i="2"/>
  <c r="Q4" i="2"/>
  <c r="Q5" i="2" s="1"/>
  <c r="Q3" i="2"/>
  <c r="N8" i="2"/>
  <c r="R20" i="2"/>
  <c r="R8" i="2"/>
  <c r="U61" i="2"/>
  <c r="U59" i="2"/>
  <c r="U58" i="2"/>
  <c r="U57" i="2"/>
  <c r="U56" i="2"/>
  <c r="U54" i="2"/>
  <c r="U53" i="2"/>
  <c r="U52" i="2"/>
  <c r="U51" i="2"/>
  <c r="U50" i="2"/>
  <c r="U48" i="2"/>
  <c r="U47" i="2"/>
  <c r="U46" i="2"/>
  <c r="U45" i="2"/>
  <c r="U44" i="2"/>
  <c r="U42" i="2"/>
  <c r="U41" i="2"/>
  <c r="U40" i="2"/>
  <c r="U39" i="2"/>
  <c r="U38" i="2"/>
  <c r="S61" i="2"/>
  <c r="S52" i="2"/>
  <c r="O8" i="2"/>
  <c r="S17" i="2"/>
  <c r="S8" i="2"/>
  <c r="Q61" i="2"/>
  <c r="Q59" i="2"/>
  <c r="Q58" i="2"/>
  <c r="Q57" i="2"/>
  <c r="Q56" i="2"/>
  <c r="Q54" i="2"/>
  <c r="Q53" i="2"/>
  <c r="Q52" i="2"/>
  <c r="Q51" i="2"/>
  <c r="Q50" i="2"/>
  <c r="Q48" i="2"/>
  <c r="Q47" i="2"/>
  <c r="Q46" i="2"/>
  <c r="Q45" i="2"/>
  <c r="Q44" i="2"/>
  <c r="Q42" i="2"/>
  <c r="Q41" i="2"/>
  <c r="Q40" i="2"/>
  <c r="Q39" i="2"/>
  <c r="Q38" i="2"/>
  <c r="T61" i="2"/>
  <c r="T52" i="2"/>
  <c r="M18" i="2"/>
  <c r="M20" i="2" s="1"/>
  <c r="M22" i="2" s="1"/>
  <c r="M14" i="2"/>
  <c r="P14" i="2"/>
  <c r="P18" i="2" s="1"/>
  <c r="P20" i="2" s="1"/>
  <c r="P22" i="2" s="1"/>
  <c r="W14" i="2"/>
  <c r="W18" i="2" s="1"/>
  <c r="W20" i="2" s="1"/>
  <c r="J14" i="2"/>
  <c r="J18" i="2" s="1"/>
  <c r="J20" i="2" s="1"/>
  <c r="J22" i="2" s="1"/>
  <c r="K5" i="2"/>
  <c r="K14" i="2" s="1"/>
  <c r="K18" i="2" s="1"/>
  <c r="K20" i="2" s="1"/>
  <c r="K22" i="2" s="1"/>
  <c r="L5" i="2"/>
  <c r="L14" i="2" s="1"/>
  <c r="L18" i="2" s="1"/>
  <c r="L20" i="2" s="1"/>
  <c r="L22" i="2" s="1"/>
  <c r="M5" i="2"/>
  <c r="N5" i="2"/>
  <c r="O5" i="2"/>
  <c r="O14" i="2" s="1"/>
  <c r="O18" i="2" s="1"/>
  <c r="O20" i="2" s="1"/>
  <c r="O22" i="2" s="1"/>
  <c r="P5" i="2"/>
  <c r="R5" i="2"/>
  <c r="R14" i="2" s="1"/>
  <c r="R18" i="2" s="1"/>
  <c r="S5" i="2"/>
  <c r="S14" i="2" s="1"/>
  <c r="T5" i="2"/>
  <c r="T14" i="2" s="1"/>
  <c r="T18" i="2" s="1"/>
  <c r="T20" i="2" s="1"/>
  <c r="T22" i="2" s="1"/>
  <c r="V5" i="2"/>
  <c r="V14" i="2" s="1"/>
  <c r="V18" i="2" s="1"/>
  <c r="V20" i="2" s="1"/>
  <c r="W5" i="2"/>
  <c r="J5" i="2"/>
  <c r="S31" i="2"/>
  <c r="R31" i="2"/>
  <c r="C29" i="1"/>
  <c r="S30" i="2"/>
  <c r="R30" i="2"/>
  <c r="T31" i="2"/>
  <c r="T30" i="2"/>
  <c r="C21" i="1"/>
  <c r="C17" i="1"/>
  <c r="C15" i="1"/>
  <c r="C14" i="1"/>
  <c r="G32" i="2"/>
  <c r="D30" i="2"/>
  <c r="C19" i="2"/>
  <c r="C8" i="2"/>
  <c r="C9" i="1"/>
  <c r="D63" i="2"/>
  <c r="C63" i="2"/>
  <c r="E63" i="2"/>
  <c r="E30" i="2"/>
  <c r="U20" i="2" l="1"/>
  <c r="Q14" i="2"/>
  <c r="Q18" i="2" s="1"/>
  <c r="Q20" i="2" s="1"/>
  <c r="Q22" i="2" s="1"/>
  <c r="N14" i="2"/>
  <c r="N18" i="2" s="1"/>
  <c r="N20" i="2" s="1"/>
  <c r="N22" i="2" s="1"/>
  <c r="R22" i="2"/>
  <c r="S18" i="2"/>
  <c r="S20" i="2" s="1"/>
  <c r="S22" i="2" s="1"/>
  <c r="G14" i="2"/>
  <c r="F14" i="2"/>
  <c r="J3" i="1"/>
  <c r="J4" i="1"/>
  <c r="J5" i="1"/>
  <c r="J11" i="1"/>
  <c r="J10" i="1"/>
  <c r="J9" i="1"/>
  <c r="J8" i="1"/>
  <c r="J7" i="1"/>
  <c r="J6" i="1"/>
  <c r="C7" i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2" i="5"/>
  <c r="K37" i="2"/>
  <c r="L37" i="2"/>
  <c r="M37" i="2"/>
  <c r="N37" i="2"/>
  <c r="O37" i="2"/>
  <c r="P37" i="2"/>
  <c r="Q37" i="2"/>
  <c r="R37" i="2"/>
  <c r="S37" i="2"/>
  <c r="T37" i="2"/>
  <c r="U37" i="2"/>
  <c r="J37" i="2"/>
  <c r="C37" i="2"/>
  <c r="D37" i="2"/>
  <c r="E37" i="2"/>
  <c r="M29" i="2"/>
  <c r="L29" i="2"/>
  <c r="K29" i="2"/>
  <c r="J29" i="2"/>
  <c r="M28" i="2"/>
  <c r="L28" i="2"/>
  <c r="K28" i="2"/>
  <c r="J28" i="2"/>
  <c r="C31" i="1" l="1"/>
  <c r="C35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K11" i="5" s="1"/>
  <c r="H9" i="5"/>
  <c r="H8" i="5"/>
  <c r="I8" i="5" s="1"/>
  <c r="H7" i="5"/>
  <c r="H5" i="5"/>
  <c r="C5" i="2"/>
  <c r="C14" i="2" s="1"/>
  <c r="D5" i="2"/>
  <c r="E5" i="2"/>
  <c r="C20" i="1" s="1"/>
  <c r="J24" i="2"/>
  <c r="K24" i="2"/>
  <c r="L24" i="2"/>
  <c r="M24" i="2"/>
  <c r="N24" i="2"/>
  <c r="O24" i="2"/>
  <c r="P24" i="2"/>
  <c r="Q24" i="2"/>
  <c r="R24" i="2"/>
  <c r="S24" i="2"/>
  <c r="T24" i="2"/>
  <c r="U24" i="2"/>
  <c r="R26" i="2"/>
  <c r="S26" i="2"/>
  <c r="T26" i="2"/>
  <c r="U26" i="2"/>
  <c r="V26" i="2"/>
  <c r="W26" i="2"/>
  <c r="J27" i="2"/>
  <c r="K27" i="2"/>
  <c r="L27" i="2"/>
  <c r="M27" i="2"/>
  <c r="J43" i="2"/>
  <c r="J49" i="2" s="1"/>
  <c r="K43" i="2"/>
  <c r="K49" i="2" s="1"/>
  <c r="L43" i="2"/>
  <c r="L49" i="2" s="1"/>
  <c r="M43" i="2"/>
  <c r="M49" i="2" s="1"/>
  <c r="N43" i="2"/>
  <c r="O43" i="2"/>
  <c r="O49" i="2" s="1"/>
  <c r="P43" i="2"/>
  <c r="P49" i="2" s="1"/>
  <c r="Q43" i="2"/>
  <c r="Q49" i="2" s="1"/>
  <c r="R43" i="2"/>
  <c r="R49" i="2" s="1"/>
  <c r="S43" i="2"/>
  <c r="S49" i="2" s="1"/>
  <c r="T43" i="2"/>
  <c r="T49" i="2" s="1"/>
  <c r="U43" i="2"/>
  <c r="U49" i="2" s="1"/>
  <c r="N49" i="2"/>
  <c r="J55" i="2"/>
  <c r="J60" i="2" s="1"/>
  <c r="K55" i="2"/>
  <c r="K60" i="2" s="1"/>
  <c r="L55" i="2"/>
  <c r="L60" i="2" s="1"/>
  <c r="M55" i="2"/>
  <c r="M60" i="2" s="1"/>
  <c r="N55" i="2"/>
  <c r="N60" i="2" s="1"/>
  <c r="O55" i="2"/>
  <c r="O60" i="2" s="1"/>
  <c r="P55" i="2"/>
  <c r="P60" i="2" s="1"/>
  <c r="Q55" i="2"/>
  <c r="Q60" i="2" s="1"/>
  <c r="R55" i="2"/>
  <c r="R60" i="2" s="1"/>
  <c r="S55" i="2"/>
  <c r="S60" i="2" s="1"/>
  <c r="T55" i="2"/>
  <c r="T60" i="2" s="1"/>
  <c r="U55" i="2"/>
  <c r="U60" i="2" s="1"/>
  <c r="C43" i="2"/>
  <c r="C49" i="2" s="1"/>
  <c r="G25" i="2"/>
  <c r="F25" i="2"/>
  <c r="G26" i="2"/>
  <c r="D31" i="2"/>
  <c r="E31" i="2"/>
  <c r="L25" i="2" l="1"/>
  <c r="K25" i="2"/>
  <c r="M25" i="2"/>
  <c r="D14" i="2"/>
  <c r="D24" i="2"/>
  <c r="D28" i="2"/>
  <c r="D26" i="2"/>
  <c r="D29" i="2"/>
  <c r="D27" i="2"/>
  <c r="E14" i="2"/>
  <c r="E18" i="2" s="1"/>
  <c r="E28" i="2"/>
  <c r="E29" i="2"/>
  <c r="E27" i="2"/>
  <c r="J25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R25" i="2"/>
  <c r="V32" i="2"/>
  <c r="N25" i="2"/>
  <c r="Q25" i="2"/>
  <c r="U25" i="2"/>
  <c r="T25" i="2"/>
  <c r="S25" i="2"/>
  <c r="P25" i="2"/>
  <c r="O25" i="2"/>
  <c r="C30" i="1" s="1"/>
  <c r="F18" i="2"/>
  <c r="G18" i="2"/>
  <c r="F26" i="2"/>
  <c r="C24" i="2"/>
  <c r="E24" i="2"/>
  <c r="C24" i="1" s="1"/>
  <c r="E26" i="2"/>
  <c r="E55" i="2"/>
  <c r="E60" i="2" s="1"/>
  <c r="E43" i="2"/>
  <c r="E49" i="2" s="1"/>
  <c r="C55" i="2"/>
  <c r="D43" i="2"/>
  <c r="D49" i="2" s="1"/>
  <c r="E61" i="2" l="1"/>
  <c r="E20" i="2"/>
  <c r="C22" i="1"/>
  <c r="C23" i="1"/>
  <c r="L34" i="5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18" i="2"/>
  <c r="D20" i="2" s="1"/>
  <c r="E32" i="2" s="1"/>
  <c r="C18" i="2"/>
  <c r="C20" i="2" s="1"/>
  <c r="D55" i="2"/>
  <c r="D60" i="2" s="1"/>
  <c r="D61" i="2" s="1"/>
  <c r="C60" i="2"/>
  <c r="C61" i="2" s="1"/>
  <c r="C22" i="2" l="1"/>
  <c r="E22" i="2"/>
  <c r="E25" i="2"/>
  <c r="C25" i="1" s="1"/>
  <c r="C13" i="1" l="1"/>
  <c r="F32" i="2"/>
  <c r="C16" i="1"/>
  <c r="C18" i="1" s="1"/>
  <c r="C25" i="2"/>
  <c r="D32" i="2"/>
  <c r="D22" i="2"/>
  <c r="D25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<sst xmlns="http://schemas.openxmlformats.org/spreadsheetml/2006/main" count="217" uniqueCount="199">
  <si>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</si>
  <si>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</si>
  <si>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</si>
  <si>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</si>
  <si>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</si>
  <si>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</si>
  <si>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</si>
  <si>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</si>
  <si>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</si>
  <si>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</si>
  <si>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</si>
  <si>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</si>
  <si>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</si>
  <si>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</si>
  <si>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</si>
  <si>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</si>
  <si>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</si>
  <si>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</si>
  <si>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</si>
  <si>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</si>
  <si>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</si>
  <si>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</si>
  <si>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</si>
  <si>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</si>
  <si>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</si>
  <si>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</si>
  <si>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</si>
  <si>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</si>
  <si>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</si>
  <si>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Gross Margin</t>
  </si>
  <si>
    <t>Net Margin</t>
  </si>
  <si>
    <t>Revenue y/y</t>
  </si>
  <si>
    <t>FY24</t>
  </si>
  <si>
    <t>Q121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</si>
  <si>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</si>
  <si>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</si>
  <si>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</si>
  <si>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</si>
  <si>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</si>
  <si>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</si>
  <si>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</si>
  <si>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</si>
  <si>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</si>
  <si>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</si>
  <si>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</si>
  <si>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</si>
  <si>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</si>
  <si>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</si>
  <si>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</si>
  <si>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</si>
  <si>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</si>
  <si>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</si>
  <si>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</si>
  <si>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</si>
  <si>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</si>
  <si>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</si>
  <si>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</si>
  <si>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</si>
  <si>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</si>
  <si>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</si>
  <si>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</si>
  <si>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</si>
  <si>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</si>
  <si>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</si>
  <si>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</si>
  <si>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</si>
  <si>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</si>
  <si>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</si>
  <si>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</si>
  <si>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</si>
  <si>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</si>
  <si>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</si>
  <si>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</si>
  <si>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</si>
  <si>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</si>
  <si>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</si>
  <si>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</si>
  <si>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</si>
  <si>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Intangible Asset</t>
  </si>
  <si>
    <t>Equity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</si>
  <si>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</si>
  <si>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</si>
  <si>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</si>
  <si>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</si>
  <si>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</si>
  <si>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</si>
  <si>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</si>
  <si>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</si>
  <si>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</si>
  <si>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</si>
  <si>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</si>
  <si>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</si>
  <si>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</si>
  <si>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</si>
  <si>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</si>
  <si>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</si>
  <si>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</si>
  <si>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</si>
  <si>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</si>
  <si>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</si>
  <si>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</si>
  <si>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</si>
  <si>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</si>
  <si>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</si>
  <si>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</si>
  <si>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</si>
  <si>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</si>
  <si>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</si>
  <si>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</si>
  <si>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</si>
  <si>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</si>
  <si>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</si>
  <si>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</si>
  <si>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</si>
  <si>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</si>
  <si>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</si>
  <si>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</si>
  <si>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</si>
  <si>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</si>
  <si>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</si>
  <si>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</si>
  <si>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</si>
  <si>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</si>
  <si>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</si>
  <si>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</si>
  <si>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</si>
  <si>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</si>
  <si>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</si>
  <si>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</si>
  <si>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</si>
  <si>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</si>
  <si>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</si>
  <si>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</si>
  <si>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</si>
  <si>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</si>
  <si>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</si>
  <si>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Cantor Fitzgerald, L.P.</t>
  </si>
  <si>
    <t>8.11%</t>
  </si>
  <si>
    <t>Vanguard Group Inc</t>
  </si>
  <si>
    <t>5.15%</t>
  </si>
  <si>
    <t>State Street Corporation</t>
  </si>
  <si>
    <t>1.17%</t>
  </si>
  <si>
    <t>Blackrock Inc.</t>
  </si>
  <si>
    <t>1.16%</t>
  </si>
  <si>
    <t>Sacks David O.</t>
  </si>
  <si>
    <t>0.92%</t>
  </si>
  <si>
    <t>Ameriprise Financial, Inc.</t>
  </si>
  <si>
    <t>0.79%</t>
  </si>
  <si>
    <t>Geode Capital Management, LLC</t>
  </si>
  <si>
    <t>0.75%</t>
  </si>
  <si>
    <t>Rockefeller Capital Management L.P.</t>
  </si>
  <si>
    <t>0.61%</t>
  </si>
  <si>
    <t>Charles Schwab Investment Management, Inc.</t>
  </si>
  <si>
    <t>0.38%</t>
  </si>
  <si>
    <t>Renaissance Technologies, LLC</t>
  </si>
  <si>
    <t>0.28%</t>
  </si>
  <si>
    <t>ALEXANDROFF BRANDON</t>
  </si>
  <si>
    <t>Chief Financial Officer</t>
  </si>
  <si>
    <t>ARMSTRONG NANCY</t>
  </si>
  <si>
    <t>ARSOV ROBERT</t>
  </si>
  <si>
    <t>CAPPUCCIO PAUL T</t>
  </si>
  <si>
    <t>FALLANG ETHAN</t>
  </si>
  <si>
    <t>HLIBOWICKI WOJCIECH</t>
  </si>
  <si>
    <t>Chief Technology Officer</t>
  </si>
  <si>
    <t>PAVLOVSKI CHRISTOPHER</t>
  </si>
  <si>
    <t>RAMOLO CLAUDIO</t>
  </si>
  <si>
    <t>SACKS DAVID O</t>
  </si>
  <si>
    <t>Mr. Christopher Pavlovski</t>
  </si>
  <si>
    <t>Founder, Chairman &amp; CEO</t>
  </si>
  <si>
    <t>Dr. Tyler Hughes</t>
  </si>
  <si>
    <t>Chief Operating Officer</t>
  </si>
  <si>
    <t>Mr. Michael Ellis</t>
  </si>
  <si>
    <t>General Counsel &amp; Corporate Secretary</t>
  </si>
  <si>
    <t>Mr. Brandon Alexandroff</t>
  </si>
  <si>
    <t>Mr. Wojciech Hlibowicki</t>
  </si>
  <si>
    <t>Mr. Claudio Ramolo</t>
  </si>
  <si>
    <t>Chief Content Officer</t>
  </si>
  <si>
    <t>Mr. Assaf Lev</t>
  </si>
  <si>
    <t>President of Locals</t>
  </si>
  <si>
    <t>Advertising</t>
  </si>
  <si>
    <t>Other Services and Cloud</t>
  </si>
  <si>
    <t>Aquisition</t>
  </si>
  <si>
    <t>Amortization and Dep</t>
  </si>
  <si>
    <t xml:space="preserve">Changes in fair value </t>
  </si>
  <si>
    <t>Advertising y/y</t>
  </si>
  <si>
    <t>Cloud Services y/y</t>
  </si>
  <si>
    <t>Marketable Securities</t>
  </si>
  <si>
    <t>Right of use</t>
  </si>
  <si>
    <t>AP &amp; Accrued Liab</t>
  </si>
  <si>
    <t>Deffered Revenue</t>
  </si>
  <si>
    <t>Income Tax Payable</t>
  </si>
  <si>
    <t>Lease</t>
  </si>
  <si>
    <t>Contigent Considerations</t>
  </si>
  <si>
    <t>Lease long term</t>
  </si>
  <si>
    <t>Contingent conid net of crrent</t>
  </si>
  <si>
    <t>Warrent liab</t>
  </si>
  <si>
    <t>No debt</t>
  </si>
  <si>
    <t>Other Income</t>
  </si>
  <si>
    <t>Income Tax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</si>
</sst>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59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2" xfId="1" applyNumberFormat="1" applyFont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5" xfId="0" applyNumberFormat="1" applyFont="1" applyFill="1" applyBorder="1"/>
    <xf numFmtId="166" fontId="12" fillId="10" borderId="13" xfId="0" applyNumberFormat="1" applyFont="1" applyFill="1" applyBorder="1"/>
    <xf numFmtId="0" fontId="0" fillId="10" borderId="36" xfId="0" applyFill="1" applyBorder="1"/>
    <xf numFmtId="166" fontId="12" fillId="10" borderId="37" xfId="0" applyNumberFormat="1" applyFont="1" applyFill="1" applyBorder="1"/>
    <xf numFmtId="166" fontId="12" fillId="10" borderId="38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9" xfId="0" applyNumberFormat="1" applyFont="1" applyFill="1" applyBorder="1"/>
    <xf numFmtId="9" fontId="14" fillId="10" borderId="40" xfId="0" applyNumberFormat="1" applyFont="1" applyFill="1" applyBorder="1"/>
    <xf numFmtId="10" fontId="0" fillId="10" borderId="42" xfId="0" applyNumberFormat="1" applyFill="1" applyBorder="1" applyAlignment="1">
      <alignment horizontal="centerContinuous"/>
    </xf>
    <xf numFmtId="9" fontId="14" fillId="10" borderId="43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35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6" xfId="0" applyNumberFormat="1" applyFill="1" applyBorder="1" applyAlignment="1">
      <alignment horizontal="centerContinuous"/>
    </xf>
    <xf numFmtId="0" fontId="12" fillId="10" borderId="44" xfId="0" applyFont="1" applyFill="1" applyBorder="1"/>
    <xf numFmtId="9" fontId="14" fillId="10" borderId="44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9" fontId="5" fillId="0" borderId="0" xfId="1" applyFon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34" xfId="0" applyNumberFormat="1" applyFont="1" applyFill="1" applyBorder="1" applyAlignment="1">
      <alignment horizontal="center"/>
    </xf>
    <xf numFmtId="166" fontId="12" fillId="10" borderId="4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65" fontId="0" fillId="0" borderId="0" xfId="1" applyNumberFormat="1" applyFont="1"/>
    <xf numFmtId="165" fontId="12" fillId="10" borderId="2" xfId="0" applyNumberFormat="1" applyFont="1" applyFill="1" applyBorder="1"/>
    <xf numFmtId="2" fontId="12" fillId="10" borderId="2" xfId="0" applyNumberFormat="1" applyFont="1" applyFill="1" applyBorder="1"/>
    <xf numFmtId="0" fontId="12" fillId="10" borderId="36" xfId="0" applyFont="1" applyFill="1" applyBorder="1"/>
    <xf numFmtId="0" fontId="0" fillId="0" borderId="0" xfId="0" applyFont="1"/>
    <xf numFmtId="3" fontId="0" fillId="0" borderId="0" xfId="0" applyNumberFormat="1" applyFont="1"/>
    <xf numFmtId="3" fontId="0" fillId="0" borderId="2" xfId="0" applyNumberFormat="1" applyFont="1" applyBorder="1"/>
    <xf numFmtId="3" fontId="2" fillId="0" borderId="0" xfId="0" applyNumberFormat="1" applyFont="1" applyBorder="1"/>
    <xf numFmtId="3" fontId="0" fillId="0" borderId="0" xfId="0" applyNumberFormat="1" applyFont="1" applyBorder="1"/>
    <xf numFmtId="3" fontId="0" fillId="0" borderId="0" xfId="0" applyNumberFormat="1" applyBorder="1"/>
    <xf numFmtId="2" fontId="2" fillId="0" borderId="2" xfId="0" applyNumberFormat="1" applyFont="1" applyFill="1" applyBorder="1"/>
    <xf numFmtId="9" fontId="0" fillId="0" borderId="0" xfId="1" applyFont="1" applyFill="1" applyBorder="1"/>
    <xf numFmtId="9" fontId="0" fillId="0" borderId="2" xfId="1" applyFont="1" applyFill="1" applyBorder="1"/>
    <xf numFmtId="9" fontId="0" fillId="0" borderId="0" xfId="1" applyFont="1" applyFill="1"/>
    <xf numFmtId="9" fontId="0" fillId="0" borderId="0" xfId="0" applyNumberFormat="1" applyBorder="1"/>
    <xf numFmtId="10" fontId="2" fillId="0" borderId="0" xfId="1" applyNumberFormat="1" applyFont="1" applyBorder="1"/>
    <xf numFmtId="2" fontId="0" fillId="3" borderId="2" xfId="1" applyNumberFormat="1" applyFont="1" applyFill="1" applyBorder="1"/>
    <xf numFmtId="164" fontId="0" fillId="3" borderId="2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Model!$J$2:$V$2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Model!$J$5:$V$5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4044.7649999999999</c:v>
                </c:pt>
                <c:pt idx="5">
                  <c:v>4399.3119999999999</c:v>
                </c:pt>
                <c:pt idx="6">
                  <c:v>10983.182000000001</c:v>
                </c:pt>
                <c:pt idx="7">
                  <c:v>19957.025000000001</c:v>
                </c:pt>
                <c:pt idx="8">
                  <c:v>17615.375</c:v>
                </c:pt>
                <c:pt idx="9">
                  <c:v>24974.054</c:v>
                </c:pt>
                <c:pt idx="10">
                  <c:v>17982.150000000001</c:v>
                </c:pt>
                <c:pt idx="11">
                  <c:v>20391.872000000003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Model!$B$26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Model!$J$26:$V$26</c:f>
              <c:numCache>
                <c:formatCode>0%</c:formatCode>
                <c:ptCount val="13"/>
                <c:pt idx="8">
                  <c:v>3.3551046846973804</c:v>
                </c:pt>
                <c:pt idx="9">
                  <c:v>4.6768090101361306</c:v>
                </c:pt>
                <c:pt idx="10">
                  <c:v>0.63724410648935792</c:v>
                </c:pt>
                <c:pt idx="11">
                  <c:v>2.178916947791576E-2</c:v>
                </c:pt>
                <c:pt idx="1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Model!$C$5:$F$5</c:f>
              <c:numCache>
                <c:formatCode>#,##0</c:formatCode>
                <c:ptCount val="4"/>
                <c:pt idx="0">
                  <c:v>9466.3630000000012</c:v>
                </c:pt>
                <c:pt idx="1">
                  <c:v>39384.284</c:v>
                </c:pt>
                <c:pt idx="2">
                  <c:v>80963.451000000001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Model!$B$26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Model!$C$26:$F$26</c:f>
              <c:numCache>
                <c:formatCode>0%</c:formatCode>
                <c:ptCount val="4"/>
                <c:pt idx="1">
                  <c:v>3.1604451466735428</c:v>
                </c:pt>
                <c:pt idx="2">
                  <c:v>1.0557299200869057</c:v>
                </c:pt>
                <c:pt idx="3">
                  <c:v>0.26637388517443505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Model!$J$2:$V$2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Model!$J$20:$V$20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-3912.1940000000022</c:v>
                </c:pt>
                <c:pt idx="5">
                  <c:v>-4688.68</c:v>
                </c:pt>
                <c:pt idx="6">
                  <c:v>-1858.4520000000002</c:v>
                </c:pt>
                <c:pt idx="7">
                  <c:v>-944.66800000000501</c:v>
                </c:pt>
                <c:pt idx="8">
                  <c:v>-28668.113000000001</c:v>
                </c:pt>
                <c:pt idx="9">
                  <c:v>-29454.079999999998</c:v>
                </c:pt>
                <c:pt idx="10">
                  <c:v>-29021.092000000001</c:v>
                </c:pt>
                <c:pt idx="11">
                  <c:v>-29277.176999999989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Model!$J$24:$V$24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7.4712622364958126E-2</c:v>
                </c:pt>
                <c:pt idx="5">
                  <c:v>4.9073127798164751E-2</c:v>
                </c:pt>
                <c:pt idx="6">
                  <c:v>-0.11872706834868074</c:v>
                </c:pt>
                <c:pt idx="7">
                  <c:v>-0.17915075017443716</c:v>
                </c:pt>
                <c:pt idx="8">
                  <c:v>-0.47679881921332945</c:v>
                </c:pt>
                <c:pt idx="9">
                  <c:v>-0.63569022474284709</c:v>
                </c:pt>
                <c:pt idx="10">
                  <c:v>-1.2106074635124275</c:v>
                </c:pt>
                <c:pt idx="11">
                  <c:v>-0.93906071987897866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Model!$C$20:$F$20</c:f>
              <c:numCache>
                <c:formatCode>#,##0</c:formatCode>
                <c:ptCount val="4"/>
                <c:pt idx="0">
                  <c:v>-13413.532000000001</c:v>
                </c:pt>
                <c:pt idx="1">
                  <c:v>-11403.993999999988</c:v>
                </c:pt>
                <c:pt idx="2">
                  <c:v>-116420.46200000001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Model!$B$32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Model!$C$32:$F$32</c:f>
              <c:numCache>
                <c:formatCode>0%</c:formatCode>
                <c:ptCount val="4"/>
                <c:pt idx="1">
                  <c:v>-0.1498142323736964</c:v>
                </c:pt>
                <c:pt idx="2">
                  <c:v>9.2087445854496366</c:v>
                </c:pt>
                <c:pt idx="3">
                  <c:v>1.1073919758195083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Model!$J$2:$T$2</c15:sqref>
                  </c15:fullRef>
                </c:ext>
              </c:extLst>
              <c:f>Model!$L$2:$T$2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Model!$J$27:$T$27</c15:sqref>
                  </c15:fullRef>
                </c:ext>
              </c:extLst>
              <c:f>Model!$L$27:$T$27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0.20038370585188509</c:v>
                </c:pt>
                <c:pt idx="3">
                  <c:v>0.25856656677225898</c:v>
                </c:pt>
                <c:pt idx="4">
                  <c:v>0.13294662694290232</c:v>
                </c:pt>
                <c:pt idx="5">
                  <c:v>0.13677704968551171</c:v>
                </c:pt>
                <c:pt idx="6">
                  <c:v>0.18717052574810358</c:v>
                </c:pt>
                <c:pt idx="7">
                  <c:v>0.14287031652930676</c:v>
                </c:pt>
                <c:pt idx="8">
                  <c:v>0.17700347288839208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44298</c:v>
                </c:pt>
                <c:pt idx="1">
                  <c:v>44305</c:v>
                </c:pt>
                <c:pt idx="2">
                  <c:v>44312</c:v>
                </c:pt>
                <c:pt idx="3">
                  <c:v>44319</c:v>
                </c:pt>
                <c:pt idx="4">
                  <c:v>44326</c:v>
                </c:pt>
                <c:pt idx="5">
                  <c:v>44333</c:v>
                </c:pt>
                <c:pt idx="6">
                  <c:v>44340</c:v>
                </c:pt>
                <c:pt idx="7">
                  <c:v>44347</c:v>
                </c:pt>
                <c:pt idx="8">
                  <c:v>44354</c:v>
                </c:pt>
                <c:pt idx="9">
                  <c:v>44361</c:v>
                </c:pt>
                <c:pt idx="10">
                  <c:v>44368</c:v>
                </c:pt>
                <c:pt idx="11">
                  <c:v>44375</c:v>
                </c:pt>
                <c:pt idx="12">
                  <c:v>44382</c:v>
                </c:pt>
                <c:pt idx="13">
                  <c:v>44389</c:v>
                </c:pt>
                <c:pt idx="14">
                  <c:v>44396</c:v>
                </c:pt>
                <c:pt idx="15">
                  <c:v>44403</c:v>
                </c:pt>
                <c:pt idx="16">
                  <c:v>44410</c:v>
                </c:pt>
                <c:pt idx="17">
                  <c:v>44417</c:v>
                </c:pt>
                <c:pt idx="18">
                  <c:v>44424</c:v>
                </c:pt>
                <c:pt idx="19">
                  <c:v>44431</c:v>
                </c:pt>
                <c:pt idx="20">
                  <c:v>44438</c:v>
                </c:pt>
                <c:pt idx="21">
                  <c:v>44445</c:v>
                </c:pt>
                <c:pt idx="22">
                  <c:v>44452</c:v>
                </c:pt>
                <c:pt idx="23">
                  <c:v>44459</c:v>
                </c:pt>
                <c:pt idx="24">
                  <c:v>44466</c:v>
                </c:pt>
                <c:pt idx="25">
                  <c:v>44473</c:v>
                </c:pt>
                <c:pt idx="26">
                  <c:v>44480</c:v>
                </c:pt>
                <c:pt idx="27">
                  <c:v>44487</c:v>
                </c:pt>
                <c:pt idx="28">
                  <c:v>44494</c:v>
                </c:pt>
                <c:pt idx="29">
                  <c:v>44501</c:v>
                </c:pt>
                <c:pt idx="30">
                  <c:v>44508</c:v>
                </c:pt>
                <c:pt idx="31">
                  <c:v>44515</c:v>
                </c:pt>
                <c:pt idx="32">
                  <c:v>44522</c:v>
                </c:pt>
                <c:pt idx="33">
                  <c:v>44529</c:v>
                </c:pt>
                <c:pt idx="34">
                  <c:v>44536</c:v>
                </c:pt>
                <c:pt idx="35">
                  <c:v>44543</c:v>
                </c:pt>
                <c:pt idx="36">
                  <c:v>44550</c:v>
                </c:pt>
                <c:pt idx="37">
                  <c:v>44557</c:v>
                </c:pt>
                <c:pt idx="38">
                  <c:v>44564</c:v>
                </c:pt>
                <c:pt idx="39">
                  <c:v>44571</c:v>
                </c:pt>
                <c:pt idx="40">
                  <c:v>44578</c:v>
                </c:pt>
                <c:pt idx="41">
                  <c:v>44585</c:v>
                </c:pt>
                <c:pt idx="42">
                  <c:v>44592</c:v>
                </c:pt>
                <c:pt idx="43">
                  <c:v>44599</c:v>
                </c:pt>
                <c:pt idx="44">
                  <c:v>44606</c:v>
                </c:pt>
                <c:pt idx="45">
                  <c:v>44613</c:v>
                </c:pt>
                <c:pt idx="46">
                  <c:v>44620</c:v>
                </c:pt>
                <c:pt idx="47">
                  <c:v>44627</c:v>
                </c:pt>
                <c:pt idx="48">
                  <c:v>44634</c:v>
                </c:pt>
                <c:pt idx="49">
                  <c:v>44641</c:v>
                </c:pt>
                <c:pt idx="50">
                  <c:v>44648</c:v>
                </c:pt>
                <c:pt idx="51">
                  <c:v>44655</c:v>
                </c:pt>
                <c:pt idx="52">
                  <c:v>44662</c:v>
                </c:pt>
                <c:pt idx="53">
                  <c:v>44669</c:v>
                </c:pt>
                <c:pt idx="54">
                  <c:v>44676</c:v>
                </c:pt>
                <c:pt idx="55">
                  <c:v>44683</c:v>
                </c:pt>
                <c:pt idx="56">
                  <c:v>44690</c:v>
                </c:pt>
                <c:pt idx="57">
                  <c:v>44697</c:v>
                </c:pt>
                <c:pt idx="58">
                  <c:v>44704</c:v>
                </c:pt>
                <c:pt idx="59">
                  <c:v>44711</c:v>
                </c:pt>
                <c:pt idx="60">
                  <c:v>44718</c:v>
                </c:pt>
                <c:pt idx="61">
                  <c:v>44725</c:v>
                </c:pt>
                <c:pt idx="62">
                  <c:v>44732</c:v>
                </c:pt>
                <c:pt idx="63">
                  <c:v>44739</c:v>
                </c:pt>
                <c:pt idx="64">
                  <c:v>44746</c:v>
                </c:pt>
                <c:pt idx="65">
                  <c:v>44753</c:v>
                </c:pt>
                <c:pt idx="66">
                  <c:v>44760</c:v>
                </c:pt>
                <c:pt idx="67">
                  <c:v>44767</c:v>
                </c:pt>
                <c:pt idx="68">
                  <c:v>44774</c:v>
                </c:pt>
                <c:pt idx="69">
                  <c:v>44781</c:v>
                </c:pt>
                <c:pt idx="70">
                  <c:v>44788</c:v>
                </c:pt>
                <c:pt idx="71">
                  <c:v>44795</c:v>
                </c:pt>
                <c:pt idx="72">
                  <c:v>44802</c:v>
                </c:pt>
                <c:pt idx="73">
                  <c:v>44809</c:v>
                </c:pt>
                <c:pt idx="74">
                  <c:v>44816</c:v>
                </c:pt>
                <c:pt idx="75">
                  <c:v>44823</c:v>
                </c:pt>
                <c:pt idx="76">
                  <c:v>44830</c:v>
                </c:pt>
                <c:pt idx="77">
                  <c:v>44837</c:v>
                </c:pt>
                <c:pt idx="78">
                  <c:v>44844</c:v>
                </c:pt>
                <c:pt idx="79">
                  <c:v>44851</c:v>
                </c:pt>
                <c:pt idx="80">
                  <c:v>44858</c:v>
                </c:pt>
                <c:pt idx="81">
                  <c:v>44865</c:v>
                </c:pt>
                <c:pt idx="82">
                  <c:v>44872</c:v>
                </c:pt>
                <c:pt idx="83">
                  <c:v>44879</c:v>
                </c:pt>
                <c:pt idx="84">
                  <c:v>44886</c:v>
                </c:pt>
                <c:pt idx="85">
                  <c:v>44893</c:v>
                </c:pt>
                <c:pt idx="86">
                  <c:v>44900</c:v>
                </c:pt>
                <c:pt idx="87">
                  <c:v>44907</c:v>
                </c:pt>
                <c:pt idx="88">
                  <c:v>44914</c:v>
                </c:pt>
                <c:pt idx="89">
                  <c:v>44921</c:v>
                </c:pt>
                <c:pt idx="90">
                  <c:v>44928</c:v>
                </c:pt>
                <c:pt idx="91">
                  <c:v>44935</c:v>
                </c:pt>
                <c:pt idx="92">
                  <c:v>44942</c:v>
                </c:pt>
                <c:pt idx="93">
                  <c:v>44949</c:v>
                </c:pt>
                <c:pt idx="94">
                  <c:v>44956</c:v>
                </c:pt>
                <c:pt idx="95">
                  <c:v>44963</c:v>
                </c:pt>
                <c:pt idx="96">
                  <c:v>44970</c:v>
                </c:pt>
                <c:pt idx="97">
                  <c:v>44977</c:v>
                </c:pt>
                <c:pt idx="98">
                  <c:v>44984</c:v>
                </c:pt>
                <c:pt idx="99">
                  <c:v>44991</c:v>
                </c:pt>
                <c:pt idx="100">
                  <c:v>44998</c:v>
                </c:pt>
                <c:pt idx="101">
                  <c:v>45005</c:v>
                </c:pt>
                <c:pt idx="102">
                  <c:v>45012</c:v>
                </c:pt>
                <c:pt idx="103">
                  <c:v>45019</c:v>
                </c:pt>
                <c:pt idx="104">
                  <c:v>45026</c:v>
                </c:pt>
                <c:pt idx="105">
                  <c:v>45033</c:v>
                </c:pt>
                <c:pt idx="106">
                  <c:v>45040</c:v>
                </c:pt>
                <c:pt idx="107">
                  <c:v>45047</c:v>
                </c:pt>
                <c:pt idx="108">
                  <c:v>45054</c:v>
                </c:pt>
                <c:pt idx="109">
                  <c:v>45061</c:v>
                </c:pt>
                <c:pt idx="110">
                  <c:v>45068</c:v>
                </c:pt>
                <c:pt idx="111">
                  <c:v>45075</c:v>
                </c:pt>
                <c:pt idx="112">
                  <c:v>45082</c:v>
                </c:pt>
                <c:pt idx="113">
                  <c:v>45089</c:v>
                </c:pt>
                <c:pt idx="114">
                  <c:v>45096</c:v>
                </c:pt>
                <c:pt idx="115">
                  <c:v>45103</c:v>
                </c:pt>
                <c:pt idx="116">
                  <c:v>45110</c:v>
                </c:pt>
                <c:pt idx="117">
                  <c:v>45117</c:v>
                </c:pt>
                <c:pt idx="118">
                  <c:v>45124</c:v>
                </c:pt>
                <c:pt idx="119">
                  <c:v>45131</c:v>
                </c:pt>
                <c:pt idx="120">
                  <c:v>45138</c:v>
                </c:pt>
                <c:pt idx="121">
                  <c:v>45145</c:v>
                </c:pt>
                <c:pt idx="122">
                  <c:v>45152</c:v>
                </c:pt>
                <c:pt idx="123">
                  <c:v>45159</c:v>
                </c:pt>
                <c:pt idx="124">
                  <c:v>45166</c:v>
                </c:pt>
                <c:pt idx="125">
                  <c:v>45173</c:v>
                </c:pt>
                <c:pt idx="126">
                  <c:v>45180</c:v>
                </c:pt>
                <c:pt idx="127">
                  <c:v>45187</c:v>
                </c:pt>
                <c:pt idx="128">
                  <c:v>45194</c:v>
                </c:pt>
                <c:pt idx="129">
                  <c:v>45201</c:v>
                </c:pt>
                <c:pt idx="130">
                  <c:v>45208</c:v>
                </c:pt>
                <c:pt idx="131">
                  <c:v>45215</c:v>
                </c:pt>
                <c:pt idx="132">
                  <c:v>45222</c:v>
                </c:pt>
                <c:pt idx="133">
                  <c:v>45229</c:v>
                </c:pt>
                <c:pt idx="134">
                  <c:v>45236</c:v>
                </c:pt>
                <c:pt idx="135">
                  <c:v>45243</c:v>
                </c:pt>
                <c:pt idx="136">
                  <c:v>45250</c:v>
                </c:pt>
                <c:pt idx="137">
                  <c:v>45257</c:v>
                </c:pt>
                <c:pt idx="138">
                  <c:v>45264</c:v>
                </c:pt>
                <c:pt idx="139">
                  <c:v>45271</c:v>
                </c:pt>
                <c:pt idx="140">
                  <c:v>45278</c:v>
                </c:pt>
                <c:pt idx="141">
                  <c:v>45285</c:v>
                </c:pt>
                <c:pt idx="142">
                  <c:v>45292</c:v>
                </c:pt>
                <c:pt idx="143">
                  <c:v>45299</c:v>
                </c:pt>
                <c:pt idx="144">
                  <c:v>45306</c:v>
                </c:pt>
                <c:pt idx="145">
                  <c:v>45313</c:v>
                </c:pt>
                <c:pt idx="146">
                  <c:v>45320</c:v>
                </c:pt>
                <c:pt idx="147">
                  <c:v>45327</c:v>
                </c:pt>
                <c:pt idx="148">
                  <c:v>45334</c:v>
                </c:pt>
                <c:pt idx="149">
                  <c:v>45341</c:v>
                </c:pt>
                <c:pt idx="150">
                  <c:v>45348</c:v>
                </c:pt>
                <c:pt idx="151">
                  <c:v>45355</c:v>
                </c:pt>
                <c:pt idx="152">
                  <c:v>45362</c:v>
                </c:pt>
                <c:pt idx="153">
                  <c:v>45369</c:v>
                </c:pt>
                <c:pt idx="154">
                  <c:v>45376</c:v>
                </c:pt>
                <c:pt idx="155">
                  <c:v>45383</c:v>
                </c:pt>
                <c:pt idx="156">
                  <c:v>45386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9.82</c:v>
                </c:pt>
                <c:pt idx="1">
                  <c:v>9.83</c:v>
                </c:pt>
                <c:pt idx="2">
                  <c:v>9.7810000000000006</c:v>
                </c:pt>
                <c:pt idx="3">
                  <c:v>9.7449999999999992</c:v>
                </c:pt>
                <c:pt idx="4">
                  <c:v>9.77</c:v>
                </c:pt>
                <c:pt idx="5">
                  <c:v>9.8000000000000007</c:v>
                </c:pt>
                <c:pt idx="6">
                  <c:v>9.74</c:v>
                </c:pt>
                <c:pt idx="7">
                  <c:v>9.7550000000000008</c:v>
                </c:pt>
                <c:pt idx="8">
                  <c:v>9.77</c:v>
                </c:pt>
                <c:pt idx="9">
                  <c:v>9.73</c:v>
                </c:pt>
                <c:pt idx="10">
                  <c:v>9.76</c:v>
                </c:pt>
                <c:pt idx="11">
                  <c:v>9.7200000000000006</c:v>
                </c:pt>
                <c:pt idx="12">
                  <c:v>9.6999999999999993</c:v>
                </c:pt>
                <c:pt idx="13">
                  <c:v>9.76</c:v>
                </c:pt>
                <c:pt idx="14">
                  <c:v>9.7200000000000006</c:v>
                </c:pt>
                <c:pt idx="15">
                  <c:v>9.74</c:v>
                </c:pt>
                <c:pt idx="16">
                  <c:v>9.7189999999999994</c:v>
                </c:pt>
                <c:pt idx="17">
                  <c:v>9.6999999999999993</c:v>
                </c:pt>
                <c:pt idx="18">
                  <c:v>9.65</c:v>
                </c:pt>
                <c:pt idx="19">
                  <c:v>9.7100000000000009</c:v>
                </c:pt>
                <c:pt idx="20">
                  <c:v>9.7200000000000006</c:v>
                </c:pt>
                <c:pt idx="21">
                  <c:v>9.73</c:v>
                </c:pt>
                <c:pt idx="22">
                  <c:v>9.77</c:v>
                </c:pt>
                <c:pt idx="23">
                  <c:v>9.7200000000000006</c:v>
                </c:pt>
                <c:pt idx="24">
                  <c:v>9.74</c:v>
                </c:pt>
                <c:pt idx="25">
                  <c:v>9.76</c:v>
                </c:pt>
                <c:pt idx="26">
                  <c:v>9.73</c:v>
                </c:pt>
                <c:pt idx="27">
                  <c:v>9.75</c:v>
                </c:pt>
                <c:pt idx="28">
                  <c:v>9.74</c:v>
                </c:pt>
                <c:pt idx="29">
                  <c:v>9.75</c:v>
                </c:pt>
                <c:pt idx="30">
                  <c:v>9.75</c:v>
                </c:pt>
                <c:pt idx="31">
                  <c:v>9.76</c:v>
                </c:pt>
                <c:pt idx="32">
                  <c:v>9.76</c:v>
                </c:pt>
                <c:pt idx="33">
                  <c:v>11.9</c:v>
                </c:pt>
                <c:pt idx="34">
                  <c:v>13.47</c:v>
                </c:pt>
                <c:pt idx="35">
                  <c:v>12.04</c:v>
                </c:pt>
                <c:pt idx="36">
                  <c:v>11.7</c:v>
                </c:pt>
                <c:pt idx="37">
                  <c:v>10.83</c:v>
                </c:pt>
                <c:pt idx="38">
                  <c:v>11.62</c:v>
                </c:pt>
                <c:pt idx="39">
                  <c:v>12.3</c:v>
                </c:pt>
                <c:pt idx="40">
                  <c:v>11.86</c:v>
                </c:pt>
                <c:pt idx="41">
                  <c:v>11.48</c:v>
                </c:pt>
                <c:pt idx="42">
                  <c:v>12.77</c:v>
                </c:pt>
                <c:pt idx="43">
                  <c:v>14.37</c:v>
                </c:pt>
                <c:pt idx="44">
                  <c:v>14.13</c:v>
                </c:pt>
                <c:pt idx="45">
                  <c:v>12.72</c:v>
                </c:pt>
                <c:pt idx="46">
                  <c:v>12.37</c:v>
                </c:pt>
                <c:pt idx="47">
                  <c:v>11.71</c:v>
                </c:pt>
                <c:pt idx="48">
                  <c:v>11.76</c:v>
                </c:pt>
                <c:pt idx="49">
                  <c:v>11.68</c:v>
                </c:pt>
                <c:pt idx="50">
                  <c:v>11.59</c:v>
                </c:pt>
                <c:pt idx="51">
                  <c:v>11.34</c:v>
                </c:pt>
                <c:pt idx="52">
                  <c:v>11.33</c:v>
                </c:pt>
                <c:pt idx="53">
                  <c:v>11.48</c:v>
                </c:pt>
                <c:pt idx="54">
                  <c:v>12.48</c:v>
                </c:pt>
                <c:pt idx="55">
                  <c:v>11.7</c:v>
                </c:pt>
                <c:pt idx="56">
                  <c:v>10.97</c:v>
                </c:pt>
                <c:pt idx="57">
                  <c:v>11.12</c:v>
                </c:pt>
                <c:pt idx="58">
                  <c:v>10.7</c:v>
                </c:pt>
                <c:pt idx="59">
                  <c:v>10.55</c:v>
                </c:pt>
                <c:pt idx="60">
                  <c:v>10.24</c:v>
                </c:pt>
                <c:pt idx="61">
                  <c:v>10.09</c:v>
                </c:pt>
                <c:pt idx="62">
                  <c:v>10.07</c:v>
                </c:pt>
                <c:pt idx="63">
                  <c:v>9.99</c:v>
                </c:pt>
                <c:pt idx="64">
                  <c:v>10.01</c:v>
                </c:pt>
                <c:pt idx="65">
                  <c:v>10.06</c:v>
                </c:pt>
                <c:pt idx="66">
                  <c:v>10.06</c:v>
                </c:pt>
                <c:pt idx="67">
                  <c:v>10.039999999999999</c:v>
                </c:pt>
                <c:pt idx="68">
                  <c:v>10.039999999999999</c:v>
                </c:pt>
                <c:pt idx="69">
                  <c:v>10.220000000000001</c:v>
                </c:pt>
                <c:pt idx="70">
                  <c:v>10.11</c:v>
                </c:pt>
                <c:pt idx="71">
                  <c:v>10.08</c:v>
                </c:pt>
                <c:pt idx="72">
                  <c:v>11.75</c:v>
                </c:pt>
                <c:pt idx="73">
                  <c:v>11.98</c:v>
                </c:pt>
                <c:pt idx="74">
                  <c:v>12.04</c:v>
                </c:pt>
                <c:pt idx="75">
                  <c:v>12.03</c:v>
                </c:pt>
                <c:pt idx="76">
                  <c:v>12.25</c:v>
                </c:pt>
                <c:pt idx="77">
                  <c:v>12.27</c:v>
                </c:pt>
                <c:pt idx="78">
                  <c:v>9.3000000000000007</c:v>
                </c:pt>
                <c:pt idx="79">
                  <c:v>7.28</c:v>
                </c:pt>
                <c:pt idx="80">
                  <c:v>11.52</c:v>
                </c:pt>
                <c:pt idx="81">
                  <c:v>13.06</c:v>
                </c:pt>
                <c:pt idx="82">
                  <c:v>12.91</c:v>
                </c:pt>
                <c:pt idx="83">
                  <c:v>9.9700000000000006</c:v>
                </c:pt>
                <c:pt idx="84">
                  <c:v>9.5299999999999994</c:v>
                </c:pt>
                <c:pt idx="85">
                  <c:v>8.76</c:v>
                </c:pt>
                <c:pt idx="86">
                  <c:v>7.78</c:v>
                </c:pt>
                <c:pt idx="87">
                  <c:v>7.78</c:v>
                </c:pt>
                <c:pt idx="88">
                  <c:v>6.38</c:v>
                </c:pt>
                <c:pt idx="89">
                  <c:v>5.95</c:v>
                </c:pt>
                <c:pt idx="90">
                  <c:v>6.76</c:v>
                </c:pt>
                <c:pt idx="91">
                  <c:v>9.33</c:v>
                </c:pt>
                <c:pt idx="92">
                  <c:v>9.5950000000000006</c:v>
                </c:pt>
                <c:pt idx="93">
                  <c:v>9.9499999999999993</c:v>
                </c:pt>
                <c:pt idx="94">
                  <c:v>10.09</c:v>
                </c:pt>
                <c:pt idx="95">
                  <c:v>8.8699999999999992</c:v>
                </c:pt>
                <c:pt idx="96">
                  <c:v>9.26</c:v>
                </c:pt>
                <c:pt idx="97">
                  <c:v>8.56</c:v>
                </c:pt>
                <c:pt idx="98">
                  <c:v>8.48</c:v>
                </c:pt>
                <c:pt idx="99">
                  <c:v>8.8800000000000008</c:v>
                </c:pt>
                <c:pt idx="100">
                  <c:v>7.96</c:v>
                </c:pt>
                <c:pt idx="101">
                  <c:v>8.32</c:v>
                </c:pt>
                <c:pt idx="102">
                  <c:v>10</c:v>
                </c:pt>
                <c:pt idx="103">
                  <c:v>8.94</c:v>
                </c:pt>
                <c:pt idx="104">
                  <c:v>9.34</c:v>
                </c:pt>
                <c:pt idx="105">
                  <c:v>8.68</c:v>
                </c:pt>
                <c:pt idx="106">
                  <c:v>7.96</c:v>
                </c:pt>
                <c:pt idx="107">
                  <c:v>9.48</c:v>
                </c:pt>
                <c:pt idx="108">
                  <c:v>9.91</c:v>
                </c:pt>
                <c:pt idx="109">
                  <c:v>9.6999999999999993</c:v>
                </c:pt>
                <c:pt idx="110">
                  <c:v>9.5500000000000007</c:v>
                </c:pt>
                <c:pt idx="111">
                  <c:v>10</c:v>
                </c:pt>
                <c:pt idx="112">
                  <c:v>10.36</c:v>
                </c:pt>
                <c:pt idx="113">
                  <c:v>9.36</c:v>
                </c:pt>
                <c:pt idx="114">
                  <c:v>9.23</c:v>
                </c:pt>
                <c:pt idx="115">
                  <c:v>8.92</c:v>
                </c:pt>
                <c:pt idx="116">
                  <c:v>8.44</c:v>
                </c:pt>
                <c:pt idx="117">
                  <c:v>8.3000000000000007</c:v>
                </c:pt>
                <c:pt idx="118">
                  <c:v>7.94</c:v>
                </c:pt>
                <c:pt idx="119">
                  <c:v>8.5500000000000007</c:v>
                </c:pt>
                <c:pt idx="120">
                  <c:v>8.14</c:v>
                </c:pt>
                <c:pt idx="121">
                  <c:v>8.2200000000000006</c:v>
                </c:pt>
                <c:pt idx="122">
                  <c:v>7.02</c:v>
                </c:pt>
                <c:pt idx="123">
                  <c:v>7.35</c:v>
                </c:pt>
                <c:pt idx="124">
                  <c:v>7.88</c:v>
                </c:pt>
                <c:pt idx="125">
                  <c:v>7.12</c:v>
                </c:pt>
                <c:pt idx="126">
                  <c:v>6.79</c:v>
                </c:pt>
                <c:pt idx="127">
                  <c:v>4.8600000000000003</c:v>
                </c:pt>
                <c:pt idx="128">
                  <c:v>5.0999999999999996</c:v>
                </c:pt>
                <c:pt idx="129">
                  <c:v>5.05</c:v>
                </c:pt>
                <c:pt idx="130">
                  <c:v>5.04</c:v>
                </c:pt>
                <c:pt idx="131">
                  <c:v>5.22</c:v>
                </c:pt>
                <c:pt idx="132">
                  <c:v>4.83</c:v>
                </c:pt>
                <c:pt idx="133">
                  <c:v>5</c:v>
                </c:pt>
                <c:pt idx="134">
                  <c:v>4.6900000000000004</c:v>
                </c:pt>
                <c:pt idx="135">
                  <c:v>5.0599999999999996</c:v>
                </c:pt>
                <c:pt idx="136">
                  <c:v>5.14</c:v>
                </c:pt>
                <c:pt idx="137">
                  <c:v>4.62</c:v>
                </c:pt>
                <c:pt idx="138">
                  <c:v>4.6900000000000004</c:v>
                </c:pt>
                <c:pt idx="139">
                  <c:v>4.8499999999999996</c:v>
                </c:pt>
                <c:pt idx="140">
                  <c:v>4.8499999999999996</c:v>
                </c:pt>
                <c:pt idx="141">
                  <c:v>4.49</c:v>
                </c:pt>
                <c:pt idx="142">
                  <c:v>4.3099999999999996</c:v>
                </c:pt>
                <c:pt idx="143">
                  <c:v>3.39</c:v>
                </c:pt>
                <c:pt idx="144">
                  <c:v>3.59</c:v>
                </c:pt>
                <c:pt idx="145">
                  <c:v>6.04</c:v>
                </c:pt>
                <c:pt idx="146">
                  <c:v>6.91</c:v>
                </c:pt>
                <c:pt idx="147">
                  <c:v>7.89</c:v>
                </c:pt>
                <c:pt idx="148">
                  <c:v>7.52</c:v>
                </c:pt>
                <c:pt idx="149">
                  <c:v>6.7</c:v>
                </c:pt>
                <c:pt idx="150">
                  <c:v>6.61</c:v>
                </c:pt>
                <c:pt idx="151">
                  <c:v>6.74</c:v>
                </c:pt>
                <c:pt idx="152">
                  <c:v>7.72</c:v>
                </c:pt>
                <c:pt idx="153">
                  <c:v>7.29</c:v>
                </c:pt>
                <c:pt idx="154">
                  <c:v>8.08</c:v>
                </c:pt>
                <c:pt idx="155">
                  <c:v>6.68</c:v>
                </c:pt>
                <c:pt idx="156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-32,82%</c:v>
                </c:pt>
                <c:pt idx="1">
                  <c:v>-32,82% to -26,20%</c:v>
                </c:pt>
                <c:pt idx="2">
                  <c:v>-26,20% to -19,58%</c:v>
                </c:pt>
                <c:pt idx="3">
                  <c:v>-19,58% to -12,96%</c:v>
                </c:pt>
                <c:pt idx="4">
                  <c:v>-12,96% to -6,33%</c:v>
                </c:pt>
                <c:pt idx="5">
                  <c:v>-6,33% to 0,29%</c:v>
                </c:pt>
                <c:pt idx="6">
                  <c:v>0,29% to 6,91%</c:v>
                </c:pt>
                <c:pt idx="7">
                  <c:v>6,91% to 13,53%</c:v>
                </c:pt>
                <c:pt idx="8">
                  <c:v>13,53% to 20,16%</c:v>
                </c:pt>
                <c:pt idx="9">
                  <c:v>20,16% to 26,78%</c:v>
                </c:pt>
                <c:pt idx="10">
                  <c:v>26,78% to 33,40%</c:v>
                </c:pt>
                <c:pt idx="11">
                  <c:v>Greater than 33,40%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18</c:v>
                </c:pt>
                <c:pt idx="5">
                  <c:v>75</c:v>
                </c:pt>
                <c:pt idx="6">
                  <c:v>34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1"/>
  <sheetViews>
    <sheetView tabSelected="1" workbookViewId="0">
      <selection activeCell="E35" sqref="E35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48</v>
      </c>
      <c r="F2" s="61" t="s">
        <v>49</v>
      </c>
      <c r="G2" s="25"/>
      <c r="H2" s="26" t="s">
        <v>56</v>
      </c>
      <c r="I2" s="26" t="s">
        <v>1</v>
      </c>
      <c r="J2" s="27" t="s">
        <v>49</v>
      </c>
      <c r="L2" s="30" t="s">
        <v>42</v>
      </c>
      <c r="M2" s="31" t="s">
        <v>58</v>
      </c>
      <c r="N2" s="32" t="s">
        <v>57</v>
      </c>
    </row>
    <row r="3" spans="2:14" x14ac:dyDescent="0.25">
      <c r="B3" s="5" t="s">
        <v>41</v>
      </c>
      <c r="C3" s="20">
        <v>45387</v>
      </c>
      <c r="E3" s="5" t="s">
        <v>136</v>
      </c>
      <c r="F3" s="28" t="s">
        <v>137</v>
      </c>
      <c r="H3" t="s">
        <v>156</v>
      </c>
      <c r="I3" s="10">
        <v>31776</v>
      </c>
      <c r="J3" s="39">
        <f>I3/($C$7*100)</f>
        <v>8.2308086810196175E-4</v>
      </c>
      <c r="L3" s="5" t="s">
        <v>167</v>
      </c>
      <c r="M3" t="s">
        <v>168</v>
      </c>
      <c r="N3" s="38"/>
    </row>
    <row r="4" spans="2:14" x14ac:dyDescent="0.25">
      <c r="B4" s="5"/>
      <c r="C4" s="21">
        <v>0.59583333333333333</v>
      </c>
      <c r="E4" s="5" t="s">
        <v>138</v>
      </c>
      <c r="F4" s="28" t="s">
        <v>139</v>
      </c>
      <c r="H4" t="s">
        <v>158</v>
      </c>
      <c r="I4" s="10">
        <v>36948</v>
      </c>
      <c r="J4" s="39">
        <f>I4/($C$7*100)</f>
        <v>9.5704909096901061E-4</v>
      </c>
      <c r="L4" s="5" t="s">
        <v>169</v>
      </c>
      <c r="M4" t="s">
        <v>170</v>
      </c>
      <c r="N4" s="13"/>
    </row>
    <row r="5" spans="2:14" x14ac:dyDescent="0.25">
      <c r="B5" s="5"/>
      <c r="C5" s="13"/>
      <c r="E5" s="5" t="s">
        <v>140</v>
      </c>
      <c r="F5" s="28" t="s">
        <v>141</v>
      </c>
      <c r="H5" t="s">
        <v>159</v>
      </c>
      <c r="I5" s="10">
        <v>15383900</v>
      </c>
      <c r="J5" s="39">
        <f>I5/($C$7*100)</f>
        <v>0.39848293576264376</v>
      </c>
      <c r="L5" s="5" t="s">
        <v>171</v>
      </c>
      <c r="M5" t="s">
        <v>172</v>
      </c>
      <c r="N5" s="13"/>
    </row>
    <row r="6" spans="2:14" x14ac:dyDescent="0.25">
      <c r="B6" s="5" t="s">
        <v>0</v>
      </c>
      <c r="C6" s="13">
        <v>6.67</v>
      </c>
      <c r="E6" s="5" t="s">
        <v>142</v>
      </c>
      <c r="F6" s="28" t="s">
        <v>143</v>
      </c>
      <c r="H6" t="s">
        <v>160</v>
      </c>
      <c r="I6" s="10">
        <v>38329</v>
      </c>
      <c r="J6" s="39">
        <f>I6/($C$7*100)</f>
        <v>9.9282057507175513E-4</v>
      </c>
      <c r="L6" s="5" t="s">
        <v>173</v>
      </c>
      <c r="M6" t="s">
        <v>157</v>
      </c>
      <c r="N6" s="13"/>
    </row>
    <row r="7" spans="2:14" x14ac:dyDescent="0.25">
      <c r="B7" s="5" t="s">
        <v>1</v>
      </c>
      <c r="C7" s="15">
        <f>115125.67+165153.628+105782.403</f>
        <v>386061.701</v>
      </c>
      <c r="E7" s="5" t="s">
        <v>144</v>
      </c>
      <c r="F7" s="28" t="s">
        <v>145</v>
      </c>
      <c r="H7" t="s">
        <v>161</v>
      </c>
      <c r="I7" s="10">
        <v>27624</v>
      </c>
      <c r="J7" s="39">
        <f>I7/($C$7*100)</f>
        <v>7.1553329243607099E-4</v>
      </c>
      <c r="L7" s="5" t="s">
        <v>174</v>
      </c>
      <c r="M7" t="s">
        <v>163</v>
      </c>
      <c r="N7" s="13"/>
    </row>
    <row r="8" spans="2:14" x14ac:dyDescent="0.25">
      <c r="B8" s="5" t="s">
        <v>2</v>
      </c>
      <c r="C8" s="15">
        <f>C6*C7</f>
        <v>2575031.5456699999</v>
      </c>
      <c r="E8" s="5" t="s">
        <v>146</v>
      </c>
      <c r="F8" s="28" t="s">
        <v>147</v>
      </c>
      <c r="H8" t="s">
        <v>162</v>
      </c>
      <c r="I8" s="10">
        <v>31776</v>
      </c>
      <c r="J8" s="39">
        <f>I8/($C$7*100)</f>
        <v>8.2308086810196175E-4</v>
      </c>
      <c r="L8" s="5" t="s">
        <v>175</v>
      </c>
      <c r="M8" t="s">
        <v>176</v>
      </c>
      <c r="N8" s="13"/>
    </row>
    <row r="9" spans="2:14" x14ac:dyDescent="0.25">
      <c r="B9" s="5" t="s">
        <v>3</v>
      </c>
      <c r="C9" s="15">
        <f>Model!E38+Model!E39</f>
        <v>219473.85800000001</v>
      </c>
      <c r="E9" s="5" t="s">
        <v>148</v>
      </c>
      <c r="F9" s="28" t="s">
        <v>149</v>
      </c>
      <c r="H9" t="s">
        <v>164</v>
      </c>
      <c r="I9" s="10">
        <v>1193740</v>
      </c>
      <c r="J9" s="39">
        <f>I9/($C$7*100)</f>
        <v>3.0920964107755407E-2</v>
      </c>
      <c r="L9" s="5" t="s">
        <v>177</v>
      </c>
      <c r="M9" t="s">
        <v>178</v>
      </c>
      <c r="N9" s="13"/>
    </row>
    <row r="10" spans="2:14" x14ac:dyDescent="0.25">
      <c r="B10" s="5" t="s">
        <v>4</v>
      </c>
      <c r="C10" s="15">
        <v>0</v>
      </c>
      <c r="E10" s="5" t="s">
        <v>150</v>
      </c>
      <c r="F10" s="28" t="s">
        <v>151</v>
      </c>
      <c r="H10" t="s">
        <v>165</v>
      </c>
      <c r="I10" s="10">
        <v>6203</v>
      </c>
      <c r="J10" s="39">
        <f>I10/($C$7*100)</f>
        <v>1.6067379861645483E-4</v>
      </c>
      <c r="L10" s="5"/>
      <c r="N10" s="13"/>
    </row>
    <row r="11" spans="2:14" x14ac:dyDescent="0.25">
      <c r="B11" s="5" t="s">
        <v>36</v>
      </c>
      <c r="C11" s="15">
        <f>C9-C10</f>
        <v>219473.85800000001</v>
      </c>
      <c r="E11" s="5" t="s">
        <v>152</v>
      </c>
      <c r="F11" s="28" t="s">
        <v>153</v>
      </c>
      <c r="H11" t="s">
        <v>166</v>
      </c>
      <c r="I11" s="10">
        <v>34530</v>
      </c>
      <c r="J11" s="39">
        <f>I11/($C$7*100)</f>
        <v>8.9441661554508873E-4</v>
      </c>
      <c r="L11" s="5"/>
      <c r="N11" s="13"/>
    </row>
    <row r="12" spans="2:14" x14ac:dyDescent="0.25">
      <c r="B12" s="5" t="s">
        <v>5</v>
      </c>
      <c r="C12" s="15">
        <f>C8-C9+C10</f>
        <v>2355557.6876699999</v>
      </c>
      <c r="E12" s="5" t="s">
        <v>154</v>
      </c>
      <c r="F12" s="28" t="s">
        <v>155</v>
      </c>
      <c r="J12" s="13"/>
      <c r="L12" s="5"/>
      <c r="N12" s="13"/>
    </row>
    <row r="13" spans="2:14" x14ac:dyDescent="0.25">
      <c r="B13" s="5" t="s">
        <v>47</v>
      </c>
      <c r="C13" s="36">
        <f>C6/Model!E22</f>
        <v>-11.541100747993937</v>
      </c>
      <c r="E13" s="5"/>
      <c r="J13" s="13"/>
      <c r="L13" s="5"/>
      <c r="N13" s="13"/>
    </row>
    <row r="14" spans="2:14" x14ac:dyDescent="0.25">
      <c r="B14" s="5" t="s">
        <v>45</v>
      </c>
      <c r="C14" s="36">
        <f>C6/Model!F23</f>
        <v>-10.421875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46</v>
      </c>
      <c r="C15" s="36">
        <f>C6/Model!G23</f>
        <v>-26.68</v>
      </c>
    </row>
    <row r="16" spans="2:14" x14ac:dyDescent="0.25">
      <c r="B16" s="5" t="s">
        <v>43</v>
      </c>
      <c r="C16" s="6">
        <f>Model!F23/Model!E22-1</f>
        <v>0.10739197581950832</v>
      </c>
    </row>
    <row r="17" spans="2:14" x14ac:dyDescent="0.25">
      <c r="B17" s="5" t="s">
        <v>44</v>
      </c>
      <c r="C17" s="6">
        <f>Model!G23/Model!F23-1</f>
        <v>-0.609375</v>
      </c>
      <c r="E17" s="33" t="s">
        <v>54</v>
      </c>
      <c r="L17" s="122"/>
      <c r="M17" s="123"/>
      <c r="N17" s="124"/>
    </row>
    <row r="18" spans="2:14" x14ac:dyDescent="0.25">
      <c r="B18" s="5" t="s">
        <v>70</v>
      </c>
      <c r="C18" s="53">
        <f>C14/C16</f>
        <v>-97.045192813249372</v>
      </c>
      <c r="L18" s="125"/>
      <c r="M18" s="126"/>
      <c r="N18" s="127"/>
    </row>
    <row r="19" spans="2:14" x14ac:dyDescent="0.25">
      <c r="B19" s="5" t="s">
        <v>71</v>
      </c>
      <c r="C19" s="53">
        <f>C15/C17</f>
        <v>43.782564102564102</v>
      </c>
      <c r="L19" s="125"/>
      <c r="M19" s="126"/>
      <c r="N19" s="127"/>
    </row>
    <row r="20" spans="2:14" x14ac:dyDescent="0.25">
      <c r="B20" s="5" t="s">
        <v>81</v>
      </c>
      <c r="C20" s="6">
        <f>Model!F6/Model!E5-1</f>
        <v>0.26637388517443505</v>
      </c>
      <c r="L20" s="125"/>
      <c r="M20" s="126"/>
      <c r="N20" s="127"/>
    </row>
    <row r="21" spans="2:14" x14ac:dyDescent="0.25">
      <c r="B21" s="5" t="s">
        <v>82</v>
      </c>
      <c r="C21" s="6">
        <f>Model!G6/Model!F6-1</f>
        <v>8.4950746123085841E-2</v>
      </c>
      <c r="L21" s="125"/>
      <c r="M21" s="126"/>
      <c r="N21" s="127"/>
    </row>
    <row r="22" spans="2:14" x14ac:dyDescent="0.25">
      <c r="B22" s="5" t="s">
        <v>72</v>
      </c>
      <c r="C22" s="15">
        <f>Model!E18+Model!E12</f>
        <v>-114861.353</v>
      </c>
      <c r="L22" s="125"/>
      <c r="M22" s="126"/>
      <c r="N22" s="127"/>
    </row>
    <row r="23" spans="2:14" x14ac:dyDescent="0.25">
      <c r="B23" s="5" t="s">
        <v>18</v>
      </c>
      <c r="C23" s="15">
        <f>Model!E18</f>
        <v>-119712.16500000001</v>
      </c>
      <c r="L23" s="125"/>
      <c r="M23" s="126"/>
      <c r="N23" s="127"/>
    </row>
    <row r="24" spans="2:14" x14ac:dyDescent="0.25">
      <c r="B24" s="5" t="s">
        <v>29</v>
      </c>
      <c r="C24" s="7">
        <f>Model!E24</f>
        <v>-0.80521867824038273</v>
      </c>
      <c r="L24" s="125"/>
      <c r="M24" s="126"/>
      <c r="N24" s="127"/>
    </row>
    <row r="25" spans="2:14" x14ac:dyDescent="0.25">
      <c r="B25" s="5" t="s">
        <v>30</v>
      </c>
      <c r="C25" s="7">
        <f>Model!E25</f>
        <v>-1.4379384841192109</v>
      </c>
      <c r="L25" s="125"/>
      <c r="M25" s="126"/>
      <c r="N25" s="127"/>
    </row>
    <row r="26" spans="2:14" x14ac:dyDescent="0.25">
      <c r="B26" s="5" t="s">
        <v>73</v>
      </c>
      <c r="C26" s="36">
        <f>C12/C23</f>
        <v>-19.676844769034123</v>
      </c>
      <c r="L26" s="125"/>
      <c r="M26" s="126"/>
      <c r="N26" s="127"/>
    </row>
    <row r="27" spans="2:14" x14ac:dyDescent="0.25">
      <c r="B27" s="5" t="s">
        <v>83</v>
      </c>
      <c r="C27" s="157"/>
      <c r="D27" t="s">
        <v>196</v>
      </c>
      <c r="E27" t="s">
        <v>75</v>
      </c>
      <c r="L27" s="125"/>
      <c r="M27" s="126"/>
      <c r="N27" s="127"/>
    </row>
    <row r="28" spans="2:14" x14ac:dyDescent="0.25">
      <c r="B28" s="5" t="s">
        <v>84</v>
      </c>
      <c r="C28" s="158"/>
      <c r="D28" t="s">
        <v>196</v>
      </c>
      <c r="L28" s="128"/>
      <c r="M28" s="129"/>
      <c r="N28" s="130"/>
    </row>
    <row r="29" spans="2:14" x14ac:dyDescent="0.25">
      <c r="B29" s="5" t="s">
        <v>85</v>
      </c>
      <c r="C29" s="36" t="e">
        <f>Model!O31/Model!O42</f>
        <v>#DIV/0!</v>
      </c>
    </row>
    <row r="30" spans="2:14" x14ac:dyDescent="0.25">
      <c r="B30" s="5" t="s">
        <v>86</v>
      </c>
      <c r="C30" s="36" t="e">
        <f>(Model!O25+Model!O26)/Model!O42</f>
        <v>#DIV/0!</v>
      </c>
    </row>
    <row r="31" spans="2:14" x14ac:dyDescent="0.25">
      <c r="B31" s="5" t="s">
        <v>87</v>
      </c>
      <c r="C31" s="6" t="e">
        <f>(Model!O31-Model!O42)/Model!O37</f>
        <v>#DIV/0!</v>
      </c>
    </row>
    <row r="32" spans="2:14" x14ac:dyDescent="0.25">
      <c r="B32" s="5" t="s">
        <v>88</v>
      </c>
      <c r="C32" s="36">
        <f>(Model!O37-Model!O45)/Main!C7</f>
        <v>0</v>
      </c>
    </row>
    <row r="33" spans="2:9" x14ac:dyDescent="0.25">
      <c r="B33" s="5" t="s">
        <v>89</v>
      </c>
      <c r="C33" s="36" t="e">
        <f>Model!O3/Model!O37</f>
        <v>#DIV/0!</v>
      </c>
    </row>
    <row r="34" spans="2:9" x14ac:dyDescent="0.25">
      <c r="B34" s="5" t="s">
        <v>90</v>
      </c>
      <c r="C34" s="39" t="e">
        <f>Model!O10/Model!O37</f>
        <v>#DIV/0!</v>
      </c>
    </row>
    <row r="35" spans="2:9" x14ac:dyDescent="0.25">
      <c r="B35" s="5" t="s">
        <v>91</v>
      </c>
      <c r="C35" s="39" t="e">
        <f>Model!O10/Model!O46</f>
        <v>#DIV/0!</v>
      </c>
    </row>
    <row r="36" spans="2:9" x14ac:dyDescent="0.25">
      <c r="B36" s="22" t="s">
        <v>92</v>
      </c>
      <c r="C36" s="23"/>
    </row>
    <row r="37" spans="2:9" x14ac:dyDescent="0.25">
      <c r="H37" s="60"/>
      <c r="I37" s="60"/>
    </row>
    <row r="38" spans="2:9" x14ac:dyDescent="0.25">
      <c r="H38" s="60"/>
      <c r="I38" s="60"/>
    </row>
    <row r="39" spans="2:9" x14ac:dyDescent="0.25">
      <c r="H39" s="60"/>
      <c r="I39" s="60"/>
    </row>
    <row r="40" spans="2:9" x14ac:dyDescent="0.25">
      <c r="H40" s="60"/>
      <c r="I40" s="60"/>
    </row>
    <row r="41" spans="2:9" x14ac:dyDescent="0.25">
      <c r="E41" s="59"/>
      <c r="F41" s="59"/>
      <c r="G41" s="60"/>
      <c r="H41" s="60"/>
      <c r="I41" s="60"/>
    </row>
    <row r="42" spans="2:9" x14ac:dyDescent="0.25">
      <c r="E42" s="59"/>
      <c r="F42" s="59"/>
      <c r="G42" s="60"/>
      <c r="H42" s="60"/>
      <c r="I42" s="60"/>
    </row>
    <row r="43" spans="2:9" x14ac:dyDescent="0.25">
      <c r="E43" s="59"/>
      <c r="F43" s="59"/>
      <c r="G43" s="60"/>
      <c r="H43" s="60"/>
      <c r="I43" s="60"/>
    </row>
    <row r="44" spans="2:9" x14ac:dyDescent="0.25">
      <c r="E44" s="59"/>
      <c r="F44" s="59"/>
      <c r="G44" s="60"/>
    </row>
    <row r="45" spans="2:9" x14ac:dyDescent="0.25">
      <c r="E45" s="59"/>
      <c r="F45" s="59"/>
      <c r="G45" s="60"/>
    </row>
    <row r="46" spans="2:9" x14ac:dyDescent="0.25">
      <c r="E46" s="59"/>
      <c r="F46" s="59"/>
      <c r="G46" s="60"/>
    </row>
    <row r="47" spans="2:9" x14ac:dyDescent="0.25">
      <c r="E47" s="59"/>
      <c r="F47" s="59"/>
      <c r="G47" s="60"/>
    </row>
    <row r="48" spans="2:9" x14ac:dyDescent="0.25">
      <c r="E48" s="59"/>
      <c r="F48" s="59"/>
      <c r="G48" s="60"/>
    </row>
    <row r="49" spans="5:7" x14ac:dyDescent="0.25">
      <c r="E49" s="59"/>
      <c r="F49" s="59"/>
      <c r="G49" s="60"/>
    </row>
    <row r="50" spans="5:7" x14ac:dyDescent="0.25">
      <c r="E50" s="59"/>
      <c r="F50" s="59"/>
      <c r="G50" s="60"/>
    </row>
    <row r="51" spans="5:7" x14ac:dyDescent="0.25">
      <c r="E51" s="59"/>
      <c r="F51" s="59"/>
      <c r="G51" s="60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W82"/>
  <sheetViews>
    <sheetView zoomScaleNormal="100" workbookViewId="0">
      <pane xSplit="2" ySplit="2" topLeftCell="L3" activePane="bottomRight" state="frozen"/>
      <selection pane="topRight" activeCell="B1" sqref="B1"/>
      <selection pane="bottomLeft" activeCell="A3" sqref="A3"/>
      <selection pane="bottomRight" activeCell="M26" sqref="M26"/>
    </sheetView>
  </sheetViews>
  <sheetFormatPr defaultColWidth="11.42578125" defaultRowHeight="15" x14ac:dyDescent="0.25"/>
  <cols>
    <col min="1" max="1" width="4.7109375" customWidth="1"/>
    <col min="2" max="2" width="27.28515625" customWidth="1"/>
    <col min="5" max="5" width="11.42578125" style="13"/>
    <col min="21" max="21" width="11.42578125" style="13"/>
  </cols>
  <sheetData>
    <row r="1" spans="1:23" x14ac:dyDescent="0.25">
      <c r="A1" s="8" t="s">
        <v>37</v>
      </c>
    </row>
    <row r="2" spans="1:23" x14ac:dyDescent="0.25">
      <c r="C2" t="s">
        <v>14</v>
      </c>
      <c r="D2" t="s">
        <v>15</v>
      </c>
      <c r="E2" s="13" t="s">
        <v>16</v>
      </c>
      <c r="F2" t="s">
        <v>32</v>
      </c>
      <c r="G2" t="s">
        <v>69</v>
      </c>
      <c r="J2" t="s">
        <v>33</v>
      </c>
      <c r="K2" t="s">
        <v>10</v>
      </c>
      <c r="L2" t="s">
        <v>11</v>
      </c>
      <c r="M2" t="s">
        <v>12</v>
      </c>
      <c r="N2" t="s">
        <v>13</v>
      </c>
      <c r="O2" t="s">
        <v>6</v>
      </c>
      <c r="P2" t="s">
        <v>7</v>
      </c>
      <c r="Q2" t="s">
        <v>8</v>
      </c>
      <c r="R2" t="s">
        <v>9</v>
      </c>
      <c r="S2" t="s">
        <v>35</v>
      </c>
      <c r="T2" t="s">
        <v>39</v>
      </c>
      <c r="U2" s="13" t="s">
        <v>40</v>
      </c>
      <c r="V2" t="s">
        <v>63</v>
      </c>
      <c r="W2" t="s">
        <v>67</v>
      </c>
    </row>
    <row r="3" spans="1:23" x14ac:dyDescent="0.25">
      <c r="B3" s="9" t="s">
        <v>179</v>
      </c>
      <c r="C3" s="10">
        <v>6859.0590000000002</v>
      </c>
      <c r="D3" s="10">
        <v>31139.398000000001</v>
      </c>
      <c r="E3" s="15">
        <v>60026.091</v>
      </c>
      <c r="F3" s="10"/>
      <c r="G3" s="10"/>
      <c r="J3" s="10"/>
      <c r="K3" s="10"/>
      <c r="L3" s="10"/>
      <c r="M3" s="10"/>
      <c r="N3" s="10">
        <v>2509.5259999999998</v>
      </c>
      <c r="O3" s="10">
        <v>2247.6799999999998</v>
      </c>
      <c r="P3" s="10">
        <v>9208.6779999999999</v>
      </c>
      <c r="Q3" s="10">
        <f>D3-P3-O3-N3</f>
        <v>17173.514000000003</v>
      </c>
      <c r="R3" s="10">
        <v>14336.45</v>
      </c>
      <c r="S3" s="10">
        <v>20239.816999999999</v>
      </c>
      <c r="T3" s="10">
        <v>11513.208000000001</v>
      </c>
      <c r="U3" s="15">
        <f>E3-T3-S3-R3</f>
        <v>13936.616000000002</v>
      </c>
      <c r="V3" s="10"/>
      <c r="W3" s="10"/>
    </row>
    <row r="4" spans="1:23" x14ac:dyDescent="0.25">
      <c r="B4" s="9" t="s">
        <v>180</v>
      </c>
      <c r="C4" s="10">
        <v>2607.3040000000001</v>
      </c>
      <c r="D4" s="10">
        <v>8244.8860000000004</v>
      </c>
      <c r="E4" s="15">
        <v>20937.36</v>
      </c>
      <c r="F4" s="10"/>
      <c r="G4" s="10"/>
      <c r="J4" s="10"/>
      <c r="K4" s="10"/>
      <c r="L4" s="10"/>
      <c r="M4" s="10"/>
      <c r="N4" s="10">
        <v>1535.239</v>
      </c>
      <c r="O4" s="10">
        <v>2151.6320000000001</v>
      </c>
      <c r="P4" s="10">
        <v>1774.5039999999999</v>
      </c>
      <c r="Q4" s="10">
        <f>D4-P4-O4-N4</f>
        <v>2783.511</v>
      </c>
      <c r="R4" s="10">
        <v>3278.9250000000002</v>
      </c>
      <c r="S4" s="10">
        <v>4734.2370000000001</v>
      </c>
      <c r="T4" s="10">
        <v>6468.942</v>
      </c>
      <c r="U4" s="15">
        <f>E4-T4-S4-R4</f>
        <v>6455.2560000000003</v>
      </c>
      <c r="V4" s="10"/>
      <c r="W4" s="10"/>
    </row>
    <row r="5" spans="1:23" s="1" customFormat="1" x14ac:dyDescent="0.25">
      <c r="B5" s="1" t="s">
        <v>17</v>
      </c>
      <c r="C5" s="11">
        <f>SUM(C3:C4)</f>
        <v>9466.3630000000012</v>
      </c>
      <c r="D5" s="11">
        <f>SUM(D3:D4)</f>
        <v>39384.284</v>
      </c>
      <c r="E5" s="14">
        <f>SUM(E3:E4)</f>
        <v>80963.451000000001</v>
      </c>
      <c r="F5" s="44"/>
      <c r="G5" s="44"/>
      <c r="J5" s="11">
        <f>SUM(J3:J4)</f>
        <v>0</v>
      </c>
      <c r="K5" s="11">
        <f t="shared" ref="K5:W5" si="0">SUM(K3:K4)</f>
        <v>0</v>
      </c>
      <c r="L5" s="11">
        <f t="shared" si="0"/>
        <v>0</v>
      </c>
      <c r="M5" s="11">
        <f t="shared" si="0"/>
        <v>0</v>
      </c>
      <c r="N5" s="11">
        <f t="shared" si="0"/>
        <v>4044.7649999999999</v>
      </c>
      <c r="O5" s="11">
        <f t="shared" si="0"/>
        <v>4399.3119999999999</v>
      </c>
      <c r="P5" s="11">
        <f t="shared" si="0"/>
        <v>10983.182000000001</v>
      </c>
      <c r="Q5" s="11">
        <f t="shared" si="0"/>
        <v>19957.025000000001</v>
      </c>
      <c r="R5" s="11">
        <f t="shared" si="0"/>
        <v>17615.375</v>
      </c>
      <c r="S5" s="11">
        <f t="shared" si="0"/>
        <v>24974.054</v>
      </c>
      <c r="T5" s="11">
        <f t="shared" si="0"/>
        <v>17982.150000000001</v>
      </c>
      <c r="U5" s="14">
        <f t="shared" si="0"/>
        <v>20391.872000000003</v>
      </c>
      <c r="V5" s="11">
        <f t="shared" si="0"/>
        <v>0</v>
      </c>
      <c r="W5" s="11">
        <f t="shared" si="0"/>
        <v>0</v>
      </c>
    </row>
    <row r="6" spans="1:23" x14ac:dyDescent="0.25">
      <c r="B6" s="9" t="s">
        <v>65</v>
      </c>
      <c r="C6" s="10"/>
      <c r="D6" s="10"/>
      <c r="E6" s="15"/>
      <c r="F6" s="43">
        <v>102530</v>
      </c>
      <c r="G6" s="43">
        <v>111240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15"/>
      <c r="V6" s="10"/>
      <c r="W6" s="41"/>
    </row>
    <row r="7" spans="1:23" s="1" customFormat="1" x14ac:dyDescent="0.25">
      <c r="B7" s="145" t="s">
        <v>59</v>
      </c>
      <c r="C7" s="146">
        <v>7805.4740000000002</v>
      </c>
      <c r="D7" s="149">
        <v>43745.517999999996</v>
      </c>
      <c r="E7" s="147">
        <v>146156.734</v>
      </c>
      <c r="F7" s="41"/>
      <c r="G7" s="41"/>
      <c r="J7" s="146"/>
      <c r="K7" s="146"/>
      <c r="L7" s="146"/>
      <c r="M7" s="146"/>
      <c r="N7" s="146">
        <v>3742.57</v>
      </c>
      <c r="O7" s="146">
        <v>4183.424</v>
      </c>
      <c r="P7" s="146">
        <v>12287.183000000001</v>
      </c>
      <c r="Q7" s="10">
        <f t="shared" ref="Q7:Q13" si="1">D7-P7-O7-N7</f>
        <v>23532.340999999997</v>
      </c>
      <c r="R7" s="146">
        <v>26014.365000000002</v>
      </c>
      <c r="S7" s="146">
        <v>40849.815999999999</v>
      </c>
      <c r="T7" s="146">
        <v>39751.474999999999</v>
      </c>
      <c r="U7" s="15">
        <f t="shared" ref="U7:U13" si="2">E7-T7-S7-R7</f>
        <v>39541.077999999994</v>
      </c>
    </row>
    <row r="8" spans="1:23" x14ac:dyDescent="0.25">
      <c r="B8" t="s">
        <v>135</v>
      </c>
      <c r="C8" s="10">
        <f>3131.479+1414.479</f>
        <v>4545.9579999999996</v>
      </c>
      <c r="D8" s="150">
        <v>16086.254000000001</v>
      </c>
      <c r="E8" s="15">
        <v>37125.296000000002</v>
      </c>
      <c r="F8" s="41"/>
      <c r="G8" s="41"/>
      <c r="J8" s="10"/>
      <c r="K8" s="10"/>
      <c r="L8" s="10"/>
      <c r="M8" s="10"/>
      <c r="N8" s="10">
        <f>1540.367+16.986</f>
        <v>1557.3530000000001</v>
      </c>
      <c r="O8" s="10">
        <f>1755.298+16.986</f>
        <v>1772.2840000000001</v>
      </c>
      <c r="P8" s="10">
        <v>2861.7869999999998</v>
      </c>
      <c r="Q8" s="10">
        <f t="shared" si="1"/>
        <v>9894.8300000000017</v>
      </c>
      <c r="R8" s="10">
        <f>6900.545+1800.135</f>
        <v>8700.68</v>
      </c>
      <c r="S8" s="10">
        <f>6455.676+3170.944</f>
        <v>9626.6200000000008</v>
      </c>
      <c r="T8" s="146">
        <v>9688.1290000000008</v>
      </c>
      <c r="U8" s="15">
        <f t="shared" si="2"/>
        <v>9109.8669999999984</v>
      </c>
    </row>
    <row r="9" spans="1:23" x14ac:dyDescent="0.25">
      <c r="B9" t="s">
        <v>74</v>
      </c>
      <c r="C9" s="10">
        <v>1622.2639999999999</v>
      </c>
      <c r="D9" s="150">
        <v>6342.8509999999997</v>
      </c>
      <c r="E9" s="15">
        <v>15721.663</v>
      </c>
      <c r="F9" s="41"/>
      <c r="G9" s="41"/>
      <c r="J9" s="10"/>
      <c r="K9" s="10"/>
      <c r="L9" s="10"/>
      <c r="M9" s="10"/>
      <c r="N9" s="10">
        <v>792.33199999999999</v>
      </c>
      <c r="O9" s="10">
        <v>1191.567</v>
      </c>
      <c r="P9" s="10">
        <v>1724.347</v>
      </c>
      <c r="Q9" s="10">
        <f t="shared" si="1"/>
        <v>2634.605</v>
      </c>
      <c r="R9" s="10">
        <v>2550.5610000000001</v>
      </c>
      <c r="S9" s="10">
        <v>4050.5839999999998</v>
      </c>
      <c r="T9" s="146">
        <v>5111.7479999999996</v>
      </c>
      <c r="U9" s="15">
        <f t="shared" si="2"/>
        <v>4008.7700000000009</v>
      </c>
    </row>
    <row r="10" spans="1:23" x14ac:dyDescent="0.25">
      <c r="B10" t="s">
        <v>60</v>
      </c>
      <c r="C10" s="10">
        <v>2918</v>
      </c>
      <c r="D10" s="150">
        <v>6137.86</v>
      </c>
      <c r="E10" s="15">
        <v>13427.021000000001</v>
      </c>
      <c r="F10" s="10"/>
      <c r="G10" s="10"/>
      <c r="J10" s="10"/>
      <c r="K10" s="10"/>
      <c r="L10" s="10"/>
      <c r="M10" s="10"/>
      <c r="N10" s="10">
        <v>810.505</v>
      </c>
      <c r="O10" s="10">
        <v>1137.5150000000001</v>
      </c>
      <c r="P10" s="10">
        <v>1460.1769999999999</v>
      </c>
      <c r="Q10" s="10">
        <f t="shared" si="1"/>
        <v>2729.6629999999996</v>
      </c>
      <c r="R10" s="10">
        <v>3297.0790000000002</v>
      </c>
      <c r="S10" s="10">
        <v>3568.0509999999999</v>
      </c>
      <c r="T10" s="146">
        <v>3182.9029999999998</v>
      </c>
      <c r="U10" s="15">
        <f t="shared" si="2"/>
        <v>3378.9880000000007</v>
      </c>
    </row>
    <row r="11" spans="1:23" x14ac:dyDescent="0.25">
      <c r="B11" t="s">
        <v>181</v>
      </c>
      <c r="C11" s="10">
        <v>2925.4989999999998</v>
      </c>
      <c r="D11" s="150">
        <v>1116.056</v>
      </c>
      <c r="E11" s="15">
        <v>1151.318</v>
      </c>
      <c r="F11" s="10"/>
      <c r="G11" s="10"/>
      <c r="J11" s="10"/>
      <c r="K11" s="10"/>
      <c r="L11" s="10"/>
      <c r="M11" s="10"/>
      <c r="N11" s="10">
        <v>810.81700000000001</v>
      </c>
      <c r="O11" s="10">
        <v>530.23900000000003</v>
      </c>
      <c r="P11" s="10">
        <v>0</v>
      </c>
      <c r="Q11" s="10">
        <f t="shared" si="1"/>
        <v>-225</v>
      </c>
      <c r="R11" s="10">
        <v>0</v>
      </c>
      <c r="S11" s="10">
        <v>704.202</v>
      </c>
      <c r="T11" s="146">
        <v>445.88299999999998</v>
      </c>
      <c r="U11" s="15">
        <f t="shared" si="2"/>
        <v>1.2329999999999472</v>
      </c>
    </row>
    <row r="12" spans="1:23" x14ac:dyDescent="0.25">
      <c r="B12" t="s">
        <v>182</v>
      </c>
      <c r="C12" s="10">
        <v>7.1660000000000004</v>
      </c>
      <c r="D12" s="150">
        <v>1556.056</v>
      </c>
      <c r="E12" s="15">
        <v>4850.8119999999999</v>
      </c>
      <c r="F12" s="10"/>
      <c r="G12" s="10"/>
      <c r="J12" s="10"/>
      <c r="K12" s="10"/>
      <c r="L12" s="10"/>
      <c r="M12" s="10"/>
      <c r="N12" s="10">
        <v>225.62700000000001</v>
      </c>
      <c r="O12" s="10">
        <v>288.95699999999999</v>
      </c>
      <c r="P12" s="10">
        <v>410.38799999999998</v>
      </c>
      <c r="Q12" s="10">
        <f t="shared" si="1"/>
        <v>631.08400000000006</v>
      </c>
      <c r="R12" s="10">
        <v>681.07399999999996</v>
      </c>
      <c r="S12" s="10">
        <v>1043.56</v>
      </c>
      <c r="T12" s="146">
        <v>1353.0709999999999</v>
      </c>
      <c r="U12" s="15">
        <f t="shared" si="2"/>
        <v>1773.107</v>
      </c>
    </row>
    <row r="13" spans="1:23" x14ac:dyDescent="0.25">
      <c r="B13" t="s">
        <v>183</v>
      </c>
      <c r="C13" s="10">
        <v>154.41499999999999</v>
      </c>
      <c r="D13" s="150">
        <v>0</v>
      </c>
      <c r="E13" s="15">
        <v>-1922.3810000000001</v>
      </c>
      <c r="F13" s="41"/>
      <c r="G13" s="41"/>
      <c r="J13" s="10"/>
      <c r="K13" s="10"/>
      <c r="L13" s="10"/>
      <c r="M13" s="10"/>
      <c r="N13" s="10">
        <v>27.577000000000002</v>
      </c>
      <c r="O13" s="10">
        <v>-3.01</v>
      </c>
      <c r="P13" s="10">
        <v>0</v>
      </c>
      <c r="Q13" s="10">
        <f t="shared" si="1"/>
        <v>-24.567</v>
      </c>
      <c r="R13" s="10">
        <v>15.906000000000001</v>
      </c>
      <c r="S13" s="10">
        <v>5.8380000000000001</v>
      </c>
      <c r="T13" s="146">
        <v>-1335.1769999999999</v>
      </c>
      <c r="U13" s="15">
        <f t="shared" si="2"/>
        <v>-608.94800000000009</v>
      </c>
    </row>
    <row r="14" spans="1:23" s="1" customFormat="1" x14ac:dyDescent="0.25">
      <c r="B14" s="1" t="s">
        <v>22</v>
      </c>
      <c r="C14" s="148">
        <f>C5-SUM(C7:C13)</f>
        <v>-10512.413</v>
      </c>
      <c r="D14" s="148">
        <f>D5-SUM(D7:D13)</f>
        <v>-35600.310999999987</v>
      </c>
      <c r="E14" s="14">
        <f>E5-SUM(E7:E13)</f>
        <v>-135547.01200000002</v>
      </c>
      <c r="F14" s="148">
        <f>F5-SUM(F7:F13)</f>
        <v>0</v>
      </c>
      <c r="G14" s="148">
        <f>G5-SUM(G7:G13)</f>
        <v>0</v>
      </c>
      <c r="H14" s="11"/>
      <c r="I14" s="11"/>
      <c r="J14" s="148">
        <f>J5-SUM(J7:J13)</f>
        <v>0</v>
      </c>
      <c r="K14" s="148">
        <f t="shared" ref="K14:W14" si="3">K5-SUM(K7:K13)</f>
        <v>0</v>
      </c>
      <c r="L14" s="148">
        <f t="shared" si="3"/>
        <v>0</v>
      </c>
      <c r="M14" s="148">
        <f t="shared" si="3"/>
        <v>0</v>
      </c>
      <c r="N14" s="148">
        <f t="shared" si="3"/>
        <v>-3922.0160000000019</v>
      </c>
      <c r="O14" s="148">
        <f t="shared" si="3"/>
        <v>-4701.6640000000007</v>
      </c>
      <c r="P14" s="148">
        <f t="shared" si="3"/>
        <v>-7760.7000000000007</v>
      </c>
      <c r="Q14" s="148">
        <f t="shared" si="3"/>
        <v>-19215.931000000004</v>
      </c>
      <c r="R14" s="148">
        <f t="shared" si="3"/>
        <v>-23644.29</v>
      </c>
      <c r="S14" s="148">
        <f t="shared" si="3"/>
        <v>-34874.616999999998</v>
      </c>
      <c r="T14" s="148">
        <f t="shared" si="3"/>
        <v>-40215.881999999998</v>
      </c>
      <c r="U14" s="14">
        <f t="shared" si="3"/>
        <v>-36812.222999999991</v>
      </c>
      <c r="V14" s="148">
        <f t="shared" si="3"/>
        <v>0</v>
      </c>
      <c r="W14" s="148">
        <f t="shared" si="3"/>
        <v>0</v>
      </c>
    </row>
    <row r="15" spans="1:23" x14ac:dyDescent="0.25">
      <c r="B15" t="s">
        <v>68</v>
      </c>
      <c r="C15" s="10">
        <v>16.443000000000001</v>
      </c>
      <c r="D15" s="10">
        <v>3019.4560000000001</v>
      </c>
      <c r="E15" s="15">
        <v>13594.463</v>
      </c>
      <c r="F15" s="41"/>
      <c r="G15" s="41"/>
      <c r="J15" s="10"/>
      <c r="K15" s="10"/>
      <c r="L15" s="10"/>
      <c r="M15" s="10"/>
      <c r="N15" s="10">
        <v>8.6980000000000004</v>
      </c>
      <c r="O15" s="10">
        <v>14.108000000000001</v>
      </c>
      <c r="P15" s="10">
        <v>211.72800000000001</v>
      </c>
      <c r="Q15" s="10">
        <f t="shared" ref="Q15:Q17" si="4">D15-P15-O15-N15</f>
        <v>2784.922</v>
      </c>
      <c r="R15" s="10">
        <v>3307.9270000000001</v>
      </c>
      <c r="S15" s="10">
        <v>3570.4229999999998</v>
      </c>
      <c r="T15" s="10">
        <v>3620.8820000000001</v>
      </c>
      <c r="U15" s="15">
        <f t="shared" ref="U15:U17" si="5">E15-T15-S15-R15</f>
        <v>3095.2310000000002</v>
      </c>
    </row>
    <row r="16" spans="1:23" x14ac:dyDescent="0.25">
      <c r="B16" t="s">
        <v>197</v>
      </c>
      <c r="C16" s="10">
        <v>168.84</v>
      </c>
      <c r="D16" s="10">
        <v>-49.067</v>
      </c>
      <c r="E16" s="15">
        <v>-125.511</v>
      </c>
      <c r="F16" s="41"/>
      <c r="G16" s="41"/>
      <c r="J16" s="10"/>
      <c r="K16" s="10"/>
      <c r="L16" s="10"/>
      <c r="M16" s="10"/>
      <c r="N16" s="10">
        <v>1.1240000000000001</v>
      </c>
      <c r="O16" s="10">
        <v>0</v>
      </c>
      <c r="P16" s="10">
        <v>-24.98</v>
      </c>
      <c r="Q16" s="10">
        <f t="shared" si="4"/>
        <v>-25.210999999999999</v>
      </c>
      <c r="R16" s="10">
        <v>0</v>
      </c>
      <c r="S16" s="10">
        <v>3.343</v>
      </c>
      <c r="T16" s="10">
        <v>104.339</v>
      </c>
      <c r="U16" s="15">
        <f t="shared" si="5"/>
        <v>-233.19299999999998</v>
      </c>
    </row>
    <row r="17" spans="2:23" x14ac:dyDescent="0.25">
      <c r="B17" t="s">
        <v>183</v>
      </c>
      <c r="C17" s="10">
        <v>-3214.2860000000001</v>
      </c>
      <c r="D17" s="10">
        <v>21010.5</v>
      </c>
      <c r="E17" s="15">
        <v>2365.895</v>
      </c>
      <c r="F17" s="41"/>
      <c r="G17" s="41"/>
      <c r="J17" s="10"/>
      <c r="K17" s="10"/>
      <c r="L17" s="10"/>
      <c r="M17" s="10"/>
      <c r="N17" s="10">
        <v>0</v>
      </c>
      <c r="O17" s="10">
        <v>-1.1240000000000001</v>
      </c>
      <c r="P17" s="10">
        <v>5715.5</v>
      </c>
      <c r="Q17" s="10">
        <f t="shared" si="4"/>
        <v>15296.124</v>
      </c>
      <c r="R17" s="10">
        <v>-8331.75</v>
      </c>
      <c r="S17" s="10">
        <f>373.996+1489.25</f>
        <v>1863.2460000000001</v>
      </c>
      <c r="T17" s="10">
        <v>7485.6949999999997</v>
      </c>
      <c r="U17" s="15">
        <f t="shared" si="5"/>
        <v>1348.7040000000006</v>
      </c>
    </row>
    <row r="18" spans="2:23" s="1" customFormat="1" x14ac:dyDescent="0.25">
      <c r="B18" s="1" t="s">
        <v>18</v>
      </c>
      <c r="C18" s="11">
        <f t="shared" ref="C18:G18" si="6">C14+C15+C16+C17</f>
        <v>-13541.416000000001</v>
      </c>
      <c r="D18" s="11">
        <f t="shared" si="6"/>
        <v>-11619.421999999988</v>
      </c>
      <c r="E18" s="14">
        <f>E14+E15+E16+E17</f>
        <v>-119712.16500000001</v>
      </c>
      <c r="F18" s="11">
        <f t="shared" si="6"/>
        <v>0</v>
      </c>
      <c r="G18" s="11">
        <f t="shared" si="6"/>
        <v>0</v>
      </c>
      <c r="J18" s="11">
        <f t="shared" ref="J18:W18" si="7">J14+J15+J16+J17</f>
        <v>0</v>
      </c>
      <c r="K18" s="11">
        <f t="shared" si="7"/>
        <v>0</v>
      </c>
      <c r="L18" s="11">
        <f t="shared" si="7"/>
        <v>0</v>
      </c>
      <c r="M18" s="11">
        <f t="shared" si="7"/>
        <v>0</v>
      </c>
      <c r="N18" s="11">
        <f t="shared" si="7"/>
        <v>-3912.1940000000022</v>
      </c>
      <c r="O18" s="11">
        <f t="shared" si="7"/>
        <v>-4688.68</v>
      </c>
      <c r="P18" s="11">
        <f t="shared" si="7"/>
        <v>-1858.4520000000002</v>
      </c>
      <c r="Q18" s="11">
        <f t="shared" si="7"/>
        <v>-1160.096000000005</v>
      </c>
      <c r="R18" s="11">
        <f t="shared" si="7"/>
        <v>-28668.113000000001</v>
      </c>
      <c r="S18" s="11">
        <f t="shared" si="7"/>
        <v>-29437.605</v>
      </c>
      <c r="T18" s="11">
        <f t="shared" si="7"/>
        <v>-29004.966</v>
      </c>
      <c r="U18" s="14">
        <f t="shared" si="7"/>
        <v>-32601.480999999989</v>
      </c>
      <c r="V18" s="11">
        <f t="shared" si="7"/>
        <v>0</v>
      </c>
      <c r="W18" s="11">
        <f t="shared" si="7"/>
        <v>0</v>
      </c>
    </row>
    <row r="19" spans="2:23" x14ac:dyDescent="0.25">
      <c r="B19" t="s">
        <v>19</v>
      </c>
      <c r="C19" s="10">
        <f>-0.575+128.459</f>
        <v>127.884</v>
      </c>
      <c r="D19" s="10">
        <v>215.428</v>
      </c>
      <c r="E19" s="15">
        <v>3291.703</v>
      </c>
      <c r="F19" s="41"/>
      <c r="G19" s="41"/>
      <c r="J19" s="10"/>
      <c r="K19" s="10"/>
      <c r="L19" s="10"/>
      <c r="M19" s="10"/>
      <c r="N19" s="10">
        <v>0</v>
      </c>
      <c r="O19" s="10"/>
      <c r="P19" s="10">
        <v>0</v>
      </c>
      <c r="Q19" s="10">
        <f>D19-P19-O19-N19</f>
        <v>215.428</v>
      </c>
      <c r="R19" s="10">
        <v>0</v>
      </c>
      <c r="S19" s="10">
        <v>-16.475000000000001</v>
      </c>
      <c r="T19" s="10">
        <v>-16.126000000000001</v>
      </c>
      <c r="U19" s="15">
        <f>E19-T19-S19-R19</f>
        <v>3324.3040000000001</v>
      </c>
      <c r="V19" s="10"/>
      <c r="W19" s="10"/>
    </row>
    <row r="20" spans="2:23" s="1" customFormat="1" x14ac:dyDescent="0.25">
      <c r="B20" s="1" t="s">
        <v>20</v>
      </c>
      <c r="C20" s="11">
        <f>C18+SUM(C19:C19)</f>
        <v>-13413.532000000001</v>
      </c>
      <c r="D20" s="11">
        <f>D18+SUM(D19:D19)</f>
        <v>-11403.993999999988</v>
      </c>
      <c r="E20" s="14">
        <f>E18+SUM(E19:E19)</f>
        <v>-116420.46200000001</v>
      </c>
      <c r="F20" s="58"/>
      <c r="G20" s="58"/>
      <c r="J20" s="11">
        <f>J18+SUM(J19:J19)</f>
        <v>0</v>
      </c>
      <c r="K20" s="11">
        <f t="shared" ref="K20:W20" si="8">K18+SUM(K19:K19)</f>
        <v>0</v>
      </c>
      <c r="L20" s="11">
        <f t="shared" si="8"/>
        <v>0</v>
      </c>
      <c r="M20" s="11">
        <f t="shared" si="8"/>
        <v>0</v>
      </c>
      <c r="N20" s="11">
        <f t="shared" si="8"/>
        <v>-3912.1940000000022</v>
      </c>
      <c r="O20" s="11">
        <f t="shared" si="8"/>
        <v>-4688.68</v>
      </c>
      <c r="P20" s="11">
        <f t="shared" si="8"/>
        <v>-1858.4520000000002</v>
      </c>
      <c r="Q20" s="11">
        <f t="shared" si="8"/>
        <v>-944.66800000000501</v>
      </c>
      <c r="R20" s="11">
        <f t="shared" si="8"/>
        <v>-28668.113000000001</v>
      </c>
      <c r="S20" s="11">
        <f t="shared" si="8"/>
        <v>-29454.079999999998</v>
      </c>
      <c r="T20" s="11">
        <f t="shared" si="8"/>
        <v>-29021.092000000001</v>
      </c>
      <c r="U20" s="14">
        <f t="shared" si="8"/>
        <v>-29277.176999999989</v>
      </c>
      <c r="V20" s="11">
        <f t="shared" si="8"/>
        <v>0</v>
      </c>
      <c r="W20" s="11">
        <f t="shared" si="8"/>
        <v>0</v>
      </c>
    </row>
    <row r="21" spans="2:23" x14ac:dyDescent="0.25">
      <c r="B21" t="s">
        <v>1</v>
      </c>
      <c r="C21" s="10">
        <v>211438.36300000001</v>
      </c>
      <c r="D21" s="10">
        <v>242443.272</v>
      </c>
      <c r="E21" s="15">
        <v>201442.321</v>
      </c>
      <c r="F21" s="41"/>
      <c r="G21" s="41"/>
      <c r="J21" s="10"/>
      <c r="K21" s="10"/>
      <c r="L21" s="10"/>
      <c r="M21" s="10"/>
      <c r="N21" s="10">
        <v>173518.88500000001</v>
      </c>
      <c r="O21" s="10">
        <v>173518.85500000001</v>
      </c>
      <c r="P21" s="10">
        <v>177663.321</v>
      </c>
      <c r="Q21" s="10">
        <v>177663.321</v>
      </c>
      <c r="R21" s="10">
        <v>202717.66899999999</v>
      </c>
      <c r="S21" s="10">
        <v>201257.144</v>
      </c>
      <c r="T21" s="10">
        <v>201810.47700000001</v>
      </c>
      <c r="U21" s="15">
        <v>201810.47700000001</v>
      </c>
      <c r="V21" s="10"/>
      <c r="W21" s="10"/>
    </row>
    <row r="22" spans="2:23" s="1" customFormat="1" x14ac:dyDescent="0.25">
      <c r="B22" s="1" t="s">
        <v>21</v>
      </c>
      <c r="C22" s="2">
        <f>C20/C21</f>
        <v>-6.3439443106168961E-2</v>
      </c>
      <c r="D22" s="2">
        <f>D20/D21</f>
        <v>-4.7037782925153676E-2</v>
      </c>
      <c r="E22" s="151">
        <f>E20/E21</f>
        <v>-0.57793447485148874</v>
      </c>
      <c r="F22" s="55"/>
      <c r="G22" s="56"/>
      <c r="J22" s="2" t="e">
        <f t="shared" ref="J22:S22" si="9">J20/J21</f>
        <v>#DIV/0!</v>
      </c>
      <c r="K22" s="2" t="e">
        <f t="shared" si="9"/>
        <v>#DIV/0!</v>
      </c>
      <c r="L22" s="2" t="e">
        <f t="shared" si="9"/>
        <v>#DIV/0!</v>
      </c>
      <c r="M22" s="2" t="e">
        <f t="shared" si="9"/>
        <v>#DIV/0!</v>
      </c>
      <c r="N22" s="2">
        <f t="shared" si="9"/>
        <v>-2.2546214494174523E-2</v>
      </c>
      <c r="O22" s="2">
        <f t="shared" si="9"/>
        <v>-2.7021155712444046E-2</v>
      </c>
      <c r="P22" s="2">
        <f t="shared" si="9"/>
        <v>-1.0460527190077689E-2</v>
      </c>
      <c r="Q22" s="2">
        <f t="shared" si="9"/>
        <v>-5.3171808040220359E-3</v>
      </c>
      <c r="R22" s="2">
        <f t="shared" si="9"/>
        <v>-0.14141891598013592</v>
      </c>
      <c r="S22" s="2">
        <f t="shared" si="9"/>
        <v>-0.14635048184923063</v>
      </c>
      <c r="T22" s="2">
        <f>T20/T21</f>
        <v>-0.14380369360110079</v>
      </c>
      <c r="U22" s="35">
        <f>U20/U21</f>
        <v>-0.14507263168502391</v>
      </c>
      <c r="V22" s="51"/>
      <c r="W22" s="51"/>
    </row>
    <row r="23" spans="2:23" s="1" customFormat="1" x14ac:dyDescent="0.25">
      <c r="B23" s="9" t="s">
        <v>64</v>
      </c>
      <c r="C23" s="2"/>
      <c r="D23" s="2"/>
      <c r="E23" s="35"/>
      <c r="F23" s="45">
        <v>-0.64</v>
      </c>
      <c r="G23" s="46">
        <v>-0.25</v>
      </c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0"/>
      <c r="V23" s="51"/>
      <c r="W23" s="51"/>
    </row>
    <row r="24" spans="2:23" s="1" customFormat="1" x14ac:dyDescent="0.25">
      <c r="B24" t="s">
        <v>29</v>
      </c>
      <c r="C24" s="3">
        <f>1-C7/C5</f>
        <v>0.17545164917085909</v>
      </c>
      <c r="D24" s="3">
        <f>1-D7/D5</f>
        <v>-0.11073538876573186</v>
      </c>
      <c r="E24" s="6">
        <f>1-E7/E5</f>
        <v>-0.80521867824038273</v>
      </c>
      <c r="F24" s="47"/>
      <c r="G24" s="47"/>
      <c r="J24" s="3" t="e">
        <f>1-J7/J5</f>
        <v>#DIV/0!</v>
      </c>
      <c r="K24" s="3" t="e">
        <f>1-K7/K5</f>
        <v>#DIV/0!</v>
      </c>
      <c r="L24" s="3" t="e">
        <f>1-L7/L5</f>
        <v>#DIV/0!</v>
      </c>
      <c r="M24" s="3" t="e">
        <f>1-M7/M5</f>
        <v>#DIV/0!</v>
      </c>
      <c r="N24" s="3">
        <f>1-N7/N5</f>
        <v>7.4712622364958126E-2</v>
      </c>
      <c r="O24" s="3">
        <f>1-O7/O5</f>
        <v>4.9073127798164751E-2</v>
      </c>
      <c r="P24" s="3">
        <f>1-P7/P5</f>
        <v>-0.11872706834868074</v>
      </c>
      <c r="Q24" s="3">
        <f>1-Q7/Q5</f>
        <v>-0.17915075017443716</v>
      </c>
      <c r="R24" s="3">
        <f>1-R7/R5</f>
        <v>-0.47679881921332945</v>
      </c>
      <c r="S24" s="3">
        <f>1-S7/S5</f>
        <v>-0.63569022474284709</v>
      </c>
      <c r="T24" s="3">
        <f>1-T7/T5</f>
        <v>-1.2106074635124275</v>
      </c>
      <c r="U24" s="6">
        <f>1-U7/U5</f>
        <v>-0.93906071987897866</v>
      </c>
    </row>
    <row r="25" spans="2:23" x14ac:dyDescent="0.25">
      <c r="B25" t="s">
        <v>30</v>
      </c>
      <c r="C25" s="4">
        <f>C20/C5</f>
        <v>-1.4169678471024194</v>
      </c>
      <c r="D25" s="4">
        <f>D20/D5</f>
        <v>-0.28955697150670529</v>
      </c>
      <c r="E25" s="7">
        <f>E20/E5</f>
        <v>-1.4379384841192109</v>
      </c>
      <c r="F25" s="48">
        <f>F20/F6</f>
        <v>0</v>
      </c>
      <c r="G25" s="48">
        <f>G20/G6</f>
        <v>0</v>
      </c>
      <c r="J25" s="4" t="e">
        <f>J20/J5</f>
        <v>#DIV/0!</v>
      </c>
      <c r="K25" s="4" t="e">
        <f>K20/K5</f>
        <v>#DIV/0!</v>
      </c>
      <c r="L25" s="4" t="e">
        <f>L20/L5</f>
        <v>#DIV/0!</v>
      </c>
      <c r="M25" s="4" t="e">
        <f>M20/M5</f>
        <v>#DIV/0!</v>
      </c>
      <c r="N25" s="4">
        <f>N20/N5</f>
        <v>-0.96722405380782384</v>
      </c>
      <c r="O25" s="4">
        <f>O20/O5</f>
        <v>-1.0657757394792642</v>
      </c>
      <c r="P25" s="4">
        <f>P20/P5</f>
        <v>-0.1692088868235089</v>
      </c>
      <c r="Q25" s="4">
        <f>Q20/Q5</f>
        <v>-4.7335111320450061E-2</v>
      </c>
      <c r="R25" s="4">
        <f>R20/R5</f>
        <v>-1.6274483512272659</v>
      </c>
      <c r="S25" s="4">
        <f>S20/S5</f>
        <v>-1.1793872152274516</v>
      </c>
      <c r="T25" s="4">
        <f>T20/T5</f>
        <v>-1.6138833231843799</v>
      </c>
      <c r="U25" s="7">
        <f>U20/U5</f>
        <v>-1.4357277742818308</v>
      </c>
    </row>
    <row r="26" spans="2:23" x14ac:dyDescent="0.25">
      <c r="B26" t="s">
        <v>31</v>
      </c>
      <c r="C26" s="3"/>
      <c r="D26" s="40">
        <f>D5/C5-1</f>
        <v>3.1604451466735428</v>
      </c>
      <c r="E26" s="6">
        <f>E5/D5-1</f>
        <v>1.0557299200869057</v>
      </c>
      <c r="F26" s="49">
        <f>F6/E5-1</f>
        <v>0.26637388517443505</v>
      </c>
      <c r="G26" s="49">
        <f>G6/F6-1</f>
        <v>8.4950746123085841E-2</v>
      </c>
      <c r="J26" s="4"/>
      <c r="K26" s="4"/>
      <c r="L26" s="4"/>
      <c r="M26" s="4"/>
      <c r="N26" s="4"/>
      <c r="O26" s="4"/>
      <c r="P26" s="4"/>
      <c r="Q26" s="4"/>
      <c r="R26" s="4">
        <f>R5/N5-1</f>
        <v>3.3551046846973804</v>
      </c>
      <c r="S26" s="4">
        <f>S5/O5-1</f>
        <v>4.6768090101361306</v>
      </c>
      <c r="T26" s="4">
        <f>T5/P5-1</f>
        <v>0.63724410648935792</v>
      </c>
      <c r="U26" s="7">
        <f>U5/Q5-1</f>
        <v>2.178916947791576E-2</v>
      </c>
      <c r="V26" s="37">
        <f>V6/R5-1</f>
        <v>-1</v>
      </c>
      <c r="W26" s="37">
        <f>W6/S5-1</f>
        <v>-1</v>
      </c>
    </row>
    <row r="27" spans="2:23" x14ac:dyDescent="0.25">
      <c r="B27" t="s">
        <v>66</v>
      </c>
      <c r="C27" s="155">
        <f>C10/C5</f>
        <v>0.30824932447657033</v>
      </c>
      <c r="D27" s="155">
        <f>D10/D5</f>
        <v>0.1558454128555441</v>
      </c>
      <c r="E27" s="7">
        <f>E10/E5</f>
        <v>0.16584052228702553</v>
      </c>
      <c r="F27" s="121"/>
      <c r="G27" s="121"/>
      <c r="J27" s="4" t="e">
        <f>J8/J5</f>
        <v>#DIV/0!</v>
      </c>
      <c r="K27" s="4" t="e">
        <f>K8/K5</f>
        <v>#DIV/0!</v>
      </c>
      <c r="L27" s="4" t="e">
        <f>L8/L5</f>
        <v>#DIV/0!</v>
      </c>
      <c r="M27" s="4" t="e">
        <f>M8/M5</f>
        <v>#DIV/0!</v>
      </c>
      <c r="N27" s="155">
        <f>N10/N5</f>
        <v>0.20038370585188509</v>
      </c>
      <c r="O27" s="155">
        <f t="shared" ref="O27:U27" si="10">O10/O5</f>
        <v>0.25856656677225898</v>
      </c>
      <c r="P27" s="155">
        <f t="shared" si="10"/>
        <v>0.13294662694290232</v>
      </c>
      <c r="Q27" s="155">
        <f t="shared" si="10"/>
        <v>0.13677704968551171</v>
      </c>
      <c r="R27" s="155">
        <f t="shared" si="10"/>
        <v>0.18717052574810358</v>
      </c>
      <c r="S27" s="155">
        <f t="shared" si="10"/>
        <v>0.14287031652930676</v>
      </c>
      <c r="T27" s="155">
        <f t="shared" si="10"/>
        <v>0.17700347288839208</v>
      </c>
      <c r="U27" s="7">
        <f t="shared" si="10"/>
        <v>0.16570268781600828</v>
      </c>
      <c r="V27" s="4"/>
    </row>
    <row r="28" spans="2:23" x14ac:dyDescent="0.25">
      <c r="B28" t="s">
        <v>133</v>
      </c>
      <c r="C28" s="4">
        <f>C9/C5</f>
        <v>0.17137141265341291</v>
      </c>
      <c r="D28" s="4">
        <f>D9/D5</f>
        <v>0.16105030625921751</v>
      </c>
      <c r="E28" s="7">
        <f>E9/E5</f>
        <v>0.19418222427302415</v>
      </c>
      <c r="F28" s="121"/>
      <c r="G28" s="121"/>
      <c r="J28" s="4" t="e">
        <f>J9/J5</f>
        <v>#DIV/0!</v>
      </c>
      <c r="K28" s="4" t="e">
        <f>K9/K5</f>
        <v>#DIV/0!</v>
      </c>
      <c r="L28" s="4" t="e">
        <f>L9/L5</f>
        <v>#DIV/0!</v>
      </c>
      <c r="M28" s="4" t="e">
        <f>M9/M5</f>
        <v>#DIV/0!</v>
      </c>
      <c r="N28" s="4">
        <f>N9/N5</f>
        <v>0.19589073778081051</v>
      </c>
      <c r="O28" s="4">
        <f t="shared" ref="O28:U28" si="11">O9/O5</f>
        <v>0.27085303338340178</v>
      </c>
      <c r="P28" s="4">
        <f t="shared" si="11"/>
        <v>0.15699885515873269</v>
      </c>
      <c r="Q28" s="4">
        <f t="shared" si="11"/>
        <v>0.13201391489964059</v>
      </c>
      <c r="R28" s="4">
        <f t="shared" si="11"/>
        <v>0.14479175152388185</v>
      </c>
      <c r="S28" s="4">
        <f t="shared" si="11"/>
        <v>0.16219168902253514</v>
      </c>
      <c r="T28" s="4">
        <f t="shared" si="11"/>
        <v>0.28426789899984145</v>
      </c>
      <c r="U28" s="7">
        <f t="shared" si="11"/>
        <v>0.19658665962595295</v>
      </c>
      <c r="V28" s="4"/>
    </row>
    <row r="29" spans="2:23" x14ac:dyDescent="0.25">
      <c r="B29" t="s">
        <v>134</v>
      </c>
      <c r="C29" s="4">
        <f>C8/C5</f>
        <v>0.48022223529775893</v>
      </c>
      <c r="D29" s="4">
        <f>D8/D5</f>
        <v>0.40844347963771543</v>
      </c>
      <c r="E29" s="7">
        <f>E8/E5</f>
        <v>0.45854389284863861</v>
      </c>
      <c r="F29" s="121"/>
      <c r="G29" s="121"/>
      <c r="J29" s="4" t="e">
        <f>J13/J5</f>
        <v>#DIV/0!</v>
      </c>
      <c r="K29" s="4" t="e">
        <f>K13/K5</f>
        <v>#DIV/0!</v>
      </c>
      <c r="L29" s="4" t="e">
        <f>L13/L5</f>
        <v>#DIV/0!</v>
      </c>
      <c r="M29" s="4" t="e">
        <f>M13/M5</f>
        <v>#DIV/0!</v>
      </c>
      <c r="N29" s="4">
        <f>N8/N5</f>
        <v>0.38502929094768179</v>
      </c>
      <c r="O29" s="4">
        <f t="shared" ref="O29:U29" si="12">O8/O5</f>
        <v>0.4028548100248403</v>
      </c>
      <c r="P29" s="4">
        <f t="shared" si="12"/>
        <v>0.26056082836467609</v>
      </c>
      <c r="Q29" s="4">
        <f t="shared" si="12"/>
        <v>0.49580686500117133</v>
      </c>
      <c r="R29" s="4">
        <f t="shared" si="12"/>
        <v>0.49392533511208248</v>
      </c>
      <c r="S29" s="4">
        <f t="shared" si="12"/>
        <v>0.38546485084079662</v>
      </c>
      <c r="T29" s="4">
        <f t="shared" si="12"/>
        <v>0.53876366285455302</v>
      </c>
      <c r="U29" s="7">
        <f t="shared" si="12"/>
        <v>0.44674010311559414</v>
      </c>
      <c r="V29" s="4"/>
    </row>
    <row r="30" spans="2:23" x14ac:dyDescent="0.25">
      <c r="B30" t="s">
        <v>184</v>
      </c>
      <c r="C30" s="4"/>
      <c r="D30" s="4">
        <f>D3/C3-1</f>
        <v>3.5398935918177701</v>
      </c>
      <c r="E30" s="7">
        <f>E3/D3-1</f>
        <v>0.92765740044171685</v>
      </c>
      <c r="F30" s="121"/>
      <c r="G30" s="121"/>
      <c r="J30" s="4"/>
      <c r="K30" s="4"/>
      <c r="L30" s="4"/>
      <c r="M30" s="4"/>
      <c r="N30" s="4"/>
      <c r="O30" s="4"/>
      <c r="P30" s="4"/>
      <c r="Q30" s="4"/>
      <c r="R30" s="4">
        <f t="shared" ref="N30:S30" si="13">R3/N3-1</f>
        <v>4.7128119015304089</v>
      </c>
      <c r="S30" s="4">
        <f t="shared" si="13"/>
        <v>8.0047591294134399</v>
      </c>
      <c r="T30" s="4">
        <f>T3/P3-1</f>
        <v>0.25025633429684491</v>
      </c>
      <c r="U30" s="7">
        <f>U3/Q3-1</f>
        <v>-0.1884819845257063</v>
      </c>
      <c r="V30" s="4"/>
    </row>
    <row r="31" spans="2:23" x14ac:dyDescent="0.25">
      <c r="B31" t="s">
        <v>185</v>
      </c>
      <c r="C31" s="4"/>
      <c r="D31" s="4">
        <f>D4/C4-1</f>
        <v>2.1622265758039725</v>
      </c>
      <c r="E31" s="7">
        <f>E4/D4-1</f>
        <v>1.5394359606670123</v>
      </c>
      <c r="F31" s="121"/>
      <c r="G31" s="121"/>
      <c r="J31" s="4"/>
      <c r="K31" s="4"/>
      <c r="L31" s="4"/>
      <c r="M31" s="4"/>
      <c r="N31" s="4"/>
      <c r="O31" s="4"/>
      <c r="P31" s="4"/>
      <c r="Q31" s="4"/>
      <c r="R31" s="4">
        <f t="shared" ref="N31:S31" si="14">R4/N4-1</f>
        <v>1.1357749510011144</v>
      </c>
      <c r="S31" s="4">
        <f t="shared" si="14"/>
        <v>1.2003005160733804</v>
      </c>
      <c r="T31" s="4">
        <f>T4/P4-1</f>
        <v>2.6454930504524081</v>
      </c>
      <c r="U31" s="7">
        <f>U4/Q4-1</f>
        <v>1.3191056187670895</v>
      </c>
      <c r="V31" s="4"/>
    </row>
    <row r="32" spans="2:23" x14ac:dyDescent="0.25">
      <c r="B32" t="s">
        <v>34</v>
      </c>
      <c r="C32" s="3"/>
      <c r="D32" s="40">
        <f>D20/C20-1</f>
        <v>-0.1498142323736964</v>
      </c>
      <c r="E32" s="6">
        <f>E20/D20-1</f>
        <v>9.2087445854496366</v>
      </c>
      <c r="F32" s="57">
        <f>F23/E22</f>
        <v>1.1073919758195083</v>
      </c>
      <c r="G32" s="57">
        <f>G23/F23</f>
        <v>0.390625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/>
      <c r="V32" s="4">
        <f t="shared" ref="N32:V32" si="15">V20/R20-1</f>
        <v>-1</v>
      </c>
    </row>
    <row r="33" spans="2:22" x14ac:dyDescent="0.25">
      <c r="C33" s="152"/>
      <c r="D33" s="152"/>
      <c r="E33" s="153"/>
      <c r="F33" s="152"/>
      <c r="G33" s="152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/>
      <c r="V33" s="4"/>
    </row>
    <row r="34" spans="2:22" x14ac:dyDescent="0.25">
      <c r="C34" s="154"/>
      <c r="D34" s="154"/>
      <c r="E34" s="153"/>
      <c r="F34" s="152"/>
      <c r="G34" s="152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/>
      <c r="V34" s="4"/>
    </row>
    <row r="37" spans="2:22" s="1" customFormat="1" x14ac:dyDescent="0.25">
      <c r="B37" s="1" t="s">
        <v>38</v>
      </c>
      <c r="C37" s="11">
        <f>C38+C40-C50-C51-C58</f>
        <v>41308.612000000001</v>
      </c>
      <c r="D37" s="11">
        <f>D38+D40-D50-D51-D58</f>
        <v>316489.65299999999</v>
      </c>
      <c r="E37" s="14">
        <f>E38+E40-E50-E51-E58</f>
        <v>184365.40599999996</v>
      </c>
      <c r="J37" s="11">
        <f>J38+J40-J50-J51-J58</f>
        <v>0</v>
      </c>
      <c r="K37" s="11">
        <f>K38+K40-K50-K51-K58</f>
        <v>0</v>
      </c>
      <c r="L37" s="11">
        <f>L38+L40-L50-L51-L58</f>
        <v>0</v>
      </c>
      <c r="M37" s="11">
        <f>M38+M40-M50-M51-M58</f>
        <v>0</v>
      </c>
      <c r="N37" s="11">
        <f>N38+N40-N50-N51-N58</f>
        <v>0</v>
      </c>
      <c r="O37" s="11">
        <f>O38+O40-O50-O51-O58</f>
        <v>0</v>
      </c>
      <c r="P37" s="11">
        <f>P38+P40-P50-P51-P58</f>
        <v>0</v>
      </c>
      <c r="Q37" s="11">
        <f>Q38+Q40-Q50-Q51-Q58</f>
        <v>316489.65299999999</v>
      </c>
      <c r="R37" s="11">
        <f>R38+R40-R50-R51-R58</f>
        <v>0</v>
      </c>
      <c r="S37" s="11">
        <f>S38+S40-S50-S51-S58</f>
        <v>250476.46799999999</v>
      </c>
      <c r="T37" s="11">
        <f>T38+T40-T50-T51-T58</f>
        <v>221615.14899999998</v>
      </c>
      <c r="U37" s="14">
        <f>U38+U40-U50-U51-U58</f>
        <v>184365.40599999996</v>
      </c>
    </row>
    <row r="38" spans="2:22" x14ac:dyDescent="0.25">
      <c r="B38" t="s">
        <v>23</v>
      </c>
      <c r="C38" s="10">
        <v>46847.375</v>
      </c>
      <c r="D38" s="10">
        <v>337169.27899999998</v>
      </c>
      <c r="E38" s="15">
        <v>218338.658</v>
      </c>
      <c r="J38" s="10"/>
      <c r="K38" s="10"/>
      <c r="L38" s="10"/>
      <c r="M38" s="10"/>
      <c r="N38" s="10"/>
      <c r="O38" s="10"/>
      <c r="P38" s="10"/>
      <c r="Q38" s="10">
        <f>D38</f>
        <v>337169.27899999998</v>
      </c>
      <c r="R38" s="10"/>
      <c r="S38" s="10">
        <v>295563.30300000001</v>
      </c>
      <c r="T38" s="10">
        <v>265883.87199999997</v>
      </c>
      <c r="U38" s="15">
        <f>E38</f>
        <v>218338.658</v>
      </c>
    </row>
    <row r="39" spans="2:22" x14ac:dyDescent="0.25">
      <c r="B39" t="s">
        <v>186</v>
      </c>
      <c r="C39" s="10">
        <v>0</v>
      </c>
      <c r="D39" s="10">
        <v>1100</v>
      </c>
      <c r="E39" s="15">
        <v>1135.2</v>
      </c>
      <c r="J39" s="10"/>
      <c r="K39" s="10"/>
      <c r="L39" s="10"/>
      <c r="M39" s="10"/>
      <c r="N39" s="10"/>
      <c r="O39" s="10"/>
      <c r="P39" s="10"/>
      <c r="Q39" s="10">
        <f t="shared" ref="Q39:Q42" si="16">D39</f>
        <v>1100</v>
      </c>
      <c r="R39" s="10"/>
      <c r="S39" s="10">
        <v>1100</v>
      </c>
      <c r="T39" s="10">
        <v>1135.2</v>
      </c>
      <c r="U39" s="15">
        <f t="shared" ref="U39:U42" si="17">E39</f>
        <v>1135.2</v>
      </c>
    </row>
    <row r="40" spans="2:22" x14ac:dyDescent="0.25">
      <c r="B40" t="s">
        <v>24</v>
      </c>
      <c r="C40" s="10">
        <v>1344.654</v>
      </c>
      <c r="D40" s="10">
        <v>4748.1890000000003</v>
      </c>
      <c r="E40" s="15">
        <v>5440.4470000000001</v>
      </c>
      <c r="J40" s="10"/>
      <c r="K40" s="10"/>
      <c r="L40" s="10"/>
      <c r="M40" s="10"/>
      <c r="N40" s="10"/>
      <c r="O40" s="10"/>
      <c r="P40" s="10"/>
      <c r="Q40" s="10">
        <f t="shared" si="16"/>
        <v>4748.1890000000003</v>
      </c>
      <c r="R40" s="10"/>
      <c r="S40" s="10">
        <v>6858.9740000000002</v>
      </c>
      <c r="T40" s="10">
        <v>6152.1660000000002</v>
      </c>
      <c r="U40" s="15">
        <f t="shared" si="17"/>
        <v>5440.4470000000001</v>
      </c>
    </row>
    <row r="41" spans="2:22" x14ac:dyDescent="0.25">
      <c r="B41" t="s">
        <v>198</v>
      </c>
      <c r="C41" s="10"/>
      <c r="D41" s="10"/>
      <c r="E41" s="15"/>
      <c r="J41" s="10"/>
      <c r="K41" s="10"/>
      <c r="L41" s="10"/>
      <c r="M41" s="10"/>
      <c r="N41" s="10"/>
      <c r="O41" s="10"/>
      <c r="P41" s="10"/>
      <c r="Q41" s="10">
        <f t="shared" si="16"/>
        <v>0</v>
      </c>
      <c r="R41" s="10"/>
      <c r="S41" s="10">
        <v>0</v>
      </c>
      <c r="T41" s="10">
        <v>1.359</v>
      </c>
      <c r="U41" s="15">
        <f t="shared" si="17"/>
        <v>0</v>
      </c>
    </row>
    <row r="42" spans="2:22" x14ac:dyDescent="0.25">
      <c r="B42" t="s">
        <v>76</v>
      </c>
      <c r="C42" s="10">
        <v>775.58299999999997</v>
      </c>
      <c r="D42" s="10">
        <v>9342.6910000000007</v>
      </c>
      <c r="E42" s="15">
        <v>13090.072</v>
      </c>
      <c r="J42" s="10"/>
      <c r="K42" s="10"/>
      <c r="L42" s="10"/>
      <c r="M42" s="10"/>
      <c r="N42" s="10"/>
      <c r="O42" s="10"/>
      <c r="P42" s="10"/>
      <c r="Q42" s="10">
        <f t="shared" si="16"/>
        <v>9342.6910000000007</v>
      </c>
      <c r="R42" s="10"/>
      <c r="S42" s="10">
        <v>15652.152</v>
      </c>
      <c r="T42" s="10">
        <v>13185.162</v>
      </c>
      <c r="U42" s="15">
        <f t="shared" si="17"/>
        <v>13090.072</v>
      </c>
    </row>
    <row r="43" spans="2:22" s="1" customFormat="1" x14ac:dyDescent="0.25">
      <c r="B43" s="1" t="s">
        <v>61</v>
      </c>
      <c r="C43" s="11">
        <f>SUM(C38:C42)</f>
        <v>48967.612000000001</v>
      </c>
      <c r="D43" s="11">
        <f>SUM(D38:D42)</f>
        <v>352360.15899999999</v>
      </c>
      <c r="E43" s="14">
        <f>SUM(E38:E42)</f>
        <v>238004.37699999998</v>
      </c>
      <c r="J43" s="11">
        <f>SUM(J38:J42)</f>
        <v>0</v>
      </c>
      <c r="K43" s="11">
        <f>SUM(K38:K42)</f>
        <v>0</v>
      </c>
      <c r="L43" s="11">
        <f>SUM(L38:L42)</f>
        <v>0</v>
      </c>
      <c r="M43" s="11">
        <f>SUM(M38:M42)</f>
        <v>0</v>
      </c>
      <c r="N43" s="11">
        <f>SUM(N38:N42)</f>
        <v>0</v>
      </c>
      <c r="O43" s="11">
        <f>SUM(O38:O42)</f>
        <v>0</v>
      </c>
      <c r="P43" s="11">
        <f>SUM(P38:P42)</f>
        <v>0</v>
      </c>
      <c r="Q43" s="11">
        <f>SUM(Q38:Q42)</f>
        <v>352360.15899999999</v>
      </c>
      <c r="R43" s="11">
        <f>SUM(R38:R42)</f>
        <v>0</v>
      </c>
      <c r="S43" s="11">
        <f>SUM(S38:S42)</f>
        <v>319174.429</v>
      </c>
      <c r="T43" s="11">
        <f>SUM(T38:T42)</f>
        <v>286357.75900000002</v>
      </c>
      <c r="U43" s="14">
        <f>SUM(U38:U42)</f>
        <v>238004.37699999998</v>
      </c>
    </row>
    <row r="44" spans="2:22" x14ac:dyDescent="0.25">
      <c r="B44" t="s">
        <v>77</v>
      </c>
      <c r="C44" s="10">
        <v>1286.8489999999999</v>
      </c>
      <c r="D44" s="10">
        <v>8844.232</v>
      </c>
      <c r="E44" s="15">
        <v>19689.987000000001</v>
      </c>
      <c r="J44" s="10"/>
      <c r="K44" s="10"/>
      <c r="L44" s="10"/>
      <c r="M44" s="10"/>
      <c r="N44" s="10"/>
      <c r="O44" s="10"/>
      <c r="P44" s="10"/>
      <c r="Q44" s="10">
        <f t="shared" ref="Q44:Q48" si="18">D44</f>
        <v>8844.232</v>
      </c>
      <c r="R44" s="10"/>
      <c r="S44" s="10">
        <v>15347.956</v>
      </c>
      <c r="T44" s="10">
        <v>17878.498</v>
      </c>
      <c r="U44" s="15">
        <f t="shared" ref="U44:U48" si="19">E44</f>
        <v>19689.987000000001</v>
      </c>
    </row>
    <row r="45" spans="2:22" x14ac:dyDescent="0.25">
      <c r="B45" t="s">
        <v>187</v>
      </c>
      <c r="C45" s="10">
        <v>1515.8409999999999</v>
      </c>
      <c r="D45" s="10">
        <v>1356.454</v>
      </c>
      <c r="E45" s="15">
        <v>2473.9029999999998</v>
      </c>
      <c r="J45" s="10"/>
      <c r="K45" s="10"/>
      <c r="L45" s="10"/>
      <c r="M45" s="10"/>
      <c r="N45" s="10"/>
      <c r="O45" s="10"/>
      <c r="P45" s="10"/>
      <c r="Q45" s="10">
        <f t="shared" si="18"/>
        <v>1356.454</v>
      </c>
      <c r="R45" s="10"/>
      <c r="S45" s="10">
        <v>1021.399</v>
      </c>
      <c r="T45" s="10">
        <v>1844.385</v>
      </c>
      <c r="U45" s="15">
        <f t="shared" si="19"/>
        <v>2473.9029999999998</v>
      </c>
    </row>
    <row r="46" spans="2:22" x14ac:dyDescent="0.25">
      <c r="B46" t="s">
        <v>78</v>
      </c>
      <c r="C46" s="10">
        <v>3285.578</v>
      </c>
      <c r="D46" s="10">
        <v>3211.3049999999998</v>
      </c>
      <c r="E46" s="15">
        <v>23262.428</v>
      </c>
      <c r="J46" s="10"/>
      <c r="K46" s="10"/>
      <c r="L46" s="10"/>
      <c r="M46" s="10"/>
      <c r="N46" s="10"/>
      <c r="O46" s="10"/>
      <c r="P46" s="10"/>
      <c r="Q46" s="10">
        <f t="shared" si="18"/>
        <v>3211.3049999999998</v>
      </c>
      <c r="R46" s="10"/>
      <c r="S46" s="10">
        <v>10820.447</v>
      </c>
      <c r="T46" s="10">
        <v>10814.386</v>
      </c>
      <c r="U46" s="15">
        <f t="shared" si="19"/>
        <v>23262.428</v>
      </c>
    </row>
    <row r="47" spans="2:22" x14ac:dyDescent="0.25">
      <c r="B47" t="s">
        <v>26</v>
      </c>
      <c r="C47" s="10">
        <v>662.899</v>
      </c>
      <c r="D47" s="10">
        <v>662.899</v>
      </c>
      <c r="E47" s="15">
        <v>10655.391</v>
      </c>
      <c r="J47" s="10"/>
      <c r="K47" s="10"/>
      <c r="L47" s="10"/>
      <c r="M47" s="10"/>
      <c r="N47" s="10"/>
      <c r="O47" s="10"/>
      <c r="P47" s="10"/>
      <c r="Q47" s="10">
        <f t="shared" si="18"/>
        <v>662.899</v>
      </c>
      <c r="R47" s="10"/>
      <c r="S47" s="10">
        <v>12504.329</v>
      </c>
      <c r="T47" s="10">
        <v>12648.045</v>
      </c>
      <c r="U47" s="15">
        <f t="shared" si="19"/>
        <v>10655.391</v>
      </c>
    </row>
    <row r="48" spans="2:22" x14ac:dyDescent="0.25">
      <c r="B48" t="s">
        <v>25</v>
      </c>
      <c r="C48" s="10">
        <v>82.402000000000001</v>
      </c>
      <c r="D48" s="10">
        <v>547.58900000000006</v>
      </c>
      <c r="E48" s="15">
        <v>1626.8019999999999</v>
      </c>
      <c r="J48" s="10"/>
      <c r="K48" s="10"/>
      <c r="L48" s="10"/>
      <c r="M48" s="10"/>
      <c r="N48" s="10"/>
      <c r="O48" s="10"/>
      <c r="P48" s="10"/>
      <c r="Q48" s="10">
        <f t="shared" si="18"/>
        <v>547.58900000000006</v>
      </c>
      <c r="R48" s="10"/>
      <c r="S48" s="10">
        <v>1120.624</v>
      </c>
      <c r="T48" s="10">
        <v>1858.711</v>
      </c>
      <c r="U48" s="15">
        <f t="shared" si="19"/>
        <v>1626.8019999999999</v>
      </c>
    </row>
    <row r="49" spans="2:23" x14ac:dyDescent="0.25">
      <c r="B49" s="1" t="s">
        <v>27</v>
      </c>
      <c r="C49" s="11">
        <f>SUM(C43:C48)</f>
        <v>55801.181000000004</v>
      </c>
      <c r="D49" s="11">
        <f>SUM(D43:D48)</f>
        <v>366982.63799999998</v>
      </c>
      <c r="E49" s="14">
        <f>SUM(E43:E48)</f>
        <v>295712.88799999998</v>
      </c>
      <c r="J49" s="11">
        <f>SUM(J43:J48)</f>
        <v>0</v>
      </c>
      <c r="K49" s="11">
        <f>SUM(K43:K48)</f>
        <v>0</v>
      </c>
      <c r="L49" s="11">
        <f>SUM(L43:L48)</f>
        <v>0</v>
      </c>
      <c r="M49" s="11">
        <f>SUM(M43:M48)</f>
        <v>0</v>
      </c>
      <c r="N49" s="11">
        <f>SUM(N43:N48)</f>
        <v>0</v>
      </c>
      <c r="O49" s="11">
        <f>SUM(O43:O48)</f>
        <v>0</v>
      </c>
      <c r="P49" s="11">
        <f>SUM(P43:P48)</f>
        <v>0</v>
      </c>
      <c r="Q49" s="11">
        <f>SUM(Q43:Q48)</f>
        <v>366982.63799999998</v>
      </c>
      <c r="R49" s="11">
        <f>SUM(R43:R48)</f>
        <v>0</v>
      </c>
      <c r="S49" s="11">
        <f>SUM(S43:S48)</f>
        <v>359989.18400000001</v>
      </c>
      <c r="T49" s="11">
        <f>SUM(T43:T48)</f>
        <v>331401.78400000004</v>
      </c>
      <c r="U49" s="14">
        <f>SUM(U43:U48)</f>
        <v>295712.88799999998</v>
      </c>
    </row>
    <row r="50" spans="2:23" x14ac:dyDescent="0.25">
      <c r="B50" t="s">
        <v>188</v>
      </c>
      <c r="C50" s="10">
        <v>6853.4030000000002</v>
      </c>
      <c r="D50" s="10">
        <v>14324.696</v>
      </c>
      <c r="E50" s="15">
        <v>24713.203000000001</v>
      </c>
      <c r="J50" s="10"/>
      <c r="K50" s="10"/>
      <c r="L50" s="10"/>
      <c r="M50" s="10"/>
      <c r="N50" s="10"/>
      <c r="O50" s="10"/>
      <c r="P50" s="10"/>
      <c r="Q50" s="10">
        <f t="shared" ref="Q50:Q54" si="20">D50</f>
        <v>14324.696</v>
      </c>
      <c r="R50" s="10"/>
      <c r="S50" s="10">
        <v>26513.401000000002</v>
      </c>
      <c r="T50" s="10">
        <v>33513.993000000002</v>
      </c>
      <c r="U50" s="15">
        <f t="shared" ref="U50:U54" si="21">E50</f>
        <v>24713.203000000001</v>
      </c>
    </row>
    <row r="51" spans="2:23" x14ac:dyDescent="0.25">
      <c r="B51" t="s">
        <v>189</v>
      </c>
      <c r="C51" s="10">
        <v>30.013999999999999</v>
      </c>
      <c r="D51" s="10">
        <v>1040.6189999999999</v>
      </c>
      <c r="E51" s="15">
        <v>7003.8909999999996</v>
      </c>
      <c r="J51" s="10"/>
      <c r="K51" s="10"/>
      <c r="L51" s="10"/>
      <c r="M51" s="10"/>
      <c r="N51" s="10"/>
      <c r="O51" s="10"/>
      <c r="P51" s="10"/>
      <c r="Q51" s="10">
        <f t="shared" si="20"/>
        <v>1040.6189999999999</v>
      </c>
      <c r="R51" s="10"/>
      <c r="S51" s="10">
        <v>8527.4079999999994</v>
      </c>
      <c r="T51" s="10">
        <v>7487.5910000000003</v>
      </c>
      <c r="U51" s="15">
        <f t="shared" si="21"/>
        <v>7003.8909999999996</v>
      </c>
    </row>
    <row r="52" spans="2:23" x14ac:dyDescent="0.25">
      <c r="B52" t="s">
        <v>190</v>
      </c>
      <c r="C52" s="10">
        <v>315.15899999999999</v>
      </c>
      <c r="D52" s="10">
        <v>583.18600000000004</v>
      </c>
      <c r="E52" s="15">
        <v>0</v>
      </c>
      <c r="J52" s="10"/>
      <c r="K52" s="10"/>
      <c r="L52" s="10"/>
      <c r="M52" s="10"/>
      <c r="N52" s="10"/>
      <c r="O52" s="10"/>
      <c r="P52" s="10"/>
      <c r="Q52" s="10">
        <f t="shared" si="20"/>
        <v>583.18600000000004</v>
      </c>
      <c r="R52" s="10"/>
      <c r="S52" s="10">
        <f>-1.359+1629.18</f>
        <v>1627.8210000000001</v>
      </c>
      <c r="T52" s="10">
        <f>1629.18</f>
        <v>1629.18</v>
      </c>
      <c r="U52" s="15">
        <f t="shared" si="21"/>
        <v>0</v>
      </c>
    </row>
    <row r="53" spans="2:23" x14ac:dyDescent="0.25">
      <c r="B53" t="s">
        <v>191</v>
      </c>
      <c r="C53" s="10">
        <v>0.93400000000000005</v>
      </c>
      <c r="D53" s="10">
        <v>0.93400000000000005</v>
      </c>
      <c r="E53" s="15">
        <v>975.84400000000005</v>
      </c>
      <c r="J53" s="10"/>
      <c r="K53" s="10"/>
      <c r="L53" s="10"/>
      <c r="M53" s="10"/>
      <c r="N53" s="10"/>
      <c r="O53" s="10"/>
      <c r="P53" s="10"/>
      <c r="Q53" s="10">
        <f t="shared" si="20"/>
        <v>0.93400000000000005</v>
      </c>
      <c r="R53" s="10"/>
      <c r="S53" s="10">
        <v>410.62</v>
      </c>
      <c r="T53" s="10">
        <v>670.78899999999999</v>
      </c>
      <c r="U53" s="15">
        <f t="shared" si="21"/>
        <v>975.84400000000005</v>
      </c>
    </row>
    <row r="54" spans="2:23" x14ac:dyDescent="0.25">
      <c r="B54" t="s">
        <v>192</v>
      </c>
      <c r="C54" s="10"/>
      <c r="D54" s="10">
        <v>0</v>
      </c>
      <c r="E54" s="15">
        <v>863.64300000000003</v>
      </c>
      <c r="J54" s="10"/>
      <c r="K54" s="10"/>
      <c r="L54" s="10"/>
      <c r="M54" s="10"/>
      <c r="N54" s="10"/>
      <c r="O54" s="10"/>
      <c r="P54" s="10"/>
      <c r="Q54" s="10">
        <f t="shared" si="20"/>
        <v>0</v>
      </c>
      <c r="R54" s="10"/>
      <c r="S54" s="10">
        <v>1715.7439999999999</v>
      </c>
      <c r="T54" s="10">
        <v>980.97500000000002</v>
      </c>
      <c r="U54" s="15">
        <f t="shared" si="21"/>
        <v>863.64300000000003</v>
      </c>
    </row>
    <row r="55" spans="2:23" s="1" customFormat="1" x14ac:dyDescent="0.25">
      <c r="B55" s="1" t="s">
        <v>62</v>
      </c>
      <c r="C55" s="11">
        <f>SUM(C50:C54)</f>
        <v>7199.51</v>
      </c>
      <c r="D55" s="11">
        <f>SUM(D50:D54)</f>
        <v>15949.434999999999</v>
      </c>
      <c r="E55" s="14">
        <f>SUM(E50:E54)</f>
        <v>33556.581000000006</v>
      </c>
      <c r="J55" s="11">
        <f t="shared" ref="J55:U55" si="22">SUM(J50:J54)</f>
        <v>0</v>
      </c>
      <c r="K55" s="11">
        <f t="shared" si="22"/>
        <v>0</v>
      </c>
      <c r="L55" s="11">
        <f t="shared" si="22"/>
        <v>0</v>
      </c>
      <c r="M55" s="11">
        <f t="shared" si="22"/>
        <v>0</v>
      </c>
      <c r="N55" s="11">
        <f t="shared" si="22"/>
        <v>0</v>
      </c>
      <c r="O55" s="11">
        <f t="shared" si="22"/>
        <v>0</v>
      </c>
      <c r="P55" s="11">
        <f t="shared" si="22"/>
        <v>0</v>
      </c>
      <c r="Q55" s="11">
        <f t="shared" si="22"/>
        <v>15949.434999999999</v>
      </c>
      <c r="R55" s="11">
        <f t="shared" si="22"/>
        <v>0</v>
      </c>
      <c r="S55" s="11">
        <f t="shared" si="22"/>
        <v>38794.994000000006</v>
      </c>
      <c r="T55" s="11">
        <f t="shared" si="22"/>
        <v>44282.527999999998</v>
      </c>
      <c r="U55" s="14">
        <f t="shared" si="22"/>
        <v>33556.581000000006</v>
      </c>
      <c r="V55" s="11"/>
      <c r="W55" s="11"/>
    </row>
    <row r="56" spans="2:23" x14ac:dyDescent="0.25">
      <c r="B56" t="s">
        <v>193</v>
      </c>
      <c r="C56" s="10">
        <v>1195.1389999999999</v>
      </c>
      <c r="D56" s="10">
        <v>835.92399999999998</v>
      </c>
      <c r="E56" s="15">
        <v>1630.837</v>
      </c>
      <c r="J56" s="10"/>
      <c r="K56" s="10"/>
      <c r="L56" s="10"/>
      <c r="M56" s="10"/>
      <c r="N56" s="10"/>
      <c r="O56" s="10"/>
      <c r="P56" s="10"/>
      <c r="Q56" s="10">
        <f t="shared" ref="Q56:Q59" si="23">D56</f>
        <v>835.92399999999998</v>
      </c>
      <c r="R56" s="10"/>
      <c r="S56" s="10">
        <v>671.66899999999998</v>
      </c>
      <c r="T56" s="10">
        <v>1251.2439999999999</v>
      </c>
      <c r="U56" s="15">
        <f t="shared" ref="U56:U59" si="24">E56</f>
        <v>1630.837</v>
      </c>
    </row>
    <row r="57" spans="2:23" x14ac:dyDescent="0.25">
      <c r="B57" t="s">
        <v>194</v>
      </c>
      <c r="C57" s="10">
        <v>0</v>
      </c>
      <c r="D57" s="10">
        <v>0</v>
      </c>
      <c r="E57" s="15">
        <v>705.71699999999998</v>
      </c>
      <c r="J57" s="10"/>
      <c r="K57" s="10"/>
      <c r="L57" s="10"/>
      <c r="M57" s="10"/>
      <c r="N57" s="10"/>
      <c r="O57" s="10"/>
      <c r="P57" s="10"/>
      <c r="Q57" s="10">
        <f t="shared" si="23"/>
        <v>0</v>
      </c>
      <c r="R57" s="10"/>
      <c r="S57" s="10">
        <v>1402.001</v>
      </c>
      <c r="T57" s="10">
        <v>801.59299999999996</v>
      </c>
      <c r="U57" s="15">
        <f t="shared" si="24"/>
        <v>705.71699999999998</v>
      </c>
    </row>
    <row r="58" spans="2:23" x14ac:dyDescent="0.25">
      <c r="B58" t="s">
        <v>195</v>
      </c>
      <c r="C58" s="10">
        <v>0</v>
      </c>
      <c r="D58" s="10">
        <v>10062.5</v>
      </c>
      <c r="E58" s="15">
        <v>7696.6049999999996</v>
      </c>
      <c r="J58" s="10"/>
      <c r="K58" s="10"/>
      <c r="L58" s="10"/>
      <c r="M58" s="10"/>
      <c r="N58" s="10"/>
      <c r="O58" s="10"/>
      <c r="P58" s="10"/>
      <c r="Q58" s="10">
        <f t="shared" si="23"/>
        <v>10062.5</v>
      </c>
      <c r="R58" s="10"/>
      <c r="S58" s="10">
        <v>16905</v>
      </c>
      <c r="T58" s="10">
        <v>9419.3050000000003</v>
      </c>
      <c r="U58" s="15">
        <f t="shared" si="24"/>
        <v>7696.6049999999996</v>
      </c>
    </row>
    <row r="59" spans="2:23" x14ac:dyDescent="0.25">
      <c r="B59" t="s">
        <v>25</v>
      </c>
      <c r="C59" s="10">
        <v>250</v>
      </c>
      <c r="D59" s="10">
        <v>500</v>
      </c>
      <c r="E59" s="15">
        <v>500</v>
      </c>
      <c r="J59" s="10"/>
      <c r="K59" s="10"/>
      <c r="L59" s="10"/>
      <c r="M59" s="10"/>
      <c r="N59" s="10"/>
      <c r="O59" s="10"/>
      <c r="P59" s="10"/>
      <c r="Q59" s="10">
        <f t="shared" si="23"/>
        <v>500</v>
      </c>
      <c r="R59" s="10"/>
      <c r="S59" s="10">
        <v>500</v>
      </c>
      <c r="T59" s="10">
        <v>500</v>
      </c>
      <c r="U59" s="15">
        <f t="shared" si="24"/>
        <v>500</v>
      </c>
    </row>
    <row r="60" spans="2:23" x14ac:dyDescent="0.25">
      <c r="B60" s="1" t="s">
        <v>28</v>
      </c>
      <c r="C60" s="11">
        <f>SUM(C55:C59)</f>
        <v>8644.6489999999994</v>
      </c>
      <c r="D60" s="11">
        <f>SUM(D55:D59)</f>
        <v>27347.859</v>
      </c>
      <c r="E60" s="14">
        <f>SUM(E55:E59)</f>
        <v>44089.740000000005</v>
      </c>
      <c r="J60" s="11">
        <f t="shared" ref="J60:U60" si="25">SUM(J55:J59)</f>
        <v>0</v>
      </c>
      <c r="K60" s="11">
        <f t="shared" si="25"/>
        <v>0</v>
      </c>
      <c r="L60" s="11">
        <f t="shared" si="25"/>
        <v>0</v>
      </c>
      <c r="M60" s="11">
        <f t="shared" si="25"/>
        <v>0</v>
      </c>
      <c r="N60" s="11">
        <f t="shared" si="25"/>
        <v>0</v>
      </c>
      <c r="O60" s="11">
        <f t="shared" si="25"/>
        <v>0</v>
      </c>
      <c r="P60" s="11">
        <f t="shared" si="25"/>
        <v>0</v>
      </c>
      <c r="Q60" s="11">
        <f t="shared" si="25"/>
        <v>27347.859</v>
      </c>
      <c r="R60" s="11">
        <f t="shared" si="25"/>
        <v>0</v>
      </c>
      <c r="S60" s="11">
        <f t="shared" si="25"/>
        <v>58273.664000000004</v>
      </c>
      <c r="T60" s="11">
        <f t="shared" si="25"/>
        <v>56254.67</v>
      </c>
      <c r="U60" s="14">
        <f t="shared" si="25"/>
        <v>44089.740000000005</v>
      </c>
    </row>
    <row r="61" spans="2:23" x14ac:dyDescent="0.25">
      <c r="B61" t="s">
        <v>79</v>
      </c>
      <c r="C61" s="150">
        <f t="shared" ref="C61" si="26">C49-C60</f>
        <v>47156.532000000007</v>
      </c>
      <c r="D61" s="150">
        <f>D49-D60</f>
        <v>339634.77899999998</v>
      </c>
      <c r="E61" s="15">
        <f>E49-E60</f>
        <v>251623.14799999999</v>
      </c>
      <c r="Q61" s="10">
        <f>Q49-Q60</f>
        <v>339634.77899999998</v>
      </c>
      <c r="S61" s="10">
        <f>S49-S60</f>
        <v>301715.52</v>
      </c>
      <c r="T61" s="10">
        <f>T49-T60</f>
        <v>275147.11400000006</v>
      </c>
      <c r="U61" s="15">
        <f>U49-U60</f>
        <v>251623.14799999999</v>
      </c>
    </row>
    <row r="63" spans="2:23" s="1" customFormat="1" x14ac:dyDescent="0.25">
      <c r="B63" s="1" t="s">
        <v>80</v>
      </c>
      <c r="C63" s="156">
        <f>C15/(C38+C39)</f>
        <v>3.5099085060795834E-4</v>
      </c>
      <c r="D63" s="156">
        <f>D15/(D38+D39)</f>
        <v>8.9261904271241855E-3</v>
      </c>
      <c r="E63" s="54">
        <f>E15/(E38+E39)</f>
        <v>6.1941149273459256E-2</v>
      </c>
      <c r="U63" s="16"/>
    </row>
    <row r="81" spans="5:21" s="9" customFormat="1" x14ac:dyDescent="0.25">
      <c r="E81" s="42"/>
      <c r="U81" s="42"/>
    </row>
    <row r="82" spans="5:21" s="1" customFormat="1" x14ac:dyDescent="0.25">
      <c r="E82" s="16"/>
      <c r="U82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Q1" workbookViewId="0">
      <selection activeCell="A8" sqref="A8"/>
    </sheetView>
  </sheetViews>
  <sheetFormatPr defaultRowHeight="15" x14ac:dyDescent="0.25"/>
  <sheetData>
    <row r="1" spans="1:1" x14ac:dyDescent="0.25">
      <c r="A1" s="8" t="s">
        <v>37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G13" sqref="G13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37</v>
      </c>
      <c r="B1" t="s">
        <v>50</v>
      </c>
      <c r="C1" s="17" t="s">
        <v>51</v>
      </c>
    </row>
    <row r="2" spans="1:13" x14ac:dyDescent="0.25">
      <c r="B2" s="12">
        <v>44298</v>
      </c>
      <c r="C2" s="18">
        <v>9.82</v>
      </c>
      <c r="E2" t="s">
        <v>50</v>
      </c>
      <c r="F2" t="s">
        <v>52</v>
      </c>
      <c r="M2" t="s">
        <v>53</v>
      </c>
    </row>
    <row r="3" spans="1:13" x14ac:dyDescent="0.25">
      <c r="B3" s="12">
        <v>44305</v>
      </c>
      <c r="C3" s="18">
        <v>9.83</v>
      </c>
      <c r="E3" s="12">
        <v>45328</v>
      </c>
      <c r="F3" t="s">
        <v>55</v>
      </c>
      <c r="M3" s="12"/>
    </row>
    <row r="4" spans="1:13" x14ac:dyDescent="0.25">
      <c r="B4" s="12">
        <v>44312</v>
      </c>
      <c r="C4" s="18">
        <v>9.7810000000000006</v>
      </c>
      <c r="E4" s="12">
        <v>45302</v>
      </c>
      <c r="F4" t="s">
        <v>55</v>
      </c>
      <c r="M4" s="12"/>
    </row>
    <row r="5" spans="1:13" x14ac:dyDescent="0.25">
      <c r="B5" s="12">
        <v>44319</v>
      </c>
      <c r="C5" s="18">
        <v>9.7449999999999992</v>
      </c>
      <c r="M5" s="12"/>
    </row>
    <row r="6" spans="1:13" x14ac:dyDescent="0.25">
      <c r="B6" s="12">
        <v>44326</v>
      </c>
      <c r="C6" s="18">
        <v>9.77</v>
      </c>
      <c r="M6" s="12"/>
    </row>
    <row r="7" spans="1:13" x14ac:dyDescent="0.25">
      <c r="B7" s="12">
        <v>44333</v>
      </c>
      <c r="C7" s="18">
        <v>9.8000000000000007</v>
      </c>
      <c r="M7" s="12"/>
    </row>
    <row r="8" spans="1:13" x14ac:dyDescent="0.25">
      <c r="B8" s="12">
        <v>44340</v>
      </c>
      <c r="C8" s="18">
        <v>9.74</v>
      </c>
      <c r="M8" s="12"/>
    </row>
    <row r="9" spans="1:13" x14ac:dyDescent="0.25">
      <c r="B9" s="12">
        <v>44347</v>
      </c>
      <c r="C9" s="18">
        <v>9.7550000000000008</v>
      </c>
      <c r="M9" s="12"/>
    </row>
    <row r="10" spans="1:13" x14ac:dyDescent="0.25">
      <c r="B10" s="12">
        <v>44354</v>
      </c>
      <c r="C10" s="18">
        <v>9.77</v>
      </c>
      <c r="M10" s="12"/>
    </row>
    <row r="11" spans="1:13" x14ac:dyDescent="0.25">
      <c r="B11" s="12">
        <v>44361</v>
      </c>
      <c r="C11" s="18">
        <v>9.73</v>
      </c>
      <c r="M11" s="12"/>
    </row>
    <row r="12" spans="1:13" x14ac:dyDescent="0.25">
      <c r="B12" s="12">
        <v>44368</v>
      </c>
      <c r="C12" s="18">
        <v>9.76</v>
      </c>
      <c r="M12" s="12"/>
    </row>
    <row r="13" spans="1:13" x14ac:dyDescent="0.25">
      <c r="B13" s="12">
        <v>44375</v>
      </c>
      <c r="C13" s="18">
        <v>9.7200000000000006</v>
      </c>
    </row>
    <row r="14" spans="1:13" x14ac:dyDescent="0.25">
      <c r="B14" s="12">
        <v>44382</v>
      </c>
      <c r="C14" s="18">
        <v>9.6999999999999993</v>
      </c>
    </row>
    <row r="15" spans="1:13" x14ac:dyDescent="0.25">
      <c r="B15" s="12">
        <v>44389</v>
      </c>
      <c r="C15" s="18">
        <v>9.76</v>
      </c>
    </row>
    <row r="16" spans="1:13" x14ac:dyDescent="0.25">
      <c r="B16" s="12">
        <v>44396</v>
      </c>
      <c r="C16" s="18">
        <v>9.7200000000000006</v>
      </c>
    </row>
    <row r="17" spans="2:3" x14ac:dyDescent="0.25">
      <c r="B17" s="12">
        <v>44403</v>
      </c>
      <c r="C17" s="18">
        <v>9.74</v>
      </c>
    </row>
    <row r="18" spans="2:3" x14ac:dyDescent="0.25">
      <c r="B18" s="12">
        <v>44410</v>
      </c>
      <c r="C18" s="18">
        <v>9.7189999999999994</v>
      </c>
    </row>
    <row r="19" spans="2:3" x14ac:dyDescent="0.25">
      <c r="B19" s="12">
        <v>44417</v>
      </c>
      <c r="C19" s="18">
        <v>9.6999999999999993</v>
      </c>
    </row>
    <row r="20" spans="2:3" x14ac:dyDescent="0.25">
      <c r="B20" s="12">
        <v>44424</v>
      </c>
      <c r="C20" s="18">
        <v>9.65</v>
      </c>
    </row>
    <row r="21" spans="2:3" x14ac:dyDescent="0.25">
      <c r="B21" s="12">
        <v>44431</v>
      </c>
      <c r="C21" s="18">
        <v>9.7100000000000009</v>
      </c>
    </row>
    <row r="22" spans="2:3" x14ac:dyDescent="0.25">
      <c r="B22" s="12">
        <v>44438</v>
      </c>
      <c r="C22" s="18">
        <v>9.7200000000000006</v>
      </c>
    </row>
    <row r="23" spans="2:3" x14ac:dyDescent="0.25">
      <c r="B23" s="12">
        <v>44445</v>
      </c>
      <c r="C23" s="18">
        <v>9.73</v>
      </c>
    </row>
    <row r="24" spans="2:3" x14ac:dyDescent="0.25">
      <c r="B24" s="12">
        <v>44452</v>
      </c>
      <c r="C24" s="18">
        <v>9.77</v>
      </c>
    </row>
    <row r="25" spans="2:3" x14ac:dyDescent="0.25">
      <c r="B25" s="12">
        <v>44459</v>
      </c>
      <c r="C25" s="18">
        <v>9.7200000000000006</v>
      </c>
    </row>
    <row r="26" spans="2:3" x14ac:dyDescent="0.25">
      <c r="B26" s="12">
        <v>44466</v>
      </c>
      <c r="C26" s="18">
        <v>9.74</v>
      </c>
    </row>
    <row r="27" spans="2:3" x14ac:dyDescent="0.25">
      <c r="B27" s="12">
        <v>44473</v>
      </c>
      <c r="C27" s="18">
        <v>9.76</v>
      </c>
    </row>
    <row r="28" spans="2:3" x14ac:dyDescent="0.25">
      <c r="B28" s="12">
        <v>44480</v>
      </c>
      <c r="C28" s="18">
        <v>9.73</v>
      </c>
    </row>
    <row r="29" spans="2:3" x14ac:dyDescent="0.25">
      <c r="B29" s="12">
        <v>44487</v>
      </c>
      <c r="C29" s="18">
        <v>9.75</v>
      </c>
    </row>
    <row r="30" spans="2:3" x14ac:dyDescent="0.25">
      <c r="B30" s="12">
        <v>44494</v>
      </c>
      <c r="C30" s="18">
        <v>9.74</v>
      </c>
    </row>
    <row r="31" spans="2:3" x14ac:dyDescent="0.25">
      <c r="B31" s="12">
        <v>44501</v>
      </c>
      <c r="C31" s="18">
        <v>9.75</v>
      </c>
    </row>
    <row r="32" spans="2:3" x14ac:dyDescent="0.25">
      <c r="B32" s="12">
        <v>44508</v>
      </c>
      <c r="C32" s="18">
        <v>9.75</v>
      </c>
    </row>
    <row r="33" spans="2:3" x14ac:dyDescent="0.25">
      <c r="B33" s="12">
        <v>44515</v>
      </c>
      <c r="C33" s="18">
        <v>9.76</v>
      </c>
    </row>
    <row r="34" spans="2:3" x14ac:dyDescent="0.25">
      <c r="B34" s="12">
        <v>44522</v>
      </c>
      <c r="C34" s="18">
        <v>9.76</v>
      </c>
    </row>
    <row r="35" spans="2:3" x14ac:dyDescent="0.25">
      <c r="B35" s="12">
        <v>44529</v>
      </c>
      <c r="C35" s="18">
        <v>11.9</v>
      </c>
    </row>
    <row r="36" spans="2:3" x14ac:dyDescent="0.25">
      <c r="B36" s="12">
        <v>44536</v>
      </c>
      <c r="C36" s="18">
        <v>13.47</v>
      </c>
    </row>
    <row r="37" spans="2:3" x14ac:dyDescent="0.25">
      <c r="B37" s="12">
        <v>44543</v>
      </c>
      <c r="C37" s="18">
        <v>12.04</v>
      </c>
    </row>
    <row r="38" spans="2:3" x14ac:dyDescent="0.25">
      <c r="B38" s="12">
        <v>44550</v>
      </c>
      <c r="C38" s="18">
        <v>11.7</v>
      </c>
    </row>
    <row r="39" spans="2:3" x14ac:dyDescent="0.25">
      <c r="B39" s="12">
        <v>44557</v>
      </c>
      <c r="C39" s="18">
        <v>10.83</v>
      </c>
    </row>
    <row r="40" spans="2:3" x14ac:dyDescent="0.25">
      <c r="B40" s="12">
        <v>44564</v>
      </c>
      <c r="C40" s="18">
        <v>11.62</v>
      </c>
    </row>
    <row r="41" spans="2:3" x14ac:dyDescent="0.25">
      <c r="B41" s="12">
        <v>44571</v>
      </c>
      <c r="C41" s="18">
        <v>12.3</v>
      </c>
    </row>
    <row r="42" spans="2:3" x14ac:dyDescent="0.25">
      <c r="B42" s="12">
        <v>44578</v>
      </c>
      <c r="C42" s="18">
        <v>11.86</v>
      </c>
    </row>
    <row r="43" spans="2:3" x14ac:dyDescent="0.25">
      <c r="B43" s="12">
        <v>44585</v>
      </c>
      <c r="C43" s="18">
        <v>11.48</v>
      </c>
    </row>
    <row r="44" spans="2:3" x14ac:dyDescent="0.25">
      <c r="B44" s="12">
        <v>44592</v>
      </c>
      <c r="C44" s="18">
        <v>12.77</v>
      </c>
    </row>
    <row r="45" spans="2:3" x14ac:dyDescent="0.25">
      <c r="B45" s="12">
        <v>44599</v>
      </c>
      <c r="C45" s="18">
        <v>14.37</v>
      </c>
    </row>
    <row r="46" spans="2:3" x14ac:dyDescent="0.25">
      <c r="B46" s="12">
        <v>44606</v>
      </c>
      <c r="C46" s="18">
        <v>14.13</v>
      </c>
    </row>
    <row r="47" spans="2:3" x14ac:dyDescent="0.25">
      <c r="B47" s="12">
        <v>44613</v>
      </c>
      <c r="C47" s="18">
        <v>12.72</v>
      </c>
    </row>
    <row r="48" spans="2:3" x14ac:dyDescent="0.25">
      <c r="B48" s="12">
        <v>44620</v>
      </c>
      <c r="C48" s="18">
        <v>12.37</v>
      </c>
    </row>
    <row r="49" spans="2:3" x14ac:dyDescent="0.25">
      <c r="B49" s="12">
        <v>44627</v>
      </c>
      <c r="C49" s="18">
        <v>11.71</v>
      </c>
    </row>
    <row r="50" spans="2:3" x14ac:dyDescent="0.25">
      <c r="B50" s="12">
        <v>44634</v>
      </c>
      <c r="C50" s="18">
        <v>11.76</v>
      </c>
    </row>
    <row r="51" spans="2:3" x14ac:dyDescent="0.25">
      <c r="B51" s="12">
        <v>44641</v>
      </c>
      <c r="C51" s="18">
        <v>11.68</v>
      </c>
    </row>
    <row r="52" spans="2:3" x14ac:dyDescent="0.25">
      <c r="B52" s="12">
        <v>44648</v>
      </c>
      <c r="C52" s="18">
        <v>11.59</v>
      </c>
    </row>
    <row r="53" spans="2:3" x14ac:dyDescent="0.25">
      <c r="B53" s="12">
        <v>44655</v>
      </c>
      <c r="C53" s="18">
        <v>11.34</v>
      </c>
    </row>
    <row r="54" spans="2:3" x14ac:dyDescent="0.25">
      <c r="B54" s="12">
        <v>44662</v>
      </c>
      <c r="C54" s="18">
        <v>11.33</v>
      </c>
    </row>
    <row r="55" spans="2:3" x14ac:dyDescent="0.25">
      <c r="B55" s="12">
        <v>44669</v>
      </c>
      <c r="C55" s="18">
        <v>11.48</v>
      </c>
    </row>
    <row r="56" spans="2:3" x14ac:dyDescent="0.25">
      <c r="B56" s="12">
        <v>44676</v>
      </c>
      <c r="C56" s="18">
        <v>12.48</v>
      </c>
    </row>
    <row r="57" spans="2:3" x14ac:dyDescent="0.25">
      <c r="B57" s="12">
        <v>44683</v>
      </c>
      <c r="C57" s="18">
        <v>11.7</v>
      </c>
    </row>
    <row r="58" spans="2:3" x14ac:dyDescent="0.25">
      <c r="B58" s="12">
        <v>44690</v>
      </c>
      <c r="C58" s="18">
        <v>10.97</v>
      </c>
    </row>
    <row r="59" spans="2:3" x14ac:dyDescent="0.25">
      <c r="B59" s="12">
        <v>44697</v>
      </c>
      <c r="C59" s="18">
        <v>11.12</v>
      </c>
    </row>
    <row r="60" spans="2:3" x14ac:dyDescent="0.25">
      <c r="B60" s="12">
        <v>44704</v>
      </c>
      <c r="C60" s="18">
        <v>10.7</v>
      </c>
    </row>
    <row r="61" spans="2:3" x14ac:dyDescent="0.25">
      <c r="B61" s="12">
        <v>44711</v>
      </c>
      <c r="C61" s="18">
        <v>10.55</v>
      </c>
    </row>
    <row r="62" spans="2:3" x14ac:dyDescent="0.25">
      <c r="B62" s="12">
        <v>44718</v>
      </c>
      <c r="C62" s="18">
        <v>10.24</v>
      </c>
    </row>
    <row r="63" spans="2:3" x14ac:dyDescent="0.25">
      <c r="B63" s="12">
        <v>44725</v>
      </c>
      <c r="C63" s="18">
        <v>10.09</v>
      </c>
    </row>
    <row r="64" spans="2:3" x14ac:dyDescent="0.25">
      <c r="B64" s="12">
        <v>44732</v>
      </c>
      <c r="C64" s="18">
        <v>10.07</v>
      </c>
    </row>
    <row r="65" spans="2:3" x14ac:dyDescent="0.25">
      <c r="B65" s="12">
        <v>44739</v>
      </c>
      <c r="C65" s="18">
        <v>9.99</v>
      </c>
    </row>
    <row r="66" spans="2:3" x14ac:dyDescent="0.25">
      <c r="B66" s="12">
        <v>44746</v>
      </c>
      <c r="C66" s="18">
        <v>10.01</v>
      </c>
    </row>
    <row r="67" spans="2:3" x14ac:dyDescent="0.25">
      <c r="B67" s="12">
        <v>44753</v>
      </c>
      <c r="C67" s="18">
        <v>10.06</v>
      </c>
    </row>
    <row r="68" spans="2:3" x14ac:dyDescent="0.25">
      <c r="B68" s="12">
        <v>44760</v>
      </c>
      <c r="C68" s="18">
        <v>10.06</v>
      </c>
    </row>
    <row r="69" spans="2:3" x14ac:dyDescent="0.25">
      <c r="B69" s="12">
        <v>44767</v>
      </c>
      <c r="C69" s="18">
        <v>10.039999999999999</v>
      </c>
    </row>
    <row r="70" spans="2:3" x14ac:dyDescent="0.25">
      <c r="B70" s="12">
        <v>44774</v>
      </c>
      <c r="C70" s="18">
        <v>10.039999999999999</v>
      </c>
    </row>
    <row r="71" spans="2:3" x14ac:dyDescent="0.25">
      <c r="B71" s="12">
        <v>44781</v>
      </c>
      <c r="C71" s="18">
        <v>10.220000000000001</v>
      </c>
    </row>
    <row r="72" spans="2:3" x14ac:dyDescent="0.25">
      <c r="B72" s="12">
        <v>44788</v>
      </c>
      <c r="C72" s="18">
        <v>10.11</v>
      </c>
    </row>
    <row r="73" spans="2:3" x14ac:dyDescent="0.25">
      <c r="B73" s="12">
        <v>44795</v>
      </c>
      <c r="C73" s="18">
        <v>10.08</v>
      </c>
    </row>
    <row r="74" spans="2:3" x14ac:dyDescent="0.25">
      <c r="B74" s="12">
        <v>44802</v>
      </c>
      <c r="C74" s="18">
        <v>11.75</v>
      </c>
    </row>
    <row r="75" spans="2:3" x14ac:dyDescent="0.25">
      <c r="B75" s="12">
        <v>44809</v>
      </c>
      <c r="C75" s="18">
        <v>11.98</v>
      </c>
    </row>
    <row r="76" spans="2:3" x14ac:dyDescent="0.25">
      <c r="B76" s="12">
        <v>44816</v>
      </c>
      <c r="C76" s="18">
        <v>12.04</v>
      </c>
    </row>
    <row r="77" spans="2:3" x14ac:dyDescent="0.25">
      <c r="B77" s="12">
        <v>44823</v>
      </c>
      <c r="C77" s="18">
        <v>12.03</v>
      </c>
    </row>
    <row r="78" spans="2:3" x14ac:dyDescent="0.25">
      <c r="B78" s="12">
        <v>44830</v>
      </c>
      <c r="C78" s="18">
        <v>12.25</v>
      </c>
    </row>
    <row r="79" spans="2:3" x14ac:dyDescent="0.25">
      <c r="B79" s="12">
        <v>44837</v>
      </c>
      <c r="C79" s="18">
        <v>12.27</v>
      </c>
    </row>
    <row r="80" spans="2:3" x14ac:dyDescent="0.25">
      <c r="B80" s="12">
        <v>44844</v>
      </c>
      <c r="C80" s="18">
        <v>9.3000000000000007</v>
      </c>
    </row>
    <row r="81" spans="2:3" x14ac:dyDescent="0.25">
      <c r="B81" s="12">
        <v>44851</v>
      </c>
      <c r="C81" s="18">
        <v>7.28</v>
      </c>
    </row>
    <row r="82" spans="2:3" x14ac:dyDescent="0.25">
      <c r="B82" s="12">
        <v>44858</v>
      </c>
      <c r="C82" s="18">
        <v>11.52</v>
      </c>
    </row>
    <row r="83" spans="2:3" x14ac:dyDescent="0.25">
      <c r="B83" s="12">
        <v>44865</v>
      </c>
      <c r="C83" s="18">
        <v>13.06</v>
      </c>
    </row>
    <row r="84" spans="2:3" x14ac:dyDescent="0.25">
      <c r="B84" s="12">
        <v>44872</v>
      </c>
      <c r="C84" s="18">
        <v>12.91</v>
      </c>
    </row>
    <row r="85" spans="2:3" x14ac:dyDescent="0.25">
      <c r="B85" s="12">
        <v>44879</v>
      </c>
      <c r="C85" s="18">
        <v>9.9700000000000006</v>
      </c>
    </row>
    <row r="86" spans="2:3" x14ac:dyDescent="0.25">
      <c r="B86" s="12">
        <v>44886</v>
      </c>
      <c r="C86" s="18">
        <v>9.5299999999999994</v>
      </c>
    </row>
    <row r="87" spans="2:3" x14ac:dyDescent="0.25">
      <c r="B87" s="12">
        <v>44893</v>
      </c>
      <c r="C87" s="18">
        <v>8.76</v>
      </c>
    </row>
    <row r="88" spans="2:3" x14ac:dyDescent="0.25">
      <c r="B88" s="12">
        <v>44900</v>
      </c>
      <c r="C88" s="18">
        <v>7.78</v>
      </c>
    </row>
    <row r="89" spans="2:3" x14ac:dyDescent="0.25">
      <c r="B89" s="12">
        <v>44907</v>
      </c>
      <c r="C89" s="18">
        <v>7.78</v>
      </c>
    </row>
    <row r="90" spans="2:3" x14ac:dyDescent="0.25">
      <c r="B90" s="12">
        <v>44914</v>
      </c>
      <c r="C90" s="18">
        <v>6.38</v>
      </c>
    </row>
    <row r="91" spans="2:3" x14ac:dyDescent="0.25">
      <c r="B91" s="12">
        <v>44921</v>
      </c>
      <c r="C91" s="18">
        <v>5.95</v>
      </c>
    </row>
    <row r="92" spans="2:3" x14ac:dyDescent="0.25">
      <c r="B92" s="12">
        <v>44928</v>
      </c>
      <c r="C92" s="18">
        <v>6.76</v>
      </c>
    </row>
    <row r="93" spans="2:3" x14ac:dyDescent="0.25">
      <c r="B93" s="12">
        <v>44935</v>
      </c>
      <c r="C93" s="18">
        <v>9.33</v>
      </c>
    </row>
    <row r="94" spans="2:3" x14ac:dyDescent="0.25">
      <c r="B94" s="12">
        <v>44942</v>
      </c>
      <c r="C94" s="18">
        <v>9.5950000000000006</v>
      </c>
    </row>
    <row r="95" spans="2:3" x14ac:dyDescent="0.25">
      <c r="B95" s="12">
        <v>44949</v>
      </c>
      <c r="C95" s="18">
        <v>9.9499999999999993</v>
      </c>
    </row>
    <row r="96" spans="2:3" x14ac:dyDescent="0.25">
      <c r="B96" s="12">
        <v>44956</v>
      </c>
      <c r="C96" s="18">
        <v>10.09</v>
      </c>
    </row>
    <row r="97" spans="2:3" x14ac:dyDescent="0.25">
      <c r="B97" s="12">
        <v>44963</v>
      </c>
      <c r="C97" s="18">
        <v>8.8699999999999992</v>
      </c>
    </row>
    <row r="98" spans="2:3" x14ac:dyDescent="0.25">
      <c r="B98" s="12">
        <v>44970</v>
      </c>
      <c r="C98" s="18">
        <v>9.26</v>
      </c>
    </row>
    <row r="99" spans="2:3" x14ac:dyDescent="0.25">
      <c r="B99" s="12">
        <v>44977</v>
      </c>
      <c r="C99" s="18">
        <v>8.56</v>
      </c>
    </row>
    <row r="100" spans="2:3" x14ac:dyDescent="0.25">
      <c r="B100" s="12">
        <v>44984</v>
      </c>
      <c r="C100" s="18">
        <v>8.48</v>
      </c>
    </row>
    <row r="101" spans="2:3" x14ac:dyDescent="0.25">
      <c r="B101" s="12">
        <v>44991</v>
      </c>
      <c r="C101" s="18">
        <v>8.8800000000000008</v>
      </c>
    </row>
    <row r="102" spans="2:3" x14ac:dyDescent="0.25">
      <c r="B102" s="12">
        <v>44998</v>
      </c>
      <c r="C102" s="18">
        <v>7.96</v>
      </c>
    </row>
    <row r="103" spans="2:3" x14ac:dyDescent="0.25">
      <c r="B103" s="12">
        <v>45005</v>
      </c>
      <c r="C103" s="18">
        <v>8.32</v>
      </c>
    </row>
    <row r="104" spans="2:3" x14ac:dyDescent="0.25">
      <c r="B104" s="12">
        <v>45012</v>
      </c>
      <c r="C104" s="18">
        <v>10</v>
      </c>
    </row>
    <row r="105" spans="2:3" x14ac:dyDescent="0.25">
      <c r="B105" s="12">
        <v>45019</v>
      </c>
      <c r="C105" s="18">
        <v>8.94</v>
      </c>
    </row>
    <row r="106" spans="2:3" x14ac:dyDescent="0.25">
      <c r="B106" s="12">
        <v>45026</v>
      </c>
      <c r="C106" s="18">
        <v>9.34</v>
      </c>
    </row>
    <row r="107" spans="2:3" x14ac:dyDescent="0.25">
      <c r="B107" s="12">
        <v>45033</v>
      </c>
      <c r="C107" s="18">
        <v>8.68</v>
      </c>
    </row>
    <row r="108" spans="2:3" x14ac:dyDescent="0.25">
      <c r="B108" s="12">
        <v>45040</v>
      </c>
      <c r="C108" s="18">
        <v>7.96</v>
      </c>
    </row>
    <row r="109" spans="2:3" x14ac:dyDescent="0.25">
      <c r="B109" s="12">
        <v>45047</v>
      </c>
      <c r="C109" s="18">
        <v>9.48</v>
      </c>
    </row>
    <row r="110" spans="2:3" x14ac:dyDescent="0.25">
      <c r="B110" s="12">
        <v>45054</v>
      </c>
      <c r="C110" s="18">
        <v>9.91</v>
      </c>
    </row>
    <row r="111" spans="2:3" x14ac:dyDescent="0.25">
      <c r="B111" s="12">
        <v>45061</v>
      </c>
      <c r="C111" s="18">
        <v>9.6999999999999993</v>
      </c>
    </row>
    <row r="112" spans="2:3" x14ac:dyDescent="0.25">
      <c r="B112" s="12">
        <v>45068</v>
      </c>
      <c r="C112" s="18">
        <v>9.5500000000000007</v>
      </c>
    </row>
    <row r="113" spans="2:3" x14ac:dyDescent="0.25">
      <c r="B113" s="12">
        <v>45075</v>
      </c>
      <c r="C113" s="18">
        <v>10</v>
      </c>
    </row>
    <row r="114" spans="2:3" x14ac:dyDescent="0.25">
      <c r="B114" s="12">
        <v>45082</v>
      </c>
      <c r="C114" s="18">
        <v>10.36</v>
      </c>
    </row>
    <row r="115" spans="2:3" x14ac:dyDescent="0.25">
      <c r="B115" s="12">
        <v>45089</v>
      </c>
      <c r="C115" s="18">
        <v>9.36</v>
      </c>
    </row>
    <row r="116" spans="2:3" x14ac:dyDescent="0.25">
      <c r="B116" s="12">
        <v>45096</v>
      </c>
      <c r="C116" s="18">
        <v>9.23</v>
      </c>
    </row>
    <row r="117" spans="2:3" x14ac:dyDescent="0.25">
      <c r="B117" s="12">
        <v>45103</v>
      </c>
      <c r="C117" s="18">
        <v>8.92</v>
      </c>
    </row>
    <row r="118" spans="2:3" x14ac:dyDescent="0.25">
      <c r="B118" s="12">
        <v>45110</v>
      </c>
      <c r="C118" s="18">
        <v>8.44</v>
      </c>
    </row>
    <row r="119" spans="2:3" x14ac:dyDescent="0.25">
      <c r="B119" s="12">
        <v>45117</v>
      </c>
      <c r="C119" s="18">
        <v>8.3000000000000007</v>
      </c>
    </row>
    <row r="120" spans="2:3" x14ac:dyDescent="0.25">
      <c r="B120" s="12">
        <v>45124</v>
      </c>
      <c r="C120" s="18">
        <v>7.94</v>
      </c>
    </row>
    <row r="121" spans="2:3" x14ac:dyDescent="0.25">
      <c r="B121" s="12">
        <v>45131</v>
      </c>
      <c r="C121" s="18">
        <v>8.5500000000000007</v>
      </c>
    </row>
    <row r="122" spans="2:3" x14ac:dyDescent="0.25">
      <c r="B122" s="12">
        <v>45138</v>
      </c>
      <c r="C122" s="18">
        <v>8.14</v>
      </c>
    </row>
    <row r="123" spans="2:3" x14ac:dyDescent="0.25">
      <c r="B123" s="12">
        <v>45145</v>
      </c>
      <c r="C123" s="18">
        <v>8.2200000000000006</v>
      </c>
    </row>
    <row r="124" spans="2:3" x14ac:dyDescent="0.25">
      <c r="B124" s="12">
        <v>45152</v>
      </c>
      <c r="C124" s="18">
        <v>7.02</v>
      </c>
    </row>
    <row r="125" spans="2:3" x14ac:dyDescent="0.25">
      <c r="B125" s="12">
        <v>45159</v>
      </c>
      <c r="C125" s="18">
        <v>7.35</v>
      </c>
    </row>
    <row r="126" spans="2:3" x14ac:dyDescent="0.25">
      <c r="B126" s="12">
        <v>45166</v>
      </c>
      <c r="C126" s="18">
        <v>7.88</v>
      </c>
    </row>
    <row r="127" spans="2:3" x14ac:dyDescent="0.25">
      <c r="B127" s="12">
        <v>45173</v>
      </c>
      <c r="C127" s="18">
        <v>7.12</v>
      </c>
    </row>
    <row r="128" spans="2:3" x14ac:dyDescent="0.25">
      <c r="B128" s="12">
        <v>45180</v>
      </c>
      <c r="C128" s="18">
        <v>6.79</v>
      </c>
    </row>
    <row r="129" spans="2:3" x14ac:dyDescent="0.25">
      <c r="B129" s="12">
        <v>45187</v>
      </c>
      <c r="C129" s="18">
        <v>4.8600000000000003</v>
      </c>
    </row>
    <row r="130" spans="2:3" x14ac:dyDescent="0.25">
      <c r="B130" s="12">
        <v>45194</v>
      </c>
      <c r="C130" s="18">
        <v>5.0999999999999996</v>
      </c>
    </row>
    <row r="131" spans="2:3" x14ac:dyDescent="0.25">
      <c r="B131" s="12">
        <v>45201</v>
      </c>
      <c r="C131" s="18">
        <v>5.05</v>
      </c>
    </row>
    <row r="132" spans="2:3" x14ac:dyDescent="0.25">
      <c r="B132" s="12">
        <v>45208</v>
      </c>
      <c r="C132" s="18">
        <v>5.04</v>
      </c>
    </row>
    <row r="133" spans="2:3" x14ac:dyDescent="0.25">
      <c r="B133" s="12">
        <v>45215</v>
      </c>
      <c r="C133" s="18">
        <v>5.22</v>
      </c>
    </row>
    <row r="134" spans="2:3" x14ac:dyDescent="0.25">
      <c r="B134" s="12">
        <v>45222</v>
      </c>
      <c r="C134" s="18">
        <v>4.83</v>
      </c>
    </row>
    <row r="135" spans="2:3" x14ac:dyDescent="0.25">
      <c r="B135" s="12">
        <v>45229</v>
      </c>
      <c r="C135" s="18">
        <v>5</v>
      </c>
    </row>
    <row r="136" spans="2:3" x14ac:dyDescent="0.25">
      <c r="B136" s="12">
        <v>45236</v>
      </c>
      <c r="C136" s="18">
        <v>4.6900000000000004</v>
      </c>
    </row>
    <row r="137" spans="2:3" x14ac:dyDescent="0.25">
      <c r="B137" s="12">
        <v>45243</v>
      </c>
      <c r="C137" s="18">
        <v>5.0599999999999996</v>
      </c>
    </row>
    <row r="138" spans="2:3" x14ac:dyDescent="0.25">
      <c r="B138" s="12">
        <v>45250</v>
      </c>
      <c r="C138" s="18">
        <v>5.14</v>
      </c>
    </row>
    <row r="139" spans="2:3" x14ac:dyDescent="0.25">
      <c r="B139" s="12">
        <v>45257</v>
      </c>
      <c r="C139" s="18">
        <v>4.62</v>
      </c>
    </row>
    <row r="140" spans="2:3" x14ac:dyDescent="0.25">
      <c r="B140" s="12">
        <v>45264</v>
      </c>
      <c r="C140" s="18">
        <v>4.6900000000000004</v>
      </c>
    </row>
    <row r="141" spans="2:3" x14ac:dyDescent="0.25">
      <c r="B141" s="12">
        <v>45271</v>
      </c>
      <c r="C141" s="18">
        <v>4.8499999999999996</v>
      </c>
    </row>
    <row r="142" spans="2:3" x14ac:dyDescent="0.25">
      <c r="B142" s="12">
        <v>45278</v>
      </c>
      <c r="C142" s="18">
        <v>4.8499999999999996</v>
      </c>
    </row>
    <row r="143" spans="2:3" x14ac:dyDescent="0.25">
      <c r="B143" s="12">
        <v>45285</v>
      </c>
      <c r="C143" s="18">
        <v>4.49</v>
      </c>
    </row>
    <row r="144" spans="2:3" x14ac:dyDescent="0.25">
      <c r="B144" s="12">
        <v>45292</v>
      </c>
      <c r="C144" s="18">
        <v>4.3099999999999996</v>
      </c>
    </row>
    <row r="145" spans="2:3" x14ac:dyDescent="0.25">
      <c r="B145" s="12">
        <v>45299</v>
      </c>
      <c r="C145" s="18">
        <v>3.39</v>
      </c>
    </row>
    <row r="146" spans="2:3" x14ac:dyDescent="0.25">
      <c r="B146" s="12">
        <v>45306</v>
      </c>
      <c r="C146" s="18">
        <v>3.59</v>
      </c>
    </row>
    <row r="147" spans="2:3" x14ac:dyDescent="0.25">
      <c r="B147" s="12">
        <v>45313</v>
      </c>
      <c r="C147" s="18">
        <v>6.04</v>
      </c>
    </row>
    <row r="148" spans="2:3" x14ac:dyDescent="0.25">
      <c r="B148" s="12">
        <v>45320</v>
      </c>
      <c r="C148" s="18">
        <v>6.91</v>
      </c>
    </row>
    <row r="149" spans="2:3" x14ac:dyDescent="0.25">
      <c r="B149" s="12">
        <v>45327</v>
      </c>
      <c r="C149" s="18">
        <v>7.89</v>
      </c>
    </row>
    <row r="150" spans="2:3" x14ac:dyDescent="0.25">
      <c r="B150" s="12">
        <v>45334</v>
      </c>
      <c r="C150" s="18">
        <v>7.52</v>
      </c>
    </row>
    <row r="151" spans="2:3" x14ac:dyDescent="0.25">
      <c r="B151" s="12">
        <v>45341</v>
      </c>
      <c r="C151" s="18">
        <v>6.7</v>
      </c>
    </row>
    <row r="152" spans="2:3" x14ac:dyDescent="0.25">
      <c r="B152" s="12">
        <v>45348</v>
      </c>
      <c r="C152" s="18">
        <v>6.61</v>
      </c>
    </row>
    <row r="153" spans="2:3" x14ac:dyDescent="0.25">
      <c r="B153" s="12">
        <v>45355</v>
      </c>
      <c r="C153" s="18">
        <v>6.74</v>
      </c>
    </row>
    <row r="154" spans="2:3" x14ac:dyDescent="0.25">
      <c r="B154" s="12">
        <v>45362</v>
      </c>
      <c r="C154" s="18">
        <v>7.72</v>
      </c>
    </row>
    <row r="155" spans="2:3" x14ac:dyDescent="0.25">
      <c r="B155" s="12">
        <v>45369</v>
      </c>
      <c r="C155" s="18">
        <v>7.29</v>
      </c>
    </row>
    <row r="156" spans="2:3" x14ac:dyDescent="0.25">
      <c r="B156" s="12">
        <v>45376</v>
      </c>
      <c r="C156" s="18">
        <v>8.08</v>
      </c>
    </row>
    <row r="157" spans="2:3" x14ac:dyDescent="0.25">
      <c r="B157" s="12">
        <v>45383</v>
      </c>
      <c r="C157" s="18">
        <v>6.68</v>
      </c>
    </row>
    <row r="158" spans="2:3" x14ac:dyDescent="0.25">
      <c r="B158" s="12">
        <v>45386</v>
      </c>
      <c r="C158" s="18">
        <v>6.67</v>
      </c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58"/>
  <sheetViews>
    <sheetView workbookViewId="0">
      <selection activeCell="J39" sqref="J39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37</v>
      </c>
      <c r="B1" s="1" t="s">
        <v>50</v>
      </c>
      <c r="C1" s="1" t="s">
        <v>0</v>
      </c>
      <c r="D1" s="1" t="s">
        <v>93</v>
      </c>
      <c r="H1" s="131" t="s">
        <v>94</v>
      </c>
      <c r="I1" s="132"/>
      <c r="J1" s="132"/>
      <c r="K1" s="132"/>
      <c r="L1" s="132"/>
      <c r="M1" s="133"/>
    </row>
    <row r="2" spans="1:13" ht="15.75" thickBot="1" x14ac:dyDescent="0.3">
      <c r="B2" s="12">
        <v>44298</v>
      </c>
      <c r="C2" s="18">
        <v>9.82</v>
      </c>
      <c r="D2" s="141">
        <f>C3/C2-1</f>
        <v>1.0183299389001643E-3</v>
      </c>
      <c r="H2" s="62"/>
      <c r="I2" s="63"/>
      <c r="J2" s="63"/>
      <c r="K2" s="63"/>
      <c r="L2" s="63"/>
      <c r="M2" s="64"/>
    </row>
    <row r="3" spans="1:13" ht="15.75" thickBot="1" x14ac:dyDescent="0.3">
      <c r="B3" s="12">
        <v>44305</v>
      </c>
      <c r="C3" s="18">
        <v>9.83</v>
      </c>
      <c r="D3" s="141">
        <f t="shared" ref="D3:D66" si="0">C4/C3-1</f>
        <v>-4.984740590030512E-3</v>
      </c>
      <c r="H3" s="65" t="s">
        <v>95</v>
      </c>
      <c r="I3" s="66" t="s">
        <v>96</v>
      </c>
      <c r="J3" s="67" t="s">
        <v>97</v>
      </c>
      <c r="K3" s="68" t="s">
        <v>98</v>
      </c>
      <c r="L3" s="68" t="s">
        <v>99</v>
      </c>
      <c r="M3" s="69" t="s">
        <v>100</v>
      </c>
    </row>
    <row r="4" spans="1:13" x14ac:dyDescent="0.25">
      <c r="B4" s="12">
        <v>44312</v>
      </c>
      <c r="C4" s="18">
        <v>9.7810000000000006</v>
      </c>
      <c r="D4" s="141">
        <f t="shared" si="0"/>
        <v>-3.6806052550865109E-3</v>
      </c>
      <c r="H4" s="70">
        <f>$I$19-3*$I$23</f>
        <v>-0.32823292298731316</v>
      </c>
      <c r="I4" s="71">
        <f>H4</f>
        <v>-0.32823292298731316</v>
      </c>
      <c r="J4" s="72">
        <f>COUNTIF(D:D,"&lt;="&amp;H4)</f>
        <v>0</v>
      </c>
      <c r="K4" s="72" t="str">
        <f>"Less than "&amp;TEXT(H4,"0,00%")</f>
        <v>Less than -32,82%</v>
      </c>
      <c r="L4" s="73">
        <f>J4/$I$31</f>
        <v>0</v>
      </c>
      <c r="M4" s="74">
        <f>L4</f>
        <v>0</v>
      </c>
    </row>
    <row r="5" spans="1:13" x14ac:dyDescent="0.25">
      <c r="B5" s="12">
        <v>44319</v>
      </c>
      <c r="C5" s="18">
        <v>9.7449999999999992</v>
      </c>
      <c r="D5" s="141">
        <f t="shared" si="0"/>
        <v>2.5654181631606932E-3</v>
      </c>
      <c r="H5" s="75">
        <f>$I$19-2.4*$I$23</f>
        <v>-0.26200884932470897</v>
      </c>
      <c r="I5" s="76">
        <f>H5</f>
        <v>-0.26200884932470897</v>
      </c>
      <c r="J5" s="77">
        <f>COUNTIFS(D:D,"&lt;="&amp;H5,D:D,"&gt;"&amp;H4)</f>
        <v>1</v>
      </c>
      <c r="K5" s="78" t="str">
        <f t="shared" ref="K5:K14" si="1">TEXT(H4,"0,00%")&amp;" to "&amp;TEXT(H5,"0,00%")</f>
        <v>-32,82% to -26,20%</v>
      </c>
      <c r="L5" s="79">
        <f>J5/$I$31</f>
        <v>6.41025641025641E-3</v>
      </c>
      <c r="M5" s="80">
        <f>M4+L5</f>
        <v>6.41025641025641E-3</v>
      </c>
    </row>
    <row r="6" spans="1:13" x14ac:dyDescent="0.25">
      <c r="B6" s="12">
        <v>44326</v>
      </c>
      <c r="C6" s="18">
        <v>9.77</v>
      </c>
      <c r="D6" s="141">
        <f t="shared" si="0"/>
        <v>3.0706243602867112E-3</v>
      </c>
      <c r="H6" s="75">
        <f>$I$19-1.8*$I$23</f>
        <v>-0.19578477566210478</v>
      </c>
      <c r="I6" s="76">
        <f t="shared" ref="I6:I14" si="2">H6</f>
        <v>-0.19578477566210478</v>
      </c>
      <c r="J6" s="77">
        <f t="shared" ref="J6:J14" si="3">COUNTIFS(D:D,"&lt;="&amp;H6,D:D,"&gt;"&amp;H5)</f>
        <v>4</v>
      </c>
      <c r="K6" s="78" t="str">
        <f t="shared" si="1"/>
        <v>-26,20% to -19,58%</v>
      </c>
      <c r="L6" s="79">
        <f t="shared" ref="L6:L15" si="4">J6/$I$31</f>
        <v>2.564102564102564E-2</v>
      </c>
      <c r="M6" s="80">
        <f t="shared" ref="M6:M15" si="5">M5+L6</f>
        <v>3.2051282051282048E-2</v>
      </c>
    </row>
    <row r="7" spans="1:13" x14ac:dyDescent="0.25">
      <c r="B7" s="12">
        <v>44333</v>
      </c>
      <c r="C7" s="18">
        <v>9.8000000000000007</v>
      </c>
      <c r="D7" s="141">
        <f t="shared" si="0"/>
        <v>-6.1224489795919101E-3</v>
      </c>
      <c r="H7" s="75">
        <f>$I$19-1.2*$I$23</f>
        <v>-0.12956070199950059</v>
      </c>
      <c r="I7" s="76">
        <f t="shared" si="2"/>
        <v>-0.12956070199950059</v>
      </c>
      <c r="J7" s="77">
        <f t="shared" si="3"/>
        <v>3</v>
      </c>
      <c r="K7" s="78" t="str">
        <f t="shared" si="1"/>
        <v>-19,58% to -12,96%</v>
      </c>
      <c r="L7" s="79">
        <f t="shared" si="4"/>
        <v>1.9230769230769232E-2</v>
      </c>
      <c r="M7" s="80">
        <f t="shared" si="5"/>
        <v>5.128205128205128E-2</v>
      </c>
    </row>
    <row r="8" spans="1:13" x14ac:dyDescent="0.25">
      <c r="B8" s="12">
        <v>44340</v>
      </c>
      <c r="C8" s="18">
        <v>9.74</v>
      </c>
      <c r="D8" s="141">
        <f t="shared" si="0"/>
        <v>1.5400410677619547E-3</v>
      </c>
      <c r="H8" s="75">
        <f>$I$19-0.6*$I$23</f>
        <v>-6.3336628336896433E-2</v>
      </c>
      <c r="I8" s="76">
        <f t="shared" si="2"/>
        <v>-6.3336628336896433E-2</v>
      </c>
      <c r="J8" s="77">
        <f t="shared" si="3"/>
        <v>18</v>
      </c>
      <c r="K8" s="78" t="str">
        <f t="shared" si="1"/>
        <v>-12,96% to -6,33%</v>
      </c>
      <c r="L8" s="79">
        <f t="shared" si="4"/>
        <v>0.11538461538461539</v>
      </c>
      <c r="M8" s="80">
        <f t="shared" si="5"/>
        <v>0.16666666666666669</v>
      </c>
    </row>
    <row r="9" spans="1:13" x14ac:dyDescent="0.25">
      <c r="B9" s="12">
        <v>44347</v>
      </c>
      <c r="C9" s="18">
        <v>9.7550000000000008</v>
      </c>
      <c r="D9" s="141">
        <f t="shared" si="0"/>
        <v>1.5376729882110585E-3</v>
      </c>
      <c r="H9" s="75">
        <f>$I$19</f>
        <v>2.8874453257077418E-3</v>
      </c>
      <c r="I9" s="76">
        <f t="shared" si="2"/>
        <v>2.8874453257077418E-3</v>
      </c>
      <c r="J9" s="77">
        <f t="shared" si="3"/>
        <v>75</v>
      </c>
      <c r="K9" s="78" t="str">
        <f t="shared" si="1"/>
        <v>-6,33% to 0,29%</v>
      </c>
      <c r="L9" s="79">
        <f t="shared" si="4"/>
        <v>0.48076923076923078</v>
      </c>
      <c r="M9" s="80">
        <f t="shared" si="5"/>
        <v>0.64743589743589747</v>
      </c>
    </row>
    <row r="10" spans="1:13" x14ac:dyDescent="0.25">
      <c r="B10" s="12">
        <v>44354</v>
      </c>
      <c r="C10" s="18">
        <v>9.77</v>
      </c>
      <c r="D10" s="141">
        <f t="shared" si="0"/>
        <v>-4.0941658137153558E-3</v>
      </c>
      <c r="H10" s="75">
        <f>$I$19+0.6*$I$23</f>
        <v>6.9111518988311915E-2</v>
      </c>
      <c r="I10" s="76">
        <f t="shared" si="2"/>
        <v>6.9111518988311915E-2</v>
      </c>
      <c r="J10" s="77">
        <f t="shared" si="3"/>
        <v>34</v>
      </c>
      <c r="K10" s="78" t="str">
        <f t="shared" si="1"/>
        <v>0,29% to 6,91%</v>
      </c>
      <c r="L10" s="79">
        <f t="shared" si="4"/>
        <v>0.21794871794871795</v>
      </c>
      <c r="M10" s="80">
        <f t="shared" si="5"/>
        <v>0.86538461538461542</v>
      </c>
    </row>
    <row r="11" spans="1:13" x14ac:dyDescent="0.25">
      <c r="B11" s="12">
        <v>44361</v>
      </c>
      <c r="C11" s="18">
        <v>9.73</v>
      </c>
      <c r="D11" s="141">
        <f t="shared" si="0"/>
        <v>3.0832476875641834E-3</v>
      </c>
      <c r="H11" s="75">
        <f>$I$19+1.2*$I$23</f>
        <v>0.1353355926509161</v>
      </c>
      <c r="I11" s="76">
        <f t="shared" si="2"/>
        <v>0.1353355926509161</v>
      </c>
      <c r="J11" s="77">
        <f t="shared" si="3"/>
        <v>10</v>
      </c>
      <c r="K11" s="78" t="str">
        <f t="shared" si="1"/>
        <v>6,91% to 13,53%</v>
      </c>
      <c r="L11" s="79">
        <f t="shared" si="4"/>
        <v>6.4102564102564097E-2</v>
      </c>
      <c r="M11" s="80">
        <f t="shared" si="5"/>
        <v>0.92948717948717952</v>
      </c>
    </row>
    <row r="12" spans="1:13" x14ac:dyDescent="0.25">
      <c r="B12" s="12">
        <v>44368</v>
      </c>
      <c r="C12" s="18">
        <v>9.76</v>
      </c>
      <c r="D12" s="141">
        <f t="shared" si="0"/>
        <v>-4.098360655737654E-3</v>
      </c>
      <c r="H12" s="75">
        <f>$I$19+1.8*$I$23</f>
        <v>0.20155966631352029</v>
      </c>
      <c r="I12" s="76">
        <f t="shared" si="2"/>
        <v>0.20155966631352029</v>
      </c>
      <c r="J12" s="77">
        <f t="shared" si="3"/>
        <v>6</v>
      </c>
      <c r="K12" s="78" t="str">
        <f t="shared" si="1"/>
        <v>13,53% to 20,16%</v>
      </c>
      <c r="L12" s="79">
        <f t="shared" si="4"/>
        <v>3.8461538461538464E-2</v>
      </c>
      <c r="M12" s="80">
        <f t="shared" si="5"/>
        <v>0.96794871794871795</v>
      </c>
    </row>
    <row r="13" spans="1:13" x14ac:dyDescent="0.25">
      <c r="B13" s="12">
        <v>44375</v>
      </c>
      <c r="C13" s="18">
        <v>9.7200000000000006</v>
      </c>
      <c r="D13" s="141">
        <f t="shared" si="0"/>
        <v>-2.057613168724437E-3</v>
      </c>
      <c r="H13" s="75">
        <f>$I$19+2.4*$I$23</f>
        <v>0.26778373997612442</v>
      </c>
      <c r="I13" s="76">
        <f t="shared" si="2"/>
        <v>0.26778373997612442</v>
      </c>
      <c r="J13" s="77">
        <f t="shared" si="3"/>
        <v>2</v>
      </c>
      <c r="K13" s="78" t="str">
        <f t="shared" si="1"/>
        <v>20,16% to 26,78%</v>
      </c>
      <c r="L13" s="79">
        <f t="shared" si="4"/>
        <v>1.282051282051282E-2</v>
      </c>
      <c r="M13" s="80">
        <f t="shared" si="5"/>
        <v>0.98076923076923073</v>
      </c>
    </row>
    <row r="14" spans="1:13" x14ac:dyDescent="0.25">
      <c r="B14" s="12">
        <v>44382</v>
      </c>
      <c r="C14" s="18">
        <v>9.6999999999999993</v>
      </c>
      <c r="D14" s="141">
        <f t="shared" si="0"/>
        <v>6.1855670103092564E-3</v>
      </c>
      <c r="H14" s="75">
        <f>$I$19+3*$I$23</f>
        <v>0.33400781363872861</v>
      </c>
      <c r="I14" s="76">
        <f t="shared" si="2"/>
        <v>0.33400781363872861</v>
      </c>
      <c r="J14" s="77">
        <f t="shared" si="3"/>
        <v>0</v>
      </c>
      <c r="K14" s="78" t="str">
        <f t="shared" si="1"/>
        <v>26,78% to 33,40%</v>
      </c>
      <c r="L14" s="79">
        <f t="shared" si="4"/>
        <v>0</v>
      </c>
      <c r="M14" s="80">
        <f t="shared" si="5"/>
        <v>0.98076923076923073</v>
      </c>
    </row>
    <row r="15" spans="1:13" ht="15.75" thickBot="1" x14ac:dyDescent="0.3">
      <c r="B15" s="12">
        <v>44389</v>
      </c>
      <c r="C15" s="18">
        <v>9.76</v>
      </c>
      <c r="D15" s="141">
        <f t="shared" si="0"/>
        <v>-4.098360655737654E-3</v>
      </c>
      <c r="H15" s="81"/>
      <c r="I15" s="82" t="s">
        <v>101</v>
      </c>
      <c r="J15" s="82">
        <f>COUNTIF(D:D,"&gt;"&amp;H14)</f>
        <v>3</v>
      </c>
      <c r="K15" s="82" t="str">
        <f>"Greater than "&amp;TEXT(H14,"0,00%")</f>
        <v>Greater than 33,40%</v>
      </c>
      <c r="L15" s="83">
        <f t="shared" si="4"/>
        <v>1.9230769230769232E-2</v>
      </c>
      <c r="M15" s="83">
        <f t="shared" si="5"/>
        <v>1</v>
      </c>
    </row>
    <row r="16" spans="1:13" ht="15.75" thickBot="1" x14ac:dyDescent="0.3">
      <c r="B16" s="12">
        <v>44396</v>
      </c>
      <c r="C16" s="18">
        <v>9.7200000000000006</v>
      </c>
      <c r="D16" s="141">
        <f t="shared" si="0"/>
        <v>2.057613168724215E-3</v>
      </c>
      <c r="H16" s="84"/>
      <c r="M16" s="85"/>
    </row>
    <row r="17" spans="2:13" x14ac:dyDescent="0.25">
      <c r="B17" s="12">
        <v>44403</v>
      </c>
      <c r="C17" s="18">
        <v>9.74</v>
      </c>
      <c r="D17" s="141">
        <f t="shared" si="0"/>
        <v>-2.1560574948665812E-3</v>
      </c>
      <c r="H17" s="134" t="s">
        <v>132</v>
      </c>
      <c r="I17" s="135"/>
      <c r="M17" s="85"/>
    </row>
    <row r="18" spans="2:13" x14ac:dyDescent="0.25">
      <c r="B18" s="12">
        <v>44410</v>
      </c>
      <c r="C18" s="18">
        <v>9.7189999999999994</v>
      </c>
      <c r="D18" s="141">
        <f t="shared" si="0"/>
        <v>-1.9549336351476487E-3</v>
      </c>
      <c r="H18" s="136"/>
      <c r="I18" s="137"/>
      <c r="M18" s="85"/>
    </row>
    <row r="19" spans="2:13" x14ac:dyDescent="0.25">
      <c r="B19" s="12">
        <v>44417</v>
      </c>
      <c r="C19" s="18">
        <v>9.6999999999999993</v>
      </c>
      <c r="D19" s="141">
        <f t="shared" si="0"/>
        <v>-5.1546391752576026E-3</v>
      </c>
      <c r="H19" s="86" t="s">
        <v>102</v>
      </c>
      <c r="I19" s="142">
        <f>AVERAGE(D:D)</f>
        <v>2.8874453257077418E-3</v>
      </c>
      <c r="M19" s="85"/>
    </row>
    <row r="20" spans="2:13" x14ac:dyDescent="0.25">
      <c r="B20" s="12">
        <v>44424</v>
      </c>
      <c r="C20" s="18">
        <v>9.65</v>
      </c>
      <c r="D20" s="141">
        <f t="shared" si="0"/>
        <v>6.2176165803109473E-3</v>
      </c>
      <c r="H20" s="86" t="s">
        <v>103</v>
      </c>
      <c r="I20" s="142">
        <f>_xlfn.STDEV.S(D:D)/SQRT(COUNT(D:D))</f>
        <v>8.8369488775374185E-3</v>
      </c>
      <c r="M20" s="85"/>
    </row>
    <row r="21" spans="2:13" x14ac:dyDescent="0.25">
      <c r="B21" s="12">
        <v>44431</v>
      </c>
      <c r="C21" s="18">
        <v>9.7100000000000009</v>
      </c>
      <c r="D21" s="141">
        <f t="shared" si="0"/>
        <v>1.029866117404632E-3</v>
      </c>
      <c r="H21" s="86" t="s">
        <v>104</v>
      </c>
      <c r="I21" s="142">
        <f>MEDIAN(D:D)</f>
        <v>-1.2613235068324458E-3</v>
      </c>
      <c r="M21" s="85"/>
    </row>
    <row r="22" spans="2:13" x14ac:dyDescent="0.25">
      <c r="B22" s="12">
        <v>44438</v>
      </c>
      <c r="C22" s="18">
        <v>9.7200000000000006</v>
      </c>
      <c r="D22" s="141">
        <f t="shared" si="0"/>
        <v>1.0288065843622185E-3</v>
      </c>
      <c r="H22" s="86" t="s">
        <v>105</v>
      </c>
      <c r="I22" s="142">
        <f>MODE(D:D)</f>
        <v>0</v>
      </c>
      <c r="M22" s="85"/>
    </row>
    <row r="23" spans="2:13" x14ac:dyDescent="0.25">
      <c r="B23" s="12">
        <v>44445</v>
      </c>
      <c r="C23" s="18">
        <v>9.73</v>
      </c>
      <c r="D23" s="141">
        <f t="shared" si="0"/>
        <v>4.1109969167523186E-3</v>
      </c>
      <c r="H23" s="86" t="s">
        <v>106</v>
      </c>
      <c r="I23" s="142">
        <f>_xlfn.STDEV.S(D:D)</f>
        <v>0.1103734561043403</v>
      </c>
      <c r="M23" s="85"/>
    </row>
    <row r="24" spans="2:13" x14ac:dyDescent="0.25">
      <c r="B24" s="12">
        <v>44452</v>
      </c>
      <c r="C24" s="18">
        <v>9.77</v>
      </c>
      <c r="D24" s="141">
        <f t="shared" si="0"/>
        <v>-5.1177072671442225E-3</v>
      </c>
      <c r="H24" s="86" t="s">
        <v>107</v>
      </c>
      <c r="I24" s="142">
        <f>_xlfn.VAR.S(D:D)</f>
        <v>1.2182299812416735E-2</v>
      </c>
      <c r="M24" s="85"/>
    </row>
    <row r="25" spans="2:13" x14ac:dyDescent="0.25">
      <c r="B25" s="12">
        <v>44459</v>
      </c>
      <c r="C25" s="18">
        <v>9.7200000000000006</v>
      </c>
      <c r="D25" s="141">
        <f t="shared" si="0"/>
        <v>2.057613168724215E-3</v>
      </c>
      <c r="H25" s="86" t="s">
        <v>108</v>
      </c>
      <c r="I25" s="143">
        <f>KURT(D:D)</f>
        <v>13.976061521596344</v>
      </c>
      <c r="M25" s="85"/>
    </row>
    <row r="26" spans="2:13" x14ac:dyDescent="0.25">
      <c r="B26" s="12">
        <v>44466</v>
      </c>
      <c r="C26" s="18">
        <v>9.74</v>
      </c>
      <c r="D26" s="141">
        <f t="shared" si="0"/>
        <v>2.0533880903490509E-3</v>
      </c>
      <c r="H26" s="86" t="s">
        <v>109</v>
      </c>
      <c r="I26" s="143">
        <f>SKEW(D:D)</f>
        <v>2.4720200094939084</v>
      </c>
      <c r="M26" s="85"/>
    </row>
    <row r="27" spans="2:13" x14ac:dyDescent="0.25">
      <c r="B27" s="12">
        <v>44473</v>
      </c>
      <c r="C27" s="18">
        <v>9.76</v>
      </c>
      <c r="D27" s="141">
        <f t="shared" si="0"/>
        <v>-3.0737704918032405E-3</v>
      </c>
      <c r="H27" s="86" t="s">
        <v>98</v>
      </c>
      <c r="I27" s="142">
        <f>I29-I28</f>
        <v>0.96669278514610635</v>
      </c>
      <c r="M27" s="85"/>
    </row>
    <row r="28" spans="2:13" x14ac:dyDescent="0.25">
      <c r="B28" s="12">
        <v>44480</v>
      </c>
      <c r="C28" s="18">
        <v>9.73</v>
      </c>
      <c r="D28" s="141">
        <f t="shared" si="0"/>
        <v>2.0554984583760483E-3</v>
      </c>
      <c r="H28" s="86" t="s">
        <v>110</v>
      </c>
      <c r="I28" s="142">
        <f>MIN(D:D)</f>
        <v>-0.28424153166421207</v>
      </c>
      <c r="M28" s="85"/>
    </row>
    <row r="29" spans="2:13" x14ac:dyDescent="0.25">
      <c r="B29" s="12">
        <v>44487</v>
      </c>
      <c r="C29" s="18">
        <v>9.75</v>
      </c>
      <c r="D29" s="141">
        <f t="shared" si="0"/>
        <v>-1.0256410256409554E-3</v>
      </c>
      <c r="H29" s="86" t="s">
        <v>111</v>
      </c>
      <c r="I29" s="142">
        <f>MAX(D:D)</f>
        <v>0.68245125348189428</v>
      </c>
      <c r="M29" s="85"/>
    </row>
    <row r="30" spans="2:13" x14ac:dyDescent="0.25">
      <c r="B30" s="12">
        <v>44494</v>
      </c>
      <c r="C30" s="18">
        <v>9.74</v>
      </c>
      <c r="D30" s="141">
        <f t="shared" si="0"/>
        <v>1.0266940451744144E-3</v>
      </c>
      <c r="H30" s="86" t="s">
        <v>112</v>
      </c>
      <c r="I30" s="143">
        <f>SUM(D:D)</f>
        <v>0.45044147081040775</v>
      </c>
      <c r="M30" s="85"/>
    </row>
    <row r="31" spans="2:13" ht="15.75" thickBot="1" x14ac:dyDescent="0.3">
      <c r="B31" s="12">
        <v>44501</v>
      </c>
      <c r="C31" s="18">
        <v>9.75</v>
      </c>
      <c r="D31" s="141">
        <f t="shared" si="0"/>
        <v>0</v>
      </c>
      <c r="H31" s="87" t="s">
        <v>113</v>
      </c>
      <c r="I31" s="144">
        <f>COUNT(D:D)</f>
        <v>156</v>
      </c>
      <c r="M31" s="85"/>
    </row>
    <row r="32" spans="2:13" ht="15.75" thickBot="1" x14ac:dyDescent="0.3">
      <c r="B32" s="12">
        <v>44508</v>
      </c>
      <c r="C32" s="18">
        <v>9.75</v>
      </c>
      <c r="D32" s="141">
        <f t="shared" si="0"/>
        <v>1.0256410256410664E-3</v>
      </c>
      <c r="H32" s="89"/>
      <c r="M32" s="85"/>
    </row>
    <row r="33" spans="2:13" x14ac:dyDescent="0.25">
      <c r="B33" s="12">
        <v>44515</v>
      </c>
      <c r="C33" s="18">
        <v>9.76</v>
      </c>
      <c r="D33" s="141">
        <f t="shared" si="0"/>
        <v>0</v>
      </c>
      <c r="H33" s="90"/>
      <c r="I33" s="91" t="s">
        <v>114</v>
      </c>
      <c r="J33" s="91" t="s">
        <v>113</v>
      </c>
      <c r="K33" s="91" t="s">
        <v>115</v>
      </c>
      <c r="L33" s="92" t="s">
        <v>116</v>
      </c>
      <c r="M33" s="85"/>
    </row>
    <row r="34" spans="2:13" x14ac:dyDescent="0.25">
      <c r="B34" s="12">
        <v>44522</v>
      </c>
      <c r="C34" s="18">
        <v>9.76</v>
      </c>
      <c r="D34" s="141">
        <f t="shared" si="0"/>
        <v>0.21926229508196737</v>
      </c>
      <c r="H34" s="93" t="s">
        <v>117</v>
      </c>
      <c r="I34" s="79">
        <f>AVERAGEIF(D:D,"&gt;0")</f>
        <v>7.1021854696009357E-2</v>
      </c>
      <c r="J34" s="77">
        <f>COUNTIF(D:D,"&gt;0")</f>
        <v>69</v>
      </c>
      <c r="K34" s="79">
        <f>J34/$I$31</f>
        <v>0.44230769230769229</v>
      </c>
      <c r="L34" s="80">
        <f>K34*I34</f>
        <v>3.141351265400414E-2</v>
      </c>
      <c r="M34" s="85"/>
    </row>
    <row r="35" spans="2:13" x14ac:dyDescent="0.25">
      <c r="B35" s="12">
        <v>44529</v>
      </c>
      <c r="C35" s="18">
        <v>11.9</v>
      </c>
      <c r="D35" s="141">
        <f t="shared" si="0"/>
        <v>0.13193277310924367</v>
      </c>
      <c r="H35" s="93" t="s">
        <v>118</v>
      </c>
      <c r="I35" s="79">
        <f>AVERAGEIF(D:D,"&lt;0")</f>
        <v>-5.4939092632274554E-2</v>
      </c>
      <c r="J35" s="77">
        <f>COUNTIF(D:D,"&lt;0")</f>
        <v>81</v>
      </c>
      <c r="K35" s="79">
        <f>J35/$I$31</f>
        <v>0.51923076923076927</v>
      </c>
      <c r="L35" s="80">
        <f t="shared" ref="L35:L36" si="6">K35*I35</f>
        <v>-2.8526067328296406E-2</v>
      </c>
      <c r="M35" s="85"/>
    </row>
    <row r="36" spans="2:13" ht="15.75" thickBot="1" x14ac:dyDescent="0.3">
      <c r="B36" s="12">
        <v>44536</v>
      </c>
      <c r="C36" s="18">
        <v>13.47</v>
      </c>
      <c r="D36" s="141">
        <f t="shared" si="0"/>
        <v>-0.10616184112843363</v>
      </c>
      <c r="H36" s="94" t="s">
        <v>119</v>
      </c>
      <c r="I36" s="82">
        <v>0</v>
      </c>
      <c r="J36" s="82">
        <f>COUNTIF(D:D,"0")</f>
        <v>6</v>
      </c>
      <c r="K36" s="95">
        <f>J36/$I$31</f>
        <v>3.8461538461538464E-2</v>
      </c>
      <c r="L36" s="83">
        <f t="shared" si="6"/>
        <v>0</v>
      </c>
      <c r="M36" s="85"/>
    </row>
    <row r="37" spans="2:13" ht="15.75" thickBot="1" x14ac:dyDescent="0.3">
      <c r="B37" s="12">
        <v>44543</v>
      </c>
      <c r="C37" s="18">
        <v>12.04</v>
      </c>
      <c r="D37" s="141">
        <f t="shared" si="0"/>
        <v>-2.8239202657807327E-2</v>
      </c>
      <c r="H37" s="89"/>
      <c r="I37" s="96"/>
      <c r="J37" s="96"/>
      <c r="K37" s="96"/>
      <c r="L37" s="96"/>
      <c r="M37" s="85"/>
    </row>
    <row r="38" spans="2:13" x14ac:dyDescent="0.25">
      <c r="B38" s="12">
        <v>44550</v>
      </c>
      <c r="C38" s="18">
        <v>11.7</v>
      </c>
      <c r="D38" s="141">
        <f t="shared" si="0"/>
        <v>-7.4358974358974317E-2</v>
      </c>
      <c r="H38" s="70" t="s">
        <v>120</v>
      </c>
      <c r="I38" s="91" t="s">
        <v>121</v>
      </c>
      <c r="J38" s="91" t="s">
        <v>122</v>
      </c>
      <c r="K38" s="91" t="s">
        <v>123</v>
      </c>
      <c r="L38" s="91" t="s">
        <v>124</v>
      </c>
      <c r="M38" s="92" t="s">
        <v>125</v>
      </c>
    </row>
    <row r="39" spans="2:13" x14ac:dyDescent="0.25">
      <c r="B39" s="12">
        <v>44557</v>
      </c>
      <c r="C39" s="18">
        <v>10.83</v>
      </c>
      <c r="D39" s="141">
        <f t="shared" si="0"/>
        <v>7.2945521698984273E-2</v>
      </c>
      <c r="H39" s="97">
        <v>1</v>
      </c>
      <c r="I39" s="79">
        <f>$I$19+($H39*$I$23)</f>
        <v>0.11326090143004804</v>
      </c>
      <c r="J39" s="79">
        <f>$I$19-($H39*$I$23)</f>
        <v>-0.10748601077863255</v>
      </c>
      <c r="K39" s="77">
        <f>COUNTIFS(D:D,"&lt;"&amp;I39,D:D,"&gt;"&amp;J39)</f>
        <v>131</v>
      </c>
      <c r="L39" s="79">
        <f>K39/$I$31</f>
        <v>0.83974358974358976</v>
      </c>
      <c r="M39" s="80">
        <v>0.68269999999999997</v>
      </c>
    </row>
    <row r="40" spans="2:13" x14ac:dyDescent="0.25">
      <c r="B40" s="12">
        <v>44564</v>
      </c>
      <c r="C40" s="18">
        <v>11.62</v>
      </c>
      <c r="D40" s="141">
        <f t="shared" si="0"/>
        <v>5.8519793459552716E-2</v>
      </c>
      <c r="H40" s="97">
        <v>2</v>
      </c>
      <c r="I40" s="79">
        <f>$I$19+($H40*$I$23)</f>
        <v>0.22363435753438834</v>
      </c>
      <c r="J40" s="79">
        <f>$I$19-($H40*$I$23)</f>
        <v>-0.21785946688297284</v>
      </c>
      <c r="K40" s="77">
        <f>COUNTIFS(D:D,"&lt;"&amp;I40,D:D,"&gt;"&amp;J40)</f>
        <v>150</v>
      </c>
      <c r="L40" s="79">
        <f>K40/$I$31</f>
        <v>0.96153846153846156</v>
      </c>
      <c r="M40" s="80">
        <v>0.95450000000000002</v>
      </c>
    </row>
    <row r="41" spans="2:13" x14ac:dyDescent="0.25">
      <c r="B41" s="12">
        <v>44571</v>
      </c>
      <c r="C41" s="18">
        <v>12.3</v>
      </c>
      <c r="D41" s="141">
        <f t="shared" si="0"/>
        <v>-3.5772357723577342E-2</v>
      </c>
      <c r="H41" s="97">
        <v>3</v>
      </c>
      <c r="I41" s="79">
        <f>$I$19+($H41*$I$23)</f>
        <v>0.33400781363872861</v>
      </c>
      <c r="J41" s="79">
        <f>$I$19-($H41*$I$23)</f>
        <v>-0.32823292298731316</v>
      </c>
      <c r="K41" s="77">
        <f>COUNTIFS(D:D,"&lt;"&amp;I41,D:D,"&gt;"&amp;J41)</f>
        <v>153</v>
      </c>
      <c r="L41" s="79">
        <f>K41/$I$31</f>
        <v>0.98076923076923073</v>
      </c>
      <c r="M41" s="98">
        <v>0.99729999999999996</v>
      </c>
    </row>
    <row r="42" spans="2:13" ht="15.75" thickBot="1" x14ac:dyDescent="0.3">
      <c r="B42" s="12">
        <v>44578</v>
      </c>
      <c r="C42" s="18">
        <v>11.86</v>
      </c>
      <c r="D42" s="141">
        <f t="shared" si="0"/>
        <v>-3.2040472175379309E-2</v>
      </c>
      <c r="H42" s="75"/>
      <c r="M42" s="98"/>
    </row>
    <row r="43" spans="2:13" ht="15.75" thickBot="1" x14ac:dyDescent="0.3">
      <c r="B43" s="12">
        <v>44585</v>
      </c>
      <c r="C43" s="18">
        <v>11.48</v>
      </c>
      <c r="D43" s="141">
        <f t="shared" si="0"/>
        <v>0.11236933797909399</v>
      </c>
      <c r="H43" s="138" t="s">
        <v>126</v>
      </c>
      <c r="I43" s="139"/>
      <c r="J43" s="139"/>
      <c r="K43" s="139"/>
      <c r="L43" s="139"/>
      <c r="M43" s="140"/>
    </row>
    <row r="44" spans="2:13" x14ac:dyDescent="0.25">
      <c r="B44" s="12">
        <v>44592</v>
      </c>
      <c r="C44" s="18">
        <v>12.77</v>
      </c>
      <c r="D44" s="141">
        <f t="shared" si="0"/>
        <v>0.12529365700861383</v>
      </c>
      <c r="H44" s="99">
        <v>0.01</v>
      </c>
      <c r="I44" s="100">
        <f t="shared" ref="I44:I58" si="7">_xlfn.PERCENTILE.INC(D:D,H44)</f>
        <v>-0.23417594821398466</v>
      </c>
      <c r="J44" s="101">
        <v>0.2</v>
      </c>
      <c r="K44" s="100">
        <f t="shared" ref="K44:K56" si="8">_xlfn.PERCENTILE.INC(D:D,J44)</f>
        <v>-5.3354890864995785E-2</v>
      </c>
      <c r="L44" s="101">
        <v>0.85</v>
      </c>
      <c r="M44" s="102">
        <f t="shared" ref="M44:M58" si="9">_xlfn.PERCENTILE.INC(D:D,L44)</f>
        <v>4.8829489867225573E-2</v>
      </c>
    </row>
    <row r="45" spans="2:13" x14ac:dyDescent="0.25">
      <c r="B45" s="12">
        <v>44599</v>
      </c>
      <c r="C45" s="18">
        <v>14.37</v>
      </c>
      <c r="D45" s="141">
        <f t="shared" si="0"/>
        <v>-1.670146137787043E-2</v>
      </c>
      <c r="H45" s="103">
        <v>0.02</v>
      </c>
      <c r="I45" s="104">
        <f t="shared" si="7"/>
        <v>-0.21682957862435454</v>
      </c>
      <c r="J45" s="105">
        <v>0.25</v>
      </c>
      <c r="K45" s="104">
        <f t="shared" si="8"/>
        <v>-3.6271714335848471E-2</v>
      </c>
      <c r="L45" s="105">
        <v>0.86</v>
      </c>
      <c r="M45" s="106">
        <f t="shared" si="9"/>
        <v>5.8662970465934675E-2</v>
      </c>
    </row>
    <row r="46" spans="2:13" x14ac:dyDescent="0.25">
      <c r="B46" s="12">
        <v>44606</v>
      </c>
      <c r="C46" s="18">
        <v>14.13</v>
      </c>
      <c r="D46" s="141">
        <f t="shared" si="0"/>
        <v>-9.9787685774946899E-2</v>
      </c>
      <c r="H46" s="103">
        <v>0.03</v>
      </c>
      <c r="I46" s="104">
        <f t="shared" si="7"/>
        <v>-0.19167655777500761</v>
      </c>
      <c r="J46" s="105">
        <v>0.3</v>
      </c>
      <c r="K46" s="104">
        <f t="shared" si="8"/>
        <v>-1.8946088912951409E-2</v>
      </c>
      <c r="L46" s="105">
        <v>0.87</v>
      </c>
      <c r="M46" s="106">
        <f t="shared" si="9"/>
        <v>7.0142074528926637E-2</v>
      </c>
    </row>
    <row r="47" spans="2:13" x14ac:dyDescent="0.25">
      <c r="B47" s="12">
        <v>44613</v>
      </c>
      <c r="C47" s="18">
        <v>12.72</v>
      </c>
      <c r="D47" s="141">
        <f t="shared" si="0"/>
        <v>-2.7515723270440384E-2</v>
      </c>
      <c r="H47" s="103">
        <v>0.04</v>
      </c>
      <c r="I47" s="104">
        <f t="shared" si="7"/>
        <v>-0.16781094167810948</v>
      </c>
      <c r="J47" s="105">
        <v>0.35</v>
      </c>
      <c r="K47" s="104">
        <f t="shared" si="8"/>
        <v>-1.1304891169163583E-2</v>
      </c>
      <c r="L47" s="105">
        <v>0.88</v>
      </c>
      <c r="M47" s="106">
        <f t="shared" si="9"/>
        <v>7.4497791608811273E-2</v>
      </c>
    </row>
    <row r="48" spans="2:13" x14ac:dyDescent="0.25">
      <c r="B48" s="12">
        <v>44620</v>
      </c>
      <c r="C48" s="18">
        <v>12.37</v>
      </c>
      <c r="D48" s="141">
        <f t="shared" si="0"/>
        <v>-5.3354890864995785E-2</v>
      </c>
      <c r="H48" s="103">
        <v>0.05</v>
      </c>
      <c r="I48" s="104">
        <f t="shared" si="7"/>
        <v>-0.12718019575644032</v>
      </c>
      <c r="J48" s="105">
        <v>0.4</v>
      </c>
      <c r="K48" s="104">
        <f t="shared" si="8"/>
        <v>-5.1546391752576026E-3</v>
      </c>
      <c r="L48" s="105">
        <v>0.89</v>
      </c>
      <c r="M48" s="106">
        <f t="shared" si="9"/>
        <v>7.8788004919626273E-2</v>
      </c>
    </row>
    <row r="49" spans="2:13" x14ac:dyDescent="0.25">
      <c r="B49" s="12">
        <v>44627</v>
      </c>
      <c r="C49" s="18">
        <v>11.71</v>
      </c>
      <c r="D49" s="141">
        <f t="shared" si="0"/>
        <v>4.2698548249358037E-3</v>
      </c>
      <c r="H49" s="103">
        <v>0.06</v>
      </c>
      <c r="I49" s="104">
        <f t="shared" si="7"/>
        <v>-0.11102326824055178</v>
      </c>
      <c r="J49" s="105">
        <v>0.45</v>
      </c>
      <c r="K49" s="104">
        <f t="shared" si="8"/>
        <v>-2.9939619107846316E-3</v>
      </c>
      <c r="L49" s="105">
        <v>0.9</v>
      </c>
      <c r="M49" s="106">
        <f t="shared" si="9"/>
        <v>9.7737820411713749E-2</v>
      </c>
    </row>
    <row r="50" spans="2:13" x14ac:dyDescent="0.25">
      <c r="B50" s="12">
        <v>44634</v>
      </c>
      <c r="C50" s="18">
        <v>11.76</v>
      </c>
      <c r="D50" s="141">
        <f t="shared" si="0"/>
        <v>-6.8027210884353817E-3</v>
      </c>
      <c r="H50" s="103">
        <v>7.0000000000000007E-2</v>
      </c>
      <c r="I50" s="104">
        <f t="shared" si="7"/>
        <v>-0.10659394793789197</v>
      </c>
      <c r="J50" s="105">
        <v>0.5</v>
      </c>
      <c r="K50" s="104">
        <f t="shared" si="8"/>
        <v>-1.2613235068324458E-3</v>
      </c>
      <c r="L50" s="105">
        <v>0.91</v>
      </c>
      <c r="M50" s="106">
        <f t="shared" si="9"/>
        <v>0.11301555393057013</v>
      </c>
    </row>
    <row r="51" spans="2:13" x14ac:dyDescent="0.25">
      <c r="B51" s="12">
        <v>44641</v>
      </c>
      <c r="C51" s="18">
        <v>11.68</v>
      </c>
      <c r="D51" s="141">
        <f t="shared" si="0"/>
        <v>-7.7054794520547976E-3</v>
      </c>
      <c r="H51" s="103">
        <v>0.08</v>
      </c>
      <c r="I51" s="104">
        <f t="shared" si="7"/>
        <v>-0.10504144144144152</v>
      </c>
      <c r="J51" s="105">
        <v>0.55000000000000004</v>
      </c>
      <c r="K51" s="104">
        <f t="shared" si="8"/>
        <v>0</v>
      </c>
      <c r="L51" s="105">
        <v>0.92</v>
      </c>
      <c r="M51" s="106">
        <f t="shared" si="9"/>
        <v>0.12927712666899169</v>
      </c>
    </row>
    <row r="52" spans="2:13" x14ac:dyDescent="0.25">
      <c r="B52" s="12">
        <v>44648</v>
      </c>
      <c r="C52" s="18">
        <v>11.59</v>
      </c>
      <c r="D52" s="141">
        <f t="shared" si="0"/>
        <v>-2.1570319240724722E-2</v>
      </c>
      <c r="H52" s="103">
        <v>0.09</v>
      </c>
      <c r="I52" s="104">
        <f t="shared" si="7"/>
        <v>-0.10128912959652257</v>
      </c>
      <c r="J52" s="105">
        <v>0.6</v>
      </c>
      <c r="K52" s="104">
        <f t="shared" si="8"/>
        <v>1.5400410677619547E-3</v>
      </c>
      <c r="L52" s="105">
        <v>0.93</v>
      </c>
      <c r="M52" s="106">
        <f t="shared" si="9"/>
        <v>0.13404864028944916</v>
      </c>
    </row>
    <row r="53" spans="2:13" x14ac:dyDescent="0.25">
      <c r="B53" s="12">
        <v>44655</v>
      </c>
      <c r="C53" s="18">
        <v>11.34</v>
      </c>
      <c r="D53" s="141">
        <f t="shared" si="0"/>
        <v>-8.818342151675207E-4</v>
      </c>
      <c r="H53" s="103">
        <v>0.1</v>
      </c>
      <c r="I53" s="104">
        <f t="shared" si="7"/>
        <v>-9.8156391150021727E-2</v>
      </c>
      <c r="J53" s="105">
        <v>0.65</v>
      </c>
      <c r="K53" s="104">
        <f t="shared" si="8"/>
        <v>2.9443228110052067E-3</v>
      </c>
      <c r="L53" s="105">
        <v>0.94</v>
      </c>
      <c r="M53" s="106">
        <f t="shared" si="9"/>
        <v>0.14011674713300645</v>
      </c>
    </row>
    <row r="54" spans="2:13" x14ac:dyDescent="0.25">
      <c r="B54" s="12">
        <v>44662</v>
      </c>
      <c r="C54" s="18">
        <v>11.33</v>
      </c>
      <c r="D54" s="141">
        <f t="shared" si="0"/>
        <v>1.3239187996469504E-2</v>
      </c>
      <c r="H54" s="103">
        <v>0.11</v>
      </c>
      <c r="I54" s="104">
        <f t="shared" si="7"/>
        <v>-9.5771830920021464E-2</v>
      </c>
      <c r="J54" s="105">
        <v>0.7</v>
      </c>
      <c r="K54" s="104">
        <f t="shared" si="8"/>
        <v>8.0228132041604283E-3</v>
      </c>
      <c r="L54" s="105">
        <v>0.95</v>
      </c>
      <c r="M54" s="106">
        <f t="shared" si="9"/>
        <v>0.14437994969245593</v>
      </c>
    </row>
    <row r="55" spans="2:13" x14ac:dyDescent="0.25">
      <c r="B55" s="12">
        <v>44669</v>
      </c>
      <c r="C55" s="18">
        <v>11.48</v>
      </c>
      <c r="D55" s="141">
        <f t="shared" si="0"/>
        <v>8.710801393728218E-2</v>
      </c>
      <c r="H55" s="103">
        <v>0.12</v>
      </c>
      <c r="I55" s="104">
        <f t="shared" si="7"/>
        <v>-8.1658212484465684E-2</v>
      </c>
      <c r="J55" s="105">
        <v>0.75</v>
      </c>
      <c r="K55" s="104">
        <f t="shared" si="8"/>
        <v>1.8609327744468662E-2</v>
      </c>
      <c r="L55" s="105">
        <v>0.96</v>
      </c>
      <c r="M55" s="106">
        <f t="shared" si="9"/>
        <v>0.16161980123404429</v>
      </c>
    </row>
    <row r="56" spans="2:13" x14ac:dyDescent="0.25">
      <c r="B56" s="12">
        <v>44676</v>
      </c>
      <c r="C56" s="18">
        <v>12.48</v>
      </c>
      <c r="D56" s="141">
        <f t="shared" si="0"/>
        <v>-6.2500000000000111E-2</v>
      </c>
      <c r="H56" s="103">
        <v>0.13</v>
      </c>
      <c r="I56" s="104">
        <f t="shared" si="7"/>
        <v>-7.546175616295514E-2</v>
      </c>
      <c r="J56" s="105">
        <v>0.8</v>
      </c>
      <c r="K56" s="104">
        <f t="shared" si="8"/>
        <v>3.6998436685773628E-2</v>
      </c>
      <c r="L56" s="105">
        <v>0.97</v>
      </c>
      <c r="M56" s="106">
        <f t="shared" si="9"/>
        <v>0.19479367993815233</v>
      </c>
    </row>
    <row r="57" spans="2:13" x14ac:dyDescent="0.25">
      <c r="B57" s="12">
        <v>44683</v>
      </c>
      <c r="C57" s="18">
        <v>11.7</v>
      </c>
      <c r="D57" s="141">
        <f t="shared" si="0"/>
        <v>-6.2393162393162283E-2</v>
      </c>
      <c r="H57" s="103">
        <v>0.14000000000000001</v>
      </c>
      <c r="I57" s="104">
        <f t="shared" si="7"/>
        <v>-7.446507515473029E-2</v>
      </c>
      <c r="J57" s="105"/>
      <c r="K57" s="104"/>
      <c r="L57" s="105">
        <v>0.98</v>
      </c>
      <c r="M57" s="106">
        <f t="shared" si="9"/>
        <v>0.21752837326607843</v>
      </c>
    </row>
    <row r="58" spans="2:13" ht="15.75" thickBot="1" x14ac:dyDescent="0.3">
      <c r="B58" s="12">
        <v>44690</v>
      </c>
      <c r="C58" s="18">
        <v>10.97</v>
      </c>
      <c r="D58" s="141">
        <f t="shared" si="0"/>
        <v>1.3673655423883213E-2</v>
      </c>
      <c r="H58" s="107">
        <v>0.15</v>
      </c>
      <c r="I58" s="108">
        <f t="shared" si="7"/>
        <v>-7.3336055983575676E-2</v>
      </c>
      <c r="J58" s="109"/>
      <c r="K58" s="88"/>
      <c r="L58" s="110">
        <v>0.99</v>
      </c>
      <c r="M58" s="111">
        <f t="shared" si="9"/>
        <v>0.47118554522400447</v>
      </c>
    </row>
    <row r="59" spans="2:13" ht="15.75" thickBot="1" x14ac:dyDescent="0.3">
      <c r="B59" s="12">
        <v>44697</v>
      </c>
      <c r="C59" s="18">
        <v>11.12</v>
      </c>
      <c r="D59" s="141">
        <f t="shared" si="0"/>
        <v>-3.7769784172661858E-2</v>
      </c>
    </row>
    <row r="60" spans="2:13" x14ac:dyDescent="0.25">
      <c r="B60" s="12">
        <v>44704</v>
      </c>
      <c r="C60" s="18">
        <v>10.7</v>
      </c>
      <c r="D60" s="141">
        <f t="shared" si="0"/>
        <v>-1.4018691588784882E-2</v>
      </c>
      <c r="H60" s="112" t="s">
        <v>127</v>
      </c>
      <c r="I60" s="113"/>
    </row>
    <row r="61" spans="2:13" ht="15.75" thickBot="1" x14ac:dyDescent="0.3">
      <c r="B61" s="12">
        <v>44711</v>
      </c>
      <c r="C61" s="18">
        <v>10.55</v>
      </c>
      <c r="D61" s="141">
        <f t="shared" si="0"/>
        <v>-2.9383886255924252E-2</v>
      </c>
      <c r="H61" s="114" t="s">
        <v>128</v>
      </c>
      <c r="I61" s="115"/>
    </row>
    <row r="62" spans="2:13" ht="15.75" thickBot="1" x14ac:dyDescent="0.3">
      <c r="B62" s="12">
        <v>44718</v>
      </c>
      <c r="C62" s="18">
        <v>10.24</v>
      </c>
      <c r="D62" s="141">
        <f t="shared" si="0"/>
        <v>-1.46484375E-2</v>
      </c>
      <c r="H62" s="116"/>
    </row>
    <row r="63" spans="2:13" x14ac:dyDescent="0.25">
      <c r="B63" s="12">
        <v>44725</v>
      </c>
      <c r="C63" s="18">
        <v>10.09</v>
      </c>
      <c r="D63" s="141">
        <f t="shared" si="0"/>
        <v>-1.982160555004886E-3</v>
      </c>
      <c r="H63" s="112" t="s">
        <v>129</v>
      </c>
      <c r="I63" s="117"/>
    </row>
    <row r="64" spans="2:13" x14ac:dyDescent="0.25">
      <c r="B64" s="12">
        <v>44732</v>
      </c>
      <c r="C64" s="18">
        <v>10.07</v>
      </c>
      <c r="D64" s="141">
        <f t="shared" si="0"/>
        <v>-7.9443892750744594E-3</v>
      </c>
      <c r="H64" s="118" t="s">
        <v>130</v>
      </c>
      <c r="I64" s="119">
        <f>I63*(1-I60)</f>
        <v>0</v>
      </c>
    </row>
    <row r="65" spans="2:9" ht="15.75" thickBot="1" x14ac:dyDescent="0.3">
      <c r="B65" s="12">
        <v>44739</v>
      </c>
      <c r="C65" s="18">
        <v>9.99</v>
      </c>
      <c r="D65" s="141">
        <f t="shared" si="0"/>
        <v>2.0020020020019569E-3</v>
      </c>
      <c r="H65" s="114" t="s">
        <v>131</v>
      </c>
      <c r="I65" s="120">
        <f>I63*(1+I61)</f>
        <v>0</v>
      </c>
    </row>
    <row r="66" spans="2:9" x14ac:dyDescent="0.25">
      <c r="B66" s="12">
        <v>44746</v>
      </c>
      <c r="C66" s="18">
        <v>10.01</v>
      </c>
      <c r="D66" s="141">
        <f t="shared" si="0"/>
        <v>4.9950049950051589E-3</v>
      </c>
    </row>
    <row r="67" spans="2:9" x14ac:dyDescent="0.25">
      <c r="B67" s="12">
        <v>44753</v>
      </c>
      <c r="C67" s="18">
        <v>10.06</v>
      </c>
      <c r="D67" s="141">
        <f t="shared" ref="D67:D130" si="10">C68/C67-1</f>
        <v>0</v>
      </c>
    </row>
    <row r="68" spans="2:9" x14ac:dyDescent="0.25">
      <c r="B68" s="12">
        <v>44760</v>
      </c>
      <c r="C68" s="18">
        <v>10.06</v>
      </c>
      <c r="D68" s="141">
        <f t="shared" si="10"/>
        <v>-1.9880715705766772E-3</v>
      </c>
    </row>
    <row r="69" spans="2:9" x14ac:dyDescent="0.25">
      <c r="B69" s="12">
        <v>44767</v>
      </c>
      <c r="C69" s="18">
        <v>10.039999999999999</v>
      </c>
      <c r="D69" s="141">
        <f t="shared" si="10"/>
        <v>0</v>
      </c>
    </row>
    <row r="70" spans="2:9" x14ac:dyDescent="0.25">
      <c r="B70" s="12">
        <v>44774</v>
      </c>
      <c r="C70" s="18">
        <v>10.039999999999999</v>
      </c>
      <c r="D70" s="141">
        <f t="shared" si="10"/>
        <v>1.7928286852589848E-2</v>
      </c>
    </row>
    <row r="71" spans="2:9" x14ac:dyDescent="0.25">
      <c r="B71" s="12">
        <v>44781</v>
      </c>
      <c r="C71" s="18">
        <v>10.220000000000001</v>
      </c>
      <c r="D71" s="141">
        <f t="shared" si="10"/>
        <v>-1.0763209393346518E-2</v>
      </c>
    </row>
    <row r="72" spans="2:9" x14ac:dyDescent="0.25">
      <c r="B72" s="12">
        <v>44788</v>
      </c>
      <c r="C72" s="18">
        <v>10.11</v>
      </c>
      <c r="D72" s="141">
        <f t="shared" si="10"/>
        <v>-2.9673590504450953E-3</v>
      </c>
    </row>
    <row r="73" spans="2:9" x14ac:dyDescent="0.25">
      <c r="B73" s="12">
        <v>44795</v>
      </c>
      <c r="C73" s="18">
        <v>10.08</v>
      </c>
      <c r="D73" s="141">
        <f t="shared" si="10"/>
        <v>0.16567460317460325</v>
      </c>
    </row>
    <row r="74" spans="2:9" x14ac:dyDescent="0.25">
      <c r="B74" s="12">
        <v>44802</v>
      </c>
      <c r="C74" s="18">
        <v>11.75</v>
      </c>
      <c r="D74" s="141">
        <f t="shared" si="10"/>
        <v>1.9574468085106433E-2</v>
      </c>
    </row>
    <row r="75" spans="2:9" x14ac:dyDescent="0.25">
      <c r="B75" s="12">
        <v>44809</v>
      </c>
      <c r="C75" s="18">
        <v>11.98</v>
      </c>
      <c r="D75" s="141">
        <f t="shared" si="10"/>
        <v>5.008347245408995E-3</v>
      </c>
    </row>
    <row r="76" spans="2:9" x14ac:dyDescent="0.25">
      <c r="B76" s="12">
        <v>44816</v>
      </c>
      <c r="C76" s="18">
        <v>12.04</v>
      </c>
      <c r="D76" s="141">
        <f t="shared" si="10"/>
        <v>-8.3056478405318934E-4</v>
      </c>
    </row>
    <row r="77" spans="2:9" x14ac:dyDescent="0.25">
      <c r="B77" s="12">
        <v>44823</v>
      </c>
      <c r="C77" s="18">
        <v>12.03</v>
      </c>
      <c r="D77" s="141">
        <f t="shared" si="10"/>
        <v>1.8287614297589405E-2</v>
      </c>
    </row>
    <row r="78" spans="2:9" x14ac:dyDescent="0.25">
      <c r="B78" s="12">
        <v>44830</v>
      </c>
      <c r="C78" s="18">
        <v>12.25</v>
      </c>
      <c r="D78" s="141">
        <f t="shared" si="10"/>
        <v>1.6326530612245094E-3</v>
      </c>
    </row>
    <row r="79" spans="2:9" x14ac:dyDescent="0.25">
      <c r="B79" s="12">
        <v>44837</v>
      </c>
      <c r="C79" s="18">
        <v>12.27</v>
      </c>
      <c r="D79" s="141">
        <f t="shared" si="10"/>
        <v>-0.24205378973105129</v>
      </c>
    </row>
    <row r="80" spans="2:9" x14ac:dyDescent="0.25">
      <c r="B80" s="12">
        <v>44844</v>
      </c>
      <c r="C80" s="18">
        <v>9.3000000000000007</v>
      </c>
      <c r="D80" s="141">
        <f t="shared" si="10"/>
        <v>-0.21720430107526889</v>
      </c>
    </row>
    <row r="81" spans="2:4" x14ac:dyDescent="0.25">
      <c r="B81" s="12">
        <v>44851</v>
      </c>
      <c r="C81" s="18">
        <v>7.28</v>
      </c>
      <c r="D81" s="141">
        <f t="shared" si="10"/>
        <v>0.58241758241758235</v>
      </c>
    </row>
    <row r="82" spans="2:4" x14ac:dyDescent="0.25">
      <c r="B82" s="12">
        <v>44858</v>
      </c>
      <c r="C82" s="18">
        <v>11.52</v>
      </c>
      <c r="D82" s="141">
        <f t="shared" si="10"/>
        <v>0.13368055555555558</v>
      </c>
    </row>
    <row r="83" spans="2:4" x14ac:dyDescent="0.25">
      <c r="B83" s="12">
        <v>44865</v>
      </c>
      <c r="C83" s="18">
        <v>13.06</v>
      </c>
      <c r="D83" s="141">
        <f t="shared" si="10"/>
        <v>-1.1485451761102605E-2</v>
      </c>
    </row>
    <row r="84" spans="2:4" x14ac:dyDescent="0.25">
      <c r="B84" s="12">
        <v>44872</v>
      </c>
      <c r="C84" s="18">
        <v>12.91</v>
      </c>
      <c r="D84" s="141">
        <f t="shared" si="10"/>
        <v>-0.22773044151820288</v>
      </c>
    </row>
    <row r="85" spans="2:4" x14ac:dyDescent="0.25">
      <c r="B85" s="12">
        <v>44879</v>
      </c>
      <c r="C85" s="18">
        <v>9.9700000000000006</v>
      </c>
      <c r="D85" s="141">
        <f t="shared" si="10"/>
        <v>-4.4132397191574801E-2</v>
      </c>
    </row>
    <row r="86" spans="2:4" x14ac:dyDescent="0.25">
      <c r="B86" s="12">
        <v>44886</v>
      </c>
      <c r="C86" s="18">
        <v>9.5299999999999994</v>
      </c>
      <c r="D86" s="141">
        <f t="shared" si="10"/>
        <v>-8.0797481636935897E-2</v>
      </c>
    </row>
    <row r="87" spans="2:4" x14ac:dyDescent="0.25">
      <c r="B87" s="12">
        <v>44893</v>
      </c>
      <c r="C87" s="18">
        <v>8.76</v>
      </c>
      <c r="D87" s="141">
        <f t="shared" si="10"/>
        <v>-0.11187214611872143</v>
      </c>
    </row>
    <row r="88" spans="2:4" x14ac:dyDescent="0.25">
      <c r="B88" s="12">
        <v>44900</v>
      </c>
      <c r="C88" s="18">
        <v>7.78</v>
      </c>
      <c r="D88" s="141">
        <f t="shared" si="10"/>
        <v>0</v>
      </c>
    </row>
    <row r="89" spans="2:4" x14ac:dyDescent="0.25">
      <c r="B89" s="12">
        <v>44907</v>
      </c>
      <c r="C89" s="18">
        <v>7.78</v>
      </c>
      <c r="D89" s="141">
        <f t="shared" si="10"/>
        <v>-0.17994858611825193</v>
      </c>
    </row>
    <row r="90" spans="2:4" x14ac:dyDescent="0.25">
      <c r="B90" s="12">
        <v>44914</v>
      </c>
      <c r="C90" s="18">
        <v>6.38</v>
      </c>
      <c r="D90" s="141">
        <f t="shared" si="10"/>
        <v>-6.7398119122257016E-2</v>
      </c>
    </row>
    <row r="91" spans="2:4" x14ac:dyDescent="0.25">
      <c r="B91" s="12">
        <v>44921</v>
      </c>
      <c r="C91" s="18">
        <v>5.95</v>
      </c>
      <c r="D91" s="141">
        <f t="shared" si="10"/>
        <v>0.13613445378151257</v>
      </c>
    </row>
    <row r="92" spans="2:4" x14ac:dyDescent="0.25">
      <c r="B92" s="12">
        <v>44928</v>
      </c>
      <c r="C92" s="18">
        <v>6.76</v>
      </c>
      <c r="D92" s="141">
        <f t="shared" si="10"/>
        <v>0.38017751479289941</v>
      </c>
    </row>
    <row r="93" spans="2:4" x14ac:dyDescent="0.25">
      <c r="B93" s="12">
        <v>44935</v>
      </c>
      <c r="C93" s="18">
        <v>9.33</v>
      </c>
      <c r="D93" s="141">
        <f t="shared" si="10"/>
        <v>2.8403001071811484E-2</v>
      </c>
    </row>
    <row r="94" spans="2:4" x14ac:dyDescent="0.25">
      <c r="B94" s="12">
        <v>44942</v>
      </c>
      <c r="C94" s="18">
        <v>9.5950000000000006</v>
      </c>
      <c r="D94" s="141">
        <f t="shared" si="10"/>
        <v>3.6998436685773628E-2</v>
      </c>
    </row>
    <row r="95" spans="2:4" x14ac:dyDescent="0.25">
      <c r="B95" s="12">
        <v>44949</v>
      </c>
      <c r="C95" s="18">
        <v>9.9499999999999993</v>
      </c>
      <c r="D95" s="141">
        <f t="shared" si="10"/>
        <v>1.407035175879412E-2</v>
      </c>
    </row>
    <row r="96" spans="2:4" x14ac:dyDescent="0.25">
      <c r="B96" s="12">
        <v>44956</v>
      </c>
      <c r="C96" s="18">
        <v>10.09</v>
      </c>
      <c r="D96" s="141">
        <f t="shared" si="10"/>
        <v>-0.12091179385530237</v>
      </c>
    </row>
    <row r="97" spans="2:4" x14ac:dyDescent="0.25">
      <c r="B97" s="12">
        <v>44963</v>
      </c>
      <c r="C97" s="18">
        <v>8.8699999999999992</v>
      </c>
      <c r="D97" s="141">
        <f t="shared" si="10"/>
        <v>4.3968432919955003E-2</v>
      </c>
    </row>
    <row r="98" spans="2:4" x14ac:dyDescent="0.25">
      <c r="B98" s="12">
        <v>44970</v>
      </c>
      <c r="C98" s="18">
        <v>9.26</v>
      </c>
      <c r="D98" s="141">
        <f t="shared" si="10"/>
        <v>-7.5593952483801186E-2</v>
      </c>
    </row>
    <row r="99" spans="2:4" x14ac:dyDescent="0.25">
      <c r="B99" s="12">
        <v>44977</v>
      </c>
      <c r="C99" s="18">
        <v>8.56</v>
      </c>
      <c r="D99" s="141">
        <f t="shared" si="10"/>
        <v>-9.3457943925233655E-3</v>
      </c>
    </row>
    <row r="100" spans="2:4" x14ac:dyDescent="0.25">
      <c r="B100" s="12">
        <v>44984</v>
      </c>
      <c r="C100" s="18">
        <v>8.48</v>
      </c>
      <c r="D100" s="141">
        <f t="shared" si="10"/>
        <v>4.7169811320754818E-2</v>
      </c>
    </row>
    <row r="101" spans="2:4" x14ac:dyDescent="0.25">
      <c r="B101" s="12">
        <v>44991</v>
      </c>
      <c r="C101" s="18">
        <v>8.8800000000000008</v>
      </c>
      <c r="D101" s="141">
        <f t="shared" si="10"/>
        <v>-0.10360360360360366</v>
      </c>
    </row>
    <row r="102" spans="2:4" x14ac:dyDescent="0.25">
      <c r="B102" s="12">
        <v>44998</v>
      </c>
      <c r="C102" s="18">
        <v>7.96</v>
      </c>
      <c r="D102" s="141">
        <f t="shared" si="10"/>
        <v>4.5226130653266416E-2</v>
      </c>
    </row>
    <row r="103" spans="2:4" x14ac:dyDescent="0.25">
      <c r="B103" s="12">
        <v>45005</v>
      </c>
      <c r="C103" s="18">
        <v>8.32</v>
      </c>
      <c r="D103" s="141">
        <f t="shared" si="10"/>
        <v>0.20192307692307687</v>
      </c>
    </row>
    <row r="104" spans="2:4" x14ac:dyDescent="0.25">
      <c r="B104" s="12">
        <v>45012</v>
      </c>
      <c r="C104" s="18">
        <v>10</v>
      </c>
      <c r="D104" s="141">
        <f t="shared" si="10"/>
        <v>-0.10600000000000009</v>
      </c>
    </row>
    <row r="105" spans="2:4" x14ac:dyDescent="0.25">
      <c r="B105" s="12">
        <v>45019</v>
      </c>
      <c r="C105" s="18">
        <v>8.94</v>
      </c>
      <c r="D105" s="141">
        <f t="shared" si="10"/>
        <v>4.4742729306487705E-2</v>
      </c>
    </row>
    <row r="106" spans="2:4" x14ac:dyDescent="0.25">
      <c r="B106" s="12">
        <v>45026</v>
      </c>
      <c r="C106" s="18">
        <v>9.34</v>
      </c>
      <c r="D106" s="141">
        <f t="shared" si="10"/>
        <v>-7.0663811563169143E-2</v>
      </c>
    </row>
    <row r="107" spans="2:4" x14ac:dyDescent="0.25">
      <c r="B107" s="12">
        <v>45033</v>
      </c>
      <c r="C107" s="18">
        <v>8.68</v>
      </c>
      <c r="D107" s="141">
        <f t="shared" si="10"/>
        <v>-8.2949308755760343E-2</v>
      </c>
    </row>
    <row r="108" spans="2:4" x14ac:dyDescent="0.25">
      <c r="B108" s="12">
        <v>45040</v>
      </c>
      <c r="C108" s="18">
        <v>7.96</v>
      </c>
      <c r="D108" s="141">
        <f t="shared" si="10"/>
        <v>0.19095477386934689</v>
      </c>
    </row>
    <row r="109" spans="2:4" x14ac:dyDescent="0.25">
      <c r="B109" s="12">
        <v>45047</v>
      </c>
      <c r="C109" s="18">
        <v>9.48</v>
      </c>
      <c r="D109" s="141">
        <f t="shared" si="10"/>
        <v>4.5358649789029482E-2</v>
      </c>
    </row>
    <row r="110" spans="2:4" x14ac:dyDescent="0.25">
      <c r="B110" s="12">
        <v>45054</v>
      </c>
      <c r="C110" s="18">
        <v>9.91</v>
      </c>
      <c r="D110" s="141">
        <f t="shared" si="10"/>
        <v>-2.1190716448032387E-2</v>
      </c>
    </row>
    <row r="111" spans="2:4" x14ac:dyDescent="0.25">
      <c r="B111" s="12">
        <v>45061</v>
      </c>
      <c r="C111" s="18">
        <v>9.6999999999999993</v>
      </c>
      <c r="D111" s="141">
        <f t="shared" si="10"/>
        <v>-1.546391752577303E-2</v>
      </c>
    </row>
    <row r="112" spans="2:4" x14ac:dyDescent="0.25">
      <c r="B112" s="12">
        <v>45068</v>
      </c>
      <c r="C112" s="18">
        <v>9.5500000000000007</v>
      </c>
      <c r="D112" s="141">
        <f t="shared" si="10"/>
        <v>4.7120418848167533E-2</v>
      </c>
    </row>
    <row r="113" spans="2:4" x14ac:dyDescent="0.25">
      <c r="B113" s="12">
        <v>45075</v>
      </c>
      <c r="C113" s="18">
        <v>10</v>
      </c>
      <c r="D113" s="141">
        <f t="shared" si="10"/>
        <v>3.6000000000000032E-2</v>
      </c>
    </row>
    <row r="114" spans="2:4" x14ac:dyDescent="0.25">
      <c r="B114" s="12">
        <v>45082</v>
      </c>
      <c r="C114" s="18">
        <v>10.36</v>
      </c>
      <c r="D114" s="141">
        <f t="shared" si="10"/>
        <v>-9.6525096525096554E-2</v>
      </c>
    </row>
    <row r="115" spans="2:4" x14ac:dyDescent="0.25">
      <c r="B115" s="12">
        <v>45089</v>
      </c>
      <c r="C115" s="18">
        <v>9.36</v>
      </c>
      <c r="D115" s="141">
        <f t="shared" si="10"/>
        <v>-1.3888888888888729E-2</v>
      </c>
    </row>
    <row r="116" spans="2:4" x14ac:dyDescent="0.25">
      <c r="B116" s="12">
        <v>45096</v>
      </c>
      <c r="C116" s="18">
        <v>9.23</v>
      </c>
      <c r="D116" s="141">
        <f t="shared" si="10"/>
        <v>-3.3586132177681471E-2</v>
      </c>
    </row>
    <row r="117" spans="2:4" x14ac:dyDescent="0.25">
      <c r="B117" s="12">
        <v>45103</v>
      </c>
      <c r="C117" s="18">
        <v>8.92</v>
      </c>
      <c r="D117" s="141">
        <f t="shared" si="10"/>
        <v>-5.3811659192825156E-2</v>
      </c>
    </row>
    <row r="118" spans="2:4" x14ac:dyDescent="0.25">
      <c r="B118" s="12">
        <v>45110</v>
      </c>
      <c r="C118" s="18">
        <v>8.44</v>
      </c>
      <c r="D118" s="141">
        <f t="shared" si="10"/>
        <v>-1.6587677725118377E-2</v>
      </c>
    </row>
    <row r="119" spans="2:4" x14ac:dyDescent="0.25">
      <c r="B119" s="12">
        <v>45117</v>
      </c>
      <c r="C119" s="18">
        <v>8.3000000000000007</v>
      </c>
      <c r="D119" s="141">
        <f t="shared" si="10"/>
        <v>-4.3373493975903621E-2</v>
      </c>
    </row>
    <row r="120" spans="2:4" x14ac:dyDescent="0.25">
      <c r="B120" s="12">
        <v>45124</v>
      </c>
      <c r="C120" s="18">
        <v>7.94</v>
      </c>
      <c r="D120" s="141">
        <f t="shared" si="10"/>
        <v>7.6826196473551711E-2</v>
      </c>
    </row>
    <row r="121" spans="2:4" x14ac:dyDescent="0.25">
      <c r="B121" s="12">
        <v>45131</v>
      </c>
      <c r="C121" s="18">
        <v>8.5500000000000007</v>
      </c>
      <c r="D121" s="141">
        <f t="shared" si="10"/>
        <v>-4.795321637426897E-2</v>
      </c>
    </row>
    <row r="122" spans="2:4" x14ac:dyDescent="0.25">
      <c r="B122" s="12">
        <v>45138</v>
      </c>
      <c r="C122" s="18">
        <v>8.14</v>
      </c>
      <c r="D122" s="141">
        <f t="shared" si="10"/>
        <v>9.8280098280099093E-3</v>
      </c>
    </row>
    <row r="123" spans="2:4" x14ac:dyDescent="0.25">
      <c r="B123" s="12">
        <v>45145</v>
      </c>
      <c r="C123" s="18">
        <v>8.2200000000000006</v>
      </c>
      <c r="D123" s="141">
        <f t="shared" si="10"/>
        <v>-0.14598540145985417</v>
      </c>
    </row>
    <row r="124" spans="2:4" x14ac:dyDescent="0.25">
      <c r="B124" s="12">
        <v>45152</v>
      </c>
      <c r="C124" s="18">
        <v>7.02</v>
      </c>
      <c r="D124" s="141">
        <f t="shared" si="10"/>
        <v>4.7008547008547064E-2</v>
      </c>
    </row>
    <row r="125" spans="2:4" x14ac:dyDescent="0.25">
      <c r="B125" s="12">
        <v>45159</v>
      </c>
      <c r="C125" s="18">
        <v>7.35</v>
      </c>
      <c r="D125" s="141">
        <f t="shared" si="10"/>
        <v>7.210884353741509E-2</v>
      </c>
    </row>
    <row r="126" spans="2:4" x14ac:dyDescent="0.25">
      <c r="B126" s="12">
        <v>45166</v>
      </c>
      <c r="C126" s="18">
        <v>7.88</v>
      </c>
      <c r="D126" s="141">
        <f t="shared" si="10"/>
        <v>-9.6446700507614169E-2</v>
      </c>
    </row>
    <row r="127" spans="2:4" x14ac:dyDescent="0.25">
      <c r="B127" s="12">
        <v>45173</v>
      </c>
      <c r="C127" s="18">
        <v>7.12</v>
      </c>
      <c r="D127" s="141">
        <f t="shared" si="10"/>
        <v>-4.6348314606741603E-2</v>
      </c>
    </row>
    <row r="128" spans="2:4" x14ac:dyDescent="0.25">
      <c r="B128" s="12">
        <v>45180</v>
      </c>
      <c r="C128" s="18">
        <v>6.79</v>
      </c>
      <c r="D128" s="141">
        <f t="shared" si="10"/>
        <v>-0.28424153166421207</v>
      </c>
    </row>
    <row r="129" spans="2:4" x14ac:dyDescent="0.25">
      <c r="B129" s="12">
        <v>45187</v>
      </c>
      <c r="C129" s="18">
        <v>4.8600000000000003</v>
      </c>
      <c r="D129" s="141">
        <f t="shared" si="10"/>
        <v>4.9382716049382491E-2</v>
      </c>
    </row>
    <row r="130" spans="2:4" x14ac:dyDescent="0.25">
      <c r="B130" s="12">
        <v>45194</v>
      </c>
      <c r="C130" s="18">
        <v>5.0999999999999996</v>
      </c>
      <c r="D130" s="141">
        <f t="shared" si="10"/>
        <v>-9.8039215686274161E-3</v>
      </c>
    </row>
    <row r="131" spans="2:4" x14ac:dyDescent="0.25">
      <c r="B131" s="12">
        <v>45201</v>
      </c>
      <c r="C131" s="18">
        <v>5.05</v>
      </c>
      <c r="D131" s="141">
        <f t="shared" ref="D131:D158" si="11">C132/C131-1</f>
        <v>-1.980198019801982E-3</v>
      </c>
    </row>
    <row r="132" spans="2:4" x14ac:dyDescent="0.25">
      <c r="B132" s="12">
        <v>45208</v>
      </c>
      <c r="C132" s="18">
        <v>5.04</v>
      </c>
      <c r="D132" s="141">
        <f t="shared" si="11"/>
        <v>3.5714285714285587E-2</v>
      </c>
    </row>
    <row r="133" spans="2:4" x14ac:dyDescent="0.25">
      <c r="B133" s="12">
        <v>45215</v>
      </c>
      <c r="C133" s="18">
        <v>5.22</v>
      </c>
      <c r="D133" s="141">
        <f t="shared" si="11"/>
        <v>-7.4712643678160884E-2</v>
      </c>
    </row>
    <row r="134" spans="2:4" x14ac:dyDescent="0.25">
      <c r="B134" s="12">
        <v>45222</v>
      </c>
      <c r="C134" s="18">
        <v>4.83</v>
      </c>
      <c r="D134" s="141">
        <f t="shared" si="11"/>
        <v>3.5196687370600444E-2</v>
      </c>
    </row>
    <row r="135" spans="2:4" x14ac:dyDescent="0.25">
      <c r="B135" s="12">
        <v>45229</v>
      </c>
      <c r="C135" s="18">
        <v>5</v>
      </c>
      <c r="D135" s="141">
        <f t="shared" si="11"/>
        <v>-6.1999999999999944E-2</v>
      </c>
    </row>
    <row r="136" spans="2:4" x14ac:dyDescent="0.25">
      <c r="B136" s="12">
        <v>45236</v>
      </c>
      <c r="C136" s="18">
        <v>4.6900000000000004</v>
      </c>
      <c r="D136" s="141">
        <f t="shared" si="11"/>
        <v>7.8891257995735486E-2</v>
      </c>
    </row>
    <row r="137" spans="2:4" x14ac:dyDescent="0.25">
      <c r="B137" s="12">
        <v>45243</v>
      </c>
      <c r="C137" s="18">
        <v>5.0599999999999996</v>
      </c>
      <c r="D137" s="141">
        <f t="shared" si="11"/>
        <v>1.5810276679841806E-2</v>
      </c>
    </row>
    <row r="138" spans="2:4" x14ac:dyDescent="0.25">
      <c r="B138" s="12">
        <v>45250</v>
      </c>
      <c r="C138" s="18">
        <v>5.14</v>
      </c>
      <c r="D138" s="141">
        <f t="shared" si="11"/>
        <v>-0.10116731517509725</v>
      </c>
    </row>
    <row r="139" spans="2:4" x14ac:dyDescent="0.25">
      <c r="B139" s="12">
        <v>45257</v>
      </c>
      <c r="C139" s="18">
        <v>4.62</v>
      </c>
      <c r="D139" s="141">
        <f t="shared" si="11"/>
        <v>1.5151515151515138E-2</v>
      </c>
    </row>
    <row r="140" spans="2:4" x14ac:dyDescent="0.25">
      <c r="B140" s="12">
        <v>45264</v>
      </c>
      <c r="C140" s="18">
        <v>4.6900000000000004</v>
      </c>
      <c r="D140" s="141">
        <f t="shared" si="11"/>
        <v>3.4115138592750283E-2</v>
      </c>
    </row>
    <row r="141" spans="2:4" x14ac:dyDescent="0.25">
      <c r="B141" s="12">
        <v>45271</v>
      </c>
      <c r="C141" s="18">
        <v>4.8499999999999996</v>
      </c>
      <c r="D141" s="141">
        <f t="shared" si="11"/>
        <v>0</v>
      </c>
    </row>
    <row r="142" spans="2:4" x14ac:dyDescent="0.25">
      <c r="B142" s="12">
        <v>45278</v>
      </c>
      <c r="C142" s="18">
        <v>4.8499999999999996</v>
      </c>
      <c r="D142" s="141">
        <f t="shared" si="11"/>
        <v>-7.4226804123711188E-2</v>
      </c>
    </row>
    <row r="143" spans="2:4" x14ac:dyDescent="0.25">
      <c r="B143" s="12">
        <v>45285</v>
      </c>
      <c r="C143" s="18">
        <v>4.49</v>
      </c>
      <c r="D143" s="141">
        <f t="shared" si="11"/>
        <v>-4.0089086859688372E-2</v>
      </c>
    </row>
    <row r="144" spans="2:4" x14ac:dyDescent="0.25">
      <c r="B144" s="12">
        <v>45292</v>
      </c>
      <c r="C144" s="18">
        <v>4.3099999999999996</v>
      </c>
      <c r="D144" s="141">
        <f t="shared" si="11"/>
        <v>-0.21345707656612523</v>
      </c>
    </row>
    <row r="145" spans="2:4" x14ac:dyDescent="0.25">
      <c r="B145" s="12">
        <v>45299</v>
      </c>
      <c r="C145" s="18">
        <v>3.39</v>
      </c>
      <c r="D145" s="141">
        <f t="shared" si="11"/>
        <v>5.8997050147492569E-2</v>
      </c>
    </row>
    <row r="146" spans="2:4" x14ac:dyDescent="0.25">
      <c r="B146" s="12">
        <v>45306</v>
      </c>
      <c r="C146" s="18">
        <v>3.59</v>
      </c>
      <c r="D146" s="141">
        <f t="shared" si="11"/>
        <v>0.68245125348189428</v>
      </c>
    </row>
    <row r="147" spans="2:4" x14ac:dyDescent="0.25">
      <c r="B147" s="12">
        <v>45313</v>
      </c>
      <c r="C147" s="18">
        <v>6.04</v>
      </c>
      <c r="D147" s="141">
        <f t="shared" si="11"/>
        <v>0.14403973509933787</v>
      </c>
    </row>
    <row r="148" spans="2:4" x14ac:dyDescent="0.25">
      <c r="B148" s="12">
        <v>45320</v>
      </c>
      <c r="C148" s="18">
        <v>6.91</v>
      </c>
      <c r="D148" s="141">
        <f t="shared" si="11"/>
        <v>0.14182344428364679</v>
      </c>
    </row>
    <row r="149" spans="2:4" x14ac:dyDescent="0.25">
      <c r="B149" s="12">
        <v>45327</v>
      </c>
      <c r="C149" s="18">
        <v>7.89</v>
      </c>
      <c r="D149" s="141">
        <f t="shared" si="11"/>
        <v>-4.6894803548795938E-2</v>
      </c>
    </row>
    <row r="150" spans="2:4" x14ac:dyDescent="0.25">
      <c r="B150" s="12">
        <v>45334</v>
      </c>
      <c r="C150" s="18">
        <v>7.52</v>
      </c>
      <c r="D150" s="141">
        <f t="shared" si="11"/>
        <v>-0.10904255319148926</v>
      </c>
    </row>
    <row r="151" spans="2:4" x14ac:dyDescent="0.25">
      <c r="B151" s="12">
        <v>45341</v>
      </c>
      <c r="C151" s="18">
        <v>6.7</v>
      </c>
      <c r="D151" s="141">
        <f t="shared" si="11"/>
        <v>-1.3432835820895495E-2</v>
      </c>
    </row>
    <row r="152" spans="2:4" x14ac:dyDescent="0.25">
      <c r="B152" s="12">
        <v>45348</v>
      </c>
      <c r="C152" s="18">
        <v>6.61</v>
      </c>
      <c r="D152" s="141">
        <f t="shared" si="11"/>
        <v>1.9667170953101332E-2</v>
      </c>
    </row>
    <row r="153" spans="2:4" x14ac:dyDescent="0.25">
      <c r="B153" s="12">
        <v>45355</v>
      </c>
      <c r="C153" s="18">
        <v>6.74</v>
      </c>
      <c r="D153" s="141">
        <f t="shared" si="11"/>
        <v>0.14540059347181011</v>
      </c>
    </row>
    <row r="154" spans="2:4" x14ac:dyDescent="0.25">
      <c r="B154" s="12">
        <v>45362</v>
      </c>
      <c r="C154" s="18">
        <v>7.72</v>
      </c>
      <c r="D154" s="141">
        <f t="shared" si="11"/>
        <v>-5.569948186528495E-2</v>
      </c>
    </row>
    <row r="155" spans="2:4" x14ac:dyDescent="0.25">
      <c r="B155" s="12">
        <v>45369</v>
      </c>
      <c r="C155" s="18">
        <v>7.29</v>
      </c>
      <c r="D155" s="141">
        <f t="shared" si="11"/>
        <v>0.10836762688614532</v>
      </c>
    </row>
    <row r="156" spans="2:4" x14ac:dyDescent="0.25">
      <c r="B156" s="12">
        <v>45376</v>
      </c>
      <c r="C156" s="18">
        <v>8.08</v>
      </c>
      <c r="D156" s="141">
        <f t="shared" si="11"/>
        <v>-0.17326732673267331</v>
      </c>
    </row>
    <row r="157" spans="2:4" x14ac:dyDescent="0.25">
      <c r="B157" s="12">
        <v>45383</v>
      </c>
      <c r="C157" s="18">
        <v>6.68</v>
      </c>
      <c r="D157" s="141">
        <f t="shared" si="11"/>
        <v>-1.4970059880239361E-3</v>
      </c>
    </row>
    <row r="158" spans="2:4" x14ac:dyDescent="0.25">
      <c r="B158" s="12">
        <v>45386</v>
      </c>
      <c r="C158" s="18">
        <v>6.67</v>
      </c>
      <c r="D158" s="141"/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2024-04-05T17:07:20Z</dcterms:modified>
</cp:coreProperties>
</file>