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imon\Documents\models\Retail Wholesale - Restaurants\"/>
    </mc:Choice>
  </mc:AlternateContent>
  <xr:revisionPtr revIDLastSave="0" documentId="13_ncr:1_{A2E123C2-F370-43B4-AEC7-139D61EFBDB5}" xr6:coauthVersionLast="47" xr6:coauthVersionMax="47" xr10:uidLastSave="{00000000-0000-0000-0000-000000000000}"/>
  <bookViews>
    <workbookView xWindow="-120" yWindow="-120" windowWidth="29040" windowHeight="15720" activeTab="1"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Model!$B$22</definedName>
    <definedName name="_xlchart.v1.1" hidden="1">Model!$B$23</definedName>
    <definedName name="_xlchart.v1.2" hidden="1">Model!$L$22:$AA$22</definedName>
    <definedName name="_xlchart.v1.3" hidden="1">Model!$L$23:$AA$23</definedName>
    <definedName name="_xlchart.v1.4" hidden="1">Model!$L$2:$AA$2</definedName>
    <definedName name="_xlchart.v1.5" hidden="1">Model!$B$3</definedName>
    <definedName name="_xlchart.v1.6" hidden="1">Model!$B$4</definedName>
    <definedName name="_xlchart.v1.7" hidden="1">Model!$L$2:$AA$2</definedName>
    <definedName name="_xlchart.v1.8" hidden="1">Model!$L$3:$AA$3</definedName>
    <definedName name="_xlchart.v1.9" hidden="1">Model!$L$4:$AA$4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34" i="1"/>
  <c r="C33" i="1"/>
  <c r="C31" i="1"/>
  <c r="C30" i="1"/>
  <c r="C29" i="1"/>
  <c r="C25" i="1"/>
  <c r="C24" i="1"/>
  <c r="C22" i="1"/>
  <c r="C23" i="1"/>
  <c r="C21" i="1"/>
  <c r="C20" i="1"/>
  <c r="C17" i="1"/>
  <c r="C16" i="1"/>
  <c r="C15" i="1"/>
  <c r="C14" i="1"/>
  <c r="C13" i="1"/>
  <c r="AA29" i="2"/>
  <c r="Z29" i="2"/>
  <c r="Y29" i="2"/>
  <c r="X29" i="2"/>
  <c r="W29" i="2"/>
  <c r="V29" i="2"/>
  <c r="U29" i="2"/>
  <c r="T29" i="2"/>
  <c r="S29" i="2"/>
  <c r="R29" i="2"/>
  <c r="Q29" i="2"/>
  <c r="P29" i="2"/>
  <c r="O29" i="2"/>
  <c r="N29" i="2"/>
  <c r="M29" i="2"/>
  <c r="L29" i="2"/>
  <c r="AA28" i="2"/>
  <c r="Z28" i="2"/>
  <c r="Y28" i="2"/>
  <c r="X28" i="2"/>
  <c r="W28" i="2"/>
  <c r="V28" i="2"/>
  <c r="U28" i="2"/>
  <c r="T28" i="2"/>
  <c r="S28" i="2"/>
  <c r="R28" i="2"/>
  <c r="Q28" i="2"/>
  <c r="P28" i="2"/>
  <c r="O28" i="2"/>
  <c r="N28" i="2"/>
  <c r="M28" i="2"/>
  <c r="L28" i="2"/>
  <c r="F29" i="2"/>
  <c r="E29" i="2"/>
  <c r="D29" i="2"/>
  <c r="C29" i="2"/>
  <c r="F28" i="2"/>
  <c r="E28" i="2"/>
  <c r="D28" i="2"/>
  <c r="C28" i="2"/>
  <c r="D27" i="2"/>
  <c r="C27" i="2"/>
  <c r="G28" i="2"/>
  <c r="G29" i="2"/>
  <c r="W21" i="2"/>
  <c r="W19" i="2"/>
  <c r="W17" i="2"/>
  <c r="W16" i="2"/>
  <c r="W14" i="2"/>
  <c r="W13" i="2"/>
  <c r="W12" i="2"/>
  <c r="W11" i="2"/>
  <c r="W10" i="2"/>
  <c r="W8" i="2"/>
  <c r="W7" i="2"/>
  <c r="W6" i="2"/>
  <c r="W9" i="2" s="1"/>
  <c r="W5" i="2"/>
  <c r="W3" i="2"/>
  <c r="W53" i="2"/>
  <c r="W52" i="2"/>
  <c r="W51" i="2"/>
  <c r="W49" i="2"/>
  <c r="W48" i="2"/>
  <c r="W47" i="2"/>
  <c r="W50" i="2" s="1"/>
  <c r="W45" i="2"/>
  <c r="W44" i="2"/>
  <c r="W43" i="2"/>
  <c r="W42" i="2"/>
  <c r="W41" i="2"/>
  <c r="W39" i="2"/>
  <c r="W38" i="2"/>
  <c r="W37" i="2"/>
  <c r="W36" i="2"/>
  <c r="W35" i="2"/>
  <c r="S53" i="2"/>
  <c r="S52" i="2"/>
  <c r="S51" i="2"/>
  <c r="S49" i="2"/>
  <c r="S48" i="2"/>
  <c r="S47" i="2"/>
  <c r="S45" i="2"/>
  <c r="S44" i="2"/>
  <c r="S43" i="2"/>
  <c r="S42" i="2"/>
  <c r="S41" i="2"/>
  <c r="S39" i="2"/>
  <c r="S38" i="2"/>
  <c r="S37" i="2"/>
  <c r="S36" i="2"/>
  <c r="S35" i="2"/>
  <c r="S34" i="2" s="1"/>
  <c r="C7" i="1"/>
  <c r="AA34" i="2"/>
  <c r="Z34" i="2"/>
  <c r="Y34" i="2"/>
  <c r="X34" i="2"/>
  <c r="V34" i="2"/>
  <c r="U34" i="2"/>
  <c r="T34" i="2"/>
  <c r="R34" i="2"/>
  <c r="Q34" i="2"/>
  <c r="P34" i="2"/>
  <c r="O34" i="2"/>
  <c r="N34" i="2"/>
  <c r="M34" i="2"/>
  <c r="L34" i="2"/>
  <c r="I34" i="2"/>
  <c r="H34" i="2"/>
  <c r="F34" i="2"/>
  <c r="E34" i="2"/>
  <c r="D34" i="2"/>
  <c r="C34" i="2"/>
  <c r="G34" i="2"/>
  <c r="I30" i="2"/>
  <c r="AA50" i="2"/>
  <c r="AA54" i="2" s="1"/>
  <c r="Z50" i="2"/>
  <c r="Z54" i="2" s="1"/>
  <c r="Y50" i="2"/>
  <c r="Y54" i="2" s="1"/>
  <c r="X50" i="2"/>
  <c r="X54" i="2" s="1"/>
  <c r="AA40" i="2"/>
  <c r="AA46" i="2" s="1"/>
  <c r="Z40" i="2"/>
  <c r="Z46" i="2" s="1"/>
  <c r="Y40" i="2"/>
  <c r="Y46" i="2" s="1"/>
  <c r="X40" i="2"/>
  <c r="X46" i="2" s="1"/>
  <c r="AA9" i="2"/>
  <c r="Z9" i="2"/>
  <c r="Y9" i="2"/>
  <c r="X9"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M9" i="2"/>
  <c r="N9" i="2"/>
  <c r="O9" i="2"/>
  <c r="P9" i="2"/>
  <c r="P15" i="2" s="1"/>
  <c r="P18" i="2" s="1"/>
  <c r="Q9" i="2"/>
  <c r="Q15" i="2" s="1"/>
  <c r="Q18" i="2" s="1"/>
  <c r="R9" i="2"/>
  <c r="S9" i="2"/>
  <c r="S15" i="2" s="1"/>
  <c r="S18" i="2" s="1"/>
  <c r="T9" i="2"/>
  <c r="T15" i="2" s="1"/>
  <c r="T18" i="2" s="1"/>
  <c r="U9" i="2"/>
  <c r="V9" i="2"/>
  <c r="L9" i="2"/>
  <c r="D9" i="2"/>
  <c r="E9" i="2"/>
  <c r="F9" i="2"/>
  <c r="G9" i="2"/>
  <c r="H9" i="2"/>
  <c r="H15" i="2" s="1"/>
  <c r="H18" i="2" s="1"/>
  <c r="I9" i="2"/>
  <c r="I15" i="2" s="1"/>
  <c r="I18" i="2" s="1"/>
  <c r="C9" i="2"/>
  <c r="W54" i="2" l="1"/>
  <c r="W40" i="2"/>
  <c r="W46" i="2" s="1"/>
  <c r="W34" i="2"/>
  <c r="T20" i="2"/>
  <c r="T22" i="2" s="1"/>
  <c r="P20" i="2"/>
  <c r="P22" i="2" s="1"/>
  <c r="S20" i="2"/>
  <c r="S22" i="2" s="1"/>
  <c r="Q20" i="2"/>
  <c r="Q22" i="2" s="1"/>
  <c r="Y24" i="2"/>
  <c r="Z24" i="2"/>
  <c r="L15" i="2"/>
  <c r="AA55" i="2"/>
  <c r="R15" i="2"/>
  <c r="M15" i="2"/>
  <c r="AA24" i="2"/>
  <c r="Y55" i="2"/>
  <c r="Z55" i="2"/>
  <c r="U15" i="2"/>
  <c r="O15" i="2"/>
  <c r="W24" i="2"/>
  <c r="X55" i="2"/>
  <c r="W26" i="2"/>
  <c r="W15" i="2"/>
  <c r="Y26" i="2"/>
  <c r="X15" i="2"/>
  <c r="Z26" i="2"/>
  <c r="X26" i="2"/>
  <c r="Y15" i="2"/>
  <c r="AA26" i="2"/>
  <c r="Z15" i="2"/>
  <c r="X24" i="2"/>
  <c r="AA15" i="2"/>
  <c r="V15" i="2"/>
  <c r="N15" i="2"/>
  <c r="C10" i="1"/>
  <c r="C8" i="1"/>
  <c r="I31" i="5"/>
  <c r="I30" i="5"/>
  <c r="I29" i="5"/>
  <c r="I28" i="5"/>
  <c r="I26" i="5"/>
  <c r="I25" i="5"/>
  <c r="I24" i="5"/>
  <c r="I23" i="5"/>
  <c r="I22" i="5"/>
  <c r="I21" i="5"/>
  <c r="I20" i="5"/>
  <c r="I19" i="5"/>
  <c r="I65" i="5"/>
  <c r="I64" i="5"/>
  <c r="W55" i="2" l="1"/>
  <c r="Y18" i="2"/>
  <c r="Y20" i="2" s="1"/>
  <c r="L18" i="2"/>
  <c r="L20" i="2" s="1"/>
  <c r="L22" i="2" s="1"/>
  <c r="W18" i="2"/>
  <c r="W20" i="2" s="1"/>
  <c r="V18" i="2"/>
  <c r="V20" i="2" s="1"/>
  <c r="V22" i="2" s="1"/>
  <c r="O18" i="2"/>
  <c r="O20" i="2" s="1"/>
  <c r="M18" i="2"/>
  <c r="M20" i="2" s="1"/>
  <c r="AA18" i="2"/>
  <c r="AA20" i="2" s="1"/>
  <c r="X18" i="2"/>
  <c r="X20" i="2" s="1"/>
  <c r="Z18" i="2"/>
  <c r="Z20" i="2" s="1"/>
  <c r="U18" i="2"/>
  <c r="U20" i="2" s="1"/>
  <c r="U22" i="2" s="1"/>
  <c r="R18" i="2"/>
  <c r="R20" i="2" s="1"/>
  <c r="R22" i="2" s="1"/>
  <c r="N18" i="2"/>
  <c r="N20" i="2" s="1"/>
  <c r="I27" i="5"/>
  <c r="C32" i="1"/>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5" i="2"/>
  <c r="D15" i="2"/>
  <c r="E15" i="2"/>
  <c r="F15" i="2"/>
  <c r="G15" i="2"/>
  <c r="L24" i="2"/>
  <c r="M24" i="2"/>
  <c r="N24" i="2"/>
  <c r="O24" i="2"/>
  <c r="P24" i="2"/>
  <c r="Q24" i="2"/>
  <c r="R24" i="2"/>
  <c r="S24" i="2"/>
  <c r="T24" i="2"/>
  <c r="U24" i="2"/>
  <c r="V24" i="2"/>
  <c r="P26" i="2"/>
  <c r="Q26" i="2"/>
  <c r="R26" i="2"/>
  <c r="S26" i="2"/>
  <c r="T26" i="2"/>
  <c r="U26" i="2"/>
  <c r="V26" i="2"/>
  <c r="L40" i="2"/>
  <c r="L46" i="2" s="1"/>
  <c r="M40" i="2"/>
  <c r="M46" i="2" s="1"/>
  <c r="N40" i="2"/>
  <c r="N46" i="2" s="1"/>
  <c r="O40" i="2"/>
  <c r="O46" i="2" s="1"/>
  <c r="P40" i="2"/>
  <c r="P46" i="2" s="1"/>
  <c r="Q40" i="2"/>
  <c r="Q46" i="2" s="1"/>
  <c r="R40" i="2"/>
  <c r="R46" i="2" s="1"/>
  <c r="S40" i="2"/>
  <c r="S46" i="2" s="1"/>
  <c r="T40" i="2"/>
  <c r="T46" i="2" s="1"/>
  <c r="U40" i="2"/>
  <c r="U46" i="2" s="1"/>
  <c r="V40" i="2"/>
  <c r="V46" i="2" s="1"/>
  <c r="L50" i="2"/>
  <c r="L54" i="2" s="1"/>
  <c r="M50" i="2"/>
  <c r="M54" i="2" s="1"/>
  <c r="N50" i="2"/>
  <c r="N54" i="2" s="1"/>
  <c r="O50" i="2"/>
  <c r="O54" i="2" s="1"/>
  <c r="P50" i="2"/>
  <c r="P54" i="2" s="1"/>
  <c r="Q50" i="2"/>
  <c r="Q54" i="2" s="1"/>
  <c r="R50" i="2"/>
  <c r="R54" i="2" s="1"/>
  <c r="S50" i="2"/>
  <c r="S54" i="2" s="1"/>
  <c r="T50" i="2"/>
  <c r="T54" i="2" s="1"/>
  <c r="U50" i="2"/>
  <c r="U54" i="2" s="1"/>
  <c r="V50" i="2"/>
  <c r="V54" i="2" s="1"/>
  <c r="C40" i="2"/>
  <c r="C46" i="2" s="1"/>
  <c r="D40" i="2"/>
  <c r="D46" i="2" s="1"/>
  <c r="E40" i="2"/>
  <c r="E46" i="2" s="1"/>
  <c r="I25" i="2"/>
  <c r="H25" i="2"/>
  <c r="I26" i="2"/>
  <c r="Y25" i="2" l="1"/>
  <c r="Y22" i="2"/>
  <c r="Y30" i="2"/>
  <c r="X25" i="2"/>
  <c r="X30" i="2"/>
  <c r="X22" i="2"/>
  <c r="AA25" i="2"/>
  <c r="AA30" i="2"/>
  <c r="AA22" i="2"/>
  <c r="Z30" i="2"/>
  <c r="Z22" i="2"/>
  <c r="Z25" i="2"/>
  <c r="M22" i="2"/>
  <c r="M25" i="2"/>
  <c r="O22" i="2"/>
  <c r="O25" i="2"/>
  <c r="N22" i="2"/>
  <c r="N25" i="2"/>
  <c r="W25" i="2"/>
  <c r="W30" i="2"/>
  <c r="W22" i="2"/>
  <c r="G18" i="2"/>
  <c r="G20" i="2" s="1"/>
  <c r="C18" i="2"/>
  <c r="C20" i="2" s="1"/>
  <c r="D18" i="2"/>
  <c r="D20" i="2" s="1"/>
  <c r="E18" i="2"/>
  <c r="E20" i="2" s="1"/>
  <c r="F18" i="2"/>
  <c r="F20" i="2" s="1"/>
  <c r="M55" i="2"/>
  <c r="U55" i="2"/>
  <c r="S55" i="2"/>
  <c r="P55" i="2"/>
  <c r="T55" i="2"/>
  <c r="L55" i="2"/>
  <c r="R55" i="2"/>
  <c r="Q55" i="2"/>
  <c r="O55" i="2"/>
  <c r="V55" i="2"/>
  <c r="N55" i="2"/>
  <c r="K11" i="5"/>
  <c r="L25"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5" i="2"/>
  <c r="T30" i="2"/>
  <c r="P25" i="2"/>
  <c r="S25" i="2"/>
  <c r="S30" i="2"/>
  <c r="V30" i="2"/>
  <c r="V25" i="2"/>
  <c r="U25" i="2"/>
  <c r="U30" i="2"/>
  <c r="R30" i="2"/>
  <c r="R25" i="2"/>
  <c r="Q30" i="2"/>
  <c r="Q25" i="2"/>
  <c r="C24" i="2"/>
  <c r="H26" i="2"/>
  <c r="F24" i="2"/>
  <c r="E24" i="2"/>
  <c r="D24" i="2"/>
  <c r="G24" i="2"/>
  <c r="G26" i="2"/>
  <c r="G50" i="2"/>
  <c r="G54" i="2" s="1"/>
  <c r="G40" i="2"/>
  <c r="G46" i="2" s="1"/>
  <c r="E26" i="2"/>
  <c r="F26" i="2"/>
  <c r="D26" i="2"/>
  <c r="D50" i="2"/>
  <c r="D54" i="2" s="1"/>
  <c r="D55" i="2" s="1"/>
  <c r="E50" i="2"/>
  <c r="F40" i="2"/>
  <c r="F46" i="2" s="1"/>
  <c r="G55" i="2" l="1"/>
  <c r="P30" i="2"/>
  <c r="C19" i="1"/>
  <c r="M5" i="5"/>
  <c r="M6" i="5" s="1"/>
  <c r="M7" i="5" s="1"/>
  <c r="M8" i="5" s="1"/>
  <c r="M9" i="5" s="1"/>
  <c r="M10" i="5" s="1"/>
  <c r="M11" i="5" s="1"/>
  <c r="M12" i="5" s="1"/>
  <c r="M13" i="5" s="1"/>
  <c r="M14" i="5" s="1"/>
  <c r="M15" i="5" s="1"/>
  <c r="F50" i="2"/>
  <c r="F54" i="2" s="1"/>
  <c r="F55" i="2" s="1"/>
  <c r="E54" i="2"/>
  <c r="E55" i="2" s="1"/>
  <c r="C50" i="2"/>
  <c r="C54" i="2" s="1"/>
  <c r="C55" i="2" s="1"/>
  <c r="C18" i="1" l="1"/>
  <c r="C22" i="2"/>
  <c r="E22" i="2"/>
  <c r="D25" i="2"/>
  <c r="G22" i="2"/>
  <c r="G25" i="2"/>
  <c r="H30" i="2" l="1"/>
  <c r="C25" i="2"/>
  <c r="D30" i="2"/>
  <c r="E25" i="2"/>
  <c r="F22" i="2"/>
  <c r="F30" i="2" s="1"/>
  <c r="E30" i="2"/>
  <c r="D22" i="2"/>
  <c r="F25" i="2"/>
  <c r="C9" i="1" s="1"/>
  <c r="C11" i="1" s="1"/>
  <c r="G30" i="2" l="1"/>
  <c r="C12" i="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<sst xmlns="http://schemas.openxmlformats.org/spreadsheetml/2006/main" count="261" uniqueCount="234">
  <si>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</si>
  <si>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</si>
  <si>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</si>
  <si>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</si>
  <si>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</si>
  <si>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</si>
  <si>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</si>
  <si>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</si>
  <si>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</si>
  <si>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</si>
  <si>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</si>
  <si>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</si>
  <si>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</si>
  <si>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</si>
  <si>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</si>
  <si>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</si>
  <si>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</si>
  <si>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</si>
  <si>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</si>
  <si>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</si>
  <si>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</si>
  <si>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</si>
  <si>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</si>
  <si>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</si>
  <si>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D&amp;A</t>
  </si>
  <si>
    <t>Cash</t>
  </si>
  <si>
    <t>Other</t>
  </si>
  <si>
    <t>Goodwill</t>
  </si>
  <si>
    <t>Total Assets</t>
  </si>
  <si>
    <t>Total Liablities</t>
  </si>
  <si>
    <t>AP</t>
  </si>
  <si>
    <t>Gross Margin</t>
  </si>
  <si>
    <t>Net Margin</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</si>
  <si>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</si>
  <si>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</si>
  <si>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</si>
  <si>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</si>
  <si>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</si>
  <si>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</si>
  <si>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</si>
  <si>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</si>
  <si>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</si>
  <si>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</si>
  <si>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</si>
  <si>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</si>
  <si>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</si>
  <si>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</si>
  <si>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</si>
  <si>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</si>
  <si>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</si>
  <si>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</si>
  <si>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</si>
  <si>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</si>
  <si>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</si>
  <si>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</si>
  <si>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</si>
  <si>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</si>
  <si>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</si>
  <si>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</si>
  <si>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</si>
  <si>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</si>
  <si>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</si>
  <si>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</si>
  <si>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</si>
  <si>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EPS exp.</t>
  </si>
  <si>
    <t>Rev. Exp.</t>
  </si>
  <si>
    <t>Q224</t>
  </si>
  <si>
    <t>Interest Collect (exp)</t>
  </si>
  <si>
    <t>FY25</t>
  </si>
  <si>
    <t>PEG1</t>
  </si>
  <si>
    <t>PEG2</t>
  </si>
  <si>
    <t>EBIT</t>
  </si>
  <si>
    <t>EV/EBITDA</t>
  </si>
  <si>
    <t>Notes</t>
  </si>
  <si>
    <t>Prepaid Expense</t>
  </si>
  <si>
    <t>PP&amp;E</t>
  </si>
  <si>
    <t>Intangible Asset</t>
  </si>
  <si>
    <t>Deffered Income Tax</t>
  </si>
  <si>
    <t>Equity</t>
  </si>
  <si>
    <t>Inventories</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</si>
  <si>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</si>
  <si>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</si>
  <si>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</si>
  <si>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</si>
  <si>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</si>
  <si>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</si>
  <si>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</si>
  <si>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</si>
  <si>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</si>
  <si>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</si>
  <si>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</si>
  <si>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</si>
  <si>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</si>
  <si>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</si>
  <si>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</si>
  <si>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</si>
  <si>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</si>
  <si>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</si>
  <si>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</si>
  <si>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</si>
  <si>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</si>
  <si>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</si>
  <si>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</si>
  <si>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</si>
  <si>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</si>
  <si>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</si>
  <si>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</si>
  <si>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</si>
  <si>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</si>
  <si>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</si>
  <si>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</si>
  <si>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</si>
  <si>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</si>
  <si>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</si>
  <si>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</si>
  <si>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</si>
  <si>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</si>
  <si>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</si>
  <si>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</si>
  <si>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</si>
  <si>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</si>
  <si>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</si>
  <si>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</si>
  <si>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</si>
  <si>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</si>
  <si>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</si>
  <si>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</si>
  <si>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</si>
  <si>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</si>
  <si>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</si>
  <si>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</si>
  <si>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</si>
  <si>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</si>
  <si>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</si>
  <si>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</si>
  <si>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Net Income before Tax</t>
  </si>
  <si>
    <t>Q324</t>
  </si>
  <si>
    <t>Q424</t>
  </si>
  <si>
    <t>EPS Growth</t>
  </si>
  <si>
    <t>Revenue Growth</t>
  </si>
  <si>
    <t>CAVA</t>
  </si>
  <si>
    <t>CAVA Group, Inc. owns and operates a chain of restaurants under the CAVA brand in the United States. The company also offers dips, spreads, and dressings through grocery stores. In addition, the company provides online and mobile ordering platforms. Cava Group, Inc. was founded in 2006 and is headquartered in Washington, the District of Columbia.</t>
  </si>
  <si>
    <t>Mr. Brett Schulman</t>
  </si>
  <si>
    <t>Co-Founder, CEO, President &amp; Director</t>
  </si>
  <si>
    <t>--</t>
  </si>
  <si>
    <t>Mr. Theodore Xenohristos</t>
  </si>
  <si>
    <t>Founder, Chief Concept Officer &amp; Director</t>
  </si>
  <si>
    <t>Ms. Tricia K. Tolivar</t>
  </si>
  <si>
    <t>Chief Financial Officer</t>
  </si>
  <si>
    <t>Ms. Jennifer Somers</t>
  </si>
  <si>
    <t>Chief Operations Officer</t>
  </si>
  <si>
    <t>Adam Phillips</t>
  </si>
  <si>
    <t>Chief Accounting Officer</t>
  </si>
  <si>
    <t>Ms. Beth McCormick</t>
  </si>
  <si>
    <t>Chief Information Officer</t>
  </si>
  <si>
    <t>Mr. Robert Bertram</t>
  </si>
  <si>
    <t>Chief Legal Officer &amp; Secretary</t>
  </si>
  <si>
    <t>Ms. Kelly Costanza</t>
  </si>
  <si>
    <t>Chief People Officer</t>
  </si>
  <si>
    <t>Mr. Andy Rebhun</t>
  </si>
  <si>
    <t>Chief Experience Officer</t>
  </si>
  <si>
    <t>Mr. Christopher F. Penny</t>
  </si>
  <si>
    <t>Chief Manufacturing Officer</t>
  </si>
  <si>
    <t>Artal Group S.A.</t>
  </si>
  <si>
    <t>20.56%</t>
  </si>
  <si>
    <t>Vanguard Group Inc</t>
  </si>
  <si>
    <t>4.90%</t>
  </si>
  <si>
    <t>Capital Research Global Investors</t>
  </si>
  <si>
    <t>4.32%</t>
  </si>
  <si>
    <t>Shaw D.E. &amp; Co., Inc.</t>
  </si>
  <si>
    <t>3.05%</t>
  </si>
  <si>
    <t>FMR, LLC</t>
  </si>
  <si>
    <t>3.02%</t>
  </si>
  <si>
    <t>Capital International Investors</t>
  </si>
  <si>
    <t>2.79%</t>
  </si>
  <si>
    <t>Blackrock Inc.</t>
  </si>
  <si>
    <t>2.14%</t>
  </si>
  <si>
    <t>Price (T.Rowe) Associates Inc</t>
  </si>
  <si>
    <t>2.13%</t>
  </si>
  <si>
    <t>Two Sigma Investments, LP</t>
  </si>
  <si>
    <t>1.74%</t>
  </si>
  <si>
    <t>Two Sigma Advisers, LP</t>
  </si>
  <si>
    <t>1.65%</t>
  </si>
  <si>
    <t>Individual or Entity</t>
  </si>
  <si>
    <t>Most Recent Transaction</t>
  </si>
  <si>
    <t>Shares Owned as of Transaction Date</t>
  </si>
  <si>
    <t>ARTAL INTERNATIONAL S.C.A.Director and Beneficial Owner of more than 10% of a Class of Security</t>
  </si>
  <si>
    <t>Sale</t>
  </si>
  <si>
    <t>Aug 26, 2024</t>
  </si>
  <si>
    <t>17,508,000</t>
  </si>
  <si>
    <t>BOSSERMAN DAVIDDirector</t>
  </si>
  <si>
    <t>KOCHEVAR KARENDirector</t>
  </si>
  <si>
    <t>Aug 27, 2024</t>
  </si>
  <si>
    <t>PHILLIPS ADAM DAVIDOfficer</t>
  </si>
  <si>
    <t>Sep 6, 2024</t>
  </si>
  <si>
    <t>SCHULMAN BRETTChief Executive Officer</t>
  </si>
  <si>
    <t>Conversion of Exercise of derivative security</t>
  </si>
  <si>
    <t>1,456,300</t>
  </si>
  <si>
    <t>SHAICH RONALD MDirector</t>
  </si>
  <si>
    <t>Sep 9, 2024</t>
  </si>
  <si>
    <t>SHANAHAN LAURI M.Director</t>
  </si>
  <si>
    <t>Stock Award(Grant)</t>
  </si>
  <si>
    <t>Jun 20, 2024</t>
  </si>
  <si>
    <t>TOLIVAR TRICIA KChief Financial Officer</t>
  </si>
  <si>
    <t>WHITE JAMES DDirector</t>
  </si>
  <si>
    <t>Sep 16, 2024</t>
  </si>
  <si>
    <t>XENOHRISTOS THEODOROSDirector</t>
  </si>
  <si>
    <t>ARTAL INTERNATIONAL S.C.A.</t>
  </si>
  <si>
    <t>BOSSERMAN DAVID</t>
  </si>
  <si>
    <t>KOCHEVAR KAREN</t>
  </si>
  <si>
    <t>PHILLIPS ADAM DAVID</t>
  </si>
  <si>
    <t>SCHULMAN BRETT</t>
  </si>
  <si>
    <t>SHAICH RONALD M</t>
  </si>
  <si>
    <t>SHANAHAN LAURI M.</t>
  </si>
  <si>
    <t>TOLIVAR TRICIA K</t>
  </si>
  <si>
    <t>WHITE JAMES D</t>
  </si>
  <si>
    <t>XENOHRISTOS THEODOROS</t>
  </si>
  <si>
    <t>Trade accounts receivable</t>
  </si>
  <si>
    <t>Other accounts receivable</t>
  </si>
  <si>
    <t>Operating lease</t>
  </si>
  <si>
    <t>Other long-term assets</t>
  </si>
  <si>
    <t>Accrued Expense</t>
  </si>
  <si>
    <t>Operating liab</t>
  </si>
  <si>
    <t>Other long-term liab</t>
  </si>
  <si>
    <t>Food, Beverage, Packaging</t>
  </si>
  <si>
    <t>Labor</t>
  </si>
  <si>
    <t>Occupancy</t>
  </si>
  <si>
    <t>Other operating expense</t>
  </si>
  <si>
    <t>Restructuring</t>
  </si>
  <si>
    <t>Pre-opening costs</t>
  </si>
  <si>
    <t>Impairment and asset cost</t>
  </si>
  <si>
    <t>Shares (diluted)</t>
  </si>
  <si>
    <t>D&amp;A / REV</t>
  </si>
  <si>
    <t>COGS /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</si>
</sst>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b/>
      <sz val="11"/>
      <color rgb="FF232A31"/>
      <name val="Arial"/>
      <family val="2"/>
    </font>
    <font>
      <sz val="11"/>
      <color rgb="FF232A31"/>
      <name val="Arial"/>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rgb="FFFFFFFF"/>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8" borderId="9" applyNumberFormat="0" applyAlignment="0" applyProtection="0"/>
  </cellStyleXfs>
  <cellXfs count="152">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0" borderId="13" xfId="0" applyFont="1" applyFill="1" applyBorder="1"/>
    <xf numFmtId="0" fontId="11" fillId="10" borderId="14" xfId="0" applyFont="1" applyFill="1" applyBorder="1"/>
    <xf numFmtId="0" fontId="11" fillId="10" borderId="15" xfId="0" applyFont="1" applyFill="1" applyBorder="1"/>
    <xf numFmtId="0" fontId="11" fillId="10" borderId="16" xfId="0" applyFont="1" applyFill="1" applyBorder="1"/>
    <xf numFmtId="0" fontId="12" fillId="10" borderId="17" xfId="0" applyFont="1" applyFill="1" applyBorder="1" applyAlignment="1">
      <alignment horizontal="center"/>
    </xf>
    <xf numFmtId="0" fontId="12" fillId="10" borderId="18" xfId="0" applyFont="1" applyFill="1" applyBorder="1" applyAlignment="1">
      <alignment horizontal="center"/>
    </xf>
    <xf numFmtId="0" fontId="11" fillId="10" borderId="19" xfId="0" applyFont="1" applyFill="1" applyBorder="1"/>
    <xf numFmtId="0" fontId="11" fillId="10" borderId="20" xfId="0" applyFont="1" applyFill="1" applyBorder="1"/>
    <xf numFmtId="166" fontId="11" fillId="10" borderId="21" xfId="0" applyNumberFormat="1" applyFont="1" applyFill="1" applyBorder="1"/>
    <xf numFmtId="166" fontId="11" fillId="10" borderId="22" xfId="0" applyNumberFormat="1" applyFont="1" applyFill="1" applyBorder="1"/>
    <xf numFmtId="0" fontId="11" fillId="10" borderId="22" xfId="0" applyFont="1" applyFill="1" applyBorder="1"/>
    <xf numFmtId="10" fontId="11" fillId="10" borderId="22" xfId="0" applyNumberFormat="1" applyFont="1" applyFill="1" applyBorder="1"/>
    <xf numFmtId="10" fontId="11" fillId="10" borderId="23" xfId="0" applyNumberFormat="1" applyFont="1" applyFill="1" applyBorder="1"/>
    <xf numFmtId="166" fontId="11" fillId="10" borderId="24" xfId="0" applyNumberFormat="1" applyFont="1" applyFill="1" applyBorder="1"/>
    <xf numFmtId="166" fontId="11" fillId="10" borderId="25" xfId="0" applyNumberFormat="1" applyFont="1" applyFill="1" applyBorder="1"/>
    <xf numFmtId="0" fontId="11" fillId="10" borderId="25" xfId="0" applyFont="1" applyFill="1" applyBorder="1"/>
    <xf numFmtId="0" fontId="11" fillId="10" borderId="25" xfId="0" quotePrefix="1" applyFont="1" applyFill="1" applyBorder="1"/>
    <xf numFmtId="10" fontId="11" fillId="10" borderId="25" xfId="0" applyNumberFormat="1" applyFont="1" applyFill="1" applyBorder="1"/>
    <xf numFmtId="10" fontId="11" fillId="10" borderId="26" xfId="0" applyNumberFormat="1" applyFont="1" applyFill="1" applyBorder="1"/>
    <xf numFmtId="0" fontId="11" fillId="10" borderId="27" xfId="0" applyFont="1" applyFill="1" applyBorder="1"/>
    <xf numFmtId="0" fontId="11" fillId="10" borderId="28" xfId="0" applyFont="1" applyFill="1" applyBorder="1"/>
    <xf numFmtId="10" fontId="11" fillId="10" borderId="29" xfId="0" applyNumberFormat="1" applyFont="1" applyFill="1" applyBorder="1"/>
    <xf numFmtId="166" fontId="11" fillId="10" borderId="30" xfId="0" applyNumberFormat="1" applyFont="1" applyFill="1" applyBorder="1"/>
    <xf numFmtId="0" fontId="11" fillId="10" borderId="31" xfId="0" applyFont="1" applyFill="1" applyBorder="1"/>
    <xf numFmtId="166" fontId="11" fillId="10" borderId="34" xfId="0" applyNumberFormat="1" applyFont="1" applyFill="1" applyBorder="1"/>
    <xf numFmtId="166" fontId="11" fillId="10" borderId="13" xfId="0" applyNumberFormat="1" applyFont="1" applyFill="1" applyBorder="1"/>
    <xf numFmtId="0" fontId="0" fillId="10" borderId="35" xfId="0" applyFill="1" applyBorder="1"/>
    <xf numFmtId="166" fontId="11" fillId="10" borderId="36" xfId="0" applyNumberFormat="1" applyFont="1" applyFill="1" applyBorder="1"/>
    <xf numFmtId="166" fontId="11" fillId="10" borderId="37" xfId="0" applyNumberFormat="1" applyFont="1" applyFill="1" applyBorder="1"/>
    <xf numFmtId="0" fontId="13" fillId="10" borderId="22" xfId="0" applyFont="1" applyFill="1" applyBorder="1"/>
    <xf numFmtId="0" fontId="13" fillId="10" borderId="23" xfId="0" applyFont="1" applyFill="1" applyBorder="1"/>
    <xf numFmtId="166" fontId="13" fillId="10" borderId="24" xfId="0" applyNumberFormat="1" applyFont="1" applyFill="1" applyBorder="1"/>
    <xf numFmtId="166" fontId="13" fillId="10" borderId="30" xfId="0" applyNumberFormat="1" applyFont="1" applyFill="1" applyBorder="1"/>
    <xf numFmtId="10" fontId="11" fillId="10" borderId="28" xfId="0" applyNumberFormat="1" applyFont="1" applyFill="1" applyBorder="1"/>
    <xf numFmtId="0" fontId="11" fillId="10" borderId="0" xfId="0" applyFont="1" applyFill="1"/>
    <xf numFmtId="1" fontId="11" fillId="10" borderId="24" xfId="0" applyNumberFormat="1" applyFont="1" applyFill="1" applyBorder="1"/>
    <xf numFmtId="10" fontId="11" fillId="10" borderId="38" xfId="0" applyNumberFormat="1" applyFont="1" applyFill="1" applyBorder="1"/>
    <xf numFmtId="9" fontId="13" fillId="10" borderId="39" xfId="0" applyNumberFormat="1" applyFont="1" applyFill="1" applyBorder="1"/>
    <xf numFmtId="10" fontId="0" fillId="10" borderId="41" xfId="0" applyNumberFormat="1" applyFill="1" applyBorder="1" applyAlignment="1">
      <alignment horizontal="centerContinuous"/>
    </xf>
    <xf numFmtId="9" fontId="13" fillId="10" borderId="42" xfId="0" applyNumberFormat="1" applyFont="1" applyFill="1" applyBorder="1"/>
    <xf numFmtId="10" fontId="0" fillId="10" borderId="40" xfId="0" applyNumberFormat="1" applyFill="1" applyBorder="1" applyAlignment="1">
      <alignment horizontal="centerContinuous"/>
    </xf>
    <xf numFmtId="9" fontId="13" fillId="10" borderId="34" xfId="0" applyNumberFormat="1" applyFont="1" applyFill="1" applyBorder="1"/>
    <xf numFmtId="10" fontId="0" fillId="10" borderId="2" xfId="0" applyNumberFormat="1" applyFill="1" applyBorder="1" applyAlignment="1">
      <alignment horizontal="centerContinuous"/>
    </xf>
    <xf numFmtId="9" fontId="13" fillId="10" borderId="1" xfId="0" applyNumberFormat="1" applyFont="1" applyFill="1" applyBorder="1"/>
    <xf numFmtId="10" fontId="0" fillId="10" borderId="31" xfId="0" applyNumberFormat="1" applyFill="1" applyBorder="1" applyAlignment="1">
      <alignment horizontal="centerContinuous"/>
    </xf>
    <xf numFmtId="9" fontId="13" fillId="10" borderId="13" xfId="0" applyNumberFormat="1" applyFont="1" applyFill="1" applyBorder="1"/>
    <xf numFmtId="10" fontId="0" fillId="10" borderId="35" xfId="0" applyNumberFormat="1" applyFill="1" applyBorder="1" applyAlignment="1">
      <alignment horizontal="centerContinuous"/>
    </xf>
    <xf numFmtId="0" fontId="11" fillId="10" borderId="43" xfId="0" applyFont="1" applyFill="1" applyBorder="1"/>
    <xf numFmtId="9" fontId="13" fillId="10" borderId="43" xfId="0" applyNumberFormat="1" applyFont="1" applyFill="1" applyBorder="1"/>
    <xf numFmtId="10" fontId="0" fillId="10" borderId="15" xfId="0" applyNumberFormat="1" applyFill="1" applyBorder="1" applyAlignment="1">
      <alignment horizontal="centerContinuous"/>
    </xf>
    <xf numFmtId="0" fontId="13" fillId="0" borderId="21" xfId="0" applyFont="1" applyBorder="1"/>
    <xf numFmtId="9" fontId="9" fillId="8" borderId="23" xfId="3" applyNumberFormat="1" applyBorder="1"/>
    <xf numFmtId="0" fontId="13" fillId="0" borderId="27" xfId="0" applyFont="1" applyBorder="1"/>
    <xf numFmtId="9" fontId="9" fillId="8" borderId="29" xfId="3" applyNumberFormat="1" applyBorder="1"/>
    <xf numFmtId="0" fontId="11" fillId="0" borderId="0" xfId="0" applyFont="1"/>
    <xf numFmtId="2" fontId="9" fillId="8"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0" borderId="31" xfId="0" applyNumberFormat="1" applyFont="1" applyFill="1" applyBorder="1"/>
    <xf numFmtId="2" fontId="11" fillId="10" borderId="31" xfId="0" applyNumberFormat="1" applyFont="1" applyFill="1" applyBorder="1"/>
    <xf numFmtId="3" fontId="5" fillId="0" borderId="2" xfId="0" applyNumberFormat="1" applyFont="1" applyBorder="1"/>
    <xf numFmtId="2" fontId="5" fillId="0" borderId="2" xfId="0" applyNumberFormat="1" applyFont="1" applyBorder="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12" xfId="0" applyFont="1" applyFill="1" applyBorder="1" applyAlignment="1">
      <alignment horizontal="center"/>
    </xf>
    <xf numFmtId="166" fontId="11" fillId="10" borderId="32" xfId="0" applyNumberFormat="1" applyFont="1" applyFill="1" applyBorder="1" applyAlignment="1">
      <alignment horizontal="center"/>
    </xf>
    <xf numFmtId="166" fontId="11" fillId="10" borderId="44" xfId="0" applyNumberFormat="1" applyFont="1" applyFill="1" applyBorder="1" applyAlignment="1">
      <alignment horizontal="center"/>
    </xf>
    <xf numFmtId="166" fontId="11" fillId="10" borderId="33" xfId="0" applyNumberFormat="1" applyFont="1" applyFill="1" applyBorder="1" applyAlignment="1">
      <alignment horizontal="center"/>
    </xf>
    <xf numFmtId="166" fontId="11"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14" fillId="11" borderId="0" xfId="0" applyFont="1" applyFill="1" applyAlignment="1">
      <alignment horizontal="left" vertical="center"/>
    </xf>
    <xf numFmtId="0" fontId="14" fillId="11" borderId="0" xfId="0" applyFont="1" applyFill="1" applyAlignment="1">
      <alignment horizontal="right" vertical="center"/>
    </xf>
    <xf numFmtId="0" fontId="15" fillId="11" borderId="0" xfId="0" applyFont="1" applyFill="1" applyAlignment="1">
      <alignment horizontal="right" vertical="center"/>
    </xf>
    <xf numFmtId="0" fontId="4" fillId="11" borderId="0" xfId="2" applyFill="1" applyAlignment="1">
      <alignment horizontal="left" vertical="center"/>
    </xf>
    <xf numFmtId="3" fontId="2" fillId="0" borderId="0" xfId="0" applyNumberFormat="1" applyFont="1" applyBorder="1"/>
    <xf numFmtId="3" fontId="5" fillId="0" borderId="0" xfId="0" applyNumberFormat="1" applyFont="1" applyFill="1"/>
    <xf numFmtId="3" fontId="0" fillId="0" borderId="0" xfId="0" applyNumberFormat="1" applyFont="1"/>
    <xf numFmtId="9" fontId="0" fillId="0" borderId="0" xfId="0" applyNumberFormat="1" applyBorder="1"/>
    <xf numFmtId="0" fontId="0" fillId="0" borderId="0" xfId="0"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Model!$L$3:$X$3</c:f>
              <c:numCache>
                <c:formatCode>#,##0</c:formatCode>
                <c:ptCount val="13"/>
                <c:pt idx="5">
                  <c:v>135.91499999999999</c:v>
                </c:pt>
                <c:pt idx="6">
                  <c:v>139.25800000000001</c:v>
                </c:pt>
                <c:pt idx="8">
                  <c:v>203.083</c:v>
                </c:pt>
                <c:pt idx="9">
                  <c:v>172.89400000000001</c:v>
                </c:pt>
                <c:pt idx="10">
                  <c:v>175.553</c:v>
                </c:pt>
                <c:pt idx="11">
                  <c:v>177.17000000000004</c:v>
                </c:pt>
                <c:pt idx="12">
                  <c:v>259.00599999999997</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Model!$L$26:$AA$26</c:f>
              <c:numCache>
                <c:formatCode>0%</c:formatCode>
                <c:ptCount val="16"/>
                <c:pt idx="4">
                  <c:v>0</c:v>
                </c:pt>
                <c:pt idx="5">
                  <c:v>0</c:v>
                </c:pt>
                <c:pt idx="6">
                  <c:v>0</c:v>
                </c:pt>
                <c:pt idx="7">
                  <c:v>0</c:v>
                </c:pt>
                <c:pt idx="8">
                  <c:v>0</c:v>
                </c:pt>
                <c:pt idx="9">
                  <c:v>0.2720744583011443</c:v>
                </c:pt>
                <c:pt idx="10">
                  <c:v>0.26063134613451289</c:v>
                </c:pt>
                <c:pt idx="11">
                  <c:v>0</c:v>
                </c:pt>
                <c:pt idx="12">
                  <c:v>0.27537016884721988</c:v>
                </c:pt>
                <c:pt idx="13">
                  <c:v>0.35050956077133955</c:v>
                </c:pt>
                <c:pt idx="14">
                  <c:v>-1</c:v>
                </c:pt>
                <c:pt idx="15">
                  <c:v>-1</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Model!$B$3</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Model!$C$3:$I$3</c:f>
              <c:numCache>
                <c:formatCode>#,##0</c:formatCode>
                <c:ptCount val="7"/>
                <c:pt idx="2">
                  <c:v>500.072</c:v>
                </c:pt>
                <c:pt idx="3">
                  <c:v>564.11900000000003</c:v>
                </c:pt>
                <c:pt idx="4">
                  <c:v>728.7</c:v>
                </c:pt>
                <c:pt idx="5">
                  <c:v>935.4</c:v>
                </c:pt>
                <c:pt idx="6">
                  <c:v>1130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Growth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Model!$C$26:$I$26</c:f>
              <c:numCache>
                <c:formatCode>0%</c:formatCode>
                <c:ptCount val="7"/>
                <c:pt idx="1">
                  <c:v>0</c:v>
                </c:pt>
                <c:pt idx="2">
                  <c:v>0</c:v>
                </c:pt>
                <c:pt idx="3">
                  <c:v>0.1280755571197747</c:v>
                </c:pt>
                <c:pt idx="4">
                  <c:v>0.29174872677573349</c:v>
                </c:pt>
                <c:pt idx="5">
                  <c:v>0.28365582544256895</c:v>
                </c:pt>
                <c:pt idx="6">
                  <c:v>0.2080393414581998</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Model!$L$22:$AA$22</c:f>
              <c:numCache>
                <c:formatCode>0.00</c:formatCode>
                <c:ptCount val="16"/>
                <c:pt idx="0">
                  <c:v>0</c:v>
                </c:pt>
                <c:pt idx="1">
                  <c:v>0</c:v>
                </c:pt>
                <c:pt idx="2">
                  <c:v>0</c:v>
                </c:pt>
                <c:pt idx="3">
                  <c:v>0</c:v>
                </c:pt>
                <c:pt idx="4">
                  <c:v>0</c:v>
                </c:pt>
                <c:pt idx="5">
                  <c:v>-6.2254160363086397</c:v>
                </c:pt>
                <c:pt idx="6">
                  <c:v>-8.9623210248681193</c:v>
                </c:pt>
                <c:pt idx="7">
                  <c:v>0</c:v>
                </c:pt>
                <c:pt idx="8">
                  <c:v>-1.2999392835458465</c:v>
                </c:pt>
                <c:pt idx="9">
                  <c:v>0.20924581987915125</c:v>
                </c:pt>
                <c:pt idx="10">
                  <c:v>5.8047964116112807E-2</c:v>
                </c:pt>
                <c:pt idx="11">
                  <c:v>-2.3431317452489882E-2</c:v>
                </c:pt>
                <c:pt idx="12">
                  <c:v>0.11864909781576412</c:v>
                </c:pt>
                <c:pt idx="13">
                  <c:v>0.13779070258937709</c:v>
                </c:pt>
                <c:pt idx="14">
                  <c:v>0</c:v>
                </c:pt>
                <c:pt idx="15">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Model!$B$30</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Model!$L$30:$AA$30</c:f>
              <c:numCache>
                <c:formatCode>0%</c:formatCode>
                <c:ptCount val="16"/>
                <c:pt idx="4">
                  <c:v>0</c:v>
                </c:pt>
                <c:pt idx="5">
                  <c:v>0</c:v>
                </c:pt>
                <c:pt idx="6">
                  <c:v>0</c:v>
                </c:pt>
                <c:pt idx="7">
                  <c:v>0</c:v>
                </c:pt>
                <c:pt idx="8">
                  <c:v>0</c:v>
                </c:pt>
                <c:pt idx="9">
                  <c:v>-1.79526123936816</c:v>
                </c:pt>
                <c:pt idx="10">
                  <c:v>-1.5745396451694265</c:v>
                </c:pt>
                <c:pt idx="11">
                  <c:v>0</c:v>
                </c:pt>
                <c:pt idx="12">
                  <c:v>-7.5357309668378782</c:v>
                </c:pt>
                <c:pt idx="13">
                  <c:v>1.4903590527120052</c:v>
                </c:pt>
                <c:pt idx="14">
                  <c:v>-1</c:v>
                </c:pt>
                <c:pt idx="15">
                  <c:v>-1</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Model!$B$22</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Model!$C$22:$I$22</c:f>
              <c:numCache>
                <c:formatCode>0.00</c:formatCode>
                <c:ptCount val="7"/>
                <c:pt idx="0">
                  <c:v>0</c:v>
                </c:pt>
                <c:pt idx="1">
                  <c:v>0</c:v>
                </c:pt>
                <c:pt idx="2">
                  <c:v>-51.080601092896259</c:v>
                </c:pt>
                <c:pt idx="3">
                  <c:v>-44.417921686747043</c:v>
                </c:pt>
                <c:pt idx="4">
                  <c:v>0.20930525784894752</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Model!$B$30</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Model!$C$30:$I$30</c:f>
              <c:numCache>
                <c:formatCode>0%</c:formatCode>
                <c:ptCount val="7"/>
                <c:pt idx="1">
                  <c:v>0</c:v>
                </c:pt>
                <c:pt idx="2">
                  <c:v>0</c:v>
                </c:pt>
                <c:pt idx="3">
                  <c:v>-0.13043463200506056</c:v>
                </c:pt>
                <c:pt idx="4">
                  <c:v>-1.0047121803519996</c:v>
                </c:pt>
                <c:pt idx="5">
                  <c:v>0.95886144578312904</c:v>
                </c:pt>
                <c:pt idx="6">
                  <c:v>0.1707317073170731</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COGS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Model!$L$27:$AA$27</c:f>
              <c:numCache>
                <c:formatCode>0%</c:formatCode>
                <c:ptCount val="16"/>
              </c:numCache>
            </c:numRef>
          </c:val>
          <c:smooth val="0"/>
          <c:extLst>
            <c:ext xmlns:c16="http://schemas.microsoft.com/office/drawing/2014/chart" uri="{C3380CC4-5D6E-409C-BE32-E72D297353CC}">
              <c16:uniqueId val="{00000001-35FE-4BEB-944F-3D772460C6A2}"/>
            </c:ext>
          </c:extLst>
        </c:ser>
        <c:ser>
          <c:idx val="0"/>
          <c:order val="1"/>
          <c:tx>
            <c:strRef>
              <c:f>Model!$B$28</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Model!$L$28:$AA$28</c:f>
              <c:numCache>
                <c:formatCode>0%</c:formatCode>
                <c:ptCount val="16"/>
                <c:pt idx="0">
                  <c:v>0</c:v>
                </c:pt>
                <c:pt idx="1">
                  <c:v>0</c:v>
                </c:pt>
                <c:pt idx="2">
                  <c:v>0</c:v>
                </c:pt>
                <c:pt idx="3">
                  <c:v>0</c:v>
                </c:pt>
                <c:pt idx="4">
                  <c:v>0</c:v>
                </c:pt>
                <c:pt idx="5">
                  <c:v>6.5820549608211015E-2</c:v>
                </c:pt>
                <c:pt idx="6">
                  <c:v>7.1938416464404201E-2</c:v>
                </c:pt>
                <c:pt idx="7">
                  <c:v>0</c:v>
                </c:pt>
                <c:pt idx="8">
                  <c:v>6.331893856206576E-2</c:v>
                </c:pt>
                <c:pt idx="9">
                  <c:v>6.1904982243455524E-2</c:v>
                </c:pt>
                <c:pt idx="10">
                  <c:v>6.5666778693613898E-2</c:v>
                </c:pt>
                <c:pt idx="11">
                  <c:v>6.966755093977535E-2</c:v>
                </c:pt>
                <c:pt idx="12">
                  <c:v>6.6878759565415474E-2</c:v>
                </c:pt>
                <c:pt idx="13">
                  <c:v>5.8814963917856913E-2</c:v>
                </c:pt>
                <c:pt idx="14">
                  <c:v>0</c:v>
                </c:pt>
                <c:pt idx="15">
                  <c:v>0</c:v>
                </c:pt>
              </c:numCache>
            </c:numRef>
          </c:val>
          <c:smooth val="0"/>
          <c:extLst>
            <c:ext xmlns:c16="http://schemas.microsoft.com/office/drawing/2014/chart" uri="{C3380CC4-5D6E-409C-BE32-E72D297353CC}">
              <c16:uniqueId val="{00000000-1CAA-4791-8C2B-1B9112E1C867}"/>
            </c:ext>
          </c:extLst>
        </c:ser>
        <c:ser>
          <c:idx val="2"/>
          <c:order val="2"/>
          <c:tx>
            <c:strRef>
              <c:f>Model!$B$29</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Model!$L$2:$AA$2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Model!$L$29:$AA$29</c:f>
              <c:numCache>
                <c:formatCode>0%</c:formatCode>
                <c:ptCount val="16"/>
                <c:pt idx="0">
                  <c:v>0</c:v>
                </c:pt>
                <c:pt idx="1">
                  <c:v>0</c:v>
                </c:pt>
                <c:pt idx="2">
                  <c:v>0</c:v>
                </c:pt>
                <c:pt idx="3">
                  <c:v>0</c:v>
                </c:pt>
                <c:pt idx="4">
                  <c:v>0</c:v>
                </c:pt>
                <c:pt idx="5">
                  <c:v>0.11981017547732038</c:v>
                </c:pt>
                <c:pt idx="6">
                  <c:v>0.11882261701302618</c:v>
                </c:pt>
                <c:pt idx="7">
                  <c:v>0</c:v>
                </c:pt>
                <c:pt idx="8">
                  <c:v>0.14291693544018949</c:v>
                </c:pt>
                <c:pt idx="9">
                  <c:v>0.13488611519196733</c:v>
                </c:pt>
                <c:pt idx="10">
                  <c:v>0.13939949758762313</c:v>
                </c:pt>
                <c:pt idx="11">
                  <c:v>0.13926737032228934</c:v>
                </c:pt>
                <c:pt idx="12">
                  <c:v>0.13065334393797831</c:v>
                </c:pt>
                <c:pt idx="13">
                  <c:v>0.12112036660313924</c:v>
                </c:pt>
                <c:pt idx="14">
                  <c:v>0</c:v>
                </c:pt>
                <c:pt idx="15">
                  <c:v>0</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COGS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Model!$C$27:$I$27</c:f>
              <c:numCache>
                <c:formatCode>0%</c:formatCode>
                <c:ptCount val="7"/>
                <c:pt idx="0">
                  <c:v>0</c:v>
                </c:pt>
                <c:pt idx="1">
                  <c:v>0</c:v>
                </c:pt>
              </c:numCache>
            </c:numRef>
          </c:val>
          <c:smooth val="0"/>
          <c:extLst>
            <c:ext xmlns:c16="http://schemas.microsoft.com/office/drawing/2014/chart" uri="{C3380CC4-5D6E-409C-BE32-E72D297353CC}">
              <c16:uniqueId val="{00000000-E79C-46D7-BBD0-0EABFCB1E143}"/>
            </c:ext>
          </c:extLst>
        </c:ser>
        <c:ser>
          <c:idx val="0"/>
          <c:order val="1"/>
          <c:tx>
            <c:strRef>
              <c:f>Model!$B$28</c:f>
              <c:strCache>
                <c:ptCount val="1"/>
                <c:pt idx="0">
                  <c:v>D&amp;A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Model!$C$28:$I$28</c:f>
              <c:numCache>
                <c:formatCode>0%</c:formatCode>
                <c:ptCount val="7"/>
                <c:pt idx="0">
                  <c:v>0</c:v>
                </c:pt>
                <c:pt idx="1">
                  <c:v>0</c:v>
                </c:pt>
                <c:pt idx="2">
                  <c:v>8.9063174902813985E-2</c:v>
                </c:pt>
                <c:pt idx="3">
                  <c:v>7.5735793334385113E-2</c:v>
                </c:pt>
                <c:pt idx="4">
                  <c:v>6.5092630712227248E-2</c:v>
                </c:pt>
              </c:numCache>
            </c:numRef>
          </c:val>
          <c:smooth val="0"/>
          <c:extLst>
            <c:ext xmlns:c16="http://schemas.microsoft.com/office/drawing/2014/chart" uri="{C3380CC4-5D6E-409C-BE32-E72D297353CC}">
              <c16:uniqueId val="{00000001-E79C-46D7-BBD0-0EABFCB1E143}"/>
            </c:ext>
          </c:extLst>
        </c:ser>
        <c:ser>
          <c:idx val="2"/>
          <c:order val="2"/>
          <c:tx>
            <c:strRef>
              <c:f>Model!$B$29</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Model!$C$29:$I$29</c:f>
              <c:numCache>
                <c:formatCode>0%</c:formatCode>
                <c:ptCount val="7"/>
                <c:pt idx="0">
                  <c:v>0</c:v>
                </c:pt>
                <c:pt idx="1">
                  <c:v>0</c:v>
                </c:pt>
                <c:pt idx="2">
                  <c:v>0.12956534259066696</c:v>
                </c:pt>
                <c:pt idx="3">
                  <c:v>0.12415288263646501</c:v>
                </c:pt>
                <c:pt idx="4">
                  <c:v>0.13927679429120352</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nance.yahoo.com/screener/insider/TOLIVAR%20TRICIA%20K" TargetMode="External"/><Relationship Id="rId3" Type="http://schemas.openxmlformats.org/officeDocument/2006/relationships/hyperlink" Target="https://finance.yahoo.com/screener/insider/KOCHEVAR%20KAREN" TargetMode="External"/><Relationship Id="rId7" Type="http://schemas.openxmlformats.org/officeDocument/2006/relationships/hyperlink" Target="https://finance.yahoo.com/screener/insider/SHANAHAN%20LAURI%20M." TargetMode="External"/><Relationship Id="rId12" Type="http://schemas.openxmlformats.org/officeDocument/2006/relationships/comments" Target="../comments1.xml"/><Relationship Id="rId2" Type="http://schemas.openxmlformats.org/officeDocument/2006/relationships/hyperlink" Target="https://finance.yahoo.com/screener/insider/BOSSERMAN%20DAVID" TargetMode="External"/><Relationship Id="rId1" Type="http://schemas.openxmlformats.org/officeDocument/2006/relationships/hyperlink" Target="https://finance.yahoo.com/screener/insider/ARTAL%20INTERNATIONAL%20S.C.A." TargetMode="External"/><Relationship Id="rId6" Type="http://schemas.openxmlformats.org/officeDocument/2006/relationships/hyperlink" Target="https://finance.yahoo.com/screener/insider/SHAICH%20RONALD%20M" TargetMode="External"/><Relationship Id="rId11" Type="http://schemas.openxmlformats.org/officeDocument/2006/relationships/vmlDrawing" Target="../drawings/vmlDrawing1.vml"/><Relationship Id="rId5" Type="http://schemas.openxmlformats.org/officeDocument/2006/relationships/hyperlink" Target="https://finance.yahoo.com/screener/insider/SCHULMAN%20BRETT" TargetMode="External"/><Relationship Id="rId10" Type="http://schemas.openxmlformats.org/officeDocument/2006/relationships/hyperlink" Target="https://finance.yahoo.com/screener/insider/XENOHRISTOS%20THEODOROS" TargetMode="External"/><Relationship Id="rId4" Type="http://schemas.openxmlformats.org/officeDocument/2006/relationships/hyperlink" Target="https://finance.yahoo.com/screener/insider/PHILLIPS%20ADAM%20DAVID" TargetMode="External"/><Relationship Id="rId9" Type="http://schemas.openxmlformats.org/officeDocument/2006/relationships/hyperlink" Target="https://finance.yahoo.com/screener/insider/WHITE%20JAMES%2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2"/>
  <sheetViews>
    <sheetView workbookViewId="0">
      <selection activeCell="H22" sqref="H22"/>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140</v>
      </c>
      <c r="C2" s="19"/>
      <c r="E2" s="24" t="s">
        <v>49</v>
      </c>
      <c r="F2" s="58" t="s">
        <v>50</v>
      </c>
      <c r="G2" s="25"/>
      <c r="H2" s="26" t="s">
        <v>57</v>
      </c>
      <c r="I2" s="26" t="s">
        <v>1</v>
      </c>
      <c r="J2" s="27" t="s">
        <v>50</v>
      </c>
      <c r="L2" s="30" t="s">
        <v>43</v>
      </c>
      <c r="M2" s="31" t="s">
        <v>59</v>
      </c>
      <c r="N2" s="32" t="s">
        <v>58</v>
      </c>
    </row>
    <row r="3" spans="2:14" x14ac:dyDescent="0.25">
      <c r="B3" s="5" t="s">
        <v>42</v>
      </c>
      <c r="C3" s="20">
        <v>45576</v>
      </c>
      <c r="E3" s="5" t="s">
        <v>163</v>
      </c>
      <c r="F3" s="28" t="s">
        <v>164</v>
      </c>
      <c r="H3" t="s">
        <v>207</v>
      </c>
      <c r="I3" s="10">
        <v>17508</v>
      </c>
      <c r="J3" s="38"/>
      <c r="L3" s="5" t="s">
        <v>142</v>
      </c>
      <c r="M3" s="151" t="s">
        <v>143</v>
      </c>
      <c r="N3" s="37"/>
    </row>
    <row r="4" spans="2:14" x14ac:dyDescent="0.25">
      <c r="B4" s="5"/>
      <c r="C4" s="21">
        <v>0.20902777777777778</v>
      </c>
      <c r="E4" s="5" t="s">
        <v>165</v>
      </c>
      <c r="F4" s="28" t="s">
        <v>166</v>
      </c>
      <c r="H4" t="s">
        <v>208</v>
      </c>
      <c r="I4" s="10"/>
      <c r="J4" s="38"/>
      <c r="L4" s="5" t="s">
        <v>145</v>
      </c>
      <c r="M4" s="151" t="s">
        <v>146</v>
      </c>
      <c r="N4" s="13"/>
    </row>
    <row r="5" spans="2:14" x14ac:dyDescent="0.25">
      <c r="B5" s="5"/>
      <c r="C5" s="13"/>
      <c r="E5" s="5" t="s">
        <v>167</v>
      </c>
      <c r="F5" s="28" t="s">
        <v>168</v>
      </c>
      <c r="H5" t="s">
        <v>209</v>
      </c>
      <c r="I5" s="10">
        <v>1.3069999999999999</v>
      </c>
      <c r="J5" s="38"/>
      <c r="L5" s="5" t="s">
        <v>147</v>
      </c>
      <c r="M5" s="151" t="s">
        <v>148</v>
      </c>
      <c r="N5" s="13"/>
    </row>
    <row r="6" spans="2:14" x14ac:dyDescent="0.25">
      <c r="B6" s="5" t="s">
        <v>0</v>
      </c>
      <c r="C6" s="13">
        <v>130.24</v>
      </c>
      <c r="E6" s="5" t="s">
        <v>169</v>
      </c>
      <c r="F6" s="28" t="s">
        <v>170</v>
      </c>
      <c r="H6" t="s">
        <v>210</v>
      </c>
      <c r="I6" s="10">
        <v>11.401</v>
      </c>
      <c r="J6" s="38"/>
      <c r="L6" s="5" t="s">
        <v>149</v>
      </c>
      <c r="M6" s="151" t="s">
        <v>150</v>
      </c>
      <c r="N6" s="13"/>
    </row>
    <row r="7" spans="2:14" x14ac:dyDescent="0.25">
      <c r="B7" s="5" t="s">
        <v>1</v>
      </c>
      <c r="C7" s="15">
        <f>Model!G21</f>
        <v>63.448</v>
      </c>
      <c r="E7" s="5" t="s">
        <v>171</v>
      </c>
      <c r="F7" s="28" t="s">
        <v>172</v>
      </c>
      <c r="H7" t="s">
        <v>211</v>
      </c>
      <c r="I7" s="10">
        <v>1456.3</v>
      </c>
      <c r="J7" s="38"/>
      <c r="L7" s="5" t="s">
        <v>151</v>
      </c>
      <c r="M7" s="151" t="s">
        <v>152</v>
      </c>
      <c r="N7" s="13"/>
    </row>
    <row r="8" spans="2:14" x14ac:dyDescent="0.25">
      <c r="B8" s="5" t="s">
        <v>2</v>
      </c>
      <c r="C8" s="15">
        <f>C6*C7</f>
        <v>8263.4675200000001</v>
      </c>
      <c r="E8" s="5" t="s">
        <v>173</v>
      </c>
      <c r="F8" s="28" t="s">
        <v>174</v>
      </c>
      <c r="H8" t="s">
        <v>212</v>
      </c>
      <c r="I8" s="10"/>
      <c r="J8" s="38"/>
      <c r="L8" s="5" t="s">
        <v>153</v>
      </c>
      <c r="M8" s="151" t="s">
        <v>154</v>
      </c>
      <c r="N8" s="13"/>
    </row>
    <row r="9" spans="2:14" x14ac:dyDescent="0.25">
      <c r="B9" s="5" t="s">
        <v>3</v>
      </c>
      <c r="C9" s="15">
        <f>Model!F25</f>
        <v>-0.10456481699783216</v>
      </c>
      <c r="E9" s="5" t="s">
        <v>175</v>
      </c>
      <c r="F9" s="28" t="s">
        <v>176</v>
      </c>
      <c r="H9" t="s">
        <v>213</v>
      </c>
      <c r="I9" s="10">
        <v>6.3070000000000004</v>
      </c>
      <c r="J9" s="38"/>
      <c r="L9" s="5" t="s">
        <v>155</v>
      </c>
      <c r="M9" s="151" t="s">
        <v>156</v>
      </c>
      <c r="N9" s="13"/>
    </row>
    <row r="10" spans="2:14" x14ac:dyDescent="0.25">
      <c r="B10" s="5" t="s">
        <v>4</v>
      </c>
      <c r="C10" s="15">
        <f>Model!F35+Model!F39</f>
        <v>45.275999999999996</v>
      </c>
      <c r="E10" s="5" t="s">
        <v>177</v>
      </c>
      <c r="F10" s="28" t="s">
        <v>178</v>
      </c>
      <c r="H10" t="s">
        <v>214</v>
      </c>
      <c r="I10" s="10">
        <v>295.10000000000002</v>
      </c>
      <c r="J10" s="38"/>
      <c r="L10" s="5" t="s">
        <v>157</v>
      </c>
      <c r="M10" s="151" t="s">
        <v>158</v>
      </c>
      <c r="N10" s="13"/>
    </row>
    <row r="11" spans="2:14" x14ac:dyDescent="0.25">
      <c r="B11" s="5" t="s">
        <v>37</v>
      </c>
      <c r="C11" s="15">
        <f>C9-C10</f>
        <v>-45.380564816997826</v>
      </c>
      <c r="E11" s="5" t="s">
        <v>179</v>
      </c>
      <c r="F11" s="28" t="s">
        <v>180</v>
      </c>
      <c r="H11" t="s">
        <v>215</v>
      </c>
      <c r="I11" s="10">
        <v>3.8069999999999999</v>
      </c>
      <c r="J11" s="38"/>
      <c r="L11" s="5" t="s">
        <v>159</v>
      </c>
      <c r="M11" s="151" t="s">
        <v>160</v>
      </c>
      <c r="N11" s="13"/>
    </row>
    <row r="12" spans="2:14" x14ac:dyDescent="0.25">
      <c r="B12" s="5" t="s">
        <v>5</v>
      </c>
      <c r="C12" s="15">
        <f>C8-C9+C10</f>
        <v>8308.8480848169984</v>
      </c>
      <c r="E12" s="5" t="s">
        <v>181</v>
      </c>
      <c r="F12" s="28" t="s">
        <v>182</v>
      </c>
      <c r="H12" t="s">
        <v>216</v>
      </c>
      <c r="I12">
        <v>424.846</v>
      </c>
      <c r="J12" s="13"/>
      <c r="L12" s="5" t="s">
        <v>161</v>
      </c>
      <c r="M12" s="151" t="s">
        <v>162</v>
      </c>
      <c r="N12" s="13"/>
    </row>
    <row r="13" spans="2:14" x14ac:dyDescent="0.25">
      <c r="B13" s="5" t="s">
        <v>48</v>
      </c>
      <c r="C13" s="36">
        <f>C6/Model!G22</f>
        <v>622.24906024096288</v>
      </c>
      <c r="E13" s="5"/>
      <c r="J13" s="13"/>
      <c r="L13" s="5"/>
      <c r="N13" s="13"/>
    </row>
    <row r="14" spans="2:14" x14ac:dyDescent="0.25">
      <c r="B14" s="5" t="s">
        <v>46</v>
      </c>
      <c r="C14" s="36">
        <f>C6/Model!H23</f>
        <v>317.65853658536588</v>
      </c>
      <c r="E14" s="22"/>
      <c r="F14" s="29"/>
      <c r="G14" s="29"/>
      <c r="H14" s="29"/>
      <c r="I14" s="29"/>
      <c r="J14" s="23"/>
      <c r="L14" s="22"/>
      <c r="M14" s="29"/>
      <c r="N14" s="23"/>
    </row>
    <row r="15" spans="2:14" x14ac:dyDescent="0.25">
      <c r="B15" s="5" t="s">
        <v>47</v>
      </c>
      <c r="C15" s="36">
        <f>C6/Model!I23</f>
        <v>271.33333333333337</v>
      </c>
    </row>
    <row r="16" spans="2:14" x14ac:dyDescent="0.25">
      <c r="B16" s="5" t="s">
        <v>44</v>
      </c>
      <c r="C16" s="6">
        <f>Model!H23/Model!G22-1</f>
        <v>0.95886144578312904</v>
      </c>
    </row>
    <row r="17" spans="2:14" x14ac:dyDescent="0.25">
      <c r="B17" s="5" t="s">
        <v>45</v>
      </c>
      <c r="C17" s="6">
        <f>Model!I23/Model!H23-1</f>
        <v>0.1707317073170731</v>
      </c>
      <c r="E17" s="33" t="s">
        <v>55</v>
      </c>
      <c r="L17" s="124" t="s">
        <v>141</v>
      </c>
      <c r="M17" s="125"/>
      <c r="N17" s="126"/>
    </row>
    <row r="18" spans="2:14" x14ac:dyDescent="0.25">
      <c r="B18" s="5" t="s">
        <v>69</v>
      </c>
      <c r="C18" s="50">
        <f>C14/(C16*100)</f>
        <v>3.312872135826936</v>
      </c>
      <c r="L18" s="127"/>
      <c r="M18" s="128"/>
      <c r="N18" s="129"/>
    </row>
    <row r="19" spans="2:14" x14ac:dyDescent="0.25">
      <c r="B19" s="5" t="s">
        <v>70</v>
      </c>
      <c r="C19" s="50">
        <f>C15/(C17*100)</f>
        <v>15.892380952380961</v>
      </c>
      <c r="L19" s="127"/>
      <c r="M19" s="128"/>
      <c r="N19" s="129"/>
    </row>
    <row r="20" spans="2:14" x14ac:dyDescent="0.25">
      <c r="B20" s="5" t="s">
        <v>81</v>
      </c>
      <c r="C20" s="6">
        <f>Model!H4/Model!G3-1</f>
        <v>0.28365582544256895</v>
      </c>
      <c r="L20" s="127"/>
      <c r="M20" s="128"/>
      <c r="N20" s="129"/>
    </row>
    <row r="21" spans="2:14" x14ac:dyDescent="0.25">
      <c r="B21" s="5" t="s">
        <v>82</v>
      </c>
      <c r="C21" s="6">
        <f>Model!I4/Model!H4-1</f>
        <v>0.2080393414581998</v>
      </c>
      <c r="L21" s="127"/>
      <c r="M21" s="128"/>
      <c r="N21" s="129"/>
    </row>
    <row r="22" spans="2:14" x14ac:dyDescent="0.25">
      <c r="B22" s="5" t="s">
        <v>71</v>
      </c>
      <c r="C22" s="15">
        <f>Model!G18+Model!G16</f>
        <v>5.1960000000000228</v>
      </c>
      <c r="L22" s="127"/>
      <c r="M22" s="128"/>
      <c r="N22" s="129"/>
    </row>
    <row r="23" spans="2:14" x14ac:dyDescent="0.25">
      <c r="B23" s="5" t="s">
        <v>19</v>
      </c>
      <c r="C23" s="15">
        <f>Model!G18+Model!G16+Model!G11</f>
        <v>52.629000000000019</v>
      </c>
      <c r="L23" s="127"/>
      <c r="M23" s="128"/>
      <c r="N23" s="129"/>
    </row>
    <row r="24" spans="2:14" x14ac:dyDescent="0.25">
      <c r="B24" s="5" t="s">
        <v>31</v>
      </c>
      <c r="C24" s="7">
        <f>Model!G24</f>
        <v>0.24749005077535335</v>
      </c>
      <c r="L24" s="127"/>
      <c r="M24" s="128"/>
      <c r="N24" s="129"/>
    </row>
    <row r="25" spans="2:14" x14ac:dyDescent="0.25">
      <c r="B25" s="5" t="s">
        <v>32</v>
      </c>
      <c r="C25" s="7">
        <f>Model!G25</f>
        <v>1.8224234938932375E-2</v>
      </c>
      <c r="L25" s="127"/>
      <c r="M25" s="128"/>
      <c r="N25" s="129"/>
    </row>
    <row r="26" spans="2:14" x14ac:dyDescent="0.25">
      <c r="B26" s="5" t="s">
        <v>72</v>
      </c>
      <c r="C26" s="36">
        <f>C12/C23</f>
        <v>157.87584952814979</v>
      </c>
      <c r="L26" s="127"/>
      <c r="M26" s="128"/>
      <c r="N26" s="129"/>
    </row>
    <row r="27" spans="2:14" x14ac:dyDescent="0.25">
      <c r="B27" s="5" t="s">
        <v>83</v>
      </c>
      <c r="C27" s="118">
        <v>0</v>
      </c>
      <c r="E27" t="s">
        <v>73</v>
      </c>
      <c r="L27" s="127"/>
      <c r="M27" s="128"/>
      <c r="N27" s="129"/>
    </row>
    <row r="28" spans="2:14" x14ac:dyDescent="0.25">
      <c r="B28" s="5" t="s">
        <v>84</v>
      </c>
      <c r="C28" s="36">
        <v>0</v>
      </c>
      <c r="L28" s="130"/>
      <c r="M28" s="131"/>
      <c r="N28" s="132"/>
    </row>
    <row r="29" spans="2:14" x14ac:dyDescent="0.25">
      <c r="B29" s="5" t="s">
        <v>85</v>
      </c>
      <c r="C29" s="36">
        <f>Model!Y40/Model!Y50</f>
        <v>2.9916101002419078</v>
      </c>
    </row>
    <row r="30" spans="2:14" x14ac:dyDescent="0.25">
      <c r="B30" s="5" t="s">
        <v>86</v>
      </c>
      <c r="C30" s="36">
        <f>(Model!Y35+Model!Y36+Model!Y37)/Model!Y50</f>
        <v>2.8934798262149983</v>
      </c>
    </row>
    <row r="31" spans="2:14" x14ac:dyDescent="0.25">
      <c r="B31" s="5" t="s">
        <v>87</v>
      </c>
      <c r="C31" s="6">
        <f>(Model!Y40-Model!Y50)/Model!Y46</f>
        <v>0.23702941238775133</v>
      </c>
    </row>
    <row r="32" spans="2:14" x14ac:dyDescent="0.25">
      <c r="B32" s="5" t="s">
        <v>88</v>
      </c>
      <c r="C32" s="36">
        <f>(Model!Q34-Model!Q42)/Main!C7</f>
        <v>0</v>
      </c>
    </row>
    <row r="33" spans="2:8" x14ac:dyDescent="0.25">
      <c r="B33" s="5" t="s">
        <v>89</v>
      </c>
      <c r="C33" s="36">
        <f>Model!G3/Model!G46</f>
        <v>0.74073170508570718</v>
      </c>
    </row>
    <row r="34" spans="2:8" x14ac:dyDescent="0.25">
      <c r="B34" s="5" t="s">
        <v>90</v>
      </c>
      <c r="C34" s="38">
        <f>Model!G20/Model!G46</f>
        <v>1.3499268620197897E-2</v>
      </c>
    </row>
    <row r="35" spans="2:8" x14ac:dyDescent="0.25">
      <c r="B35" s="5" t="s">
        <v>91</v>
      </c>
      <c r="C35" s="38">
        <f>Model!G20/Model!G55</f>
        <v>2.3265510632408476E-2</v>
      </c>
    </row>
    <row r="36" spans="2:8" x14ac:dyDescent="0.25">
      <c r="B36" s="22" t="s">
        <v>92</v>
      </c>
      <c r="C36" s="23"/>
    </row>
    <row r="42" spans="2:8" x14ac:dyDescent="0.25">
      <c r="E42" s="143" t="s">
        <v>183</v>
      </c>
      <c r="F42" s="144" t="s">
        <v>184</v>
      </c>
      <c r="G42" s="144" t="s">
        <v>51</v>
      </c>
      <c r="H42" s="144" t="s">
        <v>185</v>
      </c>
    </row>
    <row r="43" spans="2:8" x14ac:dyDescent="0.25">
      <c r="E43" s="146" t="s">
        <v>186</v>
      </c>
      <c r="F43" s="145" t="s">
        <v>187</v>
      </c>
      <c r="G43" s="145" t="s">
        <v>188</v>
      </c>
      <c r="H43" s="145" t="s">
        <v>189</v>
      </c>
    </row>
    <row r="44" spans="2:8" x14ac:dyDescent="0.25">
      <c r="E44" s="146" t="s">
        <v>190</v>
      </c>
      <c r="F44" s="145" t="s">
        <v>187</v>
      </c>
      <c r="G44" s="145" t="s">
        <v>188</v>
      </c>
      <c r="H44" s="145" t="s">
        <v>144</v>
      </c>
    </row>
    <row r="45" spans="2:8" x14ac:dyDescent="0.25">
      <c r="E45" s="146" t="s">
        <v>191</v>
      </c>
      <c r="F45" s="145" t="s">
        <v>187</v>
      </c>
      <c r="G45" s="145" t="s">
        <v>192</v>
      </c>
      <c r="H45" s="145">
        <v>1.3069999999999999</v>
      </c>
    </row>
    <row r="46" spans="2:8" x14ac:dyDescent="0.25">
      <c r="E46" s="146" t="s">
        <v>193</v>
      </c>
      <c r="F46" s="145" t="s">
        <v>187</v>
      </c>
      <c r="G46" s="145" t="s">
        <v>194</v>
      </c>
      <c r="H46" s="145">
        <v>11.401</v>
      </c>
    </row>
    <row r="47" spans="2:8" x14ac:dyDescent="0.25">
      <c r="E47" s="146" t="s">
        <v>195</v>
      </c>
      <c r="F47" s="145" t="s">
        <v>196</v>
      </c>
      <c r="G47" s="145" t="s">
        <v>192</v>
      </c>
      <c r="H47" s="145" t="s">
        <v>197</v>
      </c>
    </row>
    <row r="48" spans="2:8" x14ac:dyDescent="0.25">
      <c r="E48" s="146" t="s">
        <v>198</v>
      </c>
      <c r="F48" s="145" t="s">
        <v>187</v>
      </c>
      <c r="G48" s="145" t="s">
        <v>199</v>
      </c>
      <c r="H48" s="145" t="s">
        <v>144</v>
      </c>
    </row>
    <row r="49" spans="5:8" x14ac:dyDescent="0.25">
      <c r="E49" s="146" t="s">
        <v>200</v>
      </c>
      <c r="F49" s="145" t="s">
        <v>201</v>
      </c>
      <c r="G49" s="145" t="s">
        <v>202</v>
      </c>
      <c r="H49" s="145">
        <v>6.3070000000000004</v>
      </c>
    </row>
    <row r="50" spans="5:8" x14ac:dyDescent="0.25">
      <c r="E50" s="146" t="s">
        <v>203</v>
      </c>
      <c r="F50" s="145" t="s">
        <v>187</v>
      </c>
      <c r="G50" s="145" t="s">
        <v>188</v>
      </c>
      <c r="H50" s="145">
        <v>295.10000000000002</v>
      </c>
    </row>
    <row r="51" spans="5:8" x14ac:dyDescent="0.25">
      <c r="E51" s="146" t="s">
        <v>204</v>
      </c>
      <c r="F51" s="145" t="s">
        <v>187</v>
      </c>
      <c r="G51" s="145" t="s">
        <v>205</v>
      </c>
      <c r="H51" s="145">
        <v>3.8069999999999999</v>
      </c>
    </row>
    <row r="52" spans="5:8" x14ac:dyDescent="0.25">
      <c r="E52" s="146" t="s">
        <v>206</v>
      </c>
      <c r="F52" s="145" t="s">
        <v>187</v>
      </c>
      <c r="G52" s="145" t="s">
        <v>188</v>
      </c>
      <c r="H52" s="145">
        <v>424.846</v>
      </c>
    </row>
  </sheetData>
  <mergeCells count="1">
    <mergeCell ref="L17:N28"/>
  </mergeCells>
  <hyperlinks>
    <hyperlink ref="E43" r:id="rId1" display="https://finance.yahoo.com/screener/insider/ARTAL INTERNATIONAL S.C.A." xr:uid="{F914DE17-52A4-4C3F-9D74-E9D5D89E055E}"/>
    <hyperlink ref="E44" r:id="rId2" display="https://finance.yahoo.com/screener/insider/BOSSERMAN DAVID" xr:uid="{FEF75A98-19F0-47AE-98F5-AFB3A62DC749}"/>
    <hyperlink ref="E45" r:id="rId3" display="https://finance.yahoo.com/screener/insider/KOCHEVAR KAREN" xr:uid="{0176AFCC-A358-4526-8858-F3EDD4C9DEE0}"/>
    <hyperlink ref="E46" r:id="rId4" display="https://finance.yahoo.com/screener/insider/PHILLIPS ADAM DAVID" xr:uid="{5AB81B50-8F0C-4BF8-A134-7BE72EB501A8}"/>
    <hyperlink ref="E47" r:id="rId5" display="https://finance.yahoo.com/screener/insider/SCHULMAN BRETT" xr:uid="{FDE30308-11F7-4A9E-B2A4-541EFC2AD868}"/>
    <hyperlink ref="E48" r:id="rId6" display="https://finance.yahoo.com/screener/insider/SHAICH RONALD M" xr:uid="{094FA486-5CAC-4C30-AFF7-F917E0D59A6D}"/>
    <hyperlink ref="E49" r:id="rId7" display="https://finance.yahoo.com/screener/insider/SHANAHAN LAURI M." xr:uid="{71EFD3C0-106F-4D19-BDF3-F95A4C099D36}"/>
    <hyperlink ref="E50" r:id="rId8" display="https://finance.yahoo.com/screener/insider/TOLIVAR TRICIA K" xr:uid="{17467FA5-948F-4990-A165-7F6BA74B4738}"/>
    <hyperlink ref="E51" r:id="rId9" display="https://finance.yahoo.com/screener/insider/WHITE JAMES D" xr:uid="{D312DE90-76C8-4299-A758-AED49255287D}"/>
    <hyperlink ref="E52" r:id="rId10" display="https://finance.yahoo.com/screener/insider/XENOHRISTOS THEODOROS" xr:uid="{590E1152-D160-4252-8F89-B30333E6B907}"/>
  </hyperlinks>
  <pageMargins left="0.7" right="0.7" top="0.75" bottom="0.75" header="0.3" footer="0.3"/>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A76"/>
  <sheetViews>
    <sheetView tabSelected="1" zoomScaleNormal="100" workbookViewId="0">
      <pane xSplit="2" ySplit="2" topLeftCell="C3" activePane="bottomRight" state="frozen"/>
      <selection pane="topRight" activeCell="B1" sqref="B1"/>
      <selection pane="bottomLeft" activeCell="A3" sqref="A3"/>
      <selection pane="bottomRight" activeCell="L27" sqref="L27:AA27"/>
    </sheetView>
  </sheetViews>
  <sheetFormatPr defaultColWidth="11.42578125" defaultRowHeight="15" x14ac:dyDescent="0.25"/>
  <cols>
    <col min="1" max="1" width="4.7109375" customWidth="1"/>
    <col min="2" max="2" width="27.28515625" customWidth="1"/>
    <col min="7" max="7" width="11.42578125" style="13"/>
    <col min="25" max="25" width="11.42578125" style="13"/>
  </cols>
  <sheetData>
    <row r="1" spans="1:27" x14ac:dyDescent="0.25">
      <c r="A1" s="8" t="s">
        <v>38</v>
      </c>
    </row>
    <row r="2" spans="1:27" x14ac:dyDescent="0.25">
      <c r="C2" t="s">
        <v>35</v>
      </c>
      <c r="D2" t="s">
        <v>18</v>
      </c>
      <c r="E2" t="s">
        <v>14</v>
      </c>
      <c r="F2" t="s">
        <v>15</v>
      </c>
      <c r="G2" s="13" t="s">
        <v>16</v>
      </c>
      <c r="H2" t="s">
        <v>33</v>
      </c>
      <c r="I2" t="s">
        <v>68</v>
      </c>
      <c r="L2" t="s">
        <v>34</v>
      </c>
      <c r="M2" t="s">
        <v>10</v>
      </c>
      <c r="N2" t="s">
        <v>11</v>
      </c>
      <c r="O2" t="s">
        <v>12</v>
      </c>
      <c r="P2" t="s">
        <v>13</v>
      </c>
      <c r="Q2" t="s">
        <v>6</v>
      </c>
      <c r="R2" t="s">
        <v>7</v>
      </c>
      <c r="S2" t="s">
        <v>8</v>
      </c>
      <c r="T2" t="s">
        <v>9</v>
      </c>
      <c r="U2" t="s">
        <v>36</v>
      </c>
      <c r="V2" t="s">
        <v>40</v>
      </c>
      <c r="W2" t="s">
        <v>41</v>
      </c>
      <c r="X2" t="s">
        <v>63</v>
      </c>
      <c r="Y2" s="13" t="s">
        <v>66</v>
      </c>
      <c r="Z2" t="s">
        <v>136</v>
      </c>
      <c r="AA2" t="s">
        <v>137</v>
      </c>
    </row>
    <row r="3" spans="1:27" s="1" customFormat="1" x14ac:dyDescent="0.25">
      <c r="B3" s="1" t="s">
        <v>17</v>
      </c>
      <c r="C3" s="11"/>
      <c r="D3" s="11"/>
      <c r="E3" s="11">
        <v>500.072</v>
      </c>
      <c r="F3" s="11">
        <v>564.11900000000003</v>
      </c>
      <c r="G3" s="14">
        <v>728.7</v>
      </c>
      <c r="H3" s="43">
        <v>935.4</v>
      </c>
      <c r="I3" s="43">
        <v>1130</v>
      </c>
      <c r="L3" s="11"/>
      <c r="M3" s="11"/>
      <c r="N3" s="11"/>
      <c r="O3" s="11"/>
      <c r="P3" s="11"/>
      <c r="Q3" s="11">
        <v>135.91499999999999</v>
      </c>
      <c r="R3" s="11">
        <v>139.25800000000001</v>
      </c>
      <c r="S3" s="11"/>
      <c r="T3" s="11">
        <v>203.083</v>
      </c>
      <c r="U3" s="11">
        <v>172.89400000000001</v>
      </c>
      <c r="V3" s="11">
        <v>175.553</v>
      </c>
      <c r="W3" s="11">
        <f>G3-V3-U3-T3</f>
        <v>177.17000000000004</v>
      </c>
      <c r="X3" s="11">
        <v>259.00599999999997</v>
      </c>
      <c r="Y3" s="14">
        <v>233.495</v>
      </c>
      <c r="Z3" s="11"/>
      <c r="AA3" s="11"/>
    </row>
    <row r="4" spans="1:27" x14ac:dyDescent="0.25">
      <c r="B4" s="9" t="s">
        <v>65</v>
      </c>
      <c r="C4" s="10"/>
      <c r="D4" s="10"/>
      <c r="E4" s="10"/>
      <c r="F4" s="10"/>
      <c r="G4" s="15"/>
      <c r="H4" s="42">
        <v>935.4</v>
      </c>
      <c r="I4" s="42">
        <v>1130</v>
      </c>
      <c r="L4" s="40"/>
      <c r="M4" s="40"/>
      <c r="N4" s="40"/>
      <c r="O4" s="40"/>
      <c r="P4" s="40"/>
      <c r="Q4" s="40"/>
      <c r="R4" s="40"/>
      <c r="S4" s="40"/>
      <c r="T4" s="40"/>
      <c r="U4" s="40"/>
      <c r="V4" s="40"/>
      <c r="W4" s="40"/>
      <c r="X4" s="40"/>
      <c r="Y4" s="122"/>
      <c r="Z4" s="40">
        <v>231.93</v>
      </c>
      <c r="AA4" s="40">
        <v>210.82</v>
      </c>
    </row>
    <row r="5" spans="1:27" x14ac:dyDescent="0.25">
      <c r="B5" s="9" t="s">
        <v>224</v>
      </c>
      <c r="C5" s="10"/>
      <c r="D5" s="10"/>
      <c r="E5" s="10">
        <v>154.77199999999999</v>
      </c>
      <c r="F5" s="10">
        <v>179.988</v>
      </c>
      <c r="G5" s="15">
        <v>213.458</v>
      </c>
      <c r="H5" s="148"/>
      <c r="I5" s="148"/>
      <c r="L5" s="40"/>
      <c r="M5" s="40"/>
      <c r="N5" s="40"/>
      <c r="O5" s="40"/>
      <c r="P5" s="40"/>
      <c r="Q5" s="40">
        <v>43.741</v>
      </c>
      <c r="R5" s="40">
        <v>44.616999999999997</v>
      </c>
      <c r="S5" s="40"/>
      <c r="T5" s="40">
        <v>59.118000000000002</v>
      </c>
      <c r="U5" s="40">
        <v>51</v>
      </c>
      <c r="V5" s="40">
        <v>51.817999999999998</v>
      </c>
      <c r="W5" s="149">
        <f t="shared" ref="W5:W8" si="0">G5-V5-U5-T5</f>
        <v>51.521999999999984</v>
      </c>
      <c r="X5" s="40">
        <v>73.947000000000003</v>
      </c>
      <c r="Y5" s="122">
        <v>68.838999999999999</v>
      </c>
      <c r="Z5" s="40"/>
      <c r="AA5" s="40"/>
    </row>
    <row r="6" spans="1:27" x14ac:dyDescent="0.25">
      <c r="B6" s="9" t="s">
        <v>225</v>
      </c>
      <c r="C6" s="10"/>
      <c r="D6" s="10"/>
      <c r="E6" s="10">
        <v>143.39500000000001</v>
      </c>
      <c r="F6" s="10">
        <v>157.89099999999999</v>
      </c>
      <c r="G6" s="15">
        <v>187.32599999999999</v>
      </c>
      <c r="H6" s="148"/>
      <c r="I6" s="148"/>
      <c r="L6" s="40"/>
      <c r="M6" s="40"/>
      <c r="N6" s="40"/>
      <c r="O6" s="40"/>
      <c r="P6" s="40"/>
      <c r="Q6" s="40">
        <v>37.731000000000002</v>
      </c>
      <c r="R6" s="40">
        <v>37.192999999999998</v>
      </c>
      <c r="S6" s="40"/>
      <c r="T6" s="40">
        <v>52.154000000000003</v>
      </c>
      <c r="U6" s="40">
        <v>42.417000000000002</v>
      </c>
      <c r="V6" s="40">
        <v>43.912999999999997</v>
      </c>
      <c r="W6" s="149">
        <f t="shared" si="0"/>
        <v>48.842000000000006</v>
      </c>
      <c r="X6" s="40">
        <v>66.513000000000005</v>
      </c>
      <c r="Y6" s="122">
        <v>58.387999999999998</v>
      </c>
      <c r="Z6" s="40"/>
      <c r="AA6" s="40"/>
    </row>
    <row r="7" spans="1:27" x14ac:dyDescent="0.25">
      <c r="B7" s="9" t="s">
        <v>226</v>
      </c>
      <c r="C7" s="10"/>
      <c r="D7" s="10"/>
      <c r="E7" s="10">
        <v>49.298999999999999</v>
      </c>
      <c r="F7" s="10">
        <v>53.668999999999997</v>
      </c>
      <c r="G7" s="15">
        <v>58.319000000000003</v>
      </c>
      <c r="H7" s="148"/>
      <c r="I7" s="148"/>
      <c r="L7" s="40"/>
      <c r="M7" s="40"/>
      <c r="N7" s="40"/>
      <c r="O7" s="40"/>
      <c r="P7" s="40"/>
      <c r="Q7" s="40">
        <v>12.214</v>
      </c>
      <c r="R7" s="40">
        <v>12.302</v>
      </c>
      <c r="S7" s="40"/>
      <c r="T7" s="40">
        <v>16.599</v>
      </c>
      <c r="U7" s="40">
        <v>13.4</v>
      </c>
      <c r="V7" s="40">
        <v>13.782</v>
      </c>
      <c r="W7" s="149">
        <f t="shared" si="0"/>
        <v>14.538000000000007</v>
      </c>
      <c r="X7" s="40">
        <v>20.422000000000001</v>
      </c>
      <c r="Y7" s="122">
        <v>15.917</v>
      </c>
      <c r="Z7" s="40"/>
      <c r="AA7" s="40"/>
    </row>
    <row r="8" spans="1:27" x14ac:dyDescent="0.25">
      <c r="B8" s="9" t="s">
        <v>227</v>
      </c>
      <c r="C8" s="10"/>
      <c r="D8" s="10"/>
      <c r="E8" s="10">
        <v>70.453000000000003</v>
      </c>
      <c r="F8" s="10">
        <v>74.587000000000003</v>
      </c>
      <c r="G8" s="15">
        <v>89.251000000000005</v>
      </c>
      <c r="H8" s="148"/>
      <c r="I8" s="148"/>
      <c r="L8" s="40"/>
      <c r="M8" s="40"/>
      <c r="N8" s="40"/>
      <c r="O8" s="40"/>
      <c r="P8" s="40"/>
      <c r="Q8" s="40">
        <v>16.623999999999999</v>
      </c>
      <c r="R8" s="40">
        <v>18.738</v>
      </c>
      <c r="S8" s="40"/>
      <c r="T8" s="40">
        <v>24.648</v>
      </c>
      <c r="U8" s="40">
        <v>20.646000000000001</v>
      </c>
      <c r="V8" s="40">
        <v>21.553000000000001</v>
      </c>
      <c r="W8" s="149">
        <f t="shared" si="0"/>
        <v>22.404000000000007</v>
      </c>
      <c r="X8" s="40">
        <v>32.758000000000003</v>
      </c>
      <c r="Y8" s="122">
        <v>27.991</v>
      </c>
      <c r="Z8" s="40"/>
      <c r="AA8" s="40"/>
    </row>
    <row r="9" spans="1:27" s="1" customFormat="1" x14ac:dyDescent="0.25">
      <c r="B9" s="1" t="s">
        <v>60</v>
      </c>
      <c r="C9" s="11">
        <f>SUM(C5:C8)</f>
        <v>0</v>
      </c>
      <c r="D9" s="11">
        <f t="shared" ref="D9:I9" si="1">SUM(D5:D8)</f>
        <v>0</v>
      </c>
      <c r="E9" s="11">
        <f t="shared" si="1"/>
        <v>417.91899999999998</v>
      </c>
      <c r="F9" s="11">
        <f t="shared" si="1"/>
        <v>466.13499999999999</v>
      </c>
      <c r="G9" s="14">
        <f t="shared" si="1"/>
        <v>548.35400000000004</v>
      </c>
      <c r="H9" s="11">
        <f t="shared" si="1"/>
        <v>0</v>
      </c>
      <c r="I9" s="11">
        <f t="shared" si="1"/>
        <v>0</v>
      </c>
      <c r="L9" s="11">
        <f t="shared" ref="L9" si="2">SUM(L5:L8)</f>
        <v>0</v>
      </c>
      <c r="M9" s="11">
        <f t="shared" ref="M9" si="3">SUM(M5:M8)</f>
        <v>0</v>
      </c>
      <c r="N9" s="11">
        <f t="shared" ref="N9" si="4">SUM(N5:N8)</f>
        <v>0</v>
      </c>
      <c r="O9" s="11">
        <f t="shared" ref="O9" si="5">SUM(O5:O8)</f>
        <v>0</v>
      </c>
      <c r="P9" s="11">
        <f t="shared" ref="P9" si="6">SUM(P5:P8)</f>
        <v>0</v>
      </c>
      <c r="Q9" s="11">
        <f t="shared" ref="Q9" si="7">SUM(Q5:Q8)</f>
        <v>110.31</v>
      </c>
      <c r="R9" s="11">
        <f t="shared" ref="R9" si="8">SUM(R5:R8)</f>
        <v>112.85</v>
      </c>
      <c r="S9" s="11">
        <f t="shared" ref="S9" si="9">SUM(S5:S8)</f>
        <v>0</v>
      </c>
      <c r="T9" s="11">
        <f t="shared" ref="T9" si="10">SUM(T5:T8)</f>
        <v>152.51900000000001</v>
      </c>
      <c r="U9" s="11">
        <f t="shared" ref="U9" si="11">SUM(U5:U8)</f>
        <v>127.46300000000001</v>
      </c>
      <c r="V9" s="11">
        <f t="shared" ref="V9:AA9" si="12">SUM(V5:V8)</f>
        <v>131.066</v>
      </c>
      <c r="W9" s="11">
        <f t="shared" si="12"/>
        <v>137.30600000000001</v>
      </c>
      <c r="X9" s="11">
        <f t="shared" si="12"/>
        <v>193.64000000000001</v>
      </c>
      <c r="Y9" s="14">
        <f t="shared" si="12"/>
        <v>171.13499999999999</v>
      </c>
      <c r="Z9" s="11">
        <f t="shared" si="12"/>
        <v>0</v>
      </c>
      <c r="AA9" s="11">
        <f t="shared" si="12"/>
        <v>0</v>
      </c>
    </row>
    <row r="10" spans="1:27" x14ac:dyDescent="0.25">
      <c r="B10" t="s">
        <v>134</v>
      </c>
      <c r="C10" s="10"/>
      <c r="D10" s="10"/>
      <c r="E10" s="10">
        <v>64.792000000000002</v>
      </c>
      <c r="F10" s="10">
        <v>70.037000000000006</v>
      </c>
      <c r="G10" s="15">
        <v>101.491</v>
      </c>
      <c r="H10" s="40"/>
      <c r="I10" s="40"/>
      <c r="L10" s="10"/>
      <c r="M10" s="10"/>
      <c r="N10" s="10"/>
      <c r="O10" s="10"/>
      <c r="P10" s="10"/>
      <c r="Q10" s="10">
        <v>16.283999999999999</v>
      </c>
      <c r="R10" s="10">
        <v>16.547000000000001</v>
      </c>
      <c r="S10" s="10"/>
      <c r="T10" s="10">
        <v>29.024000000000001</v>
      </c>
      <c r="U10" s="10">
        <v>23.321000000000002</v>
      </c>
      <c r="V10" s="10">
        <v>24.472000000000001</v>
      </c>
      <c r="W10" s="149">
        <f t="shared" ref="W10:W14" si="13">G10-V10-U10-T10</f>
        <v>24.674000000000007</v>
      </c>
      <c r="X10" s="10">
        <v>33.840000000000003</v>
      </c>
      <c r="Y10" s="15">
        <v>28.280999999999999</v>
      </c>
      <c r="Z10" s="10"/>
      <c r="AA10" s="10"/>
    </row>
    <row r="11" spans="1:27" x14ac:dyDescent="0.25">
      <c r="B11" t="s">
        <v>24</v>
      </c>
      <c r="C11" s="10"/>
      <c r="D11" s="10"/>
      <c r="E11" s="10">
        <v>44.537999999999997</v>
      </c>
      <c r="F11" s="10">
        <v>42.723999999999997</v>
      </c>
      <c r="G11" s="15">
        <v>47.433</v>
      </c>
      <c r="H11" s="40"/>
      <c r="I11" s="40"/>
      <c r="L11" s="10"/>
      <c r="M11" s="10"/>
      <c r="N11" s="10"/>
      <c r="O11" s="10"/>
      <c r="P11" s="10"/>
      <c r="Q11" s="10">
        <v>8.9459999999999997</v>
      </c>
      <c r="R11" s="10">
        <v>10.018000000000001</v>
      </c>
      <c r="S11" s="10"/>
      <c r="T11" s="10">
        <v>12.859</v>
      </c>
      <c r="U11" s="10">
        <v>10.702999999999999</v>
      </c>
      <c r="V11" s="10">
        <v>11.528</v>
      </c>
      <c r="W11" s="149">
        <f t="shared" si="13"/>
        <v>12.343000000000002</v>
      </c>
      <c r="X11" s="10">
        <v>17.321999999999999</v>
      </c>
      <c r="Y11" s="15">
        <v>13.733000000000001</v>
      </c>
      <c r="Z11" s="10"/>
      <c r="AA11" s="10"/>
    </row>
    <row r="12" spans="1:27" x14ac:dyDescent="0.25">
      <c r="B12" t="s">
        <v>228</v>
      </c>
      <c r="C12" s="10"/>
      <c r="D12" s="10"/>
      <c r="E12" s="10">
        <v>6.8390000000000004</v>
      </c>
      <c r="F12" s="10">
        <v>5.923</v>
      </c>
      <c r="G12" s="15">
        <v>6.08</v>
      </c>
      <c r="H12" s="10"/>
      <c r="I12" s="10"/>
      <c r="L12" s="10"/>
      <c r="M12" s="10"/>
      <c r="N12" s="10"/>
      <c r="O12" s="10"/>
      <c r="P12" s="10"/>
      <c r="Q12" s="10">
        <v>1.65</v>
      </c>
      <c r="R12" s="10">
        <v>2.0550000000000002</v>
      </c>
      <c r="S12" s="10"/>
      <c r="T12" s="10">
        <v>2.2149999999999999</v>
      </c>
      <c r="U12" s="10">
        <v>1.853</v>
      </c>
      <c r="V12" s="10">
        <v>1.0920000000000001</v>
      </c>
      <c r="W12" s="149">
        <f t="shared" si="13"/>
        <v>0.91999999999999993</v>
      </c>
      <c r="X12" s="10">
        <v>0.28199999999999997</v>
      </c>
      <c r="Y12" s="15">
        <v>7.0000000000000007E-2</v>
      </c>
      <c r="Z12" s="10"/>
      <c r="AA12" s="10"/>
    </row>
    <row r="13" spans="1:27" x14ac:dyDescent="0.25">
      <c r="B13" t="s">
        <v>229</v>
      </c>
      <c r="C13" s="10"/>
      <c r="D13" s="10"/>
      <c r="E13" s="10">
        <v>8.1940000000000008</v>
      </c>
      <c r="F13" s="10">
        <v>19.312999999999999</v>
      </c>
      <c r="G13" s="15">
        <v>15.718</v>
      </c>
      <c r="H13" s="10"/>
      <c r="I13" s="10"/>
      <c r="L13" s="10"/>
      <c r="M13" s="10"/>
      <c r="N13" s="10"/>
      <c r="O13" s="10"/>
      <c r="P13" s="10"/>
      <c r="Q13" s="10">
        <v>4.484</v>
      </c>
      <c r="R13" s="10">
        <v>6.1749999999999998</v>
      </c>
      <c r="S13" s="10"/>
      <c r="T13" s="10">
        <v>5.9989999999999997</v>
      </c>
      <c r="U13" s="10">
        <v>3.4</v>
      </c>
      <c r="V13" s="10">
        <v>3.41</v>
      </c>
      <c r="W13" s="149">
        <f t="shared" si="13"/>
        <v>2.9089999999999998</v>
      </c>
      <c r="X13" s="10">
        <v>3.379</v>
      </c>
      <c r="Y13" s="15">
        <v>3.302</v>
      </c>
      <c r="Z13" s="10"/>
      <c r="AA13" s="10"/>
    </row>
    <row r="14" spans="1:27" x14ac:dyDescent="0.25">
      <c r="B14" t="s">
        <v>230</v>
      </c>
      <c r="C14" s="10"/>
      <c r="D14" s="10"/>
      <c r="E14" s="10">
        <v>10.542</v>
      </c>
      <c r="F14" s="10">
        <v>19.753</v>
      </c>
      <c r="G14" s="15">
        <v>4.899</v>
      </c>
      <c r="H14" s="40"/>
      <c r="I14" s="40"/>
      <c r="L14" s="10"/>
      <c r="M14" s="10"/>
      <c r="N14" s="10"/>
      <c r="O14" s="10"/>
      <c r="P14" s="10"/>
      <c r="Q14" s="10">
        <v>2.5790000000000002</v>
      </c>
      <c r="R14" s="10">
        <v>3.8380000000000001</v>
      </c>
      <c r="S14" s="10"/>
      <c r="T14" s="10">
        <v>2.7189999999999999</v>
      </c>
      <c r="U14" s="10">
        <v>0.38600000000000001</v>
      </c>
      <c r="V14" s="10">
        <v>1.19</v>
      </c>
      <c r="W14" s="149">
        <f t="shared" si="13"/>
        <v>0.60400000000000009</v>
      </c>
      <c r="X14" s="10">
        <v>1.29</v>
      </c>
      <c r="Y14" s="15">
        <v>0.83</v>
      </c>
      <c r="Z14" s="10"/>
      <c r="AA14" s="10"/>
    </row>
    <row r="15" spans="1:27" s="1" customFormat="1" x14ac:dyDescent="0.25">
      <c r="B15" s="1" t="s">
        <v>23</v>
      </c>
      <c r="C15" s="11">
        <f>C3-SUM(C9:C14)</f>
        <v>0</v>
      </c>
      <c r="D15" s="11">
        <f t="shared" ref="D15:I15" si="14">D3-SUM(D9:D14)</f>
        <v>0</v>
      </c>
      <c r="E15" s="11">
        <f t="shared" si="14"/>
        <v>-52.752000000000066</v>
      </c>
      <c r="F15" s="11">
        <f t="shared" si="14"/>
        <v>-59.766000000000076</v>
      </c>
      <c r="G15" s="14">
        <f t="shared" si="14"/>
        <v>4.7250000000000227</v>
      </c>
      <c r="H15" s="11">
        <f t="shared" si="14"/>
        <v>935.4</v>
      </c>
      <c r="I15" s="11">
        <f t="shared" si="14"/>
        <v>1130</v>
      </c>
      <c r="J15" s="11"/>
      <c r="K15" s="11"/>
      <c r="L15" s="11">
        <f t="shared" ref="L15" si="15">L3-SUM(L9:L14)</f>
        <v>0</v>
      </c>
      <c r="M15" s="11">
        <f t="shared" ref="M15" si="16">M3-SUM(M9:M14)</f>
        <v>0</v>
      </c>
      <c r="N15" s="11">
        <f t="shared" ref="N15" si="17">N3-SUM(N9:N14)</f>
        <v>0</v>
      </c>
      <c r="O15" s="11">
        <f t="shared" ref="O15" si="18">O3-SUM(O9:O14)</f>
        <v>0</v>
      </c>
      <c r="P15" s="11">
        <f t="shared" ref="P15" si="19">P3-SUM(P9:P14)</f>
        <v>0</v>
      </c>
      <c r="Q15" s="11">
        <f t="shared" ref="Q15" si="20">Q3-SUM(Q9:Q14)</f>
        <v>-8.3380000000000223</v>
      </c>
      <c r="R15" s="11">
        <f t="shared" ref="R15" si="21">R3-SUM(R9:R14)</f>
        <v>-12.224999999999994</v>
      </c>
      <c r="S15" s="11">
        <f t="shared" ref="S15" si="22">S3-SUM(S9:S14)</f>
        <v>0</v>
      </c>
      <c r="T15" s="11">
        <f t="shared" ref="T15" si="23">T3-SUM(T9:T14)</f>
        <v>-2.2520000000000095</v>
      </c>
      <c r="U15" s="11">
        <f t="shared" ref="U15" si="24">U3-SUM(U9:U14)</f>
        <v>5.7679999999999723</v>
      </c>
      <c r="V15" s="11">
        <f t="shared" ref="V15:AA15" si="25">V3-SUM(V9:V14)</f>
        <v>2.7949999999999875</v>
      </c>
      <c r="W15" s="11">
        <f t="shared" si="25"/>
        <v>-1.5859999999999559</v>
      </c>
      <c r="X15" s="11">
        <f t="shared" si="25"/>
        <v>9.2529999999999575</v>
      </c>
      <c r="Y15" s="14">
        <f t="shared" si="25"/>
        <v>16.144000000000005</v>
      </c>
      <c r="Z15" s="11">
        <f t="shared" si="25"/>
        <v>0</v>
      </c>
      <c r="AA15" s="11">
        <f t="shared" si="25"/>
        <v>0</v>
      </c>
    </row>
    <row r="16" spans="1:27" x14ac:dyDescent="0.25">
      <c r="B16" t="s">
        <v>67</v>
      </c>
      <c r="C16" s="10"/>
      <c r="D16" s="10"/>
      <c r="E16" s="10">
        <v>4.8099999999999996</v>
      </c>
      <c r="F16" s="10">
        <v>4.7E-2</v>
      </c>
      <c r="G16" s="15">
        <v>-8.8520000000000003</v>
      </c>
      <c r="H16" s="40"/>
      <c r="I16" s="40"/>
      <c r="L16" s="10"/>
      <c r="M16" s="10"/>
      <c r="N16" s="10"/>
      <c r="O16" s="10"/>
      <c r="P16" s="10"/>
      <c r="Q16" s="10">
        <v>3.4000000000000002E-2</v>
      </c>
      <c r="R16" s="10">
        <v>-0.115</v>
      </c>
      <c r="S16" s="10"/>
      <c r="T16" s="10">
        <v>2.5000000000000001E-2</v>
      </c>
      <c r="U16" s="10">
        <v>-0.69899999999999995</v>
      </c>
      <c r="V16" s="10">
        <v>-3.956</v>
      </c>
      <c r="W16" s="149">
        <f t="shared" ref="W16:W17" si="26">G16-V16-U16-T16</f>
        <v>-4.2220000000000013</v>
      </c>
      <c r="X16" s="10">
        <v>-4.9139999999999997</v>
      </c>
      <c r="Y16" s="15">
        <v>-0.38240000000000002</v>
      </c>
      <c r="Z16" s="10"/>
      <c r="AA16" s="10"/>
    </row>
    <row r="17" spans="2:27" x14ac:dyDescent="0.25">
      <c r="B17" t="s">
        <v>26</v>
      </c>
      <c r="C17" s="10"/>
      <c r="D17" s="10"/>
      <c r="E17" s="10">
        <v>-20.288</v>
      </c>
      <c r="F17" s="10">
        <v>-0.91900000000000004</v>
      </c>
      <c r="G17" s="15">
        <v>-0.47099999999999997</v>
      </c>
      <c r="H17" s="40"/>
      <c r="I17" s="40"/>
      <c r="L17" s="10"/>
      <c r="M17" s="10"/>
      <c r="N17" s="10"/>
      <c r="O17" s="10"/>
      <c r="P17" s="10"/>
      <c r="Q17" s="10">
        <v>-0.19800000000000001</v>
      </c>
      <c r="R17" s="10">
        <v>-0.188</v>
      </c>
      <c r="S17" s="10"/>
      <c r="T17" s="10">
        <v>-0.17399999999999999</v>
      </c>
      <c r="U17" s="10">
        <v>-0.11799999999999999</v>
      </c>
      <c r="V17" s="10">
        <v>-0.12</v>
      </c>
      <c r="W17" s="149">
        <f t="shared" si="26"/>
        <v>-5.8999999999999997E-2</v>
      </c>
      <c r="X17" s="10">
        <v>-7.8E-2</v>
      </c>
      <c r="Y17" s="15">
        <v>-0.06</v>
      </c>
      <c r="Z17" s="10"/>
      <c r="AA17" s="10"/>
    </row>
    <row r="18" spans="2:27" s="1" customFormat="1" x14ac:dyDescent="0.25">
      <c r="B18" s="1" t="s">
        <v>135</v>
      </c>
      <c r="C18" s="147">
        <f t="shared" ref="C18:F18" si="27">C15-SUM(C16:C17)</f>
        <v>0</v>
      </c>
      <c r="D18" s="147">
        <f t="shared" si="27"/>
        <v>0</v>
      </c>
      <c r="E18" s="147">
        <f t="shared" si="27"/>
        <v>-37.274000000000065</v>
      </c>
      <c r="F18" s="147">
        <f t="shared" si="27"/>
        <v>-58.894000000000077</v>
      </c>
      <c r="G18" s="14">
        <f>G15-SUM(G16:G17)</f>
        <v>14.048000000000023</v>
      </c>
      <c r="H18" s="11">
        <f>H15+SUM(H16:H17)</f>
        <v>935.4</v>
      </c>
      <c r="I18" s="11">
        <f>I15+SUM(I16:I17)</f>
        <v>1130</v>
      </c>
      <c r="L18" s="147">
        <f t="shared" ref="L18" si="28">L15-SUM(L16:L17)</f>
        <v>0</v>
      </c>
      <c r="M18" s="147">
        <f t="shared" ref="M18" si="29">M15-SUM(M16:M17)</f>
        <v>0</v>
      </c>
      <c r="N18" s="147">
        <f t="shared" ref="N18" si="30">N15-SUM(N16:N17)</f>
        <v>0</v>
      </c>
      <c r="O18" s="147">
        <f t="shared" ref="O18" si="31">O15-SUM(O16:O17)</f>
        <v>0</v>
      </c>
      <c r="P18" s="147">
        <f t="shared" ref="P18" si="32">P15-SUM(P16:P17)</f>
        <v>0</v>
      </c>
      <c r="Q18" s="147">
        <f t="shared" ref="Q18" si="33">Q15-SUM(Q16:Q17)</f>
        <v>-8.1740000000000226</v>
      </c>
      <c r="R18" s="147">
        <f t="shared" ref="R18" si="34">R15-SUM(R16:R17)</f>
        <v>-11.921999999999993</v>
      </c>
      <c r="S18" s="147">
        <f t="shared" ref="S18" si="35">S15-SUM(S16:S17)</f>
        <v>0</v>
      </c>
      <c r="T18" s="147">
        <f t="shared" ref="T18" si="36">T15-SUM(T16:T17)</f>
        <v>-2.1030000000000095</v>
      </c>
      <c r="U18" s="147">
        <f t="shared" ref="U18" si="37">U15-SUM(U16:U17)</f>
        <v>6.5849999999999724</v>
      </c>
      <c r="V18" s="147">
        <f t="shared" ref="V18" si="38">V15-SUM(V16:V17)</f>
        <v>6.8709999999999871</v>
      </c>
      <c r="W18" s="147">
        <f t="shared" ref="W18" si="39">W15-SUM(W16:W17)</f>
        <v>2.6950000000000456</v>
      </c>
      <c r="X18" s="147">
        <f t="shared" ref="X18" si="40">X15-SUM(X16:X17)</f>
        <v>14.244999999999958</v>
      </c>
      <c r="Y18" s="147">
        <f t="shared" ref="Y18" si="41">Y15-SUM(Y16:Y17)</f>
        <v>16.586400000000005</v>
      </c>
      <c r="Z18" s="147">
        <f t="shared" ref="Z18" si="42">Z15-SUM(Z16:Z17)</f>
        <v>0</v>
      </c>
      <c r="AA18" s="147">
        <f t="shared" ref="AA18" si="43">AA15-SUM(AA16:AA17)</f>
        <v>0</v>
      </c>
    </row>
    <row r="19" spans="2:27" x14ac:dyDescent="0.25">
      <c r="B19" t="s">
        <v>20</v>
      </c>
      <c r="C19" s="10"/>
      <c r="D19" s="10"/>
      <c r="E19" s="10">
        <v>0.11700000000000001</v>
      </c>
      <c r="F19" s="10">
        <v>9.2999999999999999E-2</v>
      </c>
      <c r="G19" s="15">
        <v>0.76800000000000002</v>
      </c>
      <c r="H19" s="40"/>
      <c r="I19" s="40"/>
      <c r="L19" s="10"/>
      <c r="M19" s="10"/>
      <c r="N19" s="10"/>
      <c r="O19" s="10"/>
      <c r="P19" s="10"/>
      <c r="Q19" s="10">
        <v>5.6000000000000001E-2</v>
      </c>
      <c r="R19" s="10">
        <v>-2.9000000000000001E-2</v>
      </c>
      <c r="S19" s="10"/>
      <c r="T19" s="10">
        <v>3.7999999999999999E-2</v>
      </c>
      <c r="U19" s="10">
        <v>0.04</v>
      </c>
      <c r="V19" s="10">
        <v>3.7999999999999999E-2</v>
      </c>
      <c r="W19" s="149">
        <f>G19-V19-U19-T19</f>
        <v>0.65199999999999991</v>
      </c>
      <c r="X19" s="10">
        <v>0.252</v>
      </c>
      <c r="Y19" s="15">
        <v>0.28699999999999998</v>
      </c>
      <c r="Z19" s="10"/>
      <c r="AA19" s="10"/>
    </row>
    <row r="20" spans="2:27" s="1" customFormat="1" x14ac:dyDescent="0.25">
      <c r="B20" s="1" t="s">
        <v>21</v>
      </c>
      <c r="C20" s="11">
        <f>C18-SUM(C19:C19)</f>
        <v>0</v>
      </c>
      <c r="D20" s="11">
        <f>D18-SUM(D19:D19)</f>
        <v>0</v>
      </c>
      <c r="E20" s="11">
        <f>E18-SUM(E19:E19)</f>
        <v>-37.391000000000062</v>
      </c>
      <c r="F20" s="11">
        <f>F18-SUM(F19:F19)</f>
        <v>-58.98700000000008</v>
      </c>
      <c r="G20" s="14">
        <f>G18-SUM(G19:G19)</f>
        <v>13.280000000000022</v>
      </c>
      <c r="H20" s="57"/>
      <c r="I20" s="57"/>
      <c r="L20" s="11">
        <f>L18-SUM(L19:L19)</f>
        <v>0</v>
      </c>
      <c r="M20" s="11">
        <f>M18-SUM(M19:M19)</f>
        <v>0</v>
      </c>
      <c r="N20" s="11">
        <f>N18-SUM(N19:N19)</f>
        <v>0</v>
      </c>
      <c r="O20" s="11">
        <f>O18-SUM(O19:O19)</f>
        <v>0</v>
      </c>
      <c r="P20" s="11">
        <f>P18-SUM(P19:P19)</f>
        <v>0</v>
      </c>
      <c r="Q20" s="11">
        <f>Q18-SUM(Q19:Q19)</f>
        <v>-8.2300000000000217</v>
      </c>
      <c r="R20" s="11">
        <f>R18-SUM(R19:R19)</f>
        <v>-11.892999999999994</v>
      </c>
      <c r="S20" s="11">
        <f>S18-SUM(S19:S19)</f>
        <v>0</v>
      </c>
      <c r="T20" s="11">
        <f>T18-SUM(T19:T19)</f>
        <v>-2.1410000000000093</v>
      </c>
      <c r="U20" s="11">
        <f>U18-SUM(U19:U19)</f>
        <v>6.5449999999999724</v>
      </c>
      <c r="V20" s="11">
        <f>V18-SUM(V19:V19)</f>
        <v>6.8329999999999869</v>
      </c>
      <c r="W20" s="11">
        <f>W18-SUM(W19:W19)</f>
        <v>2.0430000000000454</v>
      </c>
      <c r="X20" s="11">
        <f>X18-SUM(X19:X19)</f>
        <v>13.992999999999958</v>
      </c>
      <c r="Y20" s="14">
        <f>Y18-SUM(Y19:Y19)</f>
        <v>16.299400000000006</v>
      </c>
      <c r="Z20" s="11">
        <f>Z18-SUM(Z19:Z19)</f>
        <v>0</v>
      </c>
      <c r="AA20" s="11">
        <f>AA18-SUM(AA19:AA19)</f>
        <v>0</v>
      </c>
    </row>
    <row r="21" spans="2:27" x14ac:dyDescent="0.25">
      <c r="B21" t="s">
        <v>231</v>
      </c>
      <c r="C21" s="10"/>
      <c r="D21" s="10"/>
      <c r="E21" s="10">
        <v>0.73199999999999998</v>
      </c>
      <c r="F21" s="10">
        <v>1.3280000000000001</v>
      </c>
      <c r="G21" s="15">
        <v>63.448</v>
      </c>
      <c r="H21" s="40"/>
      <c r="I21" s="40"/>
      <c r="L21" s="10"/>
      <c r="M21" s="10"/>
      <c r="N21" s="10"/>
      <c r="O21" s="10"/>
      <c r="P21" s="10"/>
      <c r="Q21" s="10">
        <v>1.3220000000000001</v>
      </c>
      <c r="R21" s="10">
        <v>1.327</v>
      </c>
      <c r="S21" s="10"/>
      <c r="T21" s="10">
        <v>1.647</v>
      </c>
      <c r="U21" s="10">
        <v>31.279</v>
      </c>
      <c r="V21" s="10">
        <v>117.71299999999999</v>
      </c>
      <c r="W21" s="11">
        <f>G21-V21-U21-T21</f>
        <v>-87.191000000000003</v>
      </c>
      <c r="X21" s="10">
        <v>117.93600000000001</v>
      </c>
      <c r="Y21" s="15">
        <v>118.291</v>
      </c>
      <c r="Z21" s="10"/>
      <c r="AA21" s="10"/>
    </row>
    <row r="22" spans="2:27" s="1" customFormat="1" x14ac:dyDescent="0.25">
      <c r="B22" s="1" t="s">
        <v>22</v>
      </c>
      <c r="C22" s="2" t="e">
        <f>C20/C21</f>
        <v>#DIV/0!</v>
      </c>
      <c r="D22" s="2" t="e">
        <f>D20/D21</f>
        <v>#DIV/0!</v>
      </c>
      <c r="E22" s="2">
        <f>E20/E21</f>
        <v>-51.080601092896259</v>
      </c>
      <c r="F22" s="2">
        <f>F20/F21</f>
        <v>-44.417921686747043</v>
      </c>
      <c r="G22" s="53">
        <f>G20/G21</f>
        <v>0.20930525784894752</v>
      </c>
      <c r="H22" s="54"/>
      <c r="I22" s="55"/>
      <c r="L22" s="2" t="e">
        <f>L20/L21</f>
        <v>#DIV/0!</v>
      </c>
      <c r="M22" s="2" t="e">
        <f t="shared" ref="M22:V22" si="44">M20/M21</f>
        <v>#DIV/0!</v>
      </c>
      <c r="N22" s="2" t="e">
        <f t="shared" si="44"/>
        <v>#DIV/0!</v>
      </c>
      <c r="O22" s="2" t="e">
        <f t="shared" si="44"/>
        <v>#DIV/0!</v>
      </c>
      <c r="P22" s="2" t="e">
        <f t="shared" si="44"/>
        <v>#DIV/0!</v>
      </c>
      <c r="Q22" s="2">
        <f t="shared" si="44"/>
        <v>-6.2254160363086397</v>
      </c>
      <c r="R22" s="2">
        <f t="shared" si="44"/>
        <v>-8.9623210248681193</v>
      </c>
      <c r="S22" s="2" t="e">
        <f t="shared" si="44"/>
        <v>#DIV/0!</v>
      </c>
      <c r="T22" s="2">
        <f t="shared" si="44"/>
        <v>-1.2999392835458465</v>
      </c>
      <c r="U22" s="2">
        <f t="shared" si="44"/>
        <v>0.20924581987915125</v>
      </c>
      <c r="V22" s="2">
        <f t="shared" si="44"/>
        <v>5.8047964116112807E-2</v>
      </c>
      <c r="W22" s="2">
        <f t="shared" ref="W22:AA22" si="45">W20/W21</f>
        <v>-2.3431317452489882E-2</v>
      </c>
      <c r="X22" s="2">
        <f t="shared" si="45"/>
        <v>0.11864909781576412</v>
      </c>
      <c r="Y22" s="35">
        <f t="shared" si="45"/>
        <v>0.13779070258937709</v>
      </c>
      <c r="Z22" s="2" t="e">
        <f t="shared" si="45"/>
        <v>#DIV/0!</v>
      </c>
      <c r="AA22" s="2" t="e">
        <f t="shared" si="45"/>
        <v>#DIV/0!</v>
      </c>
    </row>
    <row r="23" spans="2:27" s="1" customFormat="1" x14ac:dyDescent="0.25">
      <c r="B23" s="9" t="s">
        <v>64</v>
      </c>
      <c r="C23" s="2"/>
      <c r="D23" s="2"/>
      <c r="E23" s="2"/>
      <c r="F23" s="2"/>
      <c r="G23" s="35"/>
      <c r="H23" s="44">
        <v>0.41</v>
      </c>
      <c r="I23" s="45">
        <v>0.48</v>
      </c>
      <c r="L23" s="49"/>
      <c r="M23" s="49"/>
      <c r="N23" s="49"/>
      <c r="O23" s="49"/>
      <c r="P23" s="49"/>
      <c r="Q23" s="49"/>
      <c r="R23" s="49"/>
      <c r="S23" s="49"/>
      <c r="T23" s="49"/>
      <c r="U23" s="49"/>
      <c r="V23" s="49"/>
      <c r="W23" s="49"/>
      <c r="X23" s="49"/>
      <c r="Y23" s="123"/>
      <c r="Z23" s="49">
        <v>0.1</v>
      </c>
      <c r="AA23" s="49">
        <v>0.02</v>
      </c>
    </row>
    <row r="24" spans="2:27" s="1" customFormat="1" x14ac:dyDescent="0.25">
      <c r="B24" t="s">
        <v>31</v>
      </c>
      <c r="C24" s="3" t="e">
        <f>1-C9/C3</f>
        <v>#DIV/0!</v>
      </c>
      <c r="D24" s="3" t="e">
        <f>1-D9/D3</f>
        <v>#DIV/0!</v>
      </c>
      <c r="E24" s="3">
        <f>1-E9/E3</f>
        <v>0.16428234334255876</v>
      </c>
      <c r="F24" s="3">
        <f>1-F9/F3</f>
        <v>0.1736938482837842</v>
      </c>
      <c r="G24" s="6">
        <f>1-G9/G3</f>
        <v>0.24749005077535335</v>
      </c>
      <c r="H24" s="46"/>
      <c r="I24" s="46"/>
      <c r="L24" s="3" t="e">
        <f>1-L9/L3</f>
        <v>#DIV/0!</v>
      </c>
      <c r="M24" s="3" t="e">
        <f>1-M9/M3</f>
        <v>#DIV/0!</v>
      </c>
      <c r="N24" s="3" t="e">
        <f>1-N9/N3</f>
        <v>#DIV/0!</v>
      </c>
      <c r="O24" s="3" t="e">
        <f>1-O9/O3</f>
        <v>#DIV/0!</v>
      </c>
      <c r="P24" s="3" t="e">
        <f>1-P9/P3</f>
        <v>#DIV/0!</v>
      </c>
      <c r="Q24" s="3">
        <f>1-Q9/Q3</f>
        <v>0.18838980245006065</v>
      </c>
      <c r="R24" s="3">
        <f>1-R9/R3</f>
        <v>0.18963362966580022</v>
      </c>
      <c r="S24" s="3" t="e">
        <f>1-S9/S3</f>
        <v>#DIV/0!</v>
      </c>
      <c r="T24" s="3">
        <f>1-T9/T3</f>
        <v>0.24898194334336199</v>
      </c>
      <c r="U24" s="3">
        <f>1-U9/U3</f>
        <v>0.26276793873702964</v>
      </c>
      <c r="V24" s="3">
        <f>1-V9/V3</f>
        <v>0.25341065091453863</v>
      </c>
      <c r="W24" s="3">
        <f>1-W9/W3</f>
        <v>0.22500423322232899</v>
      </c>
      <c r="X24" s="3">
        <f>1-X9/X3</f>
        <v>0.2523725319104575</v>
      </c>
      <c r="Y24" s="6">
        <f>1-Y9/Y3</f>
        <v>0.26707210004496884</v>
      </c>
      <c r="Z24" s="3" t="e">
        <f>1-Z9/Z3</f>
        <v>#DIV/0!</v>
      </c>
      <c r="AA24" s="3" t="e">
        <f>1-AA9/AA3</f>
        <v>#DIV/0!</v>
      </c>
    </row>
    <row r="25" spans="2:27" x14ac:dyDescent="0.25">
      <c r="B25" t="s">
        <v>32</v>
      </c>
      <c r="C25" s="4" t="e">
        <f>C20/C3</f>
        <v>#DIV/0!</v>
      </c>
      <c r="D25" s="4" t="e">
        <f>D20/D3</f>
        <v>#DIV/0!</v>
      </c>
      <c r="E25" s="4">
        <f>E20/E3</f>
        <v>-7.4771232942456411E-2</v>
      </c>
      <c r="F25" s="4">
        <f>F20/F3</f>
        <v>-0.10456481699783216</v>
      </c>
      <c r="G25" s="7">
        <f>G20/G3</f>
        <v>1.8224234938932375E-2</v>
      </c>
      <c r="H25" s="47">
        <f>H20/H4</f>
        <v>0</v>
      </c>
      <c r="I25" s="47">
        <f>I20/I4</f>
        <v>0</v>
      </c>
      <c r="L25" s="4" t="e">
        <f>L20/L3</f>
        <v>#DIV/0!</v>
      </c>
      <c r="M25" s="4" t="e">
        <f>M20/M3</f>
        <v>#DIV/0!</v>
      </c>
      <c r="N25" s="4" t="e">
        <f>N20/N3</f>
        <v>#DIV/0!</v>
      </c>
      <c r="O25" s="4" t="e">
        <f>O20/O3</f>
        <v>#DIV/0!</v>
      </c>
      <c r="P25" s="4" t="e">
        <f>P20/P3</f>
        <v>#DIV/0!</v>
      </c>
      <c r="Q25" s="4">
        <f>Q20/Q3</f>
        <v>-6.0552551226869901E-2</v>
      </c>
      <c r="R25" s="4">
        <f>R20/R3</f>
        <v>-8.5402633959987886E-2</v>
      </c>
      <c r="S25" s="4" t="e">
        <f>S20/S3</f>
        <v>#DIV/0!</v>
      </c>
      <c r="T25" s="4">
        <f>T20/T3</f>
        <v>-1.0542487554349745E-2</v>
      </c>
      <c r="U25" s="4">
        <f>U20/U3</f>
        <v>3.785556468124962E-2</v>
      </c>
      <c r="V25" s="4">
        <f>V20/V3</f>
        <v>3.8922718495269161E-2</v>
      </c>
      <c r="W25" s="4">
        <f>W20/W3</f>
        <v>1.1531297623751453E-2</v>
      </c>
      <c r="X25" s="4">
        <f>X20/X3</f>
        <v>5.4025775464660891E-2</v>
      </c>
      <c r="Y25" s="7">
        <f>Y20/Y3</f>
        <v>6.9806205700336216E-2</v>
      </c>
      <c r="Z25" s="4" t="e">
        <f>Z20/Z3</f>
        <v>#DIV/0!</v>
      </c>
      <c r="AA25" s="4" t="e">
        <f>AA20/AA3</f>
        <v>#DIV/0!</v>
      </c>
    </row>
    <row r="26" spans="2:27" x14ac:dyDescent="0.25">
      <c r="B26" t="s">
        <v>139</v>
      </c>
      <c r="C26" s="3"/>
      <c r="D26" s="3" t="e">
        <f>D3/C3-1</f>
        <v>#DIV/0!</v>
      </c>
      <c r="E26" s="3" t="e">
        <f>E3/D3-1</f>
        <v>#DIV/0!</v>
      </c>
      <c r="F26" s="39">
        <f>F3/E3-1</f>
        <v>0.1280755571197747</v>
      </c>
      <c r="G26" s="6">
        <f>G3/F3-1</f>
        <v>0.29174872677573349</v>
      </c>
      <c r="H26" s="48">
        <f>H4/G3-1</f>
        <v>0.28365582544256895</v>
      </c>
      <c r="I26" s="48">
        <f>I4/H4-1</f>
        <v>0.2080393414581998</v>
      </c>
      <c r="L26" s="4"/>
      <c r="M26" s="4"/>
      <c r="N26" s="4"/>
      <c r="O26" s="4"/>
      <c r="P26" s="4" t="e">
        <f>P3/L3-1</f>
        <v>#DIV/0!</v>
      </c>
      <c r="Q26" s="4" t="e">
        <f>Q3/M3-1</f>
        <v>#DIV/0!</v>
      </c>
      <c r="R26" s="4" t="e">
        <f>R3/N3-1</f>
        <v>#DIV/0!</v>
      </c>
      <c r="S26" s="4" t="e">
        <f>S3/O3-1</f>
        <v>#DIV/0!</v>
      </c>
      <c r="T26" s="4" t="e">
        <f>T3/P3-1</f>
        <v>#DIV/0!</v>
      </c>
      <c r="U26" s="4">
        <f>U3/Q3-1</f>
        <v>0.2720744583011443</v>
      </c>
      <c r="V26" s="4">
        <f>V3/R3-1</f>
        <v>0.26063134613451289</v>
      </c>
      <c r="W26" s="4" t="e">
        <f>W3/S3-1</f>
        <v>#DIV/0!</v>
      </c>
      <c r="X26" s="4">
        <f>X3/T3-1</f>
        <v>0.27537016884721988</v>
      </c>
      <c r="Y26" s="7">
        <f>Y3/U3-1</f>
        <v>0.35050956077133955</v>
      </c>
      <c r="Z26" s="4">
        <f>Z3/V3-1</f>
        <v>-1</v>
      </c>
      <c r="AA26" s="4">
        <f>AA3/W3-1</f>
        <v>-1</v>
      </c>
    </row>
    <row r="27" spans="2:27" x14ac:dyDescent="0.25">
      <c r="B27" t="s">
        <v>233</v>
      </c>
      <c r="C27" s="150" t="e">
        <f t="shared" ref="C27:G27" si="46">C9/C3</f>
        <v>#DIV/0!</v>
      </c>
      <c r="D27" s="150" t="e">
        <f t="shared" si="46"/>
        <v>#DIV/0!</v>
      </c>
      <c r="E27" s="150"/>
      <c r="F27" s="150"/>
      <c r="G27" s="7"/>
      <c r="H27" s="119"/>
      <c r="I27" s="119"/>
      <c r="L27" s="150"/>
      <c r="M27" s="150"/>
      <c r="N27" s="150"/>
      <c r="O27" s="150"/>
      <c r="P27" s="150"/>
      <c r="Q27" s="150"/>
      <c r="R27" s="150"/>
      <c r="S27" s="150"/>
      <c r="T27" s="150"/>
      <c r="U27" s="150"/>
      <c r="V27" s="150"/>
      <c r="W27" s="150"/>
      <c r="X27" s="150"/>
      <c r="Y27" s="7"/>
      <c r="Z27" s="150"/>
      <c r="AA27" s="150"/>
    </row>
    <row r="28" spans="2:27" x14ac:dyDescent="0.25">
      <c r="B28" t="s">
        <v>232</v>
      </c>
      <c r="C28" s="150" t="e">
        <f t="shared" ref="C28:G28" si="47">C11/C3</f>
        <v>#DIV/0!</v>
      </c>
      <c r="D28" s="150" t="e">
        <f t="shared" si="47"/>
        <v>#DIV/0!</v>
      </c>
      <c r="E28" s="150">
        <f t="shared" si="47"/>
        <v>8.9063174902813985E-2</v>
      </c>
      <c r="F28" s="150">
        <f t="shared" si="47"/>
        <v>7.5735793334385113E-2</v>
      </c>
      <c r="G28" s="7">
        <f>G11/G3</f>
        <v>6.5092630712227248E-2</v>
      </c>
      <c r="H28" s="119"/>
      <c r="I28" s="119"/>
      <c r="L28" s="150" t="e">
        <f t="shared" ref="L28:AA28" si="48">L11/L3</f>
        <v>#DIV/0!</v>
      </c>
      <c r="M28" s="150" t="e">
        <f t="shared" si="48"/>
        <v>#DIV/0!</v>
      </c>
      <c r="N28" s="150" t="e">
        <f t="shared" si="48"/>
        <v>#DIV/0!</v>
      </c>
      <c r="O28" s="150" t="e">
        <f t="shared" si="48"/>
        <v>#DIV/0!</v>
      </c>
      <c r="P28" s="150" t="e">
        <f t="shared" si="48"/>
        <v>#DIV/0!</v>
      </c>
      <c r="Q28" s="150">
        <f t="shared" si="48"/>
        <v>6.5820549608211015E-2</v>
      </c>
      <c r="R28" s="150">
        <f t="shared" si="48"/>
        <v>7.1938416464404201E-2</v>
      </c>
      <c r="S28" s="150" t="e">
        <f t="shared" si="48"/>
        <v>#DIV/0!</v>
      </c>
      <c r="T28" s="150">
        <f t="shared" si="48"/>
        <v>6.331893856206576E-2</v>
      </c>
      <c r="U28" s="150">
        <f t="shared" si="48"/>
        <v>6.1904982243455524E-2</v>
      </c>
      <c r="V28" s="150">
        <f t="shared" si="48"/>
        <v>6.5666778693613898E-2</v>
      </c>
      <c r="W28" s="150">
        <f t="shared" si="48"/>
        <v>6.966755093977535E-2</v>
      </c>
      <c r="X28" s="150">
        <f t="shared" si="48"/>
        <v>6.6878759565415474E-2</v>
      </c>
      <c r="Y28" s="7">
        <f t="shared" si="48"/>
        <v>5.8814963917856913E-2</v>
      </c>
      <c r="Z28" s="150" t="e">
        <f t="shared" si="48"/>
        <v>#DIV/0!</v>
      </c>
      <c r="AA28" s="150" t="e">
        <f t="shared" si="48"/>
        <v>#DIV/0!</v>
      </c>
    </row>
    <row r="29" spans="2:27" x14ac:dyDescent="0.25">
      <c r="B29" t="s">
        <v>133</v>
      </c>
      <c r="C29" s="150" t="e">
        <f t="shared" ref="C29:G29" si="49">C10/C3</f>
        <v>#DIV/0!</v>
      </c>
      <c r="D29" s="150" t="e">
        <f t="shared" si="49"/>
        <v>#DIV/0!</v>
      </c>
      <c r="E29" s="150">
        <f t="shared" si="49"/>
        <v>0.12956534259066696</v>
      </c>
      <c r="F29" s="150">
        <f t="shared" si="49"/>
        <v>0.12415288263646501</v>
      </c>
      <c r="G29" s="7">
        <f>G10/G3</f>
        <v>0.13927679429120352</v>
      </c>
      <c r="H29" s="119"/>
      <c r="I29" s="119"/>
      <c r="L29" s="150" t="e">
        <f t="shared" ref="L29:AA29" si="50">L10/L3</f>
        <v>#DIV/0!</v>
      </c>
      <c r="M29" s="150" t="e">
        <f t="shared" si="50"/>
        <v>#DIV/0!</v>
      </c>
      <c r="N29" s="150" t="e">
        <f t="shared" si="50"/>
        <v>#DIV/0!</v>
      </c>
      <c r="O29" s="150" t="e">
        <f t="shared" si="50"/>
        <v>#DIV/0!</v>
      </c>
      <c r="P29" s="150" t="e">
        <f t="shared" si="50"/>
        <v>#DIV/0!</v>
      </c>
      <c r="Q29" s="150">
        <f t="shared" si="50"/>
        <v>0.11981017547732038</v>
      </c>
      <c r="R29" s="150">
        <f t="shared" si="50"/>
        <v>0.11882261701302618</v>
      </c>
      <c r="S29" s="150" t="e">
        <f t="shared" si="50"/>
        <v>#DIV/0!</v>
      </c>
      <c r="T29" s="150">
        <f t="shared" si="50"/>
        <v>0.14291693544018949</v>
      </c>
      <c r="U29" s="150">
        <f t="shared" si="50"/>
        <v>0.13488611519196733</v>
      </c>
      <c r="V29" s="150">
        <f t="shared" si="50"/>
        <v>0.13939949758762313</v>
      </c>
      <c r="W29" s="150">
        <f t="shared" si="50"/>
        <v>0.13926737032228934</v>
      </c>
      <c r="X29" s="150">
        <f t="shared" si="50"/>
        <v>0.13065334393797831</v>
      </c>
      <c r="Y29" s="7">
        <f t="shared" si="50"/>
        <v>0.12112036660313924</v>
      </c>
      <c r="Z29" s="150" t="e">
        <f t="shared" si="50"/>
        <v>#DIV/0!</v>
      </c>
      <c r="AA29" s="150" t="e">
        <f t="shared" si="50"/>
        <v>#DIV/0!</v>
      </c>
    </row>
    <row r="30" spans="2:27" x14ac:dyDescent="0.25">
      <c r="B30" t="s">
        <v>138</v>
      </c>
      <c r="C30" s="3"/>
      <c r="D30" s="3" t="e">
        <f>-(D20/C20-1)</f>
        <v>#DIV/0!</v>
      </c>
      <c r="E30" s="3" t="e">
        <f>-(E20/D20-1)</f>
        <v>#DIV/0!</v>
      </c>
      <c r="F30" s="39">
        <f>F22/E22-1</f>
        <v>-0.13043463200506056</v>
      </c>
      <c r="G30" s="6">
        <f>G22/F22-1</f>
        <v>-1.0047121803519996</v>
      </c>
      <c r="H30" s="56">
        <f>H23/G22-1</f>
        <v>0.95886144578312904</v>
      </c>
      <c r="I30" s="56">
        <f>I23/H23-1</f>
        <v>0.1707317073170731</v>
      </c>
      <c r="L30" s="4"/>
      <c r="M30" s="4"/>
      <c r="N30" s="4"/>
      <c r="O30" s="4"/>
      <c r="P30" s="4" t="e">
        <f>P20/L20-1</f>
        <v>#DIV/0!</v>
      </c>
      <c r="Q30" s="4" t="e">
        <f>Q20/M20-1</f>
        <v>#DIV/0!</v>
      </c>
      <c r="R30" s="4" t="e">
        <f>R20/N20-1</f>
        <v>#DIV/0!</v>
      </c>
      <c r="S30" s="4" t="e">
        <f>S20/O20-1</f>
        <v>#DIV/0!</v>
      </c>
      <c r="T30" s="4" t="e">
        <f>T20/P20-1</f>
        <v>#DIV/0!</v>
      </c>
      <c r="U30" s="4">
        <f>U20/Q20-1</f>
        <v>-1.79526123936816</v>
      </c>
      <c r="V30" s="4">
        <f>V20/R20-1</f>
        <v>-1.5745396451694265</v>
      </c>
      <c r="W30" s="4" t="e">
        <f>W20/S20-1</f>
        <v>#DIV/0!</v>
      </c>
      <c r="X30" s="4">
        <f>X20/T20-1</f>
        <v>-7.5357309668378782</v>
      </c>
      <c r="Y30" s="7">
        <f>Y20/U20-1</f>
        <v>1.4903590527120052</v>
      </c>
      <c r="Z30" s="4">
        <f>Z20/V20-1</f>
        <v>-1</v>
      </c>
      <c r="AA30" s="4">
        <f>AA20/W20-1</f>
        <v>-1</v>
      </c>
    </row>
    <row r="31" spans="2:27" x14ac:dyDescent="0.25">
      <c r="C31" s="3"/>
      <c r="D31" s="3"/>
      <c r="E31" s="3"/>
      <c r="F31" s="39"/>
      <c r="G31" s="6"/>
      <c r="H31" s="56"/>
      <c r="I31" s="56"/>
      <c r="L31" s="4"/>
      <c r="M31" s="4"/>
      <c r="N31" s="4"/>
      <c r="O31" s="4"/>
      <c r="P31" s="4"/>
      <c r="Q31" s="4"/>
      <c r="R31" s="4"/>
      <c r="S31" s="4"/>
      <c r="T31" s="4"/>
      <c r="U31" s="4"/>
      <c r="V31" s="4"/>
      <c r="W31" s="4"/>
      <c r="X31" s="4"/>
      <c r="Y31" s="7"/>
      <c r="Z31" s="4"/>
      <c r="AA31" s="4"/>
    </row>
    <row r="34" spans="2:27" s="1" customFormat="1" x14ac:dyDescent="0.25">
      <c r="B34" s="1" t="s">
        <v>39</v>
      </c>
      <c r="C34" s="147">
        <f t="shared" ref="C34:F34" si="51">C35</f>
        <v>0</v>
      </c>
      <c r="D34" s="147">
        <f t="shared" si="51"/>
        <v>0</v>
      </c>
      <c r="E34" s="147">
        <f t="shared" si="51"/>
        <v>0</v>
      </c>
      <c r="F34" s="147">
        <f t="shared" si="51"/>
        <v>39.125</v>
      </c>
      <c r="G34" s="14">
        <f>G35</f>
        <v>332.428</v>
      </c>
      <c r="H34" s="147">
        <f>H35</f>
        <v>0</v>
      </c>
      <c r="I34" s="147">
        <f>I35</f>
        <v>0</v>
      </c>
      <c r="L34" s="147">
        <f t="shared" ref="L34:AA34" si="52">L35</f>
        <v>0</v>
      </c>
      <c r="M34" s="147">
        <f t="shared" si="52"/>
        <v>0</v>
      </c>
      <c r="N34" s="147">
        <f t="shared" si="52"/>
        <v>0</v>
      </c>
      <c r="O34" s="147">
        <f t="shared" si="52"/>
        <v>0</v>
      </c>
      <c r="P34" s="147">
        <f t="shared" si="52"/>
        <v>0</v>
      </c>
      <c r="Q34" s="147">
        <f t="shared" si="52"/>
        <v>0</v>
      </c>
      <c r="R34" s="147">
        <f t="shared" si="52"/>
        <v>0</v>
      </c>
      <c r="S34" s="147">
        <f t="shared" si="52"/>
        <v>39.125</v>
      </c>
      <c r="T34" s="147">
        <f t="shared" si="52"/>
        <v>0</v>
      </c>
      <c r="U34" s="147">
        <f t="shared" si="52"/>
        <v>352.84500000000003</v>
      </c>
      <c r="V34" s="147">
        <f t="shared" si="52"/>
        <v>340.399</v>
      </c>
      <c r="W34" s="147">
        <f t="shared" si="52"/>
        <v>332.428</v>
      </c>
      <c r="X34" s="147">
        <f t="shared" si="52"/>
        <v>329.11700000000002</v>
      </c>
      <c r="Y34" s="147">
        <f t="shared" si="52"/>
        <v>343.74799999999999</v>
      </c>
      <c r="Z34" s="147">
        <f t="shared" si="52"/>
        <v>0</v>
      </c>
      <c r="AA34" s="147">
        <f t="shared" si="52"/>
        <v>0</v>
      </c>
    </row>
    <row r="35" spans="2:27" x14ac:dyDescent="0.25">
      <c r="B35" t="s">
        <v>25</v>
      </c>
      <c r="C35" s="10"/>
      <c r="D35" s="10"/>
      <c r="E35" s="10"/>
      <c r="F35" s="10">
        <v>39.125</v>
      </c>
      <c r="G35" s="15">
        <v>332.428</v>
      </c>
      <c r="L35" s="10"/>
      <c r="M35" s="10"/>
      <c r="N35" s="10"/>
      <c r="O35" s="10"/>
      <c r="P35" s="10"/>
      <c r="Q35" s="10"/>
      <c r="R35" s="10"/>
      <c r="S35" s="10">
        <f>F35</f>
        <v>39.125</v>
      </c>
      <c r="T35" s="10"/>
      <c r="U35" s="10">
        <v>352.84500000000003</v>
      </c>
      <c r="V35" s="10">
        <v>340.399</v>
      </c>
      <c r="W35" s="10">
        <f>G35</f>
        <v>332.428</v>
      </c>
      <c r="X35" s="10">
        <v>329.11700000000002</v>
      </c>
      <c r="Y35" s="15">
        <v>343.74799999999999</v>
      </c>
      <c r="Z35" s="10"/>
      <c r="AA35" s="10"/>
    </row>
    <row r="36" spans="2:27" x14ac:dyDescent="0.25">
      <c r="B36" t="s">
        <v>217</v>
      </c>
      <c r="C36" s="10"/>
      <c r="D36" s="10"/>
      <c r="E36" s="10"/>
      <c r="F36" s="10">
        <v>2.827</v>
      </c>
      <c r="G36" s="15">
        <v>3.6619999999999999</v>
      </c>
      <c r="L36" s="10"/>
      <c r="M36" s="10"/>
      <c r="N36" s="10"/>
      <c r="O36" s="10"/>
      <c r="P36" s="10"/>
      <c r="Q36" s="10"/>
      <c r="R36" s="10"/>
      <c r="S36" s="10">
        <f t="shared" ref="S36:S39" si="53">F36</f>
        <v>2.827</v>
      </c>
      <c r="T36" s="10"/>
      <c r="U36" s="10">
        <v>4.3259999999999996</v>
      </c>
      <c r="V36" s="10">
        <v>5.1920000000000002</v>
      </c>
      <c r="W36" s="10">
        <f t="shared" ref="W36:W39" si="54">G36</f>
        <v>3.6619999999999999</v>
      </c>
      <c r="X36" s="10">
        <v>5.5110000000000001</v>
      </c>
      <c r="Y36" s="15">
        <v>5.9269999999999996</v>
      </c>
      <c r="Z36" s="10"/>
      <c r="AA36" s="10"/>
    </row>
    <row r="37" spans="2:27" x14ac:dyDescent="0.25">
      <c r="B37" t="s">
        <v>218</v>
      </c>
      <c r="C37" s="10"/>
      <c r="D37" s="10"/>
      <c r="E37" s="10"/>
      <c r="F37" s="10">
        <v>4.9080000000000004</v>
      </c>
      <c r="G37" s="15">
        <v>8.2230000000000008</v>
      </c>
      <c r="L37" s="10"/>
      <c r="M37" s="10"/>
      <c r="N37" s="10"/>
      <c r="O37" s="10"/>
      <c r="P37" s="10"/>
      <c r="Q37" s="10"/>
      <c r="R37" s="10"/>
      <c r="S37" s="10">
        <f t="shared" si="53"/>
        <v>4.9080000000000004</v>
      </c>
      <c r="T37" s="10"/>
      <c r="U37" s="10">
        <v>7.5519999999999996</v>
      </c>
      <c r="V37" s="10">
        <v>7.5</v>
      </c>
      <c r="W37" s="10">
        <f t="shared" si="54"/>
        <v>8.2230000000000008</v>
      </c>
      <c r="X37" s="10">
        <v>6.2210000000000001</v>
      </c>
      <c r="Y37" s="15">
        <v>7.9619999999999997</v>
      </c>
      <c r="Z37" s="10"/>
      <c r="AA37" s="10"/>
    </row>
    <row r="38" spans="2:27" x14ac:dyDescent="0.25">
      <c r="B38" t="s">
        <v>79</v>
      </c>
      <c r="C38" s="10"/>
      <c r="D38" s="10"/>
      <c r="E38" s="10"/>
      <c r="F38" s="10">
        <v>5.1390000000000002</v>
      </c>
      <c r="G38" s="15">
        <v>5.6369999999999996</v>
      </c>
      <c r="L38" s="10"/>
      <c r="M38" s="10"/>
      <c r="N38" s="10"/>
      <c r="O38" s="10"/>
      <c r="P38" s="10"/>
      <c r="Q38" s="10"/>
      <c r="R38" s="10"/>
      <c r="S38" s="10">
        <f t="shared" si="53"/>
        <v>5.1390000000000002</v>
      </c>
      <c r="T38" s="10"/>
      <c r="U38" s="10">
        <v>5.3570000000000002</v>
      </c>
      <c r="V38" s="10">
        <v>5.726</v>
      </c>
      <c r="W38" s="10">
        <f t="shared" si="54"/>
        <v>5.6369999999999996</v>
      </c>
      <c r="X38" s="10">
        <v>6.3040000000000003</v>
      </c>
      <c r="Y38" s="15">
        <v>7.1950000000000003</v>
      </c>
      <c r="Z38" s="10"/>
      <c r="AA38" s="10"/>
    </row>
    <row r="39" spans="2:27" x14ac:dyDescent="0.25">
      <c r="B39" t="s">
        <v>74</v>
      </c>
      <c r="C39" s="10"/>
      <c r="D39" s="10"/>
      <c r="E39" s="10"/>
      <c r="F39" s="10">
        <v>6.1509999999999998</v>
      </c>
      <c r="G39" s="15">
        <v>4.9619999999999997</v>
      </c>
      <c r="L39" s="10"/>
      <c r="M39" s="10"/>
      <c r="N39" s="10"/>
      <c r="O39" s="10"/>
      <c r="P39" s="10"/>
      <c r="Q39" s="10"/>
      <c r="R39" s="10"/>
      <c r="S39" s="10">
        <f t="shared" si="53"/>
        <v>6.1509999999999998</v>
      </c>
      <c r="T39" s="10"/>
      <c r="U39" s="10">
        <v>4.5339999999999998</v>
      </c>
      <c r="V39" s="10">
        <v>4.8319999999999999</v>
      </c>
      <c r="W39" s="10">
        <f t="shared" si="54"/>
        <v>4.9619999999999997</v>
      </c>
      <c r="X39" s="10">
        <v>4.8609999999999998</v>
      </c>
      <c r="Y39" s="15">
        <v>4.9340000000000002</v>
      </c>
      <c r="Z39" s="10"/>
      <c r="AA39" s="10"/>
    </row>
    <row r="40" spans="2:27" s="1" customFormat="1" x14ac:dyDescent="0.25">
      <c r="B40" s="1" t="s">
        <v>61</v>
      </c>
      <c r="C40" s="11">
        <f>SUM(C35:C39)</f>
        <v>0</v>
      </c>
      <c r="D40" s="11">
        <f>SUM(D35:D39)</f>
        <v>0</v>
      </c>
      <c r="E40" s="11">
        <f>SUM(E35:E39)</f>
        <v>0</v>
      </c>
      <c r="F40" s="11">
        <f>SUM(F35:F39)</f>
        <v>58.150000000000006</v>
      </c>
      <c r="G40" s="14">
        <f>SUM(G35:G39)</f>
        <v>354.91199999999998</v>
      </c>
      <c r="L40" s="11">
        <f>SUM(L35:L39)</f>
        <v>0</v>
      </c>
      <c r="M40" s="11">
        <f>SUM(M35:M39)</f>
        <v>0</v>
      </c>
      <c r="N40" s="11">
        <f>SUM(N35:N39)</f>
        <v>0</v>
      </c>
      <c r="O40" s="11">
        <f>SUM(O35:O39)</f>
        <v>0</v>
      </c>
      <c r="P40" s="11">
        <f>SUM(P35:P39)</f>
        <v>0</v>
      </c>
      <c r="Q40" s="11">
        <f>SUM(Q35:Q39)</f>
        <v>0</v>
      </c>
      <c r="R40" s="11">
        <f>SUM(R35:R39)</f>
        <v>0</v>
      </c>
      <c r="S40" s="11">
        <f>SUM(S35:S39)</f>
        <v>58.150000000000006</v>
      </c>
      <c r="T40" s="11">
        <f>SUM(T35:T39)</f>
        <v>0</v>
      </c>
      <c r="U40" s="11">
        <f>SUM(U35:U39)</f>
        <v>374.61400000000009</v>
      </c>
      <c r="V40" s="11">
        <f>SUM(V35:V39)</f>
        <v>363.649</v>
      </c>
      <c r="W40" s="11">
        <f>SUM(W35:W39)</f>
        <v>354.91199999999998</v>
      </c>
      <c r="X40" s="11">
        <f>SUM(X35:X39)</f>
        <v>352.01400000000001</v>
      </c>
      <c r="Y40" s="14">
        <f>SUM(Y35:Y39)</f>
        <v>369.76600000000002</v>
      </c>
      <c r="Z40" s="11">
        <f>SUM(Z35:Z39)</f>
        <v>0</v>
      </c>
      <c r="AA40" s="11">
        <f>SUM(AA35:AA39)</f>
        <v>0</v>
      </c>
    </row>
    <row r="41" spans="2:27" x14ac:dyDescent="0.25">
      <c r="B41" t="s">
        <v>75</v>
      </c>
      <c r="C41" s="10"/>
      <c r="D41" s="10"/>
      <c r="E41" s="10"/>
      <c r="F41" s="10">
        <v>242.983</v>
      </c>
      <c r="G41" s="15">
        <v>330.73</v>
      </c>
      <c r="L41" s="10"/>
      <c r="M41" s="10"/>
      <c r="N41" s="10"/>
      <c r="O41" s="10"/>
      <c r="P41" s="10"/>
      <c r="Q41" s="10"/>
      <c r="R41" s="10"/>
      <c r="S41" s="10">
        <f t="shared" ref="S41:S45" si="55">F41</f>
        <v>242.983</v>
      </c>
      <c r="T41" s="10"/>
      <c r="U41" s="10">
        <v>298.31799999999998</v>
      </c>
      <c r="V41" s="10">
        <v>316.08600000000001</v>
      </c>
      <c r="W41" s="10">
        <f t="shared" ref="W41:W45" si="56">G41</f>
        <v>330.73</v>
      </c>
      <c r="X41" s="10">
        <v>345.69499999999999</v>
      </c>
      <c r="Y41" s="15">
        <v>355.01400000000001</v>
      </c>
      <c r="Z41" s="10"/>
      <c r="AA41" s="10"/>
    </row>
    <row r="42" spans="2:27" x14ac:dyDescent="0.25">
      <c r="B42" t="s">
        <v>219</v>
      </c>
      <c r="C42" s="10"/>
      <c r="D42" s="10"/>
      <c r="E42" s="10"/>
      <c r="F42" s="10">
        <v>273.87599999999998</v>
      </c>
      <c r="G42" s="15">
        <v>289.45100000000002</v>
      </c>
      <c r="L42" s="10"/>
      <c r="M42" s="10"/>
      <c r="N42" s="10"/>
      <c r="O42" s="10"/>
      <c r="P42" s="10"/>
      <c r="Q42" s="10"/>
      <c r="R42" s="10"/>
      <c r="S42" s="10">
        <f t="shared" si="55"/>
        <v>273.87599999999998</v>
      </c>
      <c r="T42" s="10"/>
      <c r="U42" s="10">
        <v>289.12599999999998</v>
      </c>
      <c r="V42" s="10">
        <v>297.03100000000001</v>
      </c>
      <c r="W42" s="10">
        <f t="shared" si="56"/>
        <v>289.45100000000002</v>
      </c>
      <c r="X42" s="10">
        <v>298.798</v>
      </c>
      <c r="Y42" s="15">
        <v>304.92599999999999</v>
      </c>
      <c r="Z42" s="10"/>
      <c r="AA42" s="10"/>
    </row>
    <row r="43" spans="2:27" x14ac:dyDescent="0.25">
      <c r="B43" t="s">
        <v>27</v>
      </c>
      <c r="C43" s="10"/>
      <c r="D43" s="10"/>
      <c r="E43" s="10"/>
      <c r="F43" s="10">
        <v>1.944</v>
      </c>
      <c r="G43" s="15">
        <v>1.944</v>
      </c>
      <c r="L43" s="10"/>
      <c r="M43" s="10"/>
      <c r="N43" s="10"/>
      <c r="O43" s="10"/>
      <c r="P43" s="10"/>
      <c r="Q43" s="10"/>
      <c r="R43" s="10"/>
      <c r="S43" s="10">
        <f t="shared" si="55"/>
        <v>1.944</v>
      </c>
      <c r="T43" s="10"/>
      <c r="U43" s="10">
        <v>1.944</v>
      </c>
      <c r="V43" s="10">
        <v>1.944</v>
      </c>
      <c r="W43" s="10">
        <f t="shared" si="56"/>
        <v>1.944</v>
      </c>
      <c r="X43" s="10">
        <v>1.944</v>
      </c>
      <c r="Y43" s="15">
        <v>1.944</v>
      </c>
      <c r="Z43" s="10"/>
      <c r="AA43" s="10"/>
    </row>
    <row r="44" spans="2:27" x14ac:dyDescent="0.25">
      <c r="B44" t="s">
        <v>76</v>
      </c>
      <c r="C44" s="10"/>
      <c r="D44" s="10"/>
      <c r="E44" s="10"/>
      <c r="F44" s="10">
        <v>1.3819999999999999</v>
      </c>
      <c r="G44" s="15">
        <v>1.355</v>
      </c>
      <c r="L44" s="10"/>
      <c r="M44" s="10"/>
      <c r="N44" s="10"/>
      <c r="O44" s="10"/>
      <c r="P44" s="10"/>
      <c r="Q44" s="10"/>
      <c r="R44" s="10"/>
      <c r="S44" s="10">
        <f t="shared" si="55"/>
        <v>1.3819999999999999</v>
      </c>
      <c r="T44" s="10"/>
      <c r="U44" s="10">
        <v>1.355</v>
      </c>
      <c r="V44" s="10">
        <v>1.355</v>
      </c>
      <c r="W44" s="10">
        <f t="shared" si="56"/>
        <v>1.355</v>
      </c>
      <c r="X44" s="10">
        <v>1.355</v>
      </c>
      <c r="Y44" s="15">
        <v>1.355</v>
      </c>
      <c r="Z44" s="10"/>
      <c r="AA44" s="10"/>
    </row>
    <row r="45" spans="2:27" s="1" customFormat="1" x14ac:dyDescent="0.25">
      <c r="B45" t="s">
        <v>220</v>
      </c>
      <c r="C45" s="10"/>
      <c r="D45" s="10"/>
      <c r="E45" s="10"/>
      <c r="F45" s="10">
        <v>5.548</v>
      </c>
      <c r="G45" s="15">
        <v>5.3650000000000002</v>
      </c>
      <c r="L45" s="10"/>
      <c r="M45" s="10"/>
      <c r="N45" s="10"/>
      <c r="O45" s="10"/>
      <c r="P45" s="10"/>
      <c r="Q45" s="10"/>
      <c r="R45" s="10"/>
      <c r="S45" s="10">
        <f t="shared" si="55"/>
        <v>5.548</v>
      </c>
      <c r="T45" s="10"/>
      <c r="U45" s="10">
        <v>5.0179999999999998</v>
      </c>
      <c r="V45" s="10">
        <v>4.9089999999999998</v>
      </c>
      <c r="W45" s="10">
        <f t="shared" si="56"/>
        <v>5.3650000000000002</v>
      </c>
      <c r="X45" s="10">
        <v>5.2839999999999998</v>
      </c>
      <c r="Y45" s="15">
        <v>5.5369999999999999</v>
      </c>
      <c r="Z45" s="10"/>
      <c r="AA45" s="10"/>
    </row>
    <row r="46" spans="2:27" x14ac:dyDescent="0.25">
      <c r="B46" s="1" t="s">
        <v>28</v>
      </c>
      <c r="C46" s="11">
        <f>SUM(C40:C45)</f>
        <v>0</v>
      </c>
      <c r="D46" s="11">
        <f>SUM(D40:D45)</f>
        <v>0</v>
      </c>
      <c r="E46" s="11">
        <f>SUM(E40:E45)</f>
        <v>0</v>
      </c>
      <c r="F46" s="11">
        <f>SUM(F40:F45)</f>
        <v>583.88299999999992</v>
      </c>
      <c r="G46" s="14">
        <f>SUM(G40:G45)</f>
        <v>983.75700000000006</v>
      </c>
      <c r="L46" s="11">
        <f>SUM(L40:L45)</f>
        <v>0</v>
      </c>
      <c r="M46" s="11">
        <f>SUM(M40:M45)</f>
        <v>0</v>
      </c>
      <c r="N46" s="11">
        <f>SUM(N40:N45)</f>
        <v>0</v>
      </c>
      <c r="O46" s="11">
        <f>SUM(O40:O45)</f>
        <v>0</v>
      </c>
      <c r="P46" s="11">
        <f>SUM(P40:P45)</f>
        <v>0</v>
      </c>
      <c r="Q46" s="11">
        <f>SUM(Q40:Q45)</f>
        <v>0</v>
      </c>
      <c r="R46" s="11">
        <f>SUM(R40:R45)</f>
        <v>0</v>
      </c>
      <c r="S46" s="11">
        <f>SUM(S40:S45)</f>
        <v>583.88299999999992</v>
      </c>
      <c r="T46" s="11">
        <f>SUM(T40:T45)</f>
        <v>0</v>
      </c>
      <c r="U46" s="11">
        <f>SUM(U40:U45)</f>
        <v>970.375</v>
      </c>
      <c r="V46" s="11">
        <f>SUM(V40:V45)</f>
        <v>984.97400000000005</v>
      </c>
      <c r="W46" s="11">
        <f>SUM(W40:W45)</f>
        <v>983.75700000000006</v>
      </c>
      <c r="X46" s="11">
        <f>SUM(X40:X45)</f>
        <v>1005.09</v>
      </c>
      <c r="Y46" s="14">
        <f>SUM(Y40:Y45)</f>
        <v>1038.5419999999999</v>
      </c>
      <c r="Z46" s="11">
        <f>SUM(Z40:Z45)</f>
        <v>0</v>
      </c>
      <c r="AA46" s="11">
        <f>SUM(AA40:AA45)</f>
        <v>0</v>
      </c>
    </row>
    <row r="47" spans="2:27" x14ac:dyDescent="0.25">
      <c r="B47" t="s">
        <v>30</v>
      </c>
      <c r="C47" s="10"/>
      <c r="D47" s="10"/>
      <c r="E47" s="10"/>
      <c r="F47" s="10">
        <v>14.311</v>
      </c>
      <c r="G47" s="15">
        <v>17.234000000000002</v>
      </c>
      <c r="L47" s="10"/>
      <c r="M47" s="10"/>
      <c r="N47" s="10"/>
      <c r="O47" s="10"/>
      <c r="P47" s="10"/>
      <c r="Q47" s="10"/>
      <c r="R47" s="10"/>
      <c r="S47" s="10">
        <f t="shared" ref="S47:S49" si="57">F47</f>
        <v>14.311</v>
      </c>
      <c r="T47" s="10"/>
      <c r="U47" s="10">
        <v>14.204000000000001</v>
      </c>
      <c r="V47" s="10">
        <v>13.568</v>
      </c>
      <c r="W47" s="10">
        <f t="shared" ref="W47:W49" si="58">G47</f>
        <v>17.234000000000002</v>
      </c>
      <c r="X47" s="10">
        <v>19.353000000000002</v>
      </c>
      <c r="Y47" s="15">
        <v>20.347999999999999</v>
      </c>
      <c r="Z47" s="10"/>
      <c r="AA47" s="10"/>
    </row>
    <row r="48" spans="2:27" x14ac:dyDescent="0.25">
      <c r="B48" t="s">
        <v>221</v>
      </c>
      <c r="C48" s="10"/>
      <c r="D48" s="10"/>
      <c r="E48" s="10"/>
      <c r="F48" s="10">
        <v>40.468000000000004</v>
      </c>
      <c r="G48" s="15">
        <v>59.219000000000001</v>
      </c>
      <c r="L48" s="10"/>
      <c r="M48" s="10"/>
      <c r="N48" s="10"/>
      <c r="O48" s="10"/>
      <c r="P48" s="10"/>
      <c r="Q48" s="10"/>
      <c r="R48" s="10"/>
      <c r="S48" s="10">
        <f t="shared" si="57"/>
        <v>40.468000000000004</v>
      </c>
      <c r="T48" s="10"/>
      <c r="U48" s="10">
        <v>66.388000000000005</v>
      </c>
      <c r="V48" s="10">
        <v>62.997</v>
      </c>
      <c r="W48" s="10">
        <f t="shared" si="58"/>
        <v>59.219000000000001</v>
      </c>
      <c r="X48" s="10">
        <v>53.96</v>
      </c>
      <c r="Y48" s="15">
        <v>63.542000000000002</v>
      </c>
      <c r="Z48" s="10"/>
      <c r="AA48" s="10"/>
    </row>
    <row r="49" spans="2:27" x14ac:dyDescent="0.25">
      <c r="B49" t="s">
        <v>222</v>
      </c>
      <c r="C49" s="10"/>
      <c r="D49" s="10"/>
      <c r="E49" s="10"/>
      <c r="F49" s="10">
        <v>29.539000000000001</v>
      </c>
      <c r="G49" s="15">
        <v>32.582999999999998</v>
      </c>
      <c r="L49" s="10"/>
      <c r="M49" s="10"/>
      <c r="N49" s="10"/>
      <c r="O49" s="10"/>
      <c r="P49" s="10"/>
      <c r="Q49" s="10"/>
      <c r="R49" s="10"/>
      <c r="S49" s="10">
        <f t="shared" si="57"/>
        <v>29.539000000000001</v>
      </c>
      <c r="T49" s="10"/>
      <c r="U49" s="10">
        <v>34.106000000000002</v>
      </c>
      <c r="V49" s="10">
        <v>36.366</v>
      </c>
      <c r="W49" s="10">
        <f t="shared" si="58"/>
        <v>32.582999999999998</v>
      </c>
      <c r="X49" s="10">
        <v>37.994999999999997</v>
      </c>
      <c r="Y49" s="15">
        <v>39.710999999999999</v>
      </c>
      <c r="Z49" s="10"/>
      <c r="AA49" s="10"/>
    </row>
    <row r="50" spans="2:27" s="1" customFormat="1" x14ac:dyDescent="0.25">
      <c r="B50" s="1" t="s">
        <v>62</v>
      </c>
      <c r="C50" s="11">
        <f>SUM(C47:C49)</f>
        <v>0</v>
      </c>
      <c r="D50" s="11">
        <f>SUM(D47:D49)</f>
        <v>0</v>
      </c>
      <c r="E50" s="11">
        <f>SUM(E47:E49)</f>
        <v>0</v>
      </c>
      <c r="F50" s="11">
        <f>SUM(F47:F49)</f>
        <v>84.318000000000012</v>
      </c>
      <c r="G50" s="14">
        <f>SUM(G47:G49)</f>
        <v>109.036</v>
      </c>
      <c r="L50" s="11">
        <f>SUM(L47:L49)</f>
        <v>0</v>
      </c>
      <c r="M50" s="11">
        <f>SUM(M47:M49)</f>
        <v>0</v>
      </c>
      <c r="N50" s="11">
        <f>SUM(N47:N49)</f>
        <v>0</v>
      </c>
      <c r="O50" s="11">
        <f>SUM(O47:O49)</f>
        <v>0</v>
      </c>
      <c r="P50" s="11">
        <f>SUM(P47:P49)</f>
        <v>0</v>
      </c>
      <c r="Q50" s="11">
        <f>SUM(Q47:Q49)</f>
        <v>0</v>
      </c>
      <c r="R50" s="11">
        <f>SUM(R47:R49)</f>
        <v>0</v>
      </c>
      <c r="S50" s="11">
        <f>SUM(S47:S49)</f>
        <v>84.318000000000012</v>
      </c>
      <c r="T50" s="11">
        <f>SUM(T47:T49)</f>
        <v>0</v>
      </c>
      <c r="U50" s="11">
        <f>SUM(U47:U49)</f>
        <v>114.69800000000001</v>
      </c>
      <c r="V50" s="11">
        <f>SUM(V47:V49)</f>
        <v>112.931</v>
      </c>
      <c r="W50" s="11">
        <f>SUM(W47:W49)</f>
        <v>109.036</v>
      </c>
      <c r="X50" s="11">
        <f>SUM(X47:X49)</f>
        <v>111.30799999999999</v>
      </c>
      <c r="Y50" s="14">
        <f>SUM(Y47:Y49)</f>
        <v>123.601</v>
      </c>
      <c r="Z50" s="11">
        <f>SUM(Z47:Z49)</f>
        <v>0</v>
      </c>
      <c r="AA50" s="11">
        <f>SUM(AA47:AA49)</f>
        <v>0</v>
      </c>
    </row>
    <row r="51" spans="2:27" x14ac:dyDescent="0.25">
      <c r="B51" t="s">
        <v>77</v>
      </c>
      <c r="C51" s="10"/>
      <c r="D51" s="10"/>
      <c r="E51" s="10"/>
      <c r="F51" s="10">
        <v>2.8000000000000001E-2</v>
      </c>
      <c r="G51" s="15">
        <v>7.9000000000000001E-2</v>
      </c>
      <c r="L51" s="10"/>
      <c r="M51" s="10"/>
      <c r="N51" s="10"/>
      <c r="O51" s="10"/>
      <c r="P51" s="10"/>
      <c r="Q51" s="10"/>
      <c r="R51" s="10"/>
      <c r="S51" s="10">
        <f t="shared" ref="S51:S53" si="59">F51</f>
        <v>2.8000000000000001E-2</v>
      </c>
      <c r="T51" s="10"/>
      <c r="U51" s="10">
        <v>2.8000000000000001E-2</v>
      </c>
      <c r="V51" s="10">
        <v>2.8000000000000001E-2</v>
      </c>
      <c r="W51" s="10">
        <f t="shared" ref="W51:W53" si="60">G51</f>
        <v>7.9000000000000001E-2</v>
      </c>
      <c r="X51" s="10">
        <v>7.9000000000000001E-2</v>
      </c>
      <c r="Y51" s="15">
        <v>7.9000000000000001E-2</v>
      </c>
      <c r="Z51" s="10"/>
      <c r="AA51" s="10"/>
    </row>
    <row r="52" spans="2:27" x14ac:dyDescent="0.25">
      <c r="B52" t="s">
        <v>219</v>
      </c>
      <c r="C52" s="10"/>
      <c r="D52" s="10"/>
      <c r="E52" s="10"/>
      <c r="F52" s="10">
        <v>285.19400000000002</v>
      </c>
      <c r="G52" s="15">
        <v>303.61500000000001</v>
      </c>
      <c r="L52" s="10"/>
      <c r="M52" s="10"/>
      <c r="N52" s="10"/>
      <c r="O52" s="10"/>
      <c r="P52" s="10"/>
      <c r="Q52" s="10"/>
      <c r="R52" s="10"/>
      <c r="S52" s="10">
        <f t="shared" si="59"/>
        <v>285.19400000000002</v>
      </c>
      <c r="T52" s="10"/>
      <c r="U52" s="10">
        <v>299.47300000000001</v>
      </c>
      <c r="V52" s="10">
        <v>305.99299999999999</v>
      </c>
      <c r="W52" s="10">
        <f t="shared" si="60"/>
        <v>303.61500000000001</v>
      </c>
      <c r="X52" s="10">
        <v>312.77100000000002</v>
      </c>
      <c r="Y52" s="15">
        <v>319.42500000000001</v>
      </c>
      <c r="Z52" s="10"/>
      <c r="AA52" s="10"/>
    </row>
    <row r="53" spans="2:27" x14ac:dyDescent="0.25">
      <c r="B53" t="s">
        <v>223</v>
      </c>
      <c r="C53" s="10"/>
      <c r="D53" s="10"/>
      <c r="E53" s="10"/>
      <c r="F53" s="10">
        <v>0.53800000000000003</v>
      </c>
      <c r="G53" s="15">
        <v>0.22500000000000001</v>
      </c>
      <c r="L53" s="10"/>
      <c r="M53" s="10"/>
      <c r="N53" s="10"/>
      <c r="O53" s="10"/>
      <c r="P53" s="10"/>
      <c r="Q53" s="10"/>
      <c r="R53" s="10"/>
      <c r="S53" s="10">
        <f t="shared" si="59"/>
        <v>0.53800000000000003</v>
      </c>
      <c r="T53" s="10"/>
      <c r="U53" s="10">
        <v>0.36699999999999999</v>
      </c>
      <c r="V53" s="10">
        <v>0.29899999999999999</v>
      </c>
      <c r="W53" s="10">
        <f t="shared" si="60"/>
        <v>0.22500000000000001</v>
      </c>
      <c r="X53" s="10">
        <v>0.122</v>
      </c>
      <c r="Y53" s="15">
        <v>0</v>
      </c>
      <c r="Z53" s="10"/>
      <c r="AA53" s="10"/>
    </row>
    <row r="54" spans="2:27" x14ac:dyDescent="0.25">
      <c r="B54" s="1" t="s">
        <v>29</v>
      </c>
      <c r="C54" s="11">
        <f>SUM(C50:C53)</f>
        <v>0</v>
      </c>
      <c r="D54" s="11">
        <f>SUM(D50:D53)</f>
        <v>0</v>
      </c>
      <c r="E54" s="11">
        <f>SUM(E50:E53)</f>
        <v>0</v>
      </c>
      <c r="F54" s="11">
        <f>SUM(F50:F53)</f>
        <v>370.07800000000003</v>
      </c>
      <c r="G54" s="14">
        <f>SUM(G50:G53)</f>
        <v>412.95500000000004</v>
      </c>
      <c r="L54" s="11">
        <f>SUM(L50:L53)</f>
        <v>0</v>
      </c>
      <c r="M54" s="11">
        <f>SUM(M50:M53)</f>
        <v>0</v>
      </c>
      <c r="N54" s="11">
        <f>SUM(N50:N53)</f>
        <v>0</v>
      </c>
      <c r="O54" s="11">
        <f>SUM(O50:O53)</f>
        <v>0</v>
      </c>
      <c r="P54" s="11">
        <f>SUM(P50:P53)</f>
        <v>0</v>
      </c>
      <c r="Q54" s="11">
        <f>SUM(Q50:Q53)</f>
        <v>0</v>
      </c>
      <c r="R54" s="11">
        <f>SUM(R50:R53)</f>
        <v>0</v>
      </c>
      <c r="S54" s="11">
        <f>SUM(S50:S53)</f>
        <v>370.07800000000003</v>
      </c>
      <c r="T54" s="11">
        <f>SUM(T50:T53)</f>
        <v>0</v>
      </c>
      <c r="U54" s="11">
        <f>SUM(U50:U53)</f>
        <v>414.56600000000003</v>
      </c>
      <c r="V54" s="11">
        <f>SUM(V50:V53)</f>
        <v>419.25099999999998</v>
      </c>
      <c r="W54" s="11">
        <f>SUM(W50:W53)</f>
        <v>412.95500000000004</v>
      </c>
      <c r="X54" s="11">
        <f>SUM(X50:X53)</f>
        <v>424.28000000000003</v>
      </c>
      <c r="Y54" s="14">
        <f>SUM(Y50:Y53)</f>
        <v>443.10500000000002</v>
      </c>
      <c r="Z54" s="11">
        <f>SUM(Z50:Z53)</f>
        <v>0</v>
      </c>
      <c r="AA54" s="11">
        <f>SUM(AA50:AA53)</f>
        <v>0</v>
      </c>
    </row>
    <row r="55" spans="2:27" x14ac:dyDescent="0.25">
      <c r="B55" t="s">
        <v>78</v>
      </c>
      <c r="C55" s="10">
        <f>C46-C54</f>
        <v>0</v>
      </c>
      <c r="D55" s="10">
        <f>D46-D54</f>
        <v>0</v>
      </c>
      <c r="E55" s="10">
        <f>E46-E54</f>
        <v>0</v>
      </c>
      <c r="F55" s="10">
        <f>F46-F54</f>
        <v>213.80499999999989</v>
      </c>
      <c r="G55" s="15">
        <f>G46-G54</f>
        <v>570.80200000000002</v>
      </c>
      <c r="L55" s="10">
        <f>L46-L54</f>
        <v>0</v>
      </c>
      <c r="M55" s="10">
        <f>M46-M54</f>
        <v>0</v>
      </c>
      <c r="N55" s="10">
        <f>N46-N54</f>
        <v>0</v>
      </c>
      <c r="O55" s="10">
        <f>O46-O54</f>
        <v>0</v>
      </c>
      <c r="P55" s="10">
        <f>P46-P54</f>
        <v>0</v>
      </c>
      <c r="Q55" s="10">
        <f>Q46-Q54</f>
        <v>0</v>
      </c>
      <c r="R55" s="10">
        <f>R46-R54</f>
        <v>0</v>
      </c>
      <c r="S55" s="10">
        <f>S46-S54</f>
        <v>213.80499999999989</v>
      </c>
      <c r="T55" s="10">
        <f>T46-T54</f>
        <v>0</v>
      </c>
      <c r="U55" s="10">
        <f>U46-U54</f>
        <v>555.80899999999997</v>
      </c>
      <c r="V55" s="10">
        <f>V46-V54</f>
        <v>565.72300000000007</v>
      </c>
      <c r="W55" s="10">
        <f>W46-W54</f>
        <v>570.80200000000002</v>
      </c>
      <c r="X55" s="10">
        <f>X46-X54</f>
        <v>580.80999999999995</v>
      </c>
      <c r="Y55" s="15">
        <f>Y46-Y54</f>
        <v>595.4369999999999</v>
      </c>
      <c r="Z55" s="10">
        <f>Z46-Z54</f>
        <v>0</v>
      </c>
      <c r="AA55" s="10">
        <f>AA46-AA54</f>
        <v>0</v>
      </c>
    </row>
    <row r="57" spans="2:27" s="1" customFormat="1" x14ac:dyDescent="0.25">
      <c r="B57" s="1" t="s">
        <v>80</v>
      </c>
      <c r="C57" s="51"/>
      <c r="D57" s="51"/>
      <c r="E57" s="51"/>
      <c r="F57" s="51"/>
      <c r="G57" s="52"/>
      <c r="Y57" s="16"/>
    </row>
    <row r="75" spans="7:25" s="9" customFormat="1" x14ac:dyDescent="0.25">
      <c r="G75" s="41"/>
      <c r="Y75" s="41"/>
    </row>
    <row r="76" spans="7:25" s="1" customFormat="1" x14ac:dyDescent="0.25">
      <c r="G76" s="16"/>
      <c r="Y76"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A19" workbookViewId="0">
      <selection activeCell="W49" sqref="W49"/>
    </sheetView>
  </sheetViews>
  <sheetFormatPr defaultRowHeight="15" x14ac:dyDescent="0.25"/>
  <sheetData>
    <row r="1" spans="1:1" x14ac:dyDescent="0.25">
      <c r="A1" s="8" t="s">
        <v>38</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D18" sqref="D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38</v>
      </c>
      <c r="B1" t="s">
        <v>51</v>
      </c>
      <c r="C1" s="17" t="s">
        <v>52</v>
      </c>
    </row>
    <row r="2" spans="1:13" x14ac:dyDescent="0.25">
      <c r="B2" s="12"/>
      <c r="C2" s="18"/>
      <c r="E2" t="s">
        <v>51</v>
      </c>
      <c r="F2" t="s">
        <v>53</v>
      </c>
      <c r="M2" t="s">
        <v>54</v>
      </c>
    </row>
    <row r="3" spans="1:13" x14ac:dyDescent="0.25">
      <c r="B3" s="12"/>
      <c r="C3" s="18"/>
      <c r="E3" s="12">
        <v>45328</v>
      </c>
      <c r="F3" t="s">
        <v>56</v>
      </c>
      <c r="M3" s="12"/>
    </row>
    <row r="4" spans="1:13" x14ac:dyDescent="0.25">
      <c r="B4" s="12"/>
      <c r="C4" s="18"/>
      <c r="E4" s="12">
        <v>45302</v>
      </c>
      <c r="F4" t="s">
        <v>56</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38</v>
      </c>
      <c r="B1" s="1" t="s">
        <v>51</v>
      </c>
      <c r="C1" s="1" t="s">
        <v>0</v>
      </c>
      <c r="D1" s="1" t="s">
        <v>93</v>
      </c>
      <c r="H1" s="133" t="s">
        <v>94</v>
      </c>
      <c r="I1" s="134"/>
      <c r="J1" s="134"/>
      <c r="K1" s="134"/>
      <c r="L1" s="134"/>
      <c r="M1" s="135"/>
    </row>
    <row r="2" spans="1:13" ht="15.75" thickBot="1" x14ac:dyDescent="0.3">
      <c r="D2" t="e">
        <f>C2/C3-1</f>
        <v>#DIV/0!</v>
      </c>
      <c r="H2" s="59"/>
      <c r="I2" s="60"/>
      <c r="J2" s="60"/>
      <c r="K2" s="60"/>
      <c r="L2" s="60"/>
      <c r="M2" s="61"/>
    </row>
    <row r="3" spans="1:13" ht="15.75" thickBot="1" x14ac:dyDescent="0.3">
      <c r="D3" t="e">
        <f t="shared" ref="D3:D66" si="0">C3/C4-1</f>
        <v>#DIV/0!</v>
      </c>
      <c r="H3" s="62" t="s">
        <v>95</v>
      </c>
      <c r="I3" s="63" t="s">
        <v>96</v>
      </c>
      <c r="J3" s="64" t="s">
        <v>97</v>
      </c>
      <c r="K3" s="65" t="s">
        <v>98</v>
      </c>
      <c r="L3" s="65" t="s">
        <v>99</v>
      </c>
      <c r="M3" s="66" t="s">
        <v>100</v>
      </c>
    </row>
    <row r="4" spans="1:13" x14ac:dyDescent="0.25">
      <c r="D4" t="e">
        <f t="shared" si="0"/>
        <v>#DIV/0!</v>
      </c>
      <c r="H4" s="67" t="e">
        <f>$I$19-3*$I$23</f>
        <v>#DIV/0!</v>
      </c>
      <c r="I4" s="68" t="e">
        <f>H4</f>
        <v>#DIV/0!</v>
      </c>
      <c r="J4" s="69">
        <f>COUNTIF(D:D,"&lt;="&amp;H4)</f>
        <v>67</v>
      </c>
      <c r="K4" s="69" t="e">
        <f>"Less than "&amp;TEXT(H4,"0,00%")</f>
        <v>#DIV/0!</v>
      </c>
      <c r="L4" s="70" t="e">
        <f>J4/$I$31</f>
        <v>#DIV/0!</v>
      </c>
      <c r="M4" s="71" t="e">
        <f>L4</f>
        <v>#DIV/0!</v>
      </c>
    </row>
    <row r="5" spans="1:13" x14ac:dyDescent="0.25">
      <c r="D5" t="e">
        <f t="shared" si="0"/>
        <v>#DIV/0!</v>
      </c>
      <c r="H5" s="72" t="e">
        <f>$I$19-2.4*$I$23</f>
        <v>#DIV/0!</v>
      </c>
      <c r="I5" s="73" t="e">
        <f>H5</f>
        <v>#DIV/0!</v>
      </c>
      <c r="J5" s="74">
        <f>COUNTIFS(D:D,"&lt;="&amp;H5,D:D,"&gt;"&amp;H4)</f>
        <v>67</v>
      </c>
      <c r="K5" s="75" t="e">
        <f t="shared" ref="K5:K14" si="1">TEXT(H4,"0,00%")&amp;" to "&amp;TEXT(H5,"0,00%")</f>
        <v>#DIV/0!</v>
      </c>
      <c r="L5" s="76" t="e">
        <f>J5/$I$31</f>
        <v>#DIV/0!</v>
      </c>
      <c r="M5" s="77" t="e">
        <f>M4+L5</f>
        <v>#DIV/0!</v>
      </c>
    </row>
    <row r="6" spans="1:13" x14ac:dyDescent="0.25">
      <c r="D6" t="e">
        <f t="shared" si="0"/>
        <v>#DIV/0!</v>
      </c>
      <c r="H6" s="72" t="e">
        <f>$I$19-1.8*$I$23</f>
        <v>#DIV/0!</v>
      </c>
      <c r="I6" s="73" t="e">
        <f t="shared" ref="I6:I14" si="2">H6</f>
        <v>#DIV/0!</v>
      </c>
      <c r="J6" s="74">
        <f t="shared" ref="J6:J14" si="3">COUNTIFS(D:D,"&lt;="&amp;H6,D:D,"&gt;"&amp;H5)</f>
        <v>67</v>
      </c>
      <c r="K6" s="75" t="e">
        <f t="shared" si="1"/>
        <v>#DIV/0!</v>
      </c>
      <c r="L6" s="76" t="e">
        <f t="shared" ref="L6:L15" si="4">J6/$I$31</f>
        <v>#DIV/0!</v>
      </c>
      <c r="M6" s="77" t="e">
        <f t="shared" ref="M6:M15" si="5">M5+L6</f>
        <v>#DIV/0!</v>
      </c>
    </row>
    <row r="7" spans="1:13" x14ac:dyDescent="0.25">
      <c r="D7" t="e">
        <f t="shared" si="0"/>
        <v>#DIV/0!</v>
      </c>
      <c r="H7" s="72" t="e">
        <f>$I$19-1.2*$I$23</f>
        <v>#DIV/0!</v>
      </c>
      <c r="I7" s="73" t="e">
        <f t="shared" si="2"/>
        <v>#DIV/0!</v>
      </c>
      <c r="J7" s="74">
        <f t="shared" si="3"/>
        <v>67</v>
      </c>
      <c r="K7" s="75" t="e">
        <f t="shared" si="1"/>
        <v>#DIV/0!</v>
      </c>
      <c r="L7" s="76" t="e">
        <f t="shared" si="4"/>
        <v>#DIV/0!</v>
      </c>
      <c r="M7" s="77" t="e">
        <f t="shared" si="5"/>
        <v>#DIV/0!</v>
      </c>
    </row>
    <row r="8" spans="1:13" x14ac:dyDescent="0.25">
      <c r="D8" t="e">
        <f t="shared" si="0"/>
        <v>#DIV/0!</v>
      </c>
      <c r="H8" s="72" t="e">
        <f>$I$19-0.6*$I$23</f>
        <v>#DIV/0!</v>
      </c>
      <c r="I8" s="73" t="e">
        <f t="shared" si="2"/>
        <v>#DIV/0!</v>
      </c>
      <c r="J8" s="74">
        <f t="shared" si="3"/>
        <v>67</v>
      </c>
      <c r="K8" s="75" t="e">
        <f t="shared" si="1"/>
        <v>#DIV/0!</v>
      </c>
      <c r="L8" s="76" t="e">
        <f t="shared" si="4"/>
        <v>#DIV/0!</v>
      </c>
      <c r="M8" s="77" t="e">
        <f t="shared" si="5"/>
        <v>#DIV/0!</v>
      </c>
    </row>
    <row r="9" spans="1:13" x14ac:dyDescent="0.25">
      <c r="D9" t="e">
        <f t="shared" si="0"/>
        <v>#DIV/0!</v>
      </c>
      <c r="H9" s="72" t="e">
        <f>$I$19</f>
        <v>#DIV/0!</v>
      </c>
      <c r="I9" s="73" t="e">
        <f t="shared" si="2"/>
        <v>#DIV/0!</v>
      </c>
      <c r="J9" s="74">
        <f t="shared" si="3"/>
        <v>67</v>
      </c>
      <c r="K9" s="75" t="e">
        <f t="shared" si="1"/>
        <v>#DIV/0!</v>
      </c>
      <c r="L9" s="76" t="e">
        <f t="shared" si="4"/>
        <v>#DIV/0!</v>
      </c>
      <c r="M9" s="77" t="e">
        <f t="shared" si="5"/>
        <v>#DIV/0!</v>
      </c>
    </row>
    <row r="10" spans="1:13" x14ac:dyDescent="0.25">
      <c r="D10" t="e">
        <f t="shared" si="0"/>
        <v>#DIV/0!</v>
      </c>
      <c r="H10" s="72" t="e">
        <f>$I$19+0.6*$I$23</f>
        <v>#DIV/0!</v>
      </c>
      <c r="I10" s="73" t="e">
        <f t="shared" si="2"/>
        <v>#DIV/0!</v>
      </c>
      <c r="J10" s="74">
        <f t="shared" si="3"/>
        <v>67</v>
      </c>
      <c r="K10" s="75" t="e">
        <f t="shared" si="1"/>
        <v>#DIV/0!</v>
      </c>
      <c r="L10" s="76" t="e">
        <f t="shared" si="4"/>
        <v>#DIV/0!</v>
      </c>
      <c r="M10" s="77" t="e">
        <f t="shared" si="5"/>
        <v>#DIV/0!</v>
      </c>
    </row>
    <row r="11" spans="1:13" x14ac:dyDescent="0.25">
      <c r="D11" t="e">
        <f t="shared" si="0"/>
        <v>#DIV/0!</v>
      </c>
      <c r="H11" s="72" t="e">
        <f>$I$19+1.2*$I$23</f>
        <v>#DIV/0!</v>
      </c>
      <c r="I11" s="73" t="e">
        <f t="shared" si="2"/>
        <v>#DIV/0!</v>
      </c>
      <c r="J11" s="74">
        <f t="shared" si="3"/>
        <v>67</v>
      </c>
      <c r="K11" s="75" t="e">
        <f t="shared" si="1"/>
        <v>#DIV/0!</v>
      </c>
      <c r="L11" s="76" t="e">
        <f t="shared" si="4"/>
        <v>#DIV/0!</v>
      </c>
      <c r="M11" s="77" t="e">
        <f t="shared" si="5"/>
        <v>#DIV/0!</v>
      </c>
    </row>
    <row r="12" spans="1:13" x14ac:dyDescent="0.25">
      <c r="D12" t="e">
        <f t="shared" si="0"/>
        <v>#DIV/0!</v>
      </c>
      <c r="H12" s="72" t="e">
        <f>$I$19+1.8*$I$23</f>
        <v>#DIV/0!</v>
      </c>
      <c r="I12" s="73" t="e">
        <f t="shared" si="2"/>
        <v>#DIV/0!</v>
      </c>
      <c r="J12" s="74">
        <f t="shared" si="3"/>
        <v>67</v>
      </c>
      <c r="K12" s="75" t="e">
        <f t="shared" si="1"/>
        <v>#DIV/0!</v>
      </c>
      <c r="L12" s="76" t="e">
        <f t="shared" si="4"/>
        <v>#DIV/0!</v>
      </c>
      <c r="M12" s="77" t="e">
        <f t="shared" si="5"/>
        <v>#DIV/0!</v>
      </c>
    </row>
    <row r="13" spans="1:13" x14ac:dyDescent="0.25">
      <c r="D13" t="e">
        <f t="shared" si="0"/>
        <v>#DIV/0!</v>
      </c>
      <c r="H13" s="72" t="e">
        <f>$I$19+2.4*$I$23</f>
        <v>#DIV/0!</v>
      </c>
      <c r="I13" s="73" t="e">
        <f t="shared" si="2"/>
        <v>#DIV/0!</v>
      </c>
      <c r="J13" s="74">
        <f t="shared" si="3"/>
        <v>67</v>
      </c>
      <c r="K13" s="75" t="e">
        <f t="shared" si="1"/>
        <v>#DIV/0!</v>
      </c>
      <c r="L13" s="76" t="e">
        <f t="shared" si="4"/>
        <v>#DIV/0!</v>
      </c>
      <c r="M13" s="77" t="e">
        <f t="shared" si="5"/>
        <v>#DIV/0!</v>
      </c>
    </row>
    <row r="14" spans="1:13" x14ac:dyDescent="0.25">
      <c r="D14" t="e">
        <f t="shared" si="0"/>
        <v>#DIV/0!</v>
      </c>
      <c r="H14" s="72" t="e">
        <f>$I$19+3*$I$23</f>
        <v>#DIV/0!</v>
      </c>
      <c r="I14" s="73" t="e">
        <f t="shared" si="2"/>
        <v>#DIV/0!</v>
      </c>
      <c r="J14" s="74">
        <f t="shared" si="3"/>
        <v>67</v>
      </c>
      <c r="K14" s="75" t="e">
        <f t="shared" si="1"/>
        <v>#DIV/0!</v>
      </c>
      <c r="L14" s="76" t="e">
        <f t="shared" si="4"/>
        <v>#DIV/0!</v>
      </c>
      <c r="M14" s="77" t="e">
        <f t="shared" si="5"/>
        <v>#DIV/0!</v>
      </c>
    </row>
    <row r="15" spans="1:13" ht="15.75" thickBot="1" x14ac:dyDescent="0.3">
      <c r="D15" t="e">
        <f t="shared" si="0"/>
        <v>#DIV/0!</v>
      </c>
      <c r="H15" s="78"/>
      <c r="I15" s="79" t="s">
        <v>101</v>
      </c>
      <c r="J15" s="79">
        <f>COUNTIF(D:D,"&gt;"&amp;H14)</f>
        <v>67</v>
      </c>
      <c r="K15" s="79" t="e">
        <f>"Greater than "&amp;TEXT(H14,"0,00%")</f>
        <v>#DIV/0!</v>
      </c>
      <c r="L15" s="80" t="e">
        <f t="shared" si="4"/>
        <v>#DIV/0!</v>
      </c>
      <c r="M15" s="80" t="e">
        <f t="shared" si="5"/>
        <v>#DIV/0!</v>
      </c>
    </row>
    <row r="16" spans="1:13" ht="15.75" thickBot="1" x14ac:dyDescent="0.3">
      <c r="D16" t="e">
        <f t="shared" si="0"/>
        <v>#DIV/0!</v>
      </c>
      <c r="H16" s="81"/>
      <c r="M16" s="82"/>
    </row>
    <row r="17" spans="4:13" x14ac:dyDescent="0.25">
      <c r="D17" t="e">
        <f t="shared" si="0"/>
        <v>#DIV/0!</v>
      </c>
      <c r="H17" s="136" t="s">
        <v>132</v>
      </c>
      <c r="I17" s="137"/>
      <c r="M17" s="82"/>
    </row>
    <row r="18" spans="4:13" x14ac:dyDescent="0.25">
      <c r="D18" t="e">
        <f t="shared" si="0"/>
        <v>#DIV/0!</v>
      </c>
      <c r="H18" s="138"/>
      <c r="I18" s="139"/>
      <c r="M18" s="82"/>
    </row>
    <row r="19" spans="4:13" x14ac:dyDescent="0.25">
      <c r="D19" t="e">
        <f t="shared" si="0"/>
        <v>#DIV/0!</v>
      </c>
      <c r="H19" s="83" t="s">
        <v>102</v>
      </c>
      <c r="I19" s="120" t="e">
        <f>AVERAGE(D:D)</f>
        <v>#DIV/0!</v>
      </c>
      <c r="M19" s="82"/>
    </row>
    <row r="20" spans="4:13" x14ac:dyDescent="0.25">
      <c r="D20" t="e">
        <f t="shared" si="0"/>
        <v>#DIV/0!</v>
      </c>
      <c r="H20" s="83" t="s">
        <v>103</v>
      </c>
      <c r="I20" s="120" t="e">
        <f>_xlfn.STDEV.S(D:D)/SQRT(COUNT(D:D))</f>
        <v>#DIV/0!</v>
      </c>
      <c r="M20" s="82"/>
    </row>
    <row r="21" spans="4:13" x14ac:dyDescent="0.25">
      <c r="D21" t="e">
        <f t="shared" si="0"/>
        <v>#DIV/0!</v>
      </c>
      <c r="H21" s="83" t="s">
        <v>104</v>
      </c>
      <c r="I21" s="120" t="e">
        <f>MEDIAN(D:D)</f>
        <v>#DIV/0!</v>
      </c>
      <c r="M21" s="82"/>
    </row>
    <row r="22" spans="4:13" x14ac:dyDescent="0.25">
      <c r="D22" t="e">
        <f t="shared" si="0"/>
        <v>#DIV/0!</v>
      </c>
      <c r="H22" s="83" t="s">
        <v>105</v>
      </c>
      <c r="I22" s="120" t="e">
        <f>MODE(D:D)</f>
        <v>#DIV/0!</v>
      </c>
      <c r="M22" s="82"/>
    </row>
    <row r="23" spans="4:13" x14ac:dyDescent="0.25">
      <c r="D23" t="e">
        <f t="shared" si="0"/>
        <v>#DIV/0!</v>
      </c>
      <c r="H23" s="83" t="s">
        <v>106</v>
      </c>
      <c r="I23" s="120" t="e">
        <f>_xlfn.STDEV.S(D:D)</f>
        <v>#DIV/0!</v>
      </c>
      <c r="M23" s="82"/>
    </row>
    <row r="24" spans="4:13" x14ac:dyDescent="0.25">
      <c r="D24" t="e">
        <f t="shared" si="0"/>
        <v>#DIV/0!</v>
      </c>
      <c r="H24" s="83" t="s">
        <v>107</v>
      </c>
      <c r="I24" s="120" t="e">
        <f>_xlfn.VAR.S(D:D)</f>
        <v>#DIV/0!</v>
      </c>
      <c r="M24" s="82"/>
    </row>
    <row r="25" spans="4:13" x14ac:dyDescent="0.25">
      <c r="D25" t="e">
        <f t="shared" si="0"/>
        <v>#DIV/0!</v>
      </c>
      <c r="H25" s="83" t="s">
        <v>108</v>
      </c>
      <c r="I25" s="121" t="e">
        <f>KURT(D:D)</f>
        <v>#DIV/0!</v>
      </c>
      <c r="M25" s="82"/>
    </row>
    <row r="26" spans="4:13" x14ac:dyDescent="0.25">
      <c r="D26" t="e">
        <f t="shared" si="0"/>
        <v>#DIV/0!</v>
      </c>
      <c r="H26" s="83" t="s">
        <v>109</v>
      </c>
      <c r="I26" s="121" t="e">
        <f>SKEW(D:D)</f>
        <v>#DIV/0!</v>
      </c>
      <c r="M26" s="82"/>
    </row>
    <row r="27" spans="4:13" x14ac:dyDescent="0.25">
      <c r="D27" t="e">
        <f t="shared" si="0"/>
        <v>#DIV/0!</v>
      </c>
      <c r="H27" s="83" t="s">
        <v>98</v>
      </c>
      <c r="I27" s="120" t="e">
        <f>I29-I28</f>
        <v>#DIV/0!</v>
      </c>
      <c r="M27" s="82"/>
    </row>
    <row r="28" spans="4:13" x14ac:dyDescent="0.25">
      <c r="D28" t="e">
        <f t="shared" si="0"/>
        <v>#DIV/0!</v>
      </c>
      <c r="H28" s="83" t="s">
        <v>110</v>
      </c>
      <c r="I28" s="120" t="e">
        <f>MIN(D:D)</f>
        <v>#DIV/0!</v>
      </c>
      <c r="M28" s="82"/>
    </row>
    <row r="29" spans="4:13" x14ac:dyDescent="0.25">
      <c r="D29" t="e">
        <f t="shared" si="0"/>
        <v>#DIV/0!</v>
      </c>
      <c r="H29" s="83" t="s">
        <v>111</v>
      </c>
      <c r="I29" s="120" t="e">
        <f>MAX(D:D)</f>
        <v>#DIV/0!</v>
      </c>
      <c r="M29" s="82"/>
    </row>
    <row r="30" spans="4:13" x14ac:dyDescent="0.25">
      <c r="D30" t="e">
        <f t="shared" si="0"/>
        <v>#DIV/0!</v>
      </c>
      <c r="H30" s="83" t="s">
        <v>112</v>
      </c>
      <c r="I30" s="121" t="e">
        <f>SUM(D:D)</f>
        <v>#DIV/0!</v>
      </c>
      <c r="M30" s="82"/>
    </row>
    <row r="31" spans="4:13" ht="15.75" thickBot="1" x14ac:dyDescent="0.3">
      <c r="D31" t="e">
        <f t="shared" si="0"/>
        <v>#DIV/0!</v>
      </c>
      <c r="H31" s="84" t="s">
        <v>113</v>
      </c>
      <c r="I31" s="61">
        <f>COUNT(D:D)</f>
        <v>0</v>
      </c>
      <c r="M31" s="82"/>
    </row>
    <row r="32" spans="4:13" ht="15.75" thickBot="1" x14ac:dyDescent="0.3">
      <c r="D32" t="e">
        <f t="shared" si="0"/>
        <v>#DIV/0!</v>
      </c>
      <c r="H32" s="86"/>
      <c r="M32" s="82"/>
    </row>
    <row r="33" spans="4:13" x14ac:dyDescent="0.25">
      <c r="D33" t="e">
        <f t="shared" si="0"/>
        <v>#DIV/0!</v>
      </c>
      <c r="H33" s="87"/>
      <c r="I33" s="88" t="s">
        <v>114</v>
      </c>
      <c r="J33" s="88" t="s">
        <v>113</v>
      </c>
      <c r="K33" s="88" t="s">
        <v>115</v>
      </c>
      <c r="L33" s="89" t="s">
        <v>116</v>
      </c>
      <c r="M33" s="82"/>
    </row>
    <row r="34" spans="4:13" x14ac:dyDescent="0.25">
      <c r="D34" t="e">
        <f t="shared" si="0"/>
        <v>#DIV/0!</v>
      </c>
      <c r="H34" s="90" t="s">
        <v>117</v>
      </c>
      <c r="I34" s="76" t="e">
        <f>AVERAGEIF(D:D,"&gt;0")</f>
        <v>#DIV/0!</v>
      </c>
      <c r="J34" s="74">
        <f>COUNTIF(D:D,"&gt;0")</f>
        <v>0</v>
      </c>
      <c r="K34" s="76" t="e">
        <f>J34/$I$31</f>
        <v>#DIV/0!</v>
      </c>
      <c r="L34" s="77" t="e">
        <f>K34*I34</f>
        <v>#DIV/0!</v>
      </c>
      <c r="M34" s="82"/>
    </row>
    <row r="35" spans="4:13" x14ac:dyDescent="0.25">
      <c r="D35" t="e">
        <f t="shared" si="0"/>
        <v>#DIV/0!</v>
      </c>
      <c r="H35" s="90" t="s">
        <v>118</v>
      </c>
      <c r="I35" s="76" t="e">
        <f>AVERAGEIF(D:D,"&lt;0")</f>
        <v>#DIV/0!</v>
      </c>
      <c r="J35" s="74">
        <f>COUNTIF(D:D,"&lt;0")</f>
        <v>0</v>
      </c>
      <c r="K35" s="76" t="e">
        <f>J35/$I$31</f>
        <v>#DIV/0!</v>
      </c>
      <c r="L35" s="77" t="e">
        <f t="shared" ref="L35:L36" si="6">K35*I35</f>
        <v>#DIV/0!</v>
      </c>
      <c r="M35" s="82"/>
    </row>
    <row r="36" spans="4:13" ht="15.75" thickBot="1" x14ac:dyDescent="0.3">
      <c r="D36" t="e">
        <f t="shared" si="0"/>
        <v>#DIV/0!</v>
      </c>
      <c r="H36" s="91" t="s">
        <v>119</v>
      </c>
      <c r="I36" s="79">
        <v>0</v>
      </c>
      <c r="J36" s="79">
        <f>COUNTIF(D:D,"0")</f>
        <v>0</v>
      </c>
      <c r="K36" s="92" t="e">
        <f>J36/$I$31</f>
        <v>#DIV/0!</v>
      </c>
      <c r="L36" s="80" t="e">
        <f t="shared" si="6"/>
        <v>#DIV/0!</v>
      </c>
      <c r="M36" s="82"/>
    </row>
    <row r="37" spans="4:13" ht="15.75" thickBot="1" x14ac:dyDescent="0.3">
      <c r="D37" t="e">
        <f t="shared" si="0"/>
        <v>#DIV/0!</v>
      </c>
      <c r="H37" s="86"/>
      <c r="I37" s="93"/>
      <c r="J37" s="93"/>
      <c r="K37" s="93"/>
      <c r="L37" s="93"/>
      <c r="M37" s="82"/>
    </row>
    <row r="38" spans="4:13" x14ac:dyDescent="0.25">
      <c r="D38" t="e">
        <f t="shared" si="0"/>
        <v>#DIV/0!</v>
      </c>
      <c r="H38" s="67" t="s">
        <v>120</v>
      </c>
      <c r="I38" s="88" t="s">
        <v>121</v>
      </c>
      <c r="J38" s="88" t="s">
        <v>122</v>
      </c>
      <c r="K38" s="88" t="s">
        <v>123</v>
      </c>
      <c r="L38" s="88" t="s">
        <v>124</v>
      </c>
      <c r="M38" s="89" t="s">
        <v>125</v>
      </c>
    </row>
    <row r="39" spans="4:13" x14ac:dyDescent="0.25">
      <c r="D39" t="e">
        <f t="shared" si="0"/>
        <v>#DIV/0!</v>
      </c>
      <c r="H39" s="94">
        <v>1</v>
      </c>
      <c r="I39" s="76" t="e">
        <f>$I$19+($H39*$I$23)</f>
        <v>#DIV/0!</v>
      </c>
      <c r="J39" s="76" t="e">
        <f>$I$19-($H39*$I$23)</f>
        <v>#DIV/0!</v>
      </c>
      <c r="K39" s="74">
        <f>COUNTIFS(D:D,"&lt;"&amp;I39,D:D,"&gt;"&amp;J39)</f>
        <v>67</v>
      </c>
      <c r="L39" s="76" t="e">
        <f>K39/$I$31</f>
        <v>#DIV/0!</v>
      </c>
      <c r="M39" s="77">
        <v>0.68269999999999997</v>
      </c>
    </row>
    <row r="40" spans="4:13" x14ac:dyDescent="0.25">
      <c r="D40" t="e">
        <f t="shared" si="0"/>
        <v>#DIV/0!</v>
      </c>
      <c r="H40" s="94">
        <v>2</v>
      </c>
      <c r="I40" s="76" t="e">
        <f>$I$19+($H40*$I$23)</f>
        <v>#DIV/0!</v>
      </c>
      <c r="J40" s="76" t="e">
        <f>$I$19-($H40*$I$23)</f>
        <v>#DIV/0!</v>
      </c>
      <c r="K40" s="74">
        <f>COUNTIFS(D:D,"&lt;"&amp;I40,D:D,"&gt;"&amp;J40)</f>
        <v>67</v>
      </c>
      <c r="L40" s="76" t="e">
        <f>K40/$I$31</f>
        <v>#DIV/0!</v>
      </c>
      <c r="M40" s="77">
        <v>0.95450000000000002</v>
      </c>
    </row>
    <row r="41" spans="4:13" x14ac:dyDescent="0.25">
      <c r="D41" t="e">
        <f t="shared" si="0"/>
        <v>#DIV/0!</v>
      </c>
      <c r="H41" s="94">
        <v>3</v>
      </c>
      <c r="I41" s="76" t="e">
        <f>$I$19+($H41*$I$23)</f>
        <v>#DIV/0!</v>
      </c>
      <c r="J41" s="76" t="e">
        <f>$I$19-($H41*$I$23)</f>
        <v>#DIV/0!</v>
      </c>
      <c r="K41" s="74">
        <f>COUNTIFS(D:D,"&lt;"&amp;I41,D:D,"&gt;"&amp;J41)</f>
        <v>67</v>
      </c>
      <c r="L41" s="76" t="e">
        <f>K41/$I$31</f>
        <v>#DIV/0!</v>
      </c>
      <c r="M41" s="95">
        <v>0.99729999999999996</v>
      </c>
    </row>
    <row r="42" spans="4:13" ht="15.75" thickBot="1" x14ac:dyDescent="0.3">
      <c r="D42" t="e">
        <f t="shared" si="0"/>
        <v>#DIV/0!</v>
      </c>
      <c r="H42" s="72"/>
      <c r="M42" s="95"/>
    </row>
    <row r="43" spans="4:13" ht="15.75" thickBot="1" x14ac:dyDescent="0.3">
      <c r="D43" t="e">
        <f t="shared" si="0"/>
        <v>#DIV/0!</v>
      </c>
      <c r="H43" s="140" t="s">
        <v>126</v>
      </c>
      <c r="I43" s="141"/>
      <c r="J43" s="141"/>
      <c r="K43" s="141"/>
      <c r="L43" s="141"/>
      <c r="M43" s="142"/>
    </row>
    <row r="44" spans="4:13" x14ac:dyDescent="0.25">
      <c r="D44" t="e">
        <f t="shared" si="0"/>
        <v>#DIV/0!</v>
      </c>
      <c r="H44" s="96">
        <v>0.01</v>
      </c>
      <c r="I44" s="97" t="e">
        <f t="shared" ref="I44:I58" si="7">_xlfn.PERCENTILE.INC(D:D,H44)</f>
        <v>#DIV/0!</v>
      </c>
      <c r="J44" s="98">
        <v>0.2</v>
      </c>
      <c r="K44" s="97" t="e">
        <f t="shared" ref="K44:K56" si="8">_xlfn.PERCENTILE.INC(D:D,J44)</f>
        <v>#DIV/0!</v>
      </c>
      <c r="L44" s="98">
        <v>0.85</v>
      </c>
      <c r="M44" s="99" t="e">
        <f t="shared" ref="M44:M58" si="9">_xlfn.PERCENTILE.INC(D:D,L44)</f>
        <v>#DIV/0!</v>
      </c>
    </row>
    <row r="45" spans="4:13" x14ac:dyDescent="0.25">
      <c r="D45" t="e">
        <f t="shared" si="0"/>
        <v>#DIV/0!</v>
      </c>
      <c r="H45" s="100">
        <v>0.02</v>
      </c>
      <c r="I45" s="101" t="e">
        <f t="shared" si="7"/>
        <v>#DIV/0!</v>
      </c>
      <c r="J45" s="102">
        <v>0.25</v>
      </c>
      <c r="K45" s="101" t="e">
        <f t="shared" si="8"/>
        <v>#DIV/0!</v>
      </c>
      <c r="L45" s="102">
        <v>0.86</v>
      </c>
      <c r="M45" s="103" t="e">
        <f t="shared" si="9"/>
        <v>#DIV/0!</v>
      </c>
    </row>
    <row r="46" spans="4:13" x14ac:dyDescent="0.25">
      <c r="D46" t="e">
        <f t="shared" si="0"/>
        <v>#DIV/0!</v>
      </c>
      <c r="H46" s="100">
        <v>0.03</v>
      </c>
      <c r="I46" s="101" t="e">
        <f t="shared" si="7"/>
        <v>#DIV/0!</v>
      </c>
      <c r="J46" s="102">
        <v>0.3</v>
      </c>
      <c r="K46" s="101" t="e">
        <f t="shared" si="8"/>
        <v>#DIV/0!</v>
      </c>
      <c r="L46" s="102">
        <v>0.87</v>
      </c>
      <c r="M46" s="103" t="e">
        <f t="shared" si="9"/>
        <v>#DIV/0!</v>
      </c>
    </row>
    <row r="47" spans="4:13" x14ac:dyDescent="0.25">
      <c r="D47" t="e">
        <f t="shared" si="0"/>
        <v>#DIV/0!</v>
      </c>
      <c r="H47" s="100">
        <v>0.04</v>
      </c>
      <c r="I47" s="101" t="e">
        <f t="shared" si="7"/>
        <v>#DIV/0!</v>
      </c>
      <c r="J47" s="102">
        <v>0.35</v>
      </c>
      <c r="K47" s="101" t="e">
        <f t="shared" si="8"/>
        <v>#DIV/0!</v>
      </c>
      <c r="L47" s="102">
        <v>0.88</v>
      </c>
      <c r="M47" s="103" t="e">
        <f t="shared" si="9"/>
        <v>#DIV/0!</v>
      </c>
    </row>
    <row r="48" spans="4:13" x14ac:dyDescent="0.25">
      <c r="D48" t="e">
        <f t="shared" si="0"/>
        <v>#DIV/0!</v>
      </c>
      <c r="H48" s="100">
        <v>0.05</v>
      </c>
      <c r="I48" s="101" t="e">
        <f t="shared" si="7"/>
        <v>#DIV/0!</v>
      </c>
      <c r="J48" s="102">
        <v>0.4</v>
      </c>
      <c r="K48" s="101" t="e">
        <f t="shared" si="8"/>
        <v>#DIV/0!</v>
      </c>
      <c r="L48" s="102">
        <v>0.89</v>
      </c>
      <c r="M48" s="103" t="e">
        <f t="shared" si="9"/>
        <v>#DIV/0!</v>
      </c>
    </row>
    <row r="49" spans="4:13" x14ac:dyDescent="0.25">
      <c r="D49" t="e">
        <f t="shared" si="0"/>
        <v>#DIV/0!</v>
      </c>
      <c r="H49" s="100">
        <v>0.06</v>
      </c>
      <c r="I49" s="101" t="e">
        <f t="shared" si="7"/>
        <v>#DIV/0!</v>
      </c>
      <c r="J49" s="102">
        <v>0.45</v>
      </c>
      <c r="K49" s="101" t="e">
        <f t="shared" si="8"/>
        <v>#DIV/0!</v>
      </c>
      <c r="L49" s="102">
        <v>0.9</v>
      </c>
      <c r="M49" s="103" t="e">
        <f t="shared" si="9"/>
        <v>#DIV/0!</v>
      </c>
    </row>
    <row r="50" spans="4:13" x14ac:dyDescent="0.25">
      <c r="D50" t="e">
        <f t="shared" si="0"/>
        <v>#DIV/0!</v>
      </c>
      <c r="H50" s="100">
        <v>7.0000000000000007E-2</v>
      </c>
      <c r="I50" s="101" t="e">
        <f t="shared" si="7"/>
        <v>#DIV/0!</v>
      </c>
      <c r="J50" s="102">
        <v>0.5</v>
      </c>
      <c r="K50" s="101" t="e">
        <f t="shared" si="8"/>
        <v>#DIV/0!</v>
      </c>
      <c r="L50" s="102">
        <v>0.91</v>
      </c>
      <c r="M50" s="103" t="e">
        <f t="shared" si="9"/>
        <v>#DIV/0!</v>
      </c>
    </row>
    <row r="51" spans="4:13" x14ac:dyDescent="0.25">
      <c r="D51" t="e">
        <f t="shared" si="0"/>
        <v>#DIV/0!</v>
      </c>
      <c r="H51" s="100">
        <v>0.08</v>
      </c>
      <c r="I51" s="101" t="e">
        <f t="shared" si="7"/>
        <v>#DIV/0!</v>
      </c>
      <c r="J51" s="102">
        <v>0.55000000000000004</v>
      </c>
      <c r="K51" s="101" t="e">
        <f t="shared" si="8"/>
        <v>#DIV/0!</v>
      </c>
      <c r="L51" s="102">
        <v>0.92</v>
      </c>
      <c r="M51" s="103" t="e">
        <f t="shared" si="9"/>
        <v>#DIV/0!</v>
      </c>
    </row>
    <row r="52" spans="4:13" x14ac:dyDescent="0.25">
      <c r="D52" t="e">
        <f t="shared" si="0"/>
        <v>#DIV/0!</v>
      </c>
      <c r="H52" s="100">
        <v>0.09</v>
      </c>
      <c r="I52" s="101" t="e">
        <f t="shared" si="7"/>
        <v>#DIV/0!</v>
      </c>
      <c r="J52" s="102">
        <v>0.6</v>
      </c>
      <c r="K52" s="101" t="e">
        <f t="shared" si="8"/>
        <v>#DIV/0!</v>
      </c>
      <c r="L52" s="102">
        <v>0.93</v>
      </c>
      <c r="M52" s="103" t="e">
        <f t="shared" si="9"/>
        <v>#DIV/0!</v>
      </c>
    </row>
    <row r="53" spans="4:13" x14ac:dyDescent="0.25">
      <c r="D53" t="e">
        <f t="shared" si="0"/>
        <v>#DIV/0!</v>
      </c>
      <c r="H53" s="100">
        <v>0.1</v>
      </c>
      <c r="I53" s="101" t="e">
        <f t="shared" si="7"/>
        <v>#DIV/0!</v>
      </c>
      <c r="J53" s="102">
        <v>0.65</v>
      </c>
      <c r="K53" s="101" t="e">
        <f t="shared" si="8"/>
        <v>#DIV/0!</v>
      </c>
      <c r="L53" s="102">
        <v>0.94</v>
      </c>
      <c r="M53" s="103" t="e">
        <f t="shared" si="9"/>
        <v>#DIV/0!</v>
      </c>
    </row>
    <row r="54" spans="4:13" x14ac:dyDescent="0.25">
      <c r="D54" t="e">
        <f t="shared" si="0"/>
        <v>#DIV/0!</v>
      </c>
      <c r="H54" s="100">
        <v>0.11</v>
      </c>
      <c r="I54" s="101" t="e">
        <f t="shared" si="7"/>
        <v>#DIV/0!</v>
      </c>
      <c r="J54" s="102">
        <v>0.7</v>
      </c>
      <c r="K54" s="101" t="e">
        <f t="shared" si="8"/>
        <v>#DIV/0!</v>
      </c>
      <c r="L54" s="102">
        <v>0.95</v>
      </c>
      <c r="M54" s="103" t="e">
        <f t="shared" si="9"/>
        <v>#DIV/0!</v>
      </c>
    </row>
    <row r="55" spans="4:13" x14ac:dyDescent="0.25">
      <c r="D55" t="e">
        <f t="shared" si="0"/>
        <v>#DIV/0!</v>
      </c>
      <c r="H55" s="100">
        <v>0.12</v>
      </c>
      <c r="I55" s="101" t="e">
        <f t="shared" si="7"/>
        <v>#DIV/0!</v>
      </c>
      <c r="J55" s="102">
        <v>0.75</v>
      </c>
      <c r="K55" s="101" t="e">
        <f t="shared" si="8"/>
        <v>#DIV/0!</v>
      </c>
      <c r="L55" s="102">
        <v>0.96</v>
      </c>
      <c r="M55" s="103" t="e">
        <f t="shared" si="9"/>
        <v>#DIV/0!</v>
      </c>
    </row>
    <row r="56" spans="4:13" x14ac:dyDescent="0.25">
      <c r="D56" t="e">
        <f t="shared" si="0"/>
        <v>#DIV/0!</v>
      </c>
      <c r="H56" s="100">
        <v>0.13</v>
      </c>
      <c r="I56" s="101" t="e">
        <f t="shared" si="7"/>
        <v>#DIV/0!</v>
      </c>
      <c r="J56" s="102">
        <v>0.8</v>
      </c>
      <c r="K56" s="101" t="e">
        <f t="shared" si="8"/>
        <v>#DIV/0!</v>
      </c>
      <c r="L56" s="102">
        <v>0.97</v>
      </c>
      <c r="M56" s="103" t="e">
        <f t="shared" si="9"/>
        <v>#DIV/0!</v>
      </c>
    </row>
    <row r="57" spans="4:13" x14ac:dyDescent="0.25">
      <c r="D57" t="e">
        <f t="shared" si="0"/>
        <v>#DIV/0!</v>
      </c>
      <c r="H57" s="100">
        <v>0.14000000000000001</v>
      </c>
      <c r="I57" s="101" t="e">
        <f t="shared" si="7"/>
        <v>#DIV/0!</v>
      </c>
      <c r="J57" s="102"/>
      <c r="K57" s="101"/>
      <c r="L57" s="102">
        <v>0.98</v>
      </c>
      <c r="M57" s="103" t="e">
        <f t="shared" si="9"/>
        <v>#DIV/0!</v>
      </c>
    </row>
    <row r="58" spans="4:13" ht="15.75" thickBot="1" x14ac:dyDescent="0.3">
      <c r="D58" t="e">
        <f t="shared" si="0"/>
        <v>#DIV/0!</v>
      </c>
      <c r="H58" s="104">
        <v>0.15</v>
      </c>
      <c r="I58" s="105" t="e">
        <f t="shared" si="7"/>
        <v>#DIV/0!</v>
      </c>
      <c r="J58" s="106"/>
      <c r="K58" s="85"/>
      <c r="L58" s="107">
        <v>0.99</v>
      </c>
      <c r="M58" s="108" t="e">
        <f t="shared" si="9"/>
        <v>#DIV/0!</v>
      </c>
    </row>
    <row r="59" spans="4:13" ht="15.75" thickBot="1" x14ac:dyDescent="0.3">
      <c r="D59" t="e">
        <f t="shared" si="0"/>
        <v>#DIV/0!</v>
      </c>
    </row>
    <row r="60" spans="4:13" x14ac:dyDescent="0.25">
      <c r="D60" t="e">
        <f t="shared" si="0"/>
        <v>#DIV/0!</v>
      </c>
      <c r="H60" s="109" t="s">
        <v>127</v>
      </c>
      <c r="I60" s="110"/>
    </row>
    <row r="61" spans="4:13" ht="15.75" thickBot="1" x14ac:dyDescent="0.3">
      <c r="D61" t="e">
        <f t="shared" si="0"/>
        <v>#DIV/0!</v>
      </c>
      <c r="H61" s="111" t="s">
        <v>128</v>
      </c>
      <c r="I61" s="112"/>
    </row>
    <row r="62" spans="4:13" ht="15.75" thickBot="1" x14ac:dyDescent="0.3">
      <c r="D62" t="e">
        <f t="shared" si="0"/>
        <v>#DIV/0!</v>
      </c>
      <c r="H62" s="113"/>
    </row>
    <row r="63" spans="4:13" x14ac:dyDescent="0.25">
      <c r="D63" t="e">
        <f t="shared" si="0"/>
        <v>#DIV/0!</v>
      </c>
      <c r="H63" s="109" t="s">
        <v>129</v>
      </c>
      <c r="I63" s="114"/>
    </row>
    <row r="64" spans="4:13" x14ac:dyDescent="0.25">
      <c r="D64" t="e">
        <f t="shared" si="0"/>
        <v>#DIV/0!</v>
      </c>
      <c r="H64" s="115" t="s">
        <v>130</v>
      </c>
      <c r="I64" s="116">
        <f>I63*(1-I60)</f>
        <v>0</v>
      </c>
    </row>
    <row r="65" spans="4:9" ht="15.75" thickBot="1" x14ac:dyDescent="0.3">
      <c r="D65" t="e">
        <f t="shared" si="0"/>
        <v>#DIV/0!</v>
      </c>
      <c r="H65" s="111" t="s">
        <v>131</v>
      </c>
      <c r="I65" s="117">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2024-10-11T03:48:22Z</dcterms:modified>
</cp:coreProperties>
</file>