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7FF5BA16-FF61-4941-93A9-E1D445A7DB2D}" xr6:coauthVersionLast="47" xr6:coauthVersionMax="47" xr10:uidLastSave="{00000000-0000-0000-0000-000000000000}"/>
  <bookViews>
    <workbookView xWindow="14295" yWindow="0" windowWidth="14610" windowHeight="15585" firstSheet="1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Model!$B$25</definedName>
    <definedName name="_xlchart.v1.2" hidden="1">Model!$K$21:$W$21</definedName>
    <definedName name="_xlchart.v1.3" hidden="1">Model!$K$25:$W$25</definedName>
    <definedName name="_xlchart.v1.4" hidden="1">Model!$K$2:$W$2</definedName>
    <definedName name="_xlchart.v1.5" hidden="1">Model!$B$8</definedName>
    <definedName name="_xlchart.v1.6" hidden="1">Model!$B$9</definedName>
    <definedName name="_xlchart.v1.7" hidden="1">Model!$K$2:$W$2</definedName>
    <definedName name="_xlchart.v1.8" hidden="1">Model!$K$8:$W$8</definedName>
    <definedName name="_xlchart.v1.9" hidden="1">Model!$K$9:$W$9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6" l="1"/>
  <c r="L8" i="6" s="1"/>
  <c r="C25" i="1"/>
  <c r="C24" i="1"/>
  <c r="C9" i="1"/>
  <c r="C7" i="1"/>
  <c r="Y24" i="2"/>
  <c r="Y23" i="2"/>
  <c r="U23" i="2"/>
  <c r="U24" i="2" s="1"/>
  <c r="Y7" i="2"/>
  <c r="Y8" i="2" s="1"/>
  <c r="Y30" i="2" s="1"/>
  <c r="V8" i="2"/>
  <c r="V30" i="2" s="1"/>
  <c r="U8" i="2"/>
  <c r="U31" i="2" s="1"/>
  <c r="T8" i="2"/>
  <c r="T30" i="2" s="1"/>
  <c r="S8" i="2"/>
  <c r="S29" i="2" s="1"/>
  <c r="X8" i="2"/>
  <c r="X29" i="2" s="1"/>
  <c r="W8" i="2"/>
  <c r="W30" i="2" s="1"/>
  <c r="X22" i="2"/>
  <c r="M8" i="6"/>
  <c r="J8" i="6"/>
  <c r="I8" i="6"/>
  <c r="H8" i="6"/>
  <c r="G8" i="6"/>
  <c r="F8" i="6"/>
  <c r="K8" i="6"/>
  <c r="W22" i="2"/>
  <c r="C21" i="1"/>
  <c r="C17" i="1"/>
  <c r="C15" i="1"/>
  <c r="C14" i="1"/>
  <c r="Z31" i="2"/>
  <c r="Z30" i="2"/>
  <c r="Z29" i="2"/>
  <c r="F31" i="2"/>
  <c r="E31" i="2"/>
  <c r="D31" i="2"/>
  <c r="C31" i="2"/>
  <c r="F30" i="2"/>
  <c r="E30" i="2"/>
  <c r="D30" i="2"/>
  <c r="C30" i="2"/>
  <c r="F29" i="2"/>
  <c r="E29" i="2"/>
  <c r="D29" i="2"/>
  <c r="C29" i="2"/>
  <c r="S31" i="2"/>
  <c r="R31" i="2"/>
  <c r="Q31" i="2"/>
  <c r="P31" i="2"/>
  <c r="O31" i="2"/>
  <c r="N31" i="2"/>
  <c r="M31" i="2"/>
  <c r="L31" i="2"/>
  <c r="K31" i="2"/>
  <c r="S30" i="2"/>
  <c r="R30" i="2"/>
  <c r="Q30" i="2"/>
  <c r="P30" i="2"/>
  <c r="O30" i="2"/>
  <c r="N30" i="2"/>
  <c r="M30" i="2"/>
  <c r="L30" i="2"/>
  <c r="K30" i="2"/>
  <c r="R29" i="2"/>
  <c r="Q29" i="2"/>
  <c r="P29" i="2"/>
  <c r="O29" i="2"/>
  <c r="N29" i="2"/>
  <c r="M29" i="2"/>
  <c r="L29" i="2"/>
  <c r="K29" i="2"/>
  <c r="V50" i="2"/>
  <c r="V48" i="2"/>
  <c r="V47" i="2"/>
  <c r="V45" i="2"/>
  <c r="V44" i="2"/>
  <c r="V42" i="2"/>
  <c r="V41" i="2"/>
  <c r="V40" i="2"/>
  <c r="V39" i="2"/>
  <c r="V38" i="2"/>
  <c r="Z37" i="2"/>
  <c r="Y37" i="2"/>
  <c r="X37" i="2"/>
  <c r="W37" i="2"/>
  <c r="U37" i="2"/>
  <c r="T37" i="2"/>
  <c r="S37" i="2"/>
  <c r="R37" i="2"/>
  <c r="Q37" i="2"/>
  <c r="P37" i="2"/>
  <c r="O37" i="2"/>
  <c r="N37" i="2"/>
  <c r="M37" i="2"/>
  <c r="L37" i="2"/>
  <c r="K37" i="2"/>
  <c r="E37" i="2"/>
  <c r="D37" i="2"/>
  <c r="C37" i="2"/>
  <c r="F37" i="2"/>
  <c r="Z49" i="2"/>
  <c r="Z51" i="2" s="1"/>
  <c r="Y49" i="2"/>
  <c r="Y51" i="2" s="1"/>
  <c r="X49" i="2"/>
  <c r="X51" i="2" s="1"/>
  <c r="W49" i="2"/>
  <c r="W51" i="2" s="1"/>
  <c r="Z43" i="2"/>
  <c r="Z46" i="2" s="1"/>
  <c r="Y43" i="2"/>
  <c r="Y46" i="2" s="1"/>
  <c r="X43" i="2"/>
  <c r="X46" i="2" s="1"/>
  <c r="W43" i="2"/>
  <c r="W46" i="2" s="1"/>
  <c r="H3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14" i="2"/>
  <c r="P16" i="2" s="1"/>
  <c r="P19" i="2" s="1"/>
  <c r="P21" i="2" s="1"/>
  <c r="G14" i="2"/>
  <c r="G16" i="2" s="1"/>
  <c r="H14" i="2"/>
  <c r="H16" i="2" s="1"/>
  <c r="C29" i="1" l="1"/>
  <c r="C30" i="1"/>
  <c r="C31" i="1"/>
  <c r="Y31" i="2"/>
  <c r="Y29" i="2"/>
  <c r="X31" i="2"/>
  <c r="X30" i="2"/>
  <c r="V29" i="2"/>
  <c r="V31" i="2"/>
  <c r="T29" i="2"/>
  <c r="T31" i="2"/>
  <c r="U30" i="2"/>
  <c r="U29" i="2"/>
  <c r="W31" i="2"/>
  <c r="W29" i="2"/>
  <c r="K14" i="2"/>
  <c r="K16" i="2" s="1"/>
  <c r="K19" i="2" s="1"/>
  <c r="K21" i="2" s="1"/>
  <c r="O14" i="2"/>
  <c r="O16" i="2" s="1"/>
  <c r="O19" i="2" s="1"/>
  <c r="O21" i="2" s="1"/>
  <c r="V37" i="2"/>
  <c r="Z52" i="2"/>
  <c r="R14" i="2"/>
  <c r="R16" i="2" s="1"/>
  <c r="R19" i="2" s="1"/>
  <c r="R21" i="2" s="1"/>
  <c r="S14" i="2"/>
  <c r="S16" i="2" s="1"/>
  <c r="S19" i="2" s="1"/>
  <c r="S21" i="2" s="1"/>
  <c r="Q14" i="2"/>
  <c r="Q16" i="2" s="1"/>
  <c r="Q19" i="2" s="1"/>
  <c r="Q21" i="2" s="1"/>
  <c r="W26" i="2"/>
  <c r="Y52" i="2"/>
  <c r="T14" i="2"/>
  <c r="T16" i="2" s="1"/>
  <c r="T19" i="2" s="1"/>
  <c r="T21" i="2" s="1"/>
  <c r="L14" i="2"/>
  <c r="L16" i="2" s="1"/>
  <c r="L19" i="2" s="1"/>
  <c r="L21" i="2" s="1"/>
  <c r="X26" i="2"/>
  <c r="W52" i="2"/>
  <c r="V14" i="2"/>
  <c r="V16" i="2" s="1"/>
  <c r="V19" i="2" s="1"/>
  <c r="V21" i="2" s="1"/>
  <c r="N14" i="2"/>
  <c r="N16" i="2" s="1"/>
  <c r="N19" i="2" s="1"/>
  <c r="N21" i="2" s="1"/>
  <c r="X52" i="2"/>
  <c r="W14" i="2"/>
  <c r="W16" i="2" s="1"/>
  <c r="W19" i="2" s="1"/>
  <c r="W23" i="2" s="1"/>
  <c r="W24" i="2" s="1"/>
  <c r="W28" i="2"/>
  <c r="X14" i="2"/>
  <c r="X16" i="2" s="1"/>
  <c r="X19" i="2" s="1"/>
  <c r="X23" i="2" s="1"/>
  <c r="X24" i="2" s="1"/>
  <c r="X28" i="2"/>
  <c r="Y28" i="2"/>
  <c r="Z28" i="2"/>
  <c r="U14" i="2"/>
  <c r="U16" i="2" s="1"/>
  <c r="U19" i="2" s="1"/>
  <c r="U21" i="2" s="1"/>
  <c r="M14" i="2"/>
  <c r="M16" i="2" s="1"/>
  <c r="M19" i="2" s="1"/>
  <c r="M21" i="2" s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Z10" i="2" l="1"/>
  <c r="X32" i="2"/>
  <c r="X27" i="2"/>
  <c r="X21" i="2"/>
  <c r="W21" i="2"/>
  <c r="W32" i="2"/>
  <c r="W27" i="2"/>
  <c r="I27" i="5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4" i="2"/>
  <c r="C16" i="2" s="1"/>
  <c r="C19" i="2" s="1"/>
  <c r="D14" i="2"/>
  <c r="D16" i="2" s="1"/>
  <c r="D19" i="2" s="1"/>
  <c r="E14" i="2"/>
  <c r="E16" i="2" s="1"/>
  <c r="E19" i="2" s="1"/>
  <c r="F14" i="2"/>
  <c r="F16" i="2" s="1"/>
  <c r="F19" i="2" s="1"/>
  <c r="L27" i="2"/>
  <c r="M27" i="2"/>
  <c r="N27" i="2"/>
  <c r="K26" i="2"/>
  <c r="L26" i="2"/>
  <c r="M26" i="2"/>
  <c r="N26" i="2"/>
  <c r="O26" i="2"/>
  <c r="P26" i="2"/>
  <c r="Q26" i="2"/>
  <c r="R26" i="2"/>
  <c r="S26" i="2"/>
  <c r="T26" i="2"/>
  <c r="U26" i="2"/>
  <c r="V26" i="2"/>
  <c r="O28" i="2"/>
  <c r="P28" i="2"/>
  <c r="Q28" i="2"/>
  <c r="R28" i="2"/>
  <c r="S28" i="2"/>
  <c r="T28" i="2"/>
  <c r="U28" i="2"/>
  <c r="V28" i="2"/>
  <c r="K43" i="2"/>
  <c r="K46" i="2" s="1"/>
  <c r="L43" i="2"/>
  <c r="L46" i="2" s="1"/>
  <c r="M43" i="2"/>
  <c r="M46" i="2" s="1"/>
  <c r="N43" i="2"/>
  <c r="N46" i="2" s="1"/>
  <c r="O43" i="2"/>
  <c r="O46" i="2" s="1"/>
  <c r="P43" i="2"/>
  <c r="P46" i="2" s="1"/>
  <c r="Q43" i="2"/>
  <c r="Q46" i="2" s="1"/>
  <c r="R43" i="2"/>
  <c r="R46" i="2" s="1"/>
  <c r="S43" i="2"/>
  <c r="S46" i="2" s="1"/>
  <c r="T43" i="2"/>
  <c r="T46" i="2" s="1"/>
  <c r="U43" i="2"/>
  <c r="U46" i="2" s="1"/>
  <c r="V43" i="2"/>
  <c r="V46" i="2" s="1"/>
  <c r="K49" i="2"/>
  <c r="K51" i="2" s="1"/>
  <c r="L49" i="2"/>
  <c r="L51" i="2" s="1"/>
  <c r="M49" i="2"/>
  <c r="M51" i="2" s="1"/>
  <c r="N49" i="2"/>
  <c r="N51" i="2" s="1"/>
  <c r="O49" i="2"/>
  <c r="O51" i="2" s="1"/>
  <c r="P49" i="2"/>
  <c r="P51" i="2" s="1"/>
  <c r="Q49" i="2"/>
  <c r="Q51" i="2" s="1"/>
  <c r="R49" i="2"/>
  <c r="R51" i="2" s="1"/>
  <c r="S49" i="2"/>
  <c r="S51" i="2" s="1"/>
  <c r="T49" i="2"/>
  <c r="T51" i="2" s="1"/>
  <c r="U49" i="2"/>
  <c r="U51" i="2" s="1"/>
  <c r="V49" i="2"/>
  <c r="V51" i="2" s="1"/>
  <c r="H33" i="2"/>
  <c r="G33" i="2"/>
  <c r="C43" i="2"/>
  <c r="C46" i="2" s="1"/>
  <c r="D43" i="2"/>
  <c r="D46" i="2" s="1"/>
  <c r="H27" i="2"/>
  <c r="G27" i="2"/>
  <c r="H28" i="2"/>
  <c r="Z14" i="2" l="1"/>
  <c r="Z16" i="2" s="1"/>
  <c r="Z19" i="2" s="1"/>
  <c r="Z26" i="2"/>
  <c r="Y26" i="2"/>
  <c r="Y14" i="2"/>
  <c r="Y16" i="2" s="1"/>
  <c r="Y19" i="2" s="1"/>
  <c r="T52" i="2"/>
  <c r="L52" i="2"/>
  <c r="R52" i="2"/>
  <c r="U52" i="2"/>
  <c r="M52" i="2"/>
  <c r="S52" i="2"/>
  <c r="K52" i="2"/>
  <c r="Q52" i="2"/>
  <c r="P52" i="2"/>
  <c r="O52" i="2"/>
  <c r="V52" i="2"/>
  <c r="N52" i="2"/>
  <c r="K11" i="5"/>
  <c r="K27" i="2"/>
  <c r="E3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S27" i="2"/>
  <c r="S32" i="2"/>
  <c r="O27" i="2"/>
  <c r="R27" i="2"/>
  <c r="R32" i="2"/>
  <c r="V32" i="2"/>
  <c r="V27" i="2"/>
  <c r="U32" i="2"/>
  <c r="U27" i="2"/>
  <c r="T27" i="2"/>
  <c r="T32" i="2"/>
  <c r="Q32" i="2"/>
  <c r="Q27" i="2"/>
  <c r="P32" i="2"/>
  <c r="P27" i="2"/>
  <c r="G34" i="2"/>
  <c r="H34" i="2"/>
  <c r="F33" i="2"/>
  <c r="C33" i="2"/>
  <c r="D33" i="2"/>
  <c r="G28" i="2"/>
  <c r="E26" i="2"/>
  <c r="D26" i="2"/>
  <c r="C26" i="2"/>
  <c r="F26" i="2"/>
  <c r="F28" i="2"/>
  <c r="F49" i="2"/>
  <c r="F51" i="2" s="1"/>
  <c r="F43" i="2"/>
  <c r="F46" i="2" s="1"/>
  <c r="D28" i="2"/>
  <c r="E28" i="2"/>
  <c r="C28" i="2"/>
  <c r="C49" i="2"/>
  <c r="C51" i="2" s="1"/>
  <c r="C52" i="2" s="1"/>
  <c r="D49" i="2"/>
  <c r="E43" i="2"/>
  <c r="E46" i="2" s="1"/>
  <c r="Z27" i="2" l="1"/>
  <c r="Z21" i="2"/>
  <c r="Z32" i="2"/>
  <c r="Y21" i="2"/>
  <c r="Y32" i="2"/>
  <c r="Y27" i="2"/>
  <c r="F52" i="2"/>
  <c r="O32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4" i="2"/>
  <c r="E34" i="2"/>
  <c r="F34" i="2"/>
  <c r="D34" i="2"/>
  <c r="E49" i="2"/>
  <c r="E51" i="2" s="1"/>
  <c r="E52" i="2" s="1"/>
  <c r="D51" i="2"/>
  <c r="D52" i="2" s="1"/>
  <c r="D21" i="2" l="1"/>
  <c r="C27" i="2"/>
  <c r="F21" i="2"/>
  <c r="F27" i="2"/>
  <c r="G32" i="2" l="1"/>
  <c r="D27" i="2"/>
  <c r="E21" i="2"/>
  <c r="E32" i="2" s="1"/>
  <c r="C21" i="2"/>
  <c r="C32" i="2" s="1"/>
  <c r="E27" i="2"/>
  <c r="C11" i="1" s="1"/>
  <c r="D32" i="2" l="1"/>
  <c r="F32" i="2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<sst xmlns="http://schemas.openxmlformats.org/spreadsheetml/2006/main" count="250" uniqueCount="213">
  <si>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</si>
  <si>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</si>
  <si>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</si>
  <si>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</si>
  <si>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</si>
  <si>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</si>
  <si>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</si>
  <si>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</si>
  <si>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</si>
  <si>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</si>
  <si>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</si>
  <si>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</si>
  <si>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</si>
  <si>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</si>
  <si>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</si>
  <si>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</si>
  <si>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</si>
  <si>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</si>
  <si>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</si>
  <si>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</si>
  <si>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</si>
  <si>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</si>
  <si>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</si>
  <si>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</si>
  <si>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</si>
  <si>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</si>
  <si>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</si>
  <si>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</si>
  <si>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</si>
  <si>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</si>
  <si>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</si>
  <si>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</si>
  <si>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</si>
  <si>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</si>
  <si>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</si>
  <si>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</si>
  <si>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</si>
  <si>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</si>
  <si>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</si>
  <si>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</si>
  <si>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</si>
  <si>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</si>
  <si>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</si>
  <si>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</si>
  <si>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</si>
  <si>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</si>
  <si>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</si>
  <si>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</si>
  <si>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</si>
  <si>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</si>
  <si>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</si>
  <si>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</si>
  <si>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</si>
  <si>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</si>
  <si>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</si>
  <si>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</si>
  <si>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</si>
  <si>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</si>
  <si>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</si>
  <si>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</si>
  <si>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</si>
  <si>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</si>
  <si>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</si>
  <si>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</si>
  <si>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</si>
  <si>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</si>
  <si>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</si>
  <si>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</si>
  <si>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</si>
  <si>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</si>
  <si>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</si>
  <si>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</si>
  <si>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</si>
  <si>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</si>
  <si>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</si>
  <si>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</si>
  <si>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</si>
  <si>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</si>
  <si>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</si>
  <si>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</si>
  <si>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</si>
  <si>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</si>
  <si>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</si>
  <si>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</si>
  <si>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</si>
  <si>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</si>
  <si>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</si>
  <si>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</si>
  <si>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</si>
  <si>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</si>
  <si>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</si>
  <si>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</si>
  <si>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</si>
  <si>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</si>
  <si>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</si>
  <si>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</si>
  <si>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</si>
  <si>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</si>
  <si>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</si>
  <si>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</si>
  <si>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</si>
  <si>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</si>
  <si>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</si>
  <si>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</si>
  <si>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</si>
  <si>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</si>
  <si>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</si>
  <si>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</si>
  <si>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</si>
  <si>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</si>
  <si>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</si>
  <si>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</si>
  <si>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</si>
  <si>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</si>
  <si>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</si>
  <si>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</si>
  <si>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</si>
  <si>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</si>
  <si>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</si>
  <si>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</si>
  <si>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</si>
  <si>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</si>
  <si>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</si>
  <si>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</si>
  <si>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</si>
  <si>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</si>
  <si>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</si>
  <si>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</si>
  <si>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</si>
  <si>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</si>
  <si>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</si>
  <si>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</si>
  <si>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</si>
  <si>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</si>
  <si>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Net Income before Tax</t>
  </si>
  <si>
    <t>ALAB</t>
  </si>
  <si>
    <t>EPS Growth</t>
  </si>
  <si>
    <t>Q324</t>
  </si>
  <si>
    <t>Q424</t>
  </si>
  <si>
    <t>MS</t>
  </si>
  <si>
    <t>Inventory</t>
  </si>
  <si>
    <t>Accrued Expense</t>
  </si>
  <si>
    <t>S&amp;M</t>
  </si>
  <si>
    <t>Interest Income</t>
  </si>
  <si>
    <t>FMR, LLC</t>
  </si>
  <si>
    <t>14.91%</t>
  </si>
  <si>
    <t>Intel Corporation</t>
  </si>
  <si>
    <t>3.77%</t>
  </si>
  <si>
    <t>Atreides Management, LP</t>
  </si>
  <si>
    <t>1.77%</t>
  </si>
  <si>
    <t>Vanguard Group Inc</t>
  </si>
  <si>
    <t>1.28%</t>
  </si>
  <si>
    <t>Blackrock Inc.</t>
  </si>
  <si>
    <t>0.95%</t>
  </si>
  <si>
    <t>Invesco Ltd.</t>
  </si>
  <si>
    <t>0.92%</t>
  </si>
  <si>
    <t>JP Morgan Chase &amp; Company</t>
  </si>
  <si>
    <t>0.91%</t>
  </si>
  <si>
    <t>Goldman Sachs Group Inc</t>
  </si>
  <si>
    <t>0.66%</t>
  </si>
  <si>
    <t>Maverick Capital Ltd.</t>
  </si>
  <si>
    <t>0.64%</t>
  </si>
  <si>
    <t>Summit Partners Public Asset Management LLC</t>
  </si>
  <si>
    <t>0.60%</t>
  </si>
  <si>
    <t>ALBA MANUELDirector</t>
  </si>
  <si>
    <t>DYCKERHOFF STEFAN ADirector and Beneficial Owner of more than 10% of a Class of Security</t>
  </si>
  <si>
    <t>GAJENDRA SANJAYPresident</t>
  </si>
  <si>
    <t>HURLSTON MICHAEL EDirector</t>
  </si>
  <si>
    <t>LAZAR JACK RDirector</t>
  </si>
  <si>
    <t>MAYER BETHANY JDirector</t>
  </si>
  <si>
    <t>MAZZARA PHILIPGeneral Counsel</t>
  </si>
  <si>
    <t>MOHAN JITENDRAChief Executive Officer</t>
  </si>
  <si>
    <t>SUTTER HILL VENTURESBeneficial Owner of more than 10% of a Class of Security</t>
  </si>
  <si>
    <t>TATE MICHAEL TRUETTChief Financial Officer</t>
  </si>
  <si>
    <t>-</t>
  </si>
  <si>
    <t>GAAP EPS</t>
  </si>
  <si>
    <t>SBC</t>
  </si>
  <si>
    <t>Non-Gap Net Income</t>
  </si>
  <si>
    <t>Non Gap EPS</t>
  </si>
  <si>
    <t>Geographic Revenues</t>
  </si>
  <si>
    <t>Taiwan</t>
  </si>
  <si>
    <t>United States</t>
  </si>
  <si>
    <t>Netherlands</t>
  </si>
  <si>
    <t>Total</t>
  </si>
  <si>
    <t>Mr. Jitendra Mohan</t>
  </si>
  <si>
    <t>Co-Founder, CEO &amp; Executive Director</t>
  </si>
  <si>
    <t>Mr. Philip Mazzara</t>
  </si>
  <si>
    <t>General Counsel &amp; Secretary</t>
  </si>
  <si>
    <t>Mr. Sanjay Gajendra</t>
  </si>
  <si>
    <t>Co-Founder, President, COO &amp; Director</t>
  </si>
  <si>
    <t>Mr. Casey Morrison</t>
  </si>
  <si>
    <t>Co-Founder &amp; Chief Product Officer</t>
  </si>
  <si>
    <t>Mr. Michael T. Tate CPA</t>
  </si>
  <si>
    <t>Chief Financial Officer</t>
  </si>
  <si>
    <t>Mr. Nicholas H. Aberle</t>
  </si>
  <si>
    <t>VP, Treasurer &amp; Head of Investor Relations</t>
  </si>
  <si>
    <t>Mr. Kelvin Khoo</t>
  </si>
  <si>
    <t>Senior Vice President of Corporate Development</t>
  </si>
  <si>
    <t>Mr. Patrick Henderson</t>
  </si>
  <si>
    <t>Senior Vice President of Sales</t>
  </si>
  <si>
    <t>Ms. Paroma Sen</t>
  </si>
  <si>
    <t>Vice president of Corporate Marketing</t>
  </si>
  <si>
    <t>Mr. Kush Saxena</t>
  </si>
  <si>
    <t>Chief Human Resources Officer</t>
  </si>
  <si>
    <t>Ex Texas Instruments</t>
  </si>
  <si>
    <t>Ex Net Iwas that was exited to Broadcom</t>
  </si>
  <si>
    <t>Astera Labs, Inc. designs, manufactures, and sells semiconductor-based connectivity solutions for cloud and AI infrastructure. Its Intelligent Connectivity Platform is comprised of a portfolio of data, network, and memory connectivity products, which are built on a unifying software-defined architecture that enables customers to deploy and operate high performance cloud and AI infrastructure at scale. The company was incorporated in 2017 and is based in Santa Clara, California.</t>
  </si>
  <si>
    <t>Rückenwind von Analysten-Upgrades</t>
  </si>
  <si>
    <t>Sehr abhängig von Taiwan</t>
  </si>
  <si>
    <t>Sehr abhängig von einzelnen großen Kunden</t>
  </si>
  <si>
    <t>China</t>
  </si>
  <si>
    <t>Q125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</si>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</sst>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32A31"/>
      <name val="Arial"/>
      <family val="2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6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9" fontId="5" fillId="0" borderId="2" xfId="1" applyFont="1" applyBorder="1"/>
    <xf numFmtId="2" fontId="2" fillId="0" borderId="0" xfId="0" applyNumberFormat="1" applyFont="1" applyAlignment="1">
      <alignment horizontal="right"/>
    </xf>
    <xf numFmtId="4" fontId="2" fillId="0" borderId="0" xfId="0" applyNumberFormat="1" applyFont="1"/>
    <xf numFmtId="4" fontId="5" fillId="0" borderId="0" xfId="0" applyNumberFormat="1" applyFont="1"/>
    <xf numFmtId="4" fontId="0" fillId="0" borderId="0" xfId="0" applyNumberFormat="1"/>
    <xf numFmtId="0" fontId="14" fillId="12" borderId="0" xfId="0" applyFont="1" applyFill="1" applyAlignment="1">
      <alignment horizontal="right" vertical="center"/>
    </xf>
    <xf numFmtId="0" fontId="5" fillId="13" borderId="0" xfId="0" applyFont="1" applyFill="1"/>
    <xf numFmtId="2" fontId="2" fillId="13" borderId="0" xfId="0" applyNumberFormat="1" applyFont="1" applyFill="1"/>
    <xf numFmtId="2" fontId="2" fillId="13" borderId="2" xfId="0" applyNumberFormat="1" applyFont="1" applyFill="1" applyBorder="1"/>
    <xf numFmtId="2" fontId="6" fillId="13" borderId="0" xfId="0" applyNumberFormat="1" applyFont="1" applyFill="1"/>
    <xf numFmtId="0" fontId="6" fillId="13" borderId="0" xfId="0" applyFont="1" applyFill="1"/>
    <xf numFmtId="0" fontId="2" fillId="13" borderId="0" xfId="0" applyFont="1" applyFill="1"/>
    <xf numFmtId="2" fontId="5" fillId="13" borderId="0" xfId="0" applyNumberFormat="1" applyFont="1" applyFill="1"/>
    <xf numFmtId="2" fontId="2" fillId="13" borderId="0" xfId="0" applyNumberFormat="1" applyFont="1" applyFill="1" applyAlignment="1">
      <alignment horizontal="right"/>
    </xf>
    <xf numFmtId="2" fontId="2" fillId="13" borderId="2" xfId="0" applyNumberFormat="1" applyFont="1" applyFill="1" applyBorder="1" applyAlignment="1">
      <alignment horizontal="right"/>
    </xf>
    <xf numFmtId="0" fontId="15" fillId="0" borderId="0" xfId="0" applyFont="1"/>
    <xf numFmtId="167" fontId="0" fillId="0" borderId="0" xfId="0" applyNumberFormat="1"/>
    <xf numFmtId="167" fontId="0" fillId="0" borderId="2" xfId="0" applyNumberForma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Model!$K$8:$W$8</c:f>
              <c:numCache>
                <c:formatCode>#,##0</c:formatCode>
                <c:ptCount val="13"/>
                <c:pt idx="8">
                  <c:v>17.664000000000001</c:v>
                </c:pt>
                <c:pt idx="9">
                  <c:v>10.687999999999999</c:v>
                </c:pt>
                <c:pt idx="10">
                  <c:v>36.927999999999997</c:v>
                </c:pt>
                <c:pt idx="11">
                  <c:v>0</c:v>
                </c:pt>
                <c:pt idx="12">
                  <c:v>65.257999999999996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Model!$K$28:$W$28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2.6944067028985503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7-4043-9EFA-38773737EDD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Model!$C$8:$H$8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Model!$C$28:$H$28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0.6066758879870553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.00">
                  <c:v>-17.245999999999999</c:v>
                </c:pt>
                <c:pt idx="9">
                  <c:v>-20.216000000000001</c:v>
                </c:pt>
                <c:pt idx="10">
                  <c:v>-3.1240000000000041</c:v>
                </c:pt>
                <c:pt idx="11">
                  <c:v>0</c:v>
                </c:pt>
                <c:pt idx="12">
                  <c:v>-93.313000000000002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Model!$K$26:$W$26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0.24105525362318847</c:v>
                </c:pt>
                <c:pt idx="9">
                  <c:v>0.7895770958083832</c:v>
                </c:pt>
                <c:pt idx="10">
                  <c:v>0.76107560658578854</c:v>
                </c:pt>
                <c:pt idx="11">
                  <c:v>0</c:v>
                </c:pt>
                <c:pt idx="12">
                  <c:v>0.7741579576450397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Model!$C$32:$H$32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0.93243243243243246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Model!$B$29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Model!$K$29:$U$29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0.24869791666666663</c:v>
                </c:pt>
                <c:pt idx="9">
                  <c:v>0.47688997005988032</c:v>
                </c:pt>
                <c:pt idx="10">
                  <c:v>0.14912803292894281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Model!$B$30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Model!$K$30:$V$30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0.86430027173913038</c:v>
                </c:pt>
                <c:pt idx="9">
                  <c:v>1.6710329341317367</c:v>
                </c:pt>
                <c:pt idx="10">
                  <c:v>0.55854636048526873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Model!$K$31:$V$31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0.19955842391304346</c:v>
                </c:pt>
                <c:pt idx="9">
                  <c:v>0.28957709580838326</c:v>
                </c:pt>
                <c:pt idx="10">
                  <c:v>0.10693782495667245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Model!$B$29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Model!$C$29:$F$29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Model!$B$30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Model!$C$30:$F$30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Model!$C$31:$F$31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GAAP 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E21" sqref="E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 t="s">
        <v>135</v>
      </c>
      <c r="C2" s="19"/>
      <c r="E2" s="24" t="s">
        <v>47</v>
      </c>
      <c r="F2" s="61" t="s">
        <v>48</v>
      </c>
      <c r="G2" s="25"/>
      <c r="H2" s="26" t="s">
        <v>55</v>
      </c>
      <c r="I2" s="26" t="s">
        <v>1</v>
      </c>
      <c r="J2" s="27" t="s">
        <v>48</v>
      </c>
      <c r="L2" s="29" t="s">
        <v>41</v>
      </c>
      <c r="M2" s="30" t="s">
        <v>57</v>
      </c>
      <c r="N2" s="31" t="s">
        <v>56</v>
      </c>
    </row>
    <row r="3" spans="2:14" x14ac:dyDescent="0.25">
      <c r="B3" s="5" t="s">
        <v>40</v>
      </c>
      <c r="C3" s="20">
        <v>45663</v>
      </c>
      <c r="E3" s="5" t="s">
        <v>144</v>
      </c>
      <c r="F3" s="130" t="s">
        <v>145</v>
      </c>
      <c r="H3" t="s">
        <v>164</v>
      </c>
      <c r="I3" s="10" t="s">
        <v>174</v>
      </c>
      <c r="J3" s="37"/>
      <c r="L3" s="5" t="s">
        <v>184</v>
      </c>
      <c r="M3" t="s">
        <v>185</v>
      </c>
      <c r="N3" s="36" t="s">
        <v>204</v>
      </c>
    </row>
    <row r="4" spans="2:14" x14ac:dyDescent="0.25">
      <c r="B4" s="5"/>
      <c r="C4" s="21">
        <v>0.15347222222222223</v>
      </c>
      <c r="E4" s="5" t="s">
        <v>146</v>
      </c>
      <c r="F4" s="130" t="s">
        <v>147</v>
      </c>
      <c r="H4" t="s">
        <v>165</v>
      </c>
      <c r="I4" s="10" t="s">
        <v>174</v>
      </c>
      <c r="J4" s="37"/>
      <c r="L4" s="5" t="s">
        <v>186</v>
      </c>
      <c r="M4" t="s">
        <v>187</v>
      </c>
      <c r="N4" s="13"/>
    </row>
    <row r="5" spans="2:14" x14ac:dyDescent="0.25">
      <c r="B5" s="5"/>
      <c r="C5" s="13"/>
      <c r="E5" s="5" t="s">
        <v>148</v>
      </c>
      <c r="F5" s="130" t="s">
        <v>149</v>
      </c>
      <c r="H5" t="s">
        <v>166</v>
      </c>
      <c r="I5" s="10" t="s">
        <v>174</v>
      </c>
      <c r="J5" s="37"/>
      <c r="L5" s="5" t="s">
        <v>188</v>
      </c>
      <c r="M5" t="s">
        <v>189</v>
      </c>
      <c r="N5" s="36" t="s">
        <v>204</v>
      </c>
    </row>
    <row r="6" spans="2:14" x14ac:dyDescent="0.25">
      <c r="B6" s="5" t="s">
        <v>0</v>
      </c>
      <c r="C6" s="13">
        <v>140.93</v>
      </c>
      <c r="E6" s="5" t="s">
        <v>150</v>
      </c>
      <c r="F6" s="130" t="s">
        <v>151</v>
      </c>
      <c r="H6" t="s">
        <v>167</v>
      </c>
      <c r="I6" s="10">
        <v>161.74700000000001</v>
      </c>
      <c r="J6" s="37"/>
      <c r="L6" s="5" t="s">
        <v>190</v>
      </c>
      <c r="M6" t="s">
        <v>191</v>
      </c>
      <c r="N6" s="36" t="s">
        <v>204</v>
      </c>
    </row>
    <row r="7" spans="2:14" x14ac:dyDescent="0.25">
      <c r="B7" s="5" t="s">
        <v>1</v>
      </c>
      <c r="C7" s="15">
        <f>Model!Y20</f>
        <v>156</v>
      </c>
      <c r="E7" s="5" t="s">
        <v>152</v>
      </c>
      <c r="F7" s="130" t="s">
        <v>153</v>
      </c>
      <c r="H7" t="s">
        <v>168</v>
      </c>
      <c r="I7" s="10">
        <v>165</v>
      </c>
      <c r="J7" s="37"/>
      <c r="L7" s="5" t="s">
        <v>192</v>
      </c>
      <c r="M7" t="s">
        <v>193</v>
      </c>
      <c r="N7" s="13" t="s">
        <v>205</v>
      </c>
    </row>
    <row r="8" spans="2:14" x14ac:dyDescent="0.25">
      <c r="B8" s="5" t="s">
        <v>2</v>
      </c>
      <c r="C8" s="15">
        <f>C6*C7</f>
        <v>21985.08</v>
      </c>
      <c r="E8" s="5" t="s">
        <v>154</v>
      </c>
      <c r="F8" s="130" t="s">
        <v>155</v>
      </c>
      <c r="H8" t="s">
        <v>169</v>
      </c>
      <c r="I8" s="10">
        <v>4.5730000000000004</v>
      </c>
      <c r="J8" s="37"/>
      <c r="L8" s="5" t="s">
        <v>194</v>
      </c>
      <c r="M8" t="s">
        <v>195</v>
      </c>
      <c r="N8" s="13"/>
    </row>
    <row r="9" spans="2:14" x14ac:dyDescent="0.25">
      <c r="B9" s="5" t="s">
        <v>3</v>
      </c>
      <c r="C9" s="15">
        <f>Model!Y38+Model!Y39</f>
        <v>886.80099999999993</v>
      </c>
      <c r="E9" s="5" t="s">
        <v>156</v>
      </c>
      <c r="F9" s="130" t="s">
        <v>157</v>
      </c>
      <c r="H9" t="s">
        <v>170</v>
      </c>
      <c r="I9" s="10">
        <v>325.47399999999999</v>
      </c>
      <c r="J9" s="37"/>
      <c r="L9" s="5" t="s">
        <v>196</v>
      </c>
      <c r="M9" t="s">
        <v>197</v>
      </c>
      <c r="N9" s="13"/>
    </row>
    <row r="10" spans="2:14" x14ac:dyDescent="0.25">
      <c r="B10" s="5" t="s">
        <v>4</v>
      </c>
      <c r="C10" s="15">
        <f>Model!E38+Model!E42</f>
        <v>0</v>
      </c>
      <c r="E10" s="5" t="s">
        <v>158</v>
      </c>
      <c r="F10" s="130" t="s">
        <v>159</v>
      </c>
      <c r="H10" t="s">
        <v>171</v>
      </c>
      <c r="I10" s="10" t="s">
        <v>174</v>
      </c>
      <c r="J10" s="37"/>
      <c r="L10" s="5" t="s">
        <v>198</v>
      </c>
      <c r="M10" t="s">
        <v>199</v>
      </c>
      <c r="N10" s="13"/>
    </row>
    <row r="11" spans="2:14" x14ac:dyDescent="0.25">
      <c r="B11" s="5" t="s">
        <v>35</v>
      </c>
      <c r="C11" s="15">
        <f>C9-C10</f>
        <v>886.80099999999993</v>
      </c>
      <c r="E11" s="5" t="s">
        <v>160</v>
      </c>
      <c r="F11" s="130" t="s">
        <v>161</v>
      </c>
      <c r="H11" t="s">
        <v>172</v>
      </c>
      <c r="I11" s="10" t="s">
        <v>174</v>
      </c>
      <c r="J11" s="37"/>
      <c r="L11" s="5" t="s">
        <v>200</v>
      </c>
      <c r="M11" t="s">
        <v>201</v>
      </c>
      <c r="N11" s="13"/>
    </row>
    <row r="12" spans="2:14" x14ac:dyDescent="0.25">
      <c r="B12" s="5" t="s">
        <v>5</v>
      </c>
      <c r="C12" s="15">
        <f>C8-C9+C10</f>
        <v>21098.279000000002</v>
      </c>
      <c r="E12" s="5" t="s">
        <v>162</v>
      </c>
      <c r="F12" s="130" t="s">
        <v>163</v>
      </c>
      <c r="H12" t="s">
        <v>173</v>
      </c>
      <c r="I12" t="s">
        <v>174</v>
      </c>
      <c r="J12" s="13"/>
      <c r="L12" s="5" t="s">
        <v>202</v>
      </c>
      <c r="M12" t="s">
        <v>203</v>
      </c>
      <c r="N12" s="13"/>
    </row>
    <row r="13" spans="2:14" x14ac:dyDescent="0.25">
      <c r="B13" s="5" t="s">
        <v>46</v>
      </c>
      <c r="C13" s="35"/>
      <c r="E13" s="5"/>
      <c r="J13" s="13"/>
      <c r="L13" s="5"/>
      <c r="N13" s="13"/>
    </row>
    <row r="14" spans="2:14" x14ac:dyDescent="0.25">
      <c r="B14" s="5" t="s">
        <v>44</v>
      </c>
      <c r="C14" s="35">
        <f>C6/Model!G25</f>
        <v>190.44594594594597</v>
      </c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45</v>
      </c>
      <c r="C15" s="35">
        <f>C6/Model!H25</f>
        <v>98.55244755244756</v>
      </c>
    </row>
    <row r="16" spans="2:14" x14ac:dyDescent="0.25">
      <c r="B16" s="5" t="s">
        <v>42</v>
      </c>
      <c r="C16" s="6"/>
    </row>
    <row r="17" spans="2:14" x14ac:dyDescent="0.25">
      <c r="B17" s="5" t="s">
        <v>43</v>
      </c>
      <c r="C17" s="6">
        <f>Model!H25/Model!G25-1</f>
        <v>0.93243243243243246</v>
      </c>
      <c r="E17" s="32" t="s">
        <v>53</v>
      </c>
      <c r="L17" s="143" t="s">
        <v>206</v>
      </c>
      <c r="M17" s="144"/>
      <c r="N17" s="145"/>
    </row>
    <row r="18" spans="2:14" x14ac:dyDescent="0.25">
      <c r="B18" s="5" t="s">
        <v>67</v>
      </c>
      <c r="C18" s="50"/>
      <c r="L18" s="146"/>
      <c r="M18" s="147"/>
      <c r="N18" s="148"/>
    </row>
    <row r="19" spans="2:14" x14ac:dyDescent="0.25">
      <c r="B19" s="5" t="s">
        <v>68</v>
      </c>
      <c r="C19" s="50">
        <f>C15/(C17*100)</f>
        <v>1.0569392925914667</v>
      </c>
      <c r="L19" s="146"/>
      <c r="M19" s="147"/>
      <c r="N19" s="148"/>
    </row>
    <row r="20" spans="2:14" x14ac:dyDescent="0.25">
      <c r="B20" s="5" t="s">
        <v>79</v>
      </c>
      <c r="C20" s="6"/>
      <c r="L20" s="146"/>
      <c r="M20" s="147"/>
      <c r="N20" s="148"/>
    </row>
    <row r="21" spans="2:14" x14ac:dyDescent="0.25">
      <c r="B21" s="5" t="s">
        <v>80</v>
      </c>
      <c r="C21" s="6">
        <f>Model!H9/Model!G9-1</f>
        <v>0.6066758879870553</v>
      </c>
      <c r="L21" s="146"/>
      <c r="M21" s="147"/>
      <c r="N21" s="148"/>
    </row>
    <row r="22" spans="2:14" x14ac:dyDescent="0.25">
      <c r="B22" s="5" t="s">
        <v>69</v>
      </c>
      <c r="C22" s="15"/>
      <c r="L22" s="146"/>
      <c r="M22" s="147"/>
      <c r="N22" s="148"/>
    </row>
    <row r="23" spans="2:14" x14ac:dyDescent="0.25">
      <c r="B23" s="5" t="s">
        <v>19</v>
      </c>
      <c r="C23" s="15">
        <f>Model!E11</f>
        <v>0</v>
      </c>
      <c r="L23" s="146"/>
      <c r="M23" s="147"/>
      <c r="N23" s="148"/>
    </row>
    <row r="24" spans="2:14" x14ac:dyDescent="0.25">
      <c r="B24" s="5" t="s">
        <v>29</v>
      </c>
      <c r="C24" s="7">
        <f>Model!Y26</f>
        <v>0.77708115947155265</v>
      </c>
      <c r="L24" s="146"/>
      <c r="M24" s="147"/>
      <c r="N24" s="148"/>
    </row>
    <row r="25" spans="2:14" x14ac:dyDescent="0.25">
      <c r="B25" s="5" t="s">
        <v>30</v>
      </c>
      <c r="C25" s="7">
        <f>Model!Y27</f>
        <v>-6.7143589834285283E-2</v>
      </c>
      <c r="L25" s="146"/>
      <c r="M25" s="147"/>
      <c r="N25" s="148"/>
    </row>
    <row r="26" spans="2:14" x14ac:dyDescent="0.25">
      <c r="B26" s="5" t="s">
        <v>70</v>
      </c>
      <c r="C26" s="35"/>
      <c r="L26" s="146"/>
      <c r="M26" s="147"/>
      <c r="N26" s="148"/>
    </row>
    <row r="27" spans="2:14" x14ac:dyDescent="0.25">
      <c r="B27" s="5" t="s">
        <v>81</v>
      </c>
      <c r="C27" s="121">
        <v>0</v>
      </c>
      <c r="E27" t="s">
        <v>72</v>
      </c>
      <c r="L27" s="146"/>
      <c r="M27" s="147"/>
      <c r="N27" s="148"/>
    </row>
    <row r="28" spans="2:14" x14ac:dyDescent="0.25">
      <c r="B28" s="5" t="s">
        <v>82</v>
      </c>
      <c r="C28" s="35">
        <v>0</v>
      </c>
      <c r="E28" t="s">
        <v>207</v>
      </c>
      <c r="L28" s="149"/>
      <c r="M28" s="150"/>
      <c r="N28" s="151"/>
    </row>
    <row r="29" spans="2:14" x14ac:dyDescent="0.25">
      <c r="B29" s="5" t="s">
        <v>83</v>
      </c>
      <c r="C29" s="35">
        <f>Model!X43/Model!X49</f>
        <v>13.909837216924444</v>
      </c>
      <c r="E29" t="s">
        <v>208</v>
      </c>
    </row>
    <row r="30" spans="2:14" x14ac:dyDescent="0.25">
      <c r="B30" s="5" t="s">
        <v>84</v>
      </c>
      <c r="C30" s="35">
        <f>(Model!X38+Model!X39+Model!X40)/Model!X49</f>
        <v>13.316498369047803</v>
      </c>
      <c r="E30" t="s">
        <v>209</v>
      </c>
    </row>
    <row r="31" spans="2:14" x14ac:dyDescent="0.25">
      <c r="B31" s="5" t="s">
        <v>85</v>
      </c>
      <c r="C31" s="6">
        <f>(Model!X43-Model!X49)/Model!X46</f>
        <v>0.90350458485114937</v>
      </c>
    </row>
    <row r="32" spans="2:14" x14ac:dyDescent="0.25">
      <c r="B32" s="5" t="s">
        <v>86</v>
      </c>
      <c r="C32" s="35">
        <f>(Model!P37-Model!P45)/Main!C7</f>
        <v>0</v>
      </c>
    </row>
    <row r="33" spans="2:3" x14ac:dyDescent="0.25">
      <c r="B33" s="5" t="s">
        <v>87</v>
      </c>
      <c r="C33" s="35"/>
    </row>
    <row r="34" spans="2:3" x14ac:dyDescent="0.25">
      <c r="B34" s="5" t="s">
        <v>88</v>
      </c>
      <c r="C34" s="37"/>
    </row>
    <row r="35" spans="2:3" x14ac:dyDescent="0.25">
      <c r="B35" s="5" t="s">
        <v>89</v>
      </c>
      <c r="C35" s="37"/>
    </row>
    <row r="36" spans="2:3" x14ac:dyDescent="0.25">
      <c r="B36" s="22" t="s">
        <v>90</v>
      </c>
      <c r="C36" s="23"/>
    </row>
  </sheetData>
  <mergeCells count="1">
    <mergeCell ref="L17:N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B73"/>
  <sheetViews>
    <sheetView tabSelected="1" zoomScaleNormal="100" workbookViewId="0">
      <pane xSplit="2" ySplit="2" topLeftCell="U3" activePane="bottomRight" state="frozen"/>
      <selection pane="topRight" activeCell="B1" sqref="B1"/>
      <selection pane="bottomLeft" activeCell="A3" sqref="A3"/>
      <selection pane="bottomRight" activeCell="U7" sqref="U7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3"/>
    <col min="25" max="25" width="11.42578125" style="13"/>
  </cols>
  <sheetData>
    <row r="1" spans="1:28" x14ac:dyDescent="0.25">
      <c r="A1" s="8" t="s">
        <v>36</v>
      </c>
    </row>
    <row r="2" spans="1:28" x14ac:dyDescent="0.25">
      <c r="C2" t="s">
        <v>18</v>
      </c>
      <c r="D2" t="s">
        <v>14</v>
      </c>
      <c r="E2" t="s">
        <v>15</v>
      </c>
      <c r="F2" s="13" t="s">
        <v>16</v>
      </c>
      <c r="G2" t="s">
        <v>32</v>
      </c>
      <c r="H2" t="s">
        <v>66</v>
      </c>
      <c r="K2" t="s">
        <v>33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34</v>
      </c>
      <c r="U2" t="s">
        <v>38</v>
      </c>
      <c r="V2" t="s">
        <v>39</v>
      </c>
      <c r="W2" t="s">
        <v>61</v>
      </c>
      <c r="X2" t="s">
        <v>65</v>
      </c>
      <c r="Y2" s="13" t="s">
        <v>137</v>
      </c>
      <c r="Z2" t="s">
        <v>138</v>
      </c>
      <c r="AA2" t="s">
        <v>211</v>
      </c>
      <c r="AB2" t="s">
        <v>212</v>
      </c>
    </row>
    <row r="3" spans="1:28" x14ac:dyDescent="0.25">
      <c r="B3" t="s">
        <v>180</v>
      </c>
      <c r="S3" s="141">
        <v>9.734</v>
      </c>
      <c r="T3" s="141">
        <v>0.56899999999999995</v>
      </c>
      <c r="U3" s="141">
        <v>22.251999999999999</v>
      </c>
      <c r="V3" s="141"/>
      <c r="W3" s="141">
        <v>59.573</v>
      </c>
      <c r="X3" s="141">
        <v>63.954999999999998</v>
      </c>
      <c r="Y3" s="142">
        <v>76.900999999999996</v>
      </c>
    </row>
    <row r="4" spans="1:28" x14ac:dyDescent="0.25">
      <c r="B4" t="s">
        <v>210</v>
      </c>
      <c r="S4" s="141"/>
      <c r="T4" s="141"/>
      <c r="U4" s="141">
        <v>2.6389999999999998</v>
      </c>
      <c r="V4" s="141"/>
      <c r="W4" s="141"/>
      <c r="X4" s="141"/>
      <c r="Y4" s="142">
        <v>16.507000000000001</v>
      </c>
    </row>
    <row r="5" spans="1:28" x14ac:dyDescent="0.25">
      <c r="B5" t="s">
        <v>181</v>
      </c>
      <c r="S5" s="141">
        <v>5.37</v>
      </c>
      <c r="T5" s="141">
        <v>6.2220000000000004</v>
      </c>
      <c r="U5" s="141">
        <v>11.441000000000001</v>
      </c>
      <c r="V5" s="141"/>
      <c r="W5" s="141">
        <v>0</v>
      </c>
      <c r="X5" s="141">
        <v>4.4989999999999997</v>
      </c>
      <c r="Y5" s="142">
        <v>5.3879999999999999</v>
      </c>
    </row>
    <row r="6" spans="1:28" x14ac:dyDescent="0.25">
      <c r="B6" t="s">
        <v>182</v>
      </c>
      <c r="S6" s="141">
        <v>2.5070000000000001</v>
      </c>
      <c r="T6" s="141">
        <v>2.4119999999999999</v>
      </c>
      <c r="U6" s="141"/>
      <c r="V6" s="141"/>
      <c r="W6" s="141">
        <v>0.85699999999999998</v>
      </c>
      <c r="X6" s="141">
        <v>0</v>
      </c>
      <c r="Y6" s="142"/>
    </row>
    <row r="7" spans="1:28" x14ac:dyDescent="0.25">
      <c r="B7" t="s">
        <v>25</v>
      </c>
      <c r="S7" s="141">
        <v>5.2999999999999999E-2</v>
      </c>
      <c r="T7" s="141">
        <v>1.4850000000000001</v>
      </c>
      <c r="U7" s="141">
        <v>0.59599999999999997</v>
      </c>
      <c r="V7" s="141"/>
      <c r="W7" s="141">
        <v>4.8280000000000003</v>
      </c>
      <c r="X7" s="141">
        <v>8.3960000000000008</v>
      </c>
      <c r="Y7" s="142">
        <f>11.972+2.318</f>
        <v>14.29</v>
      </c>
    </row>
    <row r="8" spans="1:28" s="1" customFormat="1" x14ac:dyDescent="0.25">
      <c r="B8" s="1" t="s">
        <v>17</v>
      </c>
      <c r="C8" s="11"/>
      <c r="D8" s="11"/>
      <c r="E8" s="11"/>
      <c r="F8" s="14"/>
      <c r="G8" s="42"/>
      <c r="H8" s="42"/>
      <c r="K8" s="11"/>
      <c r="L8" s="11"/>
      <c r="M8" s="11"/>
      <c r="N8" s="11"/>
      <c r="O8" s="11"/>
      <c r="P8" s="11"/>
      <c r="Q8" s="11"/>
      <c r="R8" s="11"/>
      <c r="S8" s="11">
        <f t="shared" ref="S8:V8" si="0">SUM(S3:S7)</f>
        <v>17.664000000000001</v>
      </c>
      <c r="T8" s="11">
        <f t="shared" si="0"/>
        <v>10.687999999999999</v>
      </c>
      <c r="U8" s="11">
        <f t="shared" si="0"/>
        <v>36.927999999999997</v>
      </c>
      <c r="V8" s="11">
        <f t="shared" si="0"/>
        <v>0</v>
      </c>
      <c r="W8" s="11">
        <f>SUM(W3:W7)</f>
        <v>65.257999999999996</v>
      </c>
      <c r="X8" s="11">
        <f>SUM(X3:X7)</f>
        <v>76.849999999999994</v>
      </c>
      <c r="Y8" s="11">
        <f>SUM(Y3:Y7)</f>
        <v>113.08600000000001</v>
      </c>
      <c r="Z8" s="10"/>
      <c r="AA8" s="10"/>
    </row>
    <row r="9" spans="1:28" x14ac:dyDescent="0.25">
      <c r="B9" s="9" t="s">
        <v>63</v>
      </c>
      <c r="C9" s="10"/>
      <c r="D9" s="10"/>
      <c r="E9" s="10"/>
      <c r="F9" s="15"/>
      <c r="G9" s="41">
        <v>383.17</v>
      </c>
      <c r="H9" s="41">
        <v>615.63</v>
      </c>
      <c r="K9" s="39"/>
      <c r="L9" s="39"/>
      <c r="M9" s="39"/>
      <c r="N9" s="39"/>
      <c r="O9" s="39"/>
      <c r="P9" s="39"/>
      <c r="Q9" s="39"/>
      <c r="R9" s="39"/>
      <c r="S9" s="128"/>
      <c r="T9" s="39"/>
      <c r="U9" s="39"/>
      <c r="V9" s="10"/>
      <c r="W9" s="10">
        <v>56.7</v>
      </c>
      <c r="X9" s="10">
        <v>72.411000000000001</v>
      </c>
      <c r="Y9" s="15">
        <v>95.66</v>
      </c>
      <c r="Z9" s="10">
        <v>106.22</v>
      </c>
      <c r="AA9" s="10">
        <v>127.91</v>
      </c>
      <c r="AB9" s="10">
        <v>133.96</v>
      </c>
    </row>
    <row r="10" spans="1:28" s="1" customFormat="1" x14ac:dyDescent="0.25">
      <c r="B10" s="1" t="s">
        <v>58</v>
      </c>
      <c r="C10" s="11"/>
      <c r="D10" s="11"/>
      <c r="E10" s="11"/>
      <c r="F10" s="14"/>
      <c r="G10" s="11"/>
      <c r="H10" s="11"/>
      <c r="K10" s="11"/>
      <c r="L10" s="11"/>
      <c r="M10" s="11"/>
      <c r="N10" s="11"/>
      <c r="O10" s="11"/>
      <c r="P10" s="11"/>
      <c r="Q10" s="11"/>
      <c r="R10" s="11"/>
      <c r="S10" s="127">
        <v>13.406000000000001</v>
      </c>
      <c r="T10" s="11">
        <v>2.2490000000000001</v>
      </c>
      <c r="U10" s="11">
        <v>8.8230000000000004</v>
      </c>
      <c r="V10" s="11"/>
      <c r="W10" s="11">
        <v>14.738</v>
      </c>
      <c r="X10" s="11">
        <v>16.995999999999999</v>
      </c>
      <c r="Y10" s="14">
        <v>25.209</v>
      </c>
      <c r="Z10" s="11">
        <f>Z9*(1-X26)</f>
        <v>23.491413402732597</v>
      </c>
    </row>
    <row r="11" spans="1:28" x14ac:dyDescent="0.25">
      <c r="B11" t="s">
        <v>71</v>
      </c>
      <c r="C11" s="10"/>
      <c r="D11" s="10"/>
      <c r="E11" s="10"/>
      <c r="F11" s="15"/>
      <c r="G11" s="39"/>
      <c r="H11" s="39"/>
      <c r="K11" s="10"/>
      <c r="L11" s="10"/>
      <c r="M11" s="10"/>
      <c r="N11" s="10"/>
      <c r="O11" s="10"/>
      <c r="P11" s="10"/>
      <c r="Q11" s="10"/>
      <c r="R11" s="10"/>
      <c r="S11" s="129">
        <v>15.266999999999999</v>
      </c>
      <c r="T11" s="10">
        <v>17.86</v>
      </c>
      <c r="U11" s="10">
        <v>20.626000000000001</v>
      </c>
      <c r="V11" s="10"/>
      <c r="W11" s="10">
        <v>53.558</v>
      </c>
      <c r="X11" s="10">
        <v>40.088999999999999</v>
      </c>
      <c r="Y11" s="15">
        <v>50.658999999999999</v>
      </c>
      <c r="Z11" s="10"/>
    </row>
    <row r="12" spans="1:28" x14ac:dyDescent="0.25">
      <c r="B12" t="s">
        <v>142</v>
      </c>
      <c r="C12" s="10"/>
      <c r="D12" s="10"/>
      <c r="E12" s="10"/>
      <c r="F12" s="15"/>
      <c r="G12" s="39"/>
      <c r="H12" s="39"/>
      <c r="K12" s="10"/>
      <c r="L12" s="10"/>
      <c r="M12" s="10"/>
      <c r="N12" s="10"/>
      <c r="O12" s="10"/>
      <c r="P12" s="10"/>
      <c r="Q12" s="10"/>
      <c r="R12" s="10"/>
      <c r="S12" s="129">
        <v>4.3929999999999998</v>
      </c>
      <c r="T12" s="10">
        <v>5.0970000000000004</v>
      </c>
      <c r="U12" s="10">
        <v>5.5069999999999997</v>
      </c>
      <c r="V12" s="10"/>
      <c r="W12" s="10">
        <v>55.51</v>
      </c>
      <c r="X12" s="10">
        <v>22.076000000000001</v>
      </c>
      <c r="Y12" s="15">
        <v>23.248000000000001</v>
      </c>
      <c r="Z12" s="10"/>
    </row>
    <row r="13" spans="1:28" x14ac:dyDescent="0.25">
      <c r="B13" t="s">
        <v>133</v>
      </c>
      <c r="C13" s="10"/>
      <c r="D13" s="10"/>
      <c r="E13" s="10"/>
      <c r="F13" s="15"/>
      <c r="G13" s="10"/>
      <c r="H13" s="10"/>
      <c r="K13" s="10"/>
      <c r="L13" s="10"/>
      <c r="M13" s="10"/>
      <c r="N13" s="10"/>
      <c r="O13" s="10"/>
      <c r="P13" s="10"/>
      <c r="Q13" s="10"/>
      <c r="R13" s="10"/>
      <c r="S13" s="129">
        <v>3.5249999999999999</v>
      </c>
      <c r="T13" s="10">
        <v>3.0950000000000002</v>
      </c>
      <c r="U13" s="10">
        <v>3.9489999999999998</v>
      </c>
      <c r="V13" s="10"/>
      <c r="W13" s="10">
        <v>24.419</v>
      </c>
      <c r="X13" s="10">
        <v>22.036000000000001</v>
      </c>
      <c r="Y13" s="15">
        <v>22.866</v>
      </c>
      <c r="Z13" s="10"/>
    </row>
    <row r="14" spans="1:28" s="1" customFormat="1" x14ac:dyDescent="0.25">
      <c r="B14" s="1" t="s">
        <v>22</v>
      </c>
      <c r="C14" s="11">
        <f t="shared" ref="C14:H14" si="1">C8-SUM(C10:C13)</f>
        <v>0</v>
      </c>
      <c r="D14" s="11">
        <f t="shared" si="1"/>
        <v>0</v>
      </c>
      <c r="E14" s="11">
        <f t="shared" si="1"/>
        <v>0</v>
      </c>
      <c r="F14" s="14">
        <f t="shared" si="1"/>
        <v>0</v>
      </c>
      <c r="G14" s="11">
        <f t="shared" si="1"/>
        <v>0</v>
      </c>
      <c r="H14" s="11">
        <f t="shared" si="1"/>
        <v>0</v>
      </c>
      <c r="I14" s="11"/>
      <c r="J14" s="11"/>
      <c r="K14" s="11">
        <f t="shared" ref="K14:Z14" si="2">K8-SUM(K10:K13)</f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0</v>
      </c>
      <c r="Q14" s="11">
        <f t="shared" si="2"/>
        <v>0</v>
      </c>
      <c r="R14" s="11">
        <f t="shared" si="2"/>
        <v>0</v>
      </c>
      <c r="S14" s="127">
        <f t="shared" si="2"/>
        <v>-18.927</v>
      </c>
      <c r="T14" s="11">
        <f t="shared" si="2"/>
        <v>-17.613</v>
      </c>
      <c r="U14" s="11">
        <f t="shared" si="2"/>
        <v>-1.9770000000000039</v>
      </c>
      <c r="V14" s="11">
        <f t="shared" si="2"/>
        <v>0</v>
      </c>
      <c r="W14" s="11">
        <f t="shared" si="2"/>
        <v>-82.966999999999999</v>
      </c>
      <c r="X14" s="11">
        <f t="shared" si="2"/>
        <v>-24.347000000000008</v>
      </c>
      <c r="Y14" s="14">
        <f t="shared" si="2"/>
        <v>-8.8959999999999866</v>
      </c>
      <c r="Z14" s="11">
        <f t="shared" si="2"/>
        <v>-23.491413402732597</v>
      </c>
    </row>
    <row r="15" spans="1:28" x14ac:dyDescent="0.25">
      <c r="B15" t="s">
        <v>143</v>
      </c>
      <c r="C15" s="10"/>
      <c r="D15" s="10"/>
      <c r="E15" s="10"/>
      <c r="F15" s="15"/>
      <c r="G15" s="39"/>
      <c r="H15" s="39"/>
      <c r="K15" s="10"/>
      <c r="L15" s="10"/>
      <c r="M15" s="10"/>
      <c r="N15" s="10"/>
      <c r="O15" s="10"/>
      <c r="P15" s="10"/>
      <c r="Q15" s="10"/>
      <c r="R15" s="10"/>
      <c r="S15" s="129">
        <v>1.5960000000000001</v>
      </c>
      <c r="T15" s="10">
        <v>1.5549999999999999</v>
      </c>
      <c r="U15" s="10">
        <v>1.724</v>
      </c>
      <c r="V15" s="10"/>
      <c r="W15" s="10">
        <v>2.5539999999999998</v>
      </c>
      <c r="X15" s="10">
        <v>10.263999999999999</v>
      </c>
      <c r="Y15" s="15">
        <v>10.912000000000001</v>
      </c>
      <c r="Z15" s="10"/>
    </row>
    <row r="16" spans="1:28" s="1" customFormat="1" x14ac:dyDescent="0.25">
      <c r="B16" s="1" t="s">
        <v>134</v>
      </c>
      <c r="C16" s="11">
        <f t="shared" ref="C16:H16" si="3">C14+SUM(C15:C15)</f>
        <v>0</v>
      </c>
      <c r="D16" s="11">
        <f t="shared" si="3"/>
        <v>0</v>
      </c>
      <c r="E16" s="11">
        <f t="shared" si="3"/>
        <v>0</v>
      </c>
      <c r="F16" s="14">
        <f t="shared" si="3"/>
        <v>0</v>
      </c>
      <c r="G16" s="11">
        <f t="shared" si="3"/>
        <v>0</v>
      </c>
      <c r="H16" s="11">
        <f t="shared" si="3"/>
        <v>0</v>
      </c>
      <c r="K16" s="11">
        <f t="shared" ref="K16:Z16" si="4">K14+SUM(K15:K15)</f>
        <v>0</v>
      </c>
      <c r="L16" s="11">
        <f t="shared" si="4"/>
        <v>0</v>
      </c>
      <c r="M16" s="11">
        <f t="shared" si="4"/>
        <v>0</v>
      </c>
      <c r="N16" s="11">
        <f t="shared" si="4"/>
        <v>0</v>
      </c>
      <c r="O16" s="11">
        <f t="shared" si="4"/>
        <v>0</v>
      </c>
      <c r="P16" s="11">
        <f t="shared" si="4"/>
        <v>0</v>
      </c>
      <c r="Q16" s="11">
        <f t="shared" si="4"/>
        <v>0</v>
      </c>
      <c r="R16" s="11">
        <f t="shared" si="4"/>
        <v>0</v>
      </c>
      <c r="S16" s="127">
        <f t="shared" si="4"/>
        <v>-17.331</v>
      </c>
      <c r="T16" s="11">
        <f t="shared" si="4"/>
        <v>-16.058</v>
      </c>
      <c r="U16" s="11">
        <f t="shared" si="4"/>
        <v>-0.25300000000000389</v>
      </c>
      <c r="V16" s="11">
        <f t="shared" si="4"/>
        <v>0</v>
      </c>
      <c r="W16" s="11">
        <f t="shared" si="4"/>
        <v>-80.412999999999997</v>
      </c>
      <c r="X16" s="11">
        <f t="shared" si="4"/>
        <v>-14.083000000000009</v>
      </c>
      <c r="Y16" s="14">
        <f t="shared" si="4"/>
        <v>2.0160000000000142</v>
      </c>
      <c r="Z16" s="11">
        <f t="shared" si="4"/>
        <v>-23.491413402732597</v>
      </c>
    </row>
    <row r="17" spans="2:28" x14ac:dyDescent="0.25">
      <c r="B17" t="s">
        <v>20</v>
      </c>
      <c r="C17" s="10"/>
      <c r="D17" s="10"/>
      <c r="E17" s="10"/>
      <c r="F17" s="15"/>
      <c r="G17" s="39"/>
      <c r="H17" s="39"/>
      <c r="K17" s="10"/>
      <c r="L17" s="10"/>
      <c r="M17" s="10"/>
      <c r="N17" s="10"/>
      <c r="O17" s="10"/>
      <c r="P17" s="10"/>
      <c r="Q17" s="10"/>
      <c r="R17" s="10"/>
      <c r="S17" s="129">
        <v>0.123</v>
      </c>
      <c r="T17" s="10">
        <v>3.9460000000000002</v>
      </c>
      <c r="U17" s="10">
        <v>2.871</v>
      </c>
      <c r="V17" s="10"/>
      <c r="W17" s="10">
        <v>12.582000000000001</v>
      </c>
      <c r="X17" s="10">
        <v>-6.5369999999999999</v>
      </c>
      <c r="Y17" s="15">
        <v>9.609</v>
      </c>
      <c r="Z17" s="10"/>
    </row>
    <row r="18" spans="2:28" x14ac:dyDescent="0.25">
      <c r="B18" t="s">
        <v>25</v>
      </c>
      <c r="C18" s="10"/>
      <c r="D18" s="10"/>
      <c r="E18" s="10"/>
      <c r="F18" s="15"/>
      <c r="G18" s="39"/>
      <c r="H18" s="39"/>
      <c r="K18" s="10"/>
      <c r="L18" s="10"/>
      <c r="M18" s="10"/>
      <c r="N18" s="10"/>
      <c r="O18" s="10"/>
      <c r="P18" s="10"/>
      <c r="Q18" s="10"/>
      <c r="R18" s="10"/>
      <c r="S18" s="129">
        <v>-0.20799999999999999</v>
      </c>
      <c r="T18" s="10">
        <v>0.21199999999999999</v>
      </c>
      <c r="U18" s="10"/>
      <c r="V18" s="10"/>
      <c r="W18" s="10">
        <v>0.318</v>
      </c>
      <c r="X18" s="10">
        <v>0.29299999999999998</v>
      </c>
      <c r="Y18" s="15"/>
      <c r="Z18" s="10"/>
    </row>
    <row r="19" spans="2:28" s="1" customFormat="1" x14ac:dyDescent="0.25">
      <c r="B19" s="1" t="s">
        <v>21</v>
      </c>
      <c r="C19" s="11">
        <f t="shared" ref="C19:F19" si="5">C16-SUM(C17:C18)</f>
        <v>0</v>
      </c>
      <c r="D19" s="11">
        <f t="shared" si="5"/>
        <v>0</v>
      </c>
      <c r="E19" s="11">
        <f t="shared" si="5"/>
        <v>0</v>
      </c>
      <c r="F19" s="14">
        <f t="shared" si="5"/>
        <v>0</v>
      </c>
      <c r="G19" s="60"/>
      <c r="H19" s="60"/>
      <c r="K19" s="11">
        <f t="shared" ref="K19" si="6">K16-SUM(K17:K18)</f>
        <v>0</v>
      </c>
      <c r="L19" s="11">
        <f t="shared" ref="L19" si="7">L16-SUM(L17:L18)</f>
        <v>0</v>
      </c>
      <c r="M19" s="11">
        <f t="shared" ref="M19" si="8">M16-SUM(M17:M18)</f>
        <v>0</v>
      </c>
      <c r="N19" s="11">
        <f t="shared" ref="N19" si="9">N16-SUM(N17:N18)</f>
        <v>0</v>
      </c>
      <c r="O19" s="11">
        <f t="shared" ref="O19" si="10">O16-SUM(O17:O18)</f>
        <v>0</v>
      </c>
      <c r="P19" s="11">
        <f t="shared" ref="P19" si="11">P16-SUM(P17:P18)</f>
        <v>0</v>
      </c>
      <c r="Q19" s="11">
        <f t="shared" ref="Q19" si="12">Q16-SUM(Q17:Q18)</f>
        <v>0</v>
      </c>
      <c r="R19" s="11">
        <f t="shared" ref="R19" si="13">R16-SUM(R17:R18)</f>
        <v>0</v>
      </c>
      <c r="S19" s="127">
        <f t="shared" ref="S19" si="14">S16-SUM(S17:S18)</f>
        <v>-17.245999999999999</v>
      </c>
      <c r="T19" s="11">
        <f t="shared" ref="T19" si="15">T16-SUM(T17:T18)</f>
        <v>-20.216000000000001</v>
      </c>
      <c r="U19" s="11">
        <f t="shared" ref="U19" si="16">U16-SUM(U17:U18)</f>
        <v>-3.1240000000000041</v>
      </c>
      <c r="V19" s="11">
        <f t="shared" ref="V19:Z19" si="17">V16-SUM(V17:V18)</f>
        <v>0</v>
      </c>
      <c r="W19" s="11">
        <f t="shared" si="17"/>
        <v>-93.313000000000002</v>
      </c>
      <c r="X19" s="11">
        <f>X16-SUM(X17:X18)</f>
        <v>-7.8390000000000093</v>
      </c>
      <c r="Y19" s="14">
        <f t="shared" si="17"/>
        <v>-7.5929999999999858</v>
      </c>
      <c r="Z19" s="11">
        <f t="shared" si="17"/>
        <v>-23.491413402732597</v>
      </c>
    </row>
    <row r="20" spans="2:28" x14ac:dyDescent="0.25">
      <c r="B20" t="s">
        <v>1</v>
      </c>
      <c r="C20" s="10"/>
      <c r="D20" s="10"/>
      <c r="E20" s="10"/>
      <c r="F20" s="15"/>
      <c r="G20" s="39"/>
      <c r="H20" s="39"/>
      <c r="K20" s="10"/>
      <c r="L20" s="10"/>
      <c r="M20" s="10"/>
      <c r="N20" s="10"/>
      <c r="O20" s="10"/>
      <c r="P20" s="10"/>
      <c r="Q20" s="10"/>
      <c r="R20" s="10"/>
      <c r="S20" s="10">
        <v>35.826000000000001</v>
      </c>
      <c r="T20" s="10">
        <v>36.567</v>
      </c>
      <c r="U20" s="10">
        <v>37.47</v>
      </c>
      <c r="V20" s="10"/>
      <c r="W20" s="10">
        <v>52.531999999999996</v>
      </c>
      <c r="X20" s="10">
        <v>155.19900000000001</v>
      </c>
      <c r="Y20" s="15">
        <v>156</v>
      </c>
      <c r="Z20" s="10">
        <v>157</v>
      </c>
    </row>
    <row r="21" spans="2:28" s="1" customFormat="1" x14ac:dyDescent="0.25">
      <c r="B21" s="1" t="s">
        <v>175</v>
      </c>
      <c r="C21" s="2" t="e">
        <f>C19/C20</f>
        <v>#DIV/0!</v>
      </c>
      <c r="D21" s="2" t="e">
        <f>D19/D20</f>
        <v>#DIV/0!</v>
      </c>
      <c r="E21" s="2" t="e">
        <f>E19/E20</f>
        <v>#DIV/0!</v>
      </c>
      <c r="F21" s="56" t="e">
        <f>F19/F20</f>
        <v>#DIV/0!</v>
      </c>
      <c r="G21" s="57"/>
      <c r="H21" s="58"/>
      <c r="K21" s="2" t="e">
        <f t="shared" ref="K21:Z21" si="18">K19/K20</f>
        <v>#DIV/0!</v>
      </c>
      <c r="L21" s="2" t="e">
        <f t="shared" si="18"/>
        <v>#DIV/0!</v>
      </c>
      <c r="M21" s="2" t="e">
        <f t="shared" si="18"/>
        <v>#DIV/0!</v>
      </c>
      <c r="N21" s="2" t="e">
        <f t="shared" si="18"/>
        <v>#DIV/0!</v>
      </c>
      <c r="O21" s="2" t="e">
        <f t="shared" si="18"/>
        <v>#DIV/0!</v>
      </c>
      <c r="P21" s="2" t="e">
        <f t="shared" si="18"/>
        <v>#DIV/0!</v>
      </c>
      <c r="Q21" s="2" t="e">
        <f t="shared" si="18"/>
        <v>#DIV/0!</v>
      </c>
      <c r="R21" s="2" t="e">
        <f t="shared" si="18"/>
        <v>#DIV/0!</v>
      </c>
      <c r="S21" s="2">
        <f t="shared" si="18"/>
        <v>-0.48138223636465133</v>
      </c>
      <c r="T21" s="2">
        <f t="shared" si="18"/>
        <v>-0.55284819646129024</v>
      </c>
      <c r="U21" s="2">
        <f t="shared" si="18"/>
        <v>-8.3373365358953941E-2</v>
      </c>
      <c r="V21" s="2" t="e">
        <f t="shared" si="18"/>
        <v>#DIV/0!</v>
      </c>
      <c r="W21" s="2">
        <f t="shared" si="18"/>
        <v>-1.7763077743089928</v>
      </c>
      <c r="X21" s="2">
        <f t="shared" si="18"/>
        <v>-5.0509346065374189E-2</v>
      </c>
      <c r="Y21" s="34">
        <f t="shared" si="18"/>
        <v>-4.8673076923076833E-2</v>
      </c>
      <c r="Z21" s="2">
        <f t="shared" si="18"/>
        <v>-0.14962683696008022</v>
      </c>
    </row>
    <row r="22" spans="2:28" s="136" customFormat="1" x14ac:dyDescent="0.25">
      <c r="B22" s="131" t="s">
        <v>176</v>
      </c>
      <c r="C22" s="132"/>
      <c r="D22" s="132"/>
      <c r="E22" s="132"/>
      <c r="F22" s="133"/>
      <c r="G22" s="134"/>
      <c r="H22" s="135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>
        <v>2.7109999999999999</v>
      </c>
      <c r="V22" s="138"/>
      <c r="W22" s="138">
        <f>88.873+8.895+1.072+8.485</f>
        <v>107.325</v>
      </c>
      <c r="X22" s="138">
        <f>43.067-13.296</f>
        <v>29.771000000000001</v>
      </c>
      <c r="Y22" s="139">
        <v>45.534999999999997</v>
      </c>
      <c r="Z22" s="138"/>
    </row>
    <row r="23" spans="2:28" s="136" customFormat="1" x14ac:dyDescent="0.25">
      <c r="B23" s="131" t="s">
        <v>177</v>
      </c>
      <c r="C23" s="132"/>
      <c r="D23" s="132"/>
      <c r="E23" s="132"/>
      <c r="F23" s="133"/>
      <c r="G23" s="134"/>
      <c r="H23" s="135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8">
        <f>U19+U22</f>
        <v>-0.41300000000000425</v>
      </c>
      <c r="V23" s="138"/>
      <c r="W23" s="138">
        <f>W19+W22</f>
        <v>14.012</v>
      </c>
      <c r="X23" s="138">
        <f>X19+X22</f>
        <v>21.931999999999992</v>
      </c>
      <c r="Y23" s="138">
        <f>Y19+Y22</f>
        <v>37.942000000000007</v>
      </c>
      <c r="Z23" s="138"/>
    </row>
    <row r="24" spans="2:28" s="136" customFormat="1" x14ac:dyDescent="0.25">
      <c r="B24" s="131" t="s">
        <v>178</v>
      </c>
      <c r="C24" s="132"/>
      <c r="D24" s="132"/>
      <c r="E24" s="132"/>
      <c r="F24" s="133"/>
      <c r="G24" s="134"/>
      <c r="H24" s="135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8">
        <f>U23/U20</f>
        <v>-1.1022151054176789E-2</v>
      </c>
      <c r="V24" s="138"/>
      <c r="W24" s="138">
        <f>W23/W20</f>
        <v>0.26673265818929415</v>
      </c>
      <c r="X24" s="138">
        <f>X23/X20</f>
        <v>0.14131534352669792</v>
      </c>
      <c r="Y24" s="138">
        <f>Y23/Y20</f>
        <v>0.24321794871794877</v>
      </c>
      <c r="Z24" s="138"/>
    </row>
    <row r="25" spans="2:28" s="1" customFormat="1" x14ac:dyDescent="0.25">
      <c r="B25" s="9" t="s">
        <v>62</v>
      </c>
      <c r="C25" s="2"/>
      <c r="D25" s="2"/>
      <c r="E25" s="2"/>
      <c r="F25" s="34"/>
      <c r="G25" s="43">
        <v>0.74</v>
      </c>
      <c r="H25" s="44">
        <v>1.43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126"/>
      <c r="W25" s="126">
        <v>0.04</v>
      </c>
      <c r="X25" s="126">
        <v>0.11</v>
      </c>
      <c r="Y25" s="48">
        <v>0.16</v>
      </c>
      <c r="Z25" s="126">
        <v>0.17</v>
      </c>
      <c r="AA25" s="1">
        <v>0.26</v>
      </c>
      <c r="AB25" s="1">
        <v>0.26</v>
      </c>
    </row>
    <row r="26" spans="2:28" s="1" customFormat="1" x14ac:dyDescent="0.25">
      <c r="B26" t="s">
        <v>29</v>
      </c>
      <c r="C26" s="3" t="e">
        <f>1-C10/C8</f>
        <v>#DIV/0!</v>
      </c>
      <c r="D26" s="3" t="e">
        <f>1-D10/D8</f>
        <v>#DIV/0!</v>
      </c>
      <c r="E26" s="3" t="e">
        <f>1-E10/E8</f>
        <v>#DIV/0!</v>
      </c>
      <c r="F26" s="6" t="e">
        <f>1-F10/F8</f>
        <v>#DIV/0!</v>
      </c>
      <c r="G26" s="45"/>
      <c r="H26" s="45"/>
      <c r="K26" s="3" t="e">
        <f t="shared" ref="K26:Z26" si="19">1-K10/K8</f>
        <v>#DIV/0!</v>
      </c>
      <c r="L26" s="3" t="e">
        <f t="shared" si="19"/>
        <v>#DIV/0!</v>
      </c>
      <c r="M26" s="3" t="e">
        <f t="shared" si="19"/>
        <v>#DIV/0!</v>
      </c>
      <c r="N26" s="3" t="e">
        <f t="shared" si="19"/>
        <v>#DIV/0!</v>
      </c>
      <c r="O26" s="3" t="e">
        <f t="shared" si="19"/>
        <v>#DIV/0!</v>
      </c>
      <c r="P26" s="3" t="e">
        <f t="shared" si="19"/>
        <v>#DIV/0!</v>
      </c>
      <c r="Q26" s="3" t="e">
        <f t="shared" si="19"/>
        <v>#DIV/0!</v>
      </c>
      <c r="R26" s="3" t="e">
        <f t="shared" si="19"/>
        <v>#DIV/0!</v>
      </c>
      <c r="S26" s="3">
        <f t="shared" si="19"/>
        <v>0.24105525362318847</v>
      </c>
      <c r="T26" s="3">
        <f t="shared" si="19"/>
        <v>0.7895770958083832</v>
      </c>
      <c r="U26" s="3">
        <f t="shared" si="19"/>
        <v>0.76107560658578854</v>
      </c>
      <c r="V26" s="38" t="e">
        <f t="shared" si="19"/>
        <v>#DIV/0!</v>
      </c>
      <c r="W26" s="38">
        <f t="shared" si="19"/>
        <v>0.7741579576450397</v>
      </c>
      <c r="X26" s="38">
        <f t="shared" si="19"/>
        <v>0.77884189980481455</v>
      </c>
      <c r="Y26" s="6">
        <f t="shared" si="19"/>
        <v>0.77708115947155265</v>
      </c>
      <c r="Z26" s="38" t="e">
        <f t="shared" si="19"/>
        <v>#DIV/0!</v>
      </c>
    </row>
    <row r="27" spans="2:28" x14ac:dyDescent="0.25">
      <c r="B27" t="s">
        <v>30</v>
      </c>
      <c r="C27" s="4" t="e">
        <f>C19/C8</f>
        <v>#DIV/0!</v>
      </c>
      <c r="D27" s="4" t="e">
        <f>D19/D8</f>
        <v>#DIV/0!</v>
      </c>
      <c r="E27" s="4" t="e">
        <f>E19/E8</f>
        <v>#DIV/0!</v>
      </c>
      <c r="F27" s="7" t="e">
        <f>F19/F8</f>
        <v>#DIV/0!</v>
      </c>
      <c r="G27" s="46">
        <f>G19/G9</f>
        <v>0</v>
      </c>
      <c r="H27" s="46">
        <f>H19/H9</f>
        <v>0</v>
      </c>
      <c r="K27" s="4" t="e">
        <f t="shared" ref="K27:Z27" si="20">K19/K8</f>
        <v>#DIV/0!</v>
      </c>
      <c r="L27" s="4" t="e">
        <f t="shared" si="20"/>
        <v>#DIV/0!</v>
      </c>
      <c r="M27" s="4" t="e">
        <f t="shared" si="20"/>
        <v>#DIV/0!</v>
      </c>
      <c r="N27" s="4" t="e">
        <f t="shared" si="20"/>
        <v>#DIV/0!</v>
      </c>
      <c r="O27" s="4" t="e">
        <f t="shared" si="20"/>
        <v>#DIV/0!</v>
      </c>
      <c r="P27" s="4" t="e">
        <f t="shared" si="20"/>
        <v>#DIV/0!</v>
      </c>
      <c r="Q27" s="4" t="e">
        <f t="shared" si="20"/>
        <v>#DIV/0!</v>
      </c>
      <c r="R27" s="4" t="e">
        <f t="shared" si="20"/>
        <v>#DIV/0!</v>
      </c>
      <c r="S27" s="4">
        <f t="shared" si="20"/>
        <v>-0.97633605072463747</v>
      </c>
      <c r="T27" s="4">
        <f t="shared" si="20"/>
        <v>-1.8914670658682637</v>
      </c>
      <c r="U27" s="4">
        <f t="shared" si="20"/>
        <v>-8.4597053726169963E-2</v>
      </c>
      <c r="V27" s="4" t="e">
        <f t="shared" si="20"/>
        <v>#DIV/0!</v>
      </c>
      <c r="W27" s="4">
        <f t="shared" si="20"/>
        <v>-1.4299089766771891</v>
      </c>
      <c r="X27" s="4">
        <f t="shared" si="20"/>
        <v>-0.10200390370852322</v>
      </c>
      <c r="Y27" s="7">
        <f t="shared" si="20"/>
        <v>-6.7143589834285283E-2</v>
      </c>
      <c r="Z27" s="4" t="e">
        <f t="shared" si="20"/>
        <v>#DIV/0!</v>
      </c>
    </row>
    <row r="28" spans="2:28" x14ac:dyDescent="0.25">
      <c r="B28" t="s">
        <v>31</v>
      </c>
      <c r="C28" s="3" t="e">
        <f>C8/#REF!-1</f>
        <v>#REF!</v>
      </c>
      <c r="D28" s="3" t="e">
        <f>D8/C8-1</f>
        <v>#DIV/0!</v>
      </c>
      <c r="E28" s="38" t="e">
        <f>E8/D8-1</f>
        <v>#DIV/0!</v>
      </c>
      <c r="F28" s="6" t="e">
        <f>F8/E8-1</f>
        <v>#DIV/0!</v>
      </c>
      <c r="G28" s="47" t="e">
        <f>G9/F8-1</f>
        <v>#DIV/0!</v>
      </c>
      <c r="H28" s="47">
        <f>H9/G9-1</f>
        <v>0.6066758879870553</v>
      </c>
      <c r="K28" s="4"/>
      <c r="L28" s="4"/>
      <c r="M28" s="4"/>
      <c r="N28" s="4"/>
      <c r="O28" s="4" t="e">
        <f t="shared" ref="O28:Z28" si="21">O8/K8-1</f>
        <v>#DIV/0!</v>
      </c>
      <c r="P28" s="4" t="e">
        <f t="shared" si="21"/>
        <v>#DIV/0!</v>
      </c>
      <c r="Q28" s="4" t="e">
        <f t="shared" si="21"/>
        <v>#DIV/0!</v>
      </c>
      <c r="R28" s="4" t="e">
        <f t="shared" si="21"/>
        <v>#DIV/0!</v>
      </c>
      <c r="S28" s="4" t="e">
        <f t="shared" si="21"/>
        <v>#DIV/0!</v>
      </c>
      <c r="T28" s="4" t="e">
        <f t="shared" si="21"/>
        <v>#DIV/0!</v>
      </c>
      <c r="U28" s="4" t="e">
        <f t="shared" si="21"/>
        <v>#DIV/0!</v>
      </c>
      <c r="V28" s="4" t="e">
        <f t="shared" si="21"/>
        <v>#DIV/0!</v>
      </c>
      <c r="W28" s="4">
        <f t="shared" si="21"/>
        <v>2.6944067028985503</v>
      </c>
      <c r="X28" s="4">
        <f t="shared" si="21"/>
        <v>6.1903068862275452</v>
      </c>
      <c r="Y28" s="7">
        <f t="shared" si="21"/>
        <v>2.0623375216637787</v>
      </c>
      <c r="Z28" s="4" t="e">
        <f t="shared" si="21"/>
        <v>#DIV/0!</v>
      </c>
    </row>
    <row r="29" spans="2:28" x14ac:dyDescent="0.25">
      <c r="B29" t="s">
        <v>64</v>
      </c>
      <c r="C29" s="4" t="e">
        <f>C12/C8</f>
        <v>#DIV/0!</v>
      </c>
      <c r="D29" s="4" t="e">
        <f>D12/D8</f>
        <v>#DIV/0!</v>
      </c>
      <c r="E29" s="4" t="e">
        <f>E12/E8</f>
        <v>#DIV/0!</v>
      </c>
      <c r="F29" s="4" t="e">
        <f>F12/F8</f>
        <v>#DIV/0!</v>
      </c>
      <c r="G29" s="122"/>
      <c r="H29" s="122"/>
      <c r="K29" s="4" t="e">
        <f t="shared" ref="K29:Z29" si="22">K12/K8</f>
        <v>#DIV/0!</v>
      </c>
      <c r="L29" s="4" t="e">
        <f t="shared" si="22"/>
        <v>#DIV/0!</v>
      </c>
      <c r="M29" s="4" t="e">
        <f t="shared" si="22"/>
        <v>#DIV/0!</v>
      </c>
      <c r="N29" s="4" t="e">
        <f t="shared" si="22"/>
        <v>#DIV/0!</v>
      </c>
      <c r="O29" s="4" t="e">
        <f t="shared" si="22"/>
        <v>#DIV/0!</v>
      </c>
      <c r="P29" s="4" t="e">
        <f t="shared" si="22"/>
        <v>#DIV/0!</v>
      </c>
      <c r="Q29" s="4" t="e">
        <f t="shared" si="22"/>
        <v>#DIV/0!</v>
      </c>
      <c r="R29" s="4" t="e">
        <f t="shared" si="22"/>
        <v>#DIV/0!</v>
      </c>
      <c r="S29" s="4">
        <f t="shared" si="22"/>
        <v>0.24869791666666663</v>
      </c>
      <c r="T29" s="4">
        <f t="shared" si="22"/>
        <v>0.47688997005988032</v>
      </c>
      <c r="U29" s="4">
        <f t="shared" si="22"/>
        <v>0.14912803292894281</v>
      </c>
      <c r="V29" s="4" t="e">
        <f t="shared" si="22"/>
        <v>#DIV/0!</v>
      </c>
      <c r="W29" s="4">
        <f t="shared" si="22"/>
        <v>0.85062367832296426</v>
      </c>
      <c r="X29" s="4">
        <f t="shared" si="22"/>
        <v>0.28726089785296033</v>
      </c>
      <c r="Y29" s="7">
        <f t="shared" si="22"/>
        <v>0.20557805563907114</v>
      </c>
      <c r="Z29" s="4" t="e">
        <f t="shared" si="22"/>
        <v>#DIV/0!</v>
      </c>
    </row>
    <row r="30" spans="2:28" x14ac:dyDescent="0.25">
      <c r="B30" t="s">
        <v>131</v>
      </c>
      <c r="C30" s="4" t="e">
        <f>C11/C8</f>
        <v>#DIV/0!</v>
      </c>
      <c r="D30" s="4" t="e">
        <f>D11/D8</f>
        <v>#DIV/0!</v>
      </c>
      <c r="E30" s="4" t="e">
        <f>E11/E8</f>
        <v>#DIV/0!</v>
      </c>
      <c r="F30" s="4" t="e">
        <f>F11/F8</f>
        <v>#DIV/0!</v>
      </c>
      <c r="G30" s="122"/>
      <c r="H30" s="122"/>
      <c r="K30" s="4" t="e">
        <f t="shared" ref="K30:Z30" si="23">K11/K8</f>
        <v>#DIV/0!</v>
      </c>
      <c r="L30" s="4" t="e">
        <f t="shared" si="23"/>
        <v>#DIV/0!</v>
      </c>
      <c r="M30" s="4" t="e">
        <f t="shared" si="23"/>
        <v>#DIV/0!</v>
      </c>
      <c r="N30" s="4" t="e">
        <f t="shared" si="23"/>
        <v>#DIV/0!</v>
      </c>
      <c r="O30" s="4" t="e">
        <f t="shared" si="23"/>
        <v>#DIV/0!</v>
      </c>
      <c r="P30" s="4" t="e">
        <f t="shared" si="23"/>
        <v>#DIV/0!</v>
      </c>
      <c r="Q30" s="4" t="e">
        <f t="shared" si="23"/>
        <v>#DIV/0!</v>
      </c>
      <c r="R30" s="4" t="e">
        <f t="shared" si="23"/>
        <v>#DIV/0!</v>
      </c>
      <c r="S30" s="4">
        <f t="shared" si="23"/>
        <v>0.86430027173913038</v>
      </c>
      <c r="T30" s="4">
        <f t="shared" si="23"/>
        <v>1.6710329341317367</v>
      </c>
      <c r="U30" s="4">
        <f t="shared" si="23"/>
        <v>0.55854636048526873</v>
      </c>
      <c r="V30" s="4" t="e">
        <f t="shared" si="23"/>
        <v>#DIV/0!</v>
      </c>
      <c r="W30" s="4">
        <f t="shared" si="23"/>
        <v>0.82071163688743143</v>
      </c>
      <c r="X30" s="4">
        <f t="shared" si="23"/>
        <v>0.52165256994144438</v>
      </c>
      <c r="Y30" s="7">
        <f t="shared" si="23"/>
        <v>0.44796880250428872</v>
      </c>
      <c r="Z30" s="4" t="e">
        <f t="shared" si="23"/>
        <v>#DIV/0!</v>
      </c>
    </row>
    <row r="31" spans="2:28" x14ac:dyDescent="0.25">
      <c r="B31" t="s">
        <v>132</v>
      </c>
      <c r="C31" s="4" t="e">
        <f>C13/C8</f>
        <v>#DIV/0!</v>
      </c>
      <c r="D31" s="4" t="e">
        <f>D13/D8</f>
        <v>#DIV/0!</v>
      </c>
      <c r="E31" s="4" t="e">
        <f>E13/E8</f>
        <v>#DIV/0!</v>
      </c>
      <c r="F31" s="4" t="e">
        <f>F13/F8</f>
        <v>#DIV/0!</v>
      </c>
      <c r="G31" s="122"/>
      <c r="H31" s="122"/>
      <c r="K31" s="4" t="e">
        <f t="shared" ref="K31:Z31" si="24">K13/K8</f>
        <v>#DIV/0!</v>
      </c>
      <c r="L31" s="4" t="e">
        <f t="shared" si="24"/>
        <v>#DIV/0!</v>
      </c>
      <c r="M31" s="4" t="e">
        <f t="shared" si="24"/>
        <v>#DIV/0!</v>
      </c>
      <c r="N31" s="4" t="e">
        <f t="shared" si="24"/>
        <v>#DIV/0!</v>
      </c>
      <c r="O31" s="4" t="e">
        <f t="shared" si="24"/>
        <v>#DIV/0!</v>
      </c>
      <c r="P31" s="4" t="e">
        <f t="shared" si="24"/>
        <v>#DIV/0!</v>
      </c>
      <c r="Q31" s="4" t="e">
        <f t="shared" si="24"/>
        <v>#DIV/0!</v>
      </c>
      <c r="R31" s="4" t="e">
        <f t="shared" si="24"/>
        <v>#DIV/0!</v>
      </c>
      <c r="S31" s="4">
        <f t="shared" si="24"/>
        <v>0.19955842391304346</v>
      </c>
      <c r="T31" s="4">
        <f t="shared" si="24"/>
        <v>0.28957709580838326</v>
      </c>
      <c r="U31" s="4">
        <f t="shared" si="24"/>
        <v>0.10693782495667245</v>
      </c>
      <c r="V31" s="4" t="e">
        <f t="shared" si="24"/>
        <v>#DIV/0!</v>
      </c>
      <c r="W31" s="4">
        <f t="shared" si="24"/>
        <v>0.37419166998682157</v>
      </c>
      <c r="X31" s="4">
        <f t="shared" si="24"/>
        <v>0.2867404033832141</v>
      </c>
      <c r="Y31" s="7">
        <f t="shared" si="24"/>
        <v>0.20220009550253787</v>
      </c>
      <c r="Z31" s="4" t="e">
        <f t="shared" si="24"/>
        <v>#DIV/0!</v>
      </c>
    </row>
    <row r="32" spans="2:28" x14ac:dyDescent="0.25">
      <c r="B32" t="s">
        <v>136</v>
      </c>
      <c r="C32" s="59" t="e">
        <f>C21/#REF!-1</f>
        <v>#DIV/0!</v>
      </c>
      <c r="D32" s="59" t="e">
        <f>D21/C21-1</f>
        <v>#DIV/0!</v>
      </c>
      <c r="E32" s="59" t="e">
        <f>E21/D21-1</f>
        <v>#DIV/0!</v>
      </c>
      <c r="F32" s="125" t="e">
        <f>F21/E21-1</f>
        <v>#DIV/0!</v>
      </c>
      <c r="G32" s="59" t="e">
        <f>G25/F21-1</f>
        <v>#DIV/0!</v>
      </c>
      <c r="H32" s="59">
        <f>H25/G25-1</f>
        <v>0.93243243243243246</v>
      </c>
      <c r="K32" s="4"/>
      <c r="L32" s="4"/>
      <c r="M32" s="4"/>
      <c r="N32" s="4"/>
      <c r="O32" s="4" t="e">
        <f t="shared" ref="O32:Z32" si="25">O19/K19-1</f>
        <v>#DIV/0!</v>
      </c>
      <c r="P32" s="4" t="e">
        <f t="shared" si="25"/>
        <v>#DIV/0!</v>
      </c>
      <c r="Q32" s="4" t="e">
        <f t="shared" si="25"/>
        <v>#DIV/0!</v>
      </c>
      <c r="R32" s="4" t="e">
        <f t="shared" si="25"/>
        <v>#DIV/0!</v>
      </c>
      <c r="S32" s="4" t="e">
        <f t="shared" si="25"/>
        <v>#DIV/0!</v>
      </c>
      <c r="T32" s="4" t="e">
        <f t="shared" si="25"/>
        <v>#DIV/0!</v>
      </c>
      <c r="U32" s="4" t="e">
        <f t="shared" si="25"/>
        <v>#DIV/0!</v>
      </c>
      <c r="V32" s="4" t="e">
        <f t="shared" si="25"/>
        <v>#DIV/0!</v>
      </c>
      <c r="W32" s="4">
        <f t="shared" si="25"/>
        <v>4.4107039313463998</v>
      </c>
      <c r="X32" s="4">
        <f t="shared" si="25"/>
        <v>-0.61223783142065646</v>
      </c>
      <c r="Y32" s="7">
        <f t="shared" si="25"/>
        <v>1.4305377720870602</v>
      </c>
      <c r="Z32" s="4" t="e">
        <f t="shared" si="25"/>
        <v>#DIV/0!</v>
      </c>
    </row>
    <row r="33" spans="2:26" x14ac:dyDescent="0.25">
      <c r="B33" t="s">
        <v>76</v>
      </c>
      <c r="C33" s="51" t="e">
        <f>C15/C8</f>
        <v>#DIV/0!</v>
      </c>
      <c r="D33" s="51" t="e">
        <f>D15/D8</f>
        <v>#DIV/0!</v>
      </c>
      <c r="E33" s="51" t="e">
        <f>E15/E8</f>
        <v>#DIV/0!</v>
      </c>
      <c r="F33" s="52" t="e">
        <f>F15/F8</f>
        <v>#DIV/0!</v>
      </c>
      <c r="G33" s="51">
        <f>G15/G9</f>
        <v>0</v>
      </c>
      <c r="H33" s="51">
        <f>H15/H9</f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</row>
    <row r="34" spans="2:26" x14ac:dyDescent="0.25">
      <c r="B34" t="s">
        <v>77</v>
      </c>
      <c r="C34" s="53" t="e">
        <f t="shared" ref="C34:H34" si="26">-C15/C14</f>
        <v>#DIV/0!</v>
      </c>
      <c r="D34" s="53" t="e">
        <f t="shared" si="26"/>
        <v>#DIV/0!</v>
      </c>
      <c r="E34" s="53" t="e">
        <f t="shared" si="26"/>
        <v>#DIV/0!</v>
      </c>
      <c r="F34" s="52" t="e">
        <f t="shared" si="26"/>
        <v>#DIV/0!</v>
      </c>
      <c r="G34" s="51" t="e">
        <f t="shared" si="26"/>
        <v>#DIV/0!</v>
      </c>
      <c r="H34" s="51" t="e">
        <f t="shared" si="26"/>
        <v>#DIV/0!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</row>
    <row r="37" spans="2:26" s="1" customFormat="1" x14ac:dyDescent="0.25">
      <c r="B37" s="1" t="s">
        <v>37</v>
      </c>
      <c r="C37" s="11">
        <f t="shared" ref="C37:E37" si="27">C38+C39</f>
        <v>0</v>
      </c>
      <c r="D37" s="11">
        <f t="shared" si="27"/>
        <v>0</v>
      </c>
      <c r="E37" s="11">
        <f t="shared" si="27"/>
        <v>0</v>
      </c>
      <c r="F37" s="14">
        <f>F38+F39</f>
        <v>149.31299999999999</v>
      </c>
      <c r="K37" s="11">
        <f t="shared" ref="K37" si="28">K38+K39</f>
        <v>0</v>
      </c>
      <c r="L37" s="11">
        <f t="shared" ref="L37" si="29">L38+L39</f>
        <v>0</v>
      </c>
      <c r="M37" s="11">
        <f t="shared" ref="M37" si="30">M38+M39</f>
        <v>0</v>
      </c>
      <c r="N37" s="11">
        <f t="shared" ref="N37" si="31">N38+N39</f>
        <v>0</v>
      </c>
      <c r="O37" s="11">
        <f t="shared" ref="O37" si="32">O38+O39</f>
        <v>0</v>
      </c>
      <c r="P37" s="11">
        <f t="shared" ref="P37" si="33">P38+P39</f>
        <v>0</v>
      </c>
      <c r="Q37" s="11">
        <f t="shared" ref="Q37" si="34">Q38+Q39</f>
        <v>0</v>
      </c>
      <c r="R37" s="11">
        <f t="shared" ref="R37" si="35">R38+R39</f>
        <v>0</v>
      </c>
      <c r="S37" s="11">
        <f t="shared" ref="S37" si="36">S38+S39</f>
        <v>0</v>
      </c>
      <c r="T37" s="11">
        <f t="shared" ref="T37" si="37">T38+T39</f>
        <v>0</v>
      </c>
      <c r="U37" s="11">
        <f t="shared" ref="U37" si="38">U38+U39</f>
        <v>0</v>
      </c>
      <c r="V37" s="11">
        <f t="shared" ref="V37" si="39">V38+V39</f>
        <v>149.31299999999999</v>
      </c>
      <c r="W37" s="11">
        <f t="shared" ref="W37" si="40">W38+W39</f>
        <v>801.39099999999996</v>
      </c>
      <c r="X37" s="11">
        <f t="shared" ref="X37" si="41">X38+X39</f>
        <v>830.995</v>
      </c>
      <c r="Y37" s="14">
        <f t="shared" ref="Y37" si="42">Y38+Y39</f>
        <v>886.80099999999993</v>
      </c>
      <c r="Z37" s="11">
        <f t="shared" ref="Z37" si="43">Z38+Z39</f>
        <v>0</v>
      </c>
    </row>
    <row r="38" spans="2:26" x14ac:dyDescent="0.25">
      <c r="B38" t="s">
        <v>23</v>
      </c>
      <c r="C38" s="10"/>
      <c r="D38" s="10"/>
      <c r="E38" s="10"/>
      <c r="F38" s="15">
        <v>45.097999999999999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>
        <f>F38</f>
        <v>45.097999999999999</v>
      </c>
      <c r="W38" s="10">
        <v>696.077</v>
      </c>
      <c r="X38" s="10">
        <v>421.07600000000002</v>
      </c>
      <c r="Y38" s="15">
        <v>126.117</v>
      </c>
      <c r="Z38" s="10"/>
    </row>
    <row r="39" spans="2:26" x14ac:dyDescent="0.25">
      <c r="B39" t="s">
        <v>139</v>
      </c>
      <c r="C39" s="10"/>
      <c r="D39" s="10"/>
      <c r="E39" s="10"/>
      <c r="F39" s="15">
        <v>104.215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>
        <f t="shared" ref="V39:V42" si="44">F39</f>
        <v>104.215</v>
      </c>
      <c r="W39" s="10">
        <v>105.31399999999999</v>
      </c>
      <c r="X39" s="10">
        <v>409.91899999999998</v>
      </c>
      <c r="Y39" s="15">
        <v>760.68399999999997</v>
      </c>
      <c r="Z39" s="10"/>
    </row>
    <row r="40" spans="2:26" x14ac:dyDescent="0.25">
      <c r="B40" t="s">
        <v>24</v>
      </c>
      <c r="C40" s="10"/>
      <c r="D40" s="10"/>
      <c r="E40" s="10"/>
      <c r="F40" s="15">
        <v>8.3350000000000009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f t="shared" si="44"/>
        <v>8.3350000000000009</v>
      </c>
      <c r="W40" s="10">
        <v>16.757000000000001</v>
      </c>
      <c r="X40" s="10">
        <v>22.233000000000001</v>
      </c>
      <c r="Y40" s="15">
        <v>25.385999999999999</v>
      </c>
      <c r="Z40" s="10"/>
    </row>
    <row r="41" spans="2:26" x14ac:dyDescent="0.25">
      <c r="B41" t="s">
        <v>140</v>
      </c>
      <c r="C41" s="10"/>
      <c r="D41" s="10"/>
      <c r="E41" s="10"/>
      <c r="F41" s="15">
        <v>24.094999999999999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f t="shared" si="44"/>
        <v>24.094999999999999</v>
      </c>
      <c r="W41" s="10">
        <v>29.567</v>
      </c>
      <c r="X41" s="10">
        <v>28.571999999999999</v>
      </c>
      <c r="Y41" s="15">
        <v>24.414999999999999</v>
      </c>
      <c r="Z41" s="10"/>
    </row>
    <row r="42" spans="2:26" x14ac:dyDescent="0.25">
      <c r="B42" t="s">
        <v>73</v>
      </c>
      <c r="C42" s="10"/>
      <c r="D42" s="10"/>
      <c r="E42" s="10"/>
      <c r="F42" s="15">
        <v>4.0640000000000001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>
        <f t="shared" si="44"/>
        <v>4.0640000000000001</v>
      </c>
      <c r="W42" s="10">
        <v>6.7249999999999996</v>
      </c>
      <c r="X42" s="10">
        <v>9.4450000000000003</v>
      </c>
      <c r="Y42" s="15">
        <v>8.9870000000000001</v>
      </c>
      <c r="Z42" s="10"/>
    </row>
    <row r="43" spans="2:26" s="1" customFormat="1" x14ac:dyDescent="0.25">
      <c r="B43" s="1" t="s">
        <v>59</v>
      </c>
      <c r="C43" s="11">
        <f>SUM(C38:C42)</f>
        <v>0</v>
      </c>
      <c r="D43" s="11">
        <f>SUM(D38:D42)</f>
        <v>0</v>
      </c>
      <c r="E43" s="11">
        <f>SUM(E38:E42)</f>
        <v>0</v>
      </c>
      <c r="F43" s="14">
        <f>SUM(F38:F42)</f>
        <v>185.80699999999999</v>
      </c>
      <c r="K43" s="11">
        <f t="shared" ref="K43:Z43" si="45">SUM(K38:K42)</f>
        <v>0</v>
      </c>
      <c r="L43" s="11">
        <f t="shared" si="45"/>
        <v>0</v>
      </c>
      <c r="M43" s="11">
        <f t="shared" si="45"/>
        <v>0</v>
      </c>
      <c r="N43" s="11">
        <f t="shared" si="45"/>
        <v>0</v>
      </c>
      <c r="O43" s="11">
        <f t="shared" si="45"/>
        <v>0</v>
      </c>
      <c r="P43" s="11">
        <f t="shared" si="45"/>
        <v>0</v>
      </c>
      <c r="Q43" s="11">
        <f t="shared" si="45"/>
        <v>0</v>
      </c>
      <c r="R43" s="11">
        <f t="shared" si="45"/>
        <v>0</v>
      </c>
      <c r="S43" s="11">
        <f t="shared" si="45"/>
        <v>0</v>
      </c>
      <c r="T43" s="11">
        <f t="shared" si="45"/>
        <v>0</v>
      </c>
      <c r="U43" s="11">
        <f t="shared" si="45"/>
        <v>0</v>
      </c>
      <c r="V43" s="11">
        <f t="shared" si="45"/>
        <v>185.80699999999999</v>
      </c>
      <c r="W43" s="11">
        <f t="shared" si="45"/>
        <v>854.43999999999994</v>
      </c>
      <c r="X43" s="11">
        <f t="shared" si="45"/>
        <v>891.245</v>
      </c>
      <c r="Y43" s="14">
        <f t="shared" si="45"/>
        <v>945.58899999999983</v>
      </c>
      <c r="Z43" s="11">
        <f t="shared" si="45"/>
        <v>0</v>
      </c>
    </row>
    <row r="44" spans="2:26" x14ac:dyDescent="0.25">
      <c r="B44" t="s">
        <v>74</v>
      </c>
      <c r="C44" s="10"/>
      <c r="D44" s="10"/>
      <c r="E44" s="10"/>
      <c r="F44" s="15">
        <v>4.7119999999999997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f t="shared" ref="V44:V45" si="46">F44</f>
        <v>4.7119999999999997</v>
      </c>
      <c r="W44" s="10">
        <v>7.5810000000000004</v>
      </c>
      <c r="X44" s="10">
        <v>21.821000000000002</v>
      </c>
      <c r="Y44" s="15">
        <v>35.137</v>
      </c>
      <c r="Z44" s="10"/>
    </row>
    <row r="45" spans="2:26" x14ac:dyDescent="0.25">
      <c r="B45" t="s">
        <v>25</v>
      </c>
      <c r="C45" s="10"/>
      <c r="D45" s="10"/>
      <c r="E45" s="10"/>
      <c r="F45" s="15">
        <v>5.7729999999999997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>
        <f t="shared" si="46"/>
        <v>5.7729999999999997</v>
      </c>
      <c r="W45" s="10">
        <v>2.88</v>
      </c>
      <c r="X45" s="10">
        <v>2.4489999999999998</v>
      </c>
      <c r="Y45" s="15">
        <v>2.339</v>
      </c>
      <c r="Z45" s="10"/>
    </row>
    <row r="46" spans="2:26" x14ac:dyDescent="0.25">
      <c r="B46" s="1" t="s">
        <v>26</v>
      </c>
      <c r="C46" s="11">
        <f>SUM(C43:C45)</f>
        <v>0</v>
      </c>
      <c r="D46" s="11">
        <f>SUM(D43:D45)</f>
        <v>0</v>
      </c>
      <c r="E46" s="11">
        <f>SUM(E43:E45)</f>
        <v>0</v>
      </c>
      <c r="F46" s="14">
        <f>SUM(F43:F45)</f>
        <v>196.29199999999997</v>
      </c>
      <c r="K46" s="11">
        <f t="shared" ref="K46:Z46" si="47">SUM(K43:K45)</f>
        <v>0</v>
      </c>
      <c r="L46" s="11">
        <f t="shared" si="47"/>
        <v>0</v>
      </c>
      <c r="M46" s="11">
        <f t="shared" si="47"/>
        <v>0</v>
      </c>
      <c r="N46" s="11">
        <f t="shared" si="47"/>
        <v>0</v>
      </c>
      <c r="O46" s="11">
        <f t="shared" si="47"/>
        <v>0</v>
      </c>
      <c r="P46" s="11">
        <f t="shared" si="47"/>
        <v>0</v>
      </c>
      <c r="Q46" s="11">
        <f t="shared" si="47"/>
        <v>0</v>
      </c>
      <c r="R46" s="11">
        <f t="shared" si="47"/>
        <v>0</v>
      </c>
      <c r="S46" s="11">
        <f t="shared" si="47"/>
        <v>0</v>
      </c>
      <c r="T46" s="11">
        <f t="shared" si="47"/>
        <v>0</v>
      </c>
      <c r="U46" s="11">
        <f t="shared" si="47"/>
        <v>0</v>
      </c>
      <c r="V46" s="11">
        <f t="shared" si="47"/>
        <v>196.29199999999997</v>
      </c>
      <c r="W46" s="11">
        <f t="shared" si="47"/>
        <v>864.90099999999995</v>
      </c>
      <c r="X46" s="11">
        <f t="shared" si="47"/>
        <v>915.51499999999999</v>
      </c>
      <c r="Y46" s="14">
        <f t="shared" si="47"/>
        <v>983.06499999999994</v>
      </c>
      <c r="Z46" s="11">
        <f t="shared" si="47"/>
        <v>0</v>
      </c>
    </row>
    <row r="47" spans="2:26" x14ac:dyDescent="0.25">
      <c r="B47" t="s">
        <v>28</v>
      </c>
      <c r="C47" s="10"/>
      <c r="D47" s="10"/>
      <c r="E47" s="10"/>
      <c r="F47" s="15">
        <v>6.3369999999999997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>
        <f t="shared" ref="V47:V48" si="48">F47</f>
        <v>6.3369999999999997</v>
      </c>
      <c r="W47" s="10">
        <v>11.465</v>
      </c>
      <c r="X47" s="10">
        <v>14.595000000000001</v>
      </c>
      <c r="Y47" s="15">
        <v>18.550999999999998</v>
      </c>
      <c r="Z47" s="10"/>
    </row>
    <row r="48" spans="2:26" x14ac:dyDescent="0.25">
      <c r="B48" t="s">
        <v>141</v>
      </c>
      <c r="C48" s="10"/>
      <c r="D48" s="10"/>
      <c r="E48" s="10"/>
      <c r="F48" s="15">
        <v>28.742000000000001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>
        <f t="shared" si="48"/>
        <v>28.742000000000001</v>
      </c>
      <c r="W48" s="10">
        <v>34.122</v>
      </c>
      <c r="X48" s="10">
        <v>49.478000000000002</v>
      </c>
      <c r="Y48" s="15">
        <v>69.489000000000004</v>
      </c>
      <c r="Z48" s="10"/>
    </row>
    <row r="49" spans="2:26" s="1" customFormat="1" x14ac:dyDescent="0.25">
      <c r="B49" s="1" t="s">
        <v>60</v>
      </c>
      <c r="C49" s="11">
        <f>SUM(C47:C48)</f>
        <v>0</v>
      </c>
      <c r="D49" s="11">
        <f>SUM(D47:D48)</f>
        <v>0</v>
      </c>
      <c r="E49" s="11">
        <f>SUM(E47:E48)</f>
        <v>0</v>
      </c>
      <c r="F49" s="14">
        <f>SUM(F47:F48)</f>
        <v>35.079000000000001</v>
      </c>
      <c r="K49" s="11">
        <f t="shared" ref="K49:Z49" si="49">SUM(K47:K48)</f>
        <v>0</v>
      </c>
      <c r="L49" s="11">
        <f t="shared" si="49"/>
        <v>0</v>
      </c>
      <c r="M49" s="11">
        <f t="shared" si="49"/>
        <v>0</v>
      </c>
      <c r="N49" s="11">
        <f t="shared" si="49"/>
        <v>0</v>
      </c>
      <c r="O49" s="11">
        <f t="shared" si="49"/>
        <v>0</v>
      </c>
      <c r="P49" s="11">
        <f t="shared" si="49"/>
        <v>0</v>
      </c>
      <c r="Q49" s="11">
        <f t="shared" si="49"/>
        <v>0</v>
      </c>
      <c r="R49" s="11">
        <f t="shared" si="49"/>
        <v>0</v>
      </c>
      <c r="S49" s="11">
        <f t="shared" si="49"/>
        <v>0</v>
      </c>
      <c r="T49" s="11">
        <f t="shared" si="49"/>
        <v>0</v>
      </c>
      <c r="U49" s="11">
        <f t="shared" si="49"/>
        <v>0</v>
      </c>
      <c r="V49" s="11">
        <f t="shared" si="49"/>
        <v>35.079000000000001</v>
      </c>
      <c r="W49" s="11">
        <f t="shared" si="49"/>
        <v>45.587000000000003</v>
      </c>
      <c r="X49" s="11">
        <f t="shared" si="49"/>
        <v>64.073000000000008</v>
      </c>
      <c r="Y49" s="14">
        <f t="shared" si="49"/>
        <v>88.04</v>
      </c>
      <c r="Z49" s="11">
        <f t="shared" si="49"/>
        <v>0</v>
      </c>
    </row>
    <row r="50" spans="2:26" x14ac:dyDescent="0.25">
      <c r="B50" t="s">
        <v>25</v>
      </c>
      <c r="C50" s="10"/>
      <c r="D50" s="10"/>
      <c r="E50" s="10"/>
      <c r="F50" s="15">
        <v>3.7869999999999999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>
        <f>F50</f>
        <v>3.7869999999999999</v>
      </c>
      <c r="W50" s="10">
        <v>10.53</v>
      </c>
      <c r="X50" s="10">
        <v>6.19</v>
      </c>
      <c r="Y50" s="15">
        <v>5.4130000000000003</v>
      </c>
      <c r="Z50" s="10"/>
    </row>
    <row r="51" spans="2:26" x14ac:dyDescent="0.25">
      <c r="B51" s="1" t="s">
        <v>27</v>
      </c>
      <c r="C51" s="11">
        <f>SUM(C49:C50)</f>
        <v>0</v>
      </c>
      <c r="D51" s="11">
        <f>SUM(D49:D50)</f>
        <v>0</v>
      </c>
      <c r="E51" s="11">
        <f>SUM(E49:E50)</f>
        <v>0</v>
      </c>
      <c r="F51" s="14">
        <f>SUM(F49:F50)</f>
        <v>38.866</v>
      </c>
      <c r="K51" s="11">
        <f t="shared" ref="K51:Z51" si="50">SUM(K49:K50)</f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38.866</v>
      </c>
      <c r="W51" s="11">
        <f t="shared" si="50"/>
        <v>56.117000000000004</v>
      </c>
      <c r="X51" s="11">
        <f t="shared" si="50"/>
        <v>70.263000000000005</v>
      </c>
      <c r="Y51" s="14">
        <f t="shared" si="50"/>
        <v>93.453000000000003</v>
      </c>
      <c r="Z51" s="11">
        <f t="shared" si="50"/>
        <v>0</v>
      </c>
    </row>
    <row r="52" spans="2:26" x14ac:dyDescent="0.25">
      <c r="B52" t="s">
        <v>75</v>
      </c>
      <c r="C52" s="10">
        <f>C46-C51</f>
        <v>0</v>
      </c>
      <c r="D52" s="10">
        <f>D46-D51</f>
        <v>0</v>
      </c>
      <c r="E52" s="10">
        <f>E46-E51</f>
        <v>0</v>
      </c>
      <c r="F52" s="15">
        <f>F46-F51</f>
        <v>157.42599999999999</v>
      </c>
      <c r="K52" s="10">
        <f t="shared" ref="K52:Z52" si="51">K46-K51</f>
        <v>0</v>
      </c>
      <c r="L52" s="10">
        <f t="shared" si="51"/>
        <v>0</v>
      </c>
      <c r="M52" s="10">
        <f t="shared" si="51"/>
        <v>0</v>
      </c>
      <c r="N52" s="10">
        <f t="shared" si="51"/>
        <v>0</v>
      </c>
      <c r="O52" s="10">
        <f t="shared" si="51"/>
        <v>0</v>
      </c>
      <c r="P52" s="10">
        <f t="shared" si="51"/>
        <v>0</v>
      </c>
      <c r="Q52" s="10">
        <f t="shared" si="51"/>
        <v>0</v>
      </c>
      <c r="R52" s="10">
        <f t="shared" si="51"/>
        <v>0</v>
      </c>
      <c r="S52" s="10">
        <f t="shared" si="51"/>
        <v>0</v>
      </c>
      <c r="T52" s="10">
        <f t="shared" si="51"/>
        <v>0</v>
      </c>
      <c r="U52" s="10">
        <f t="shared" si="51"/>
        <v>0</v>
      </c>
      <c r="V52" s="10">
        <f t="shared" si="51"/>
        <v>157.42599999999999</v>
      </c>
      <c r="W52" s="10">
        <f t="shared" si="51"/>
        <v>808.78399999999999</v>
      </c>
      <c r="X52" s="10">
        <f t="shared" si="51"/>
        <v>845.25199999999995</v>
      </c>
      <c r="Y52" s="15">
        <f t="shared" si="51"/>
        <v>889.61199999999997</v>
      </c>
      <c r="Z52" s="10">
        <f t="shared" si="51"/>
        <v>0</v>
      </c>
    </row>
    <row r="54" spans="2:26" s="1" customFormat="1" x14ac:dyDescent="0.25">
      <c r="B54" s="1" t="s">
        <v>78</v>
      </c>
      <c r="C54" s="54"/>
      <c r="D54" s="54"/>
      <c r="E54" s="54"/>
      <c r="F54" s="55"/>
      <c r="Y54" s="16"/>
    </row>
    <row r="72" spans="6:25" s="9" customFormat="1" x14ac:dyDescent="0.25">
      <c r="F72" s="40"/>
      <c r="Y72" s="40"/>
    </row>
    <row r="73" spans="6:25" s="1" customFormat="1" x14ac:dyDescent="0.25">
      <c r="F73" s="16"/>
      <c r="Y7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M9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20" sqref="J20"/>
    </sheetView>
  </sheetViews>
  <sheetFormatPr defaultRowHeight="15" x14ac:dyDescent="0.25"/>
  <cols>
    <col min="1" max="1" width="29.28515625" customWidth="1"/>
  </cols>
  <sheetData>
    <row r="1" spans="1:13" x14ac:dyDescent="0.25">
      <c r="A1" s="140" t="s">
        <v>179</v>
      </c>
      <c r="B1">
        <v>2023</v>
      </c>
      <c r="C1">
        <v>2024</v>
      </c>
      <c r="F1" t="s">
        <v>9</v>
      </c>
      <c r="G1" t="s">
        <v>34</v>
      </c>
      <c r="H1" t="s">
        <v>38</v>
      </c>
      <c r="I1" t="s">
        <v>39</v>
      </c>
      <c r="J1" t="s">
        <v>61</v>
      </c>
      <c r="K1" t="s">
        <v>65</v>
      </c>
      <c r="L1" s="13" t="s">
        <v>137</v>
      </c>
      <c r="M1" t="s">
        <v>138</v>
      </c>
    </row>
    <row r="2" spans="1:13" x14ac:dyDescent="0.25">
      <c r="L2" s="13"/>
    </row>
    <row r="3" spans="1:13" x14ac:dyDescent="0.25">
      <c r="A3" t="s">
        <v>180</v>
      </c>
      <c r="F3" s="141"/>
      <c r="G3" s="141">
        <v>0.56899999999999995</v>
      </c>
      <c r="H3" s="141">
        <v>22.251999999999999</v>
      </c>
      <c r="I3" s="141"/>
      <c r="J3" s="141"/>
      <c r="K3" s="141">
        <v>63.954999999999998</v>
      </c>
      <c r="L3" s="142">
        <v>76.900999999999996</v>
      </c>
      <c r="M3" s="141"/>
    </row>
    <row r="4" spans="1:13" x14ac:dyDescent="0.25">
      <c r="A4" t="s">
        <v>210</v>
      </c>
      <c r="F4" s="141"/>
      <c r="G4" s="141"/>
      <c r="H4" s="141">
        <v>2.6389999999999998</v>
      </c>
      <c r="I4" s="141"/>
      <c r="J4" s="141"/>
      <c r="K4" s="141"/>
      <c r="L4" s="142">
        <v>16.507000000000001</v>
      </c>
      <c r="M4" s="141"/>
    </row>
    <row r="5" spans="1:13" x14ac:dyDescent="0.25">
      <c r="A5" t="s">
        <v>181</v>
      </c>
      <c r="F5" s="141"/>
      <c r="G5" s="141">
        <v>6.2220000000000004</v>
      </c>
      <c r="H5" s="141">
        <v>11.441000000000001</v>
      </c>
      <c r="I5" s="141"/>
      <c r="J5" s="141"/>
      <c r="K5" s="141">
        <v>4.4989999999999997</v>
      </c>
      <c r="L5" s="142">
        <v>5.3879999999999999</v>
      </c>
      <c r="M5" s="141"/>
    </row>
    <row r="6" spans="1:13" x14ac:dyDescent="0.25">
      <c r="A6" t="s">
        <v>182</v>
      </c>
      <c r="F6" s="141"/>
      <c r="G6" s="141">
        <v>2.4119999999999999</v>
      </c>
      <c r="H6" s="141"/>
      <c r="I6" s="141"/>
      <c r="J6" s="141"/>
      <c r="K6" s="141"/>
      <c r="L6" s="142"/>
      <c r="M6" s="141"/>
    </row>
    <row r="7" spans="1:13" x14ac:dyDescent="0.25">
      <c r="A7" t="s">
        <v>25</v>
      </c>
      <c r="F7" s="141"/>
      <c r="G7" s="141">
        <v>1.4850000000000001</v>
      </c>
      <c r="H7" s="141">
        <v>0.59599999999999997</v>
      </c>
      <c r="I7" s="141"/>
      <c r="J7" s="141"/>
      <c r="K7" s="141">
        <v>8.3960000000000008</v>
      </c>
      <c r="L7" s="142">
        <f>11.972+2.318</f>
        <v>14.29</v>
      </c>
      <c r="M7" s="141"/>
    </row>
    <row r="8" spans="1:13" x14ac:dyDescent="0.25">
      <c r="A8" t="s">
        <v>183</v>
      </c>
      <c r="F8" s="141">
        <f t="shared" ref="F8:J8" si="0">SUM(F3:F7)</f>
        <v>0</v>
      </c>
      <c r="G8" s="141">
        <f t="shared" si="0"/>
        <v>10.687999999999999</v>
      </c>
      <c r="H8" s="141">
        <f t="shared" si="0"/>
        <v>36.927999999999997</v>
      </c>
      <c r="I8" s="141">
        <f t="shared" si="0"/>
        <v>0</v>
      </c>
      <c r="J8" s="141">
        <f t="shared" si="0"/>
        <v>0</v>
      </c>
      <c r="K8" s="141">
        <f>SUM(K3:K7)</f>
        <v>76.849999999999994</v>
      </c>
      <c r="L8" s="142">
        <f>SUM(L3:L7)</f>
        <v>113.08600000000001</v>
      </c>
      <c r="M8" s="141">
        <f>SUM(M3:M7)</f>
        <v>0</v>
      </c>
    </row>
    <row r="9" spans="1:13" x14ac:dyDescent="0.25">
      <c r="L9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91</v>
      </c>
      <c r="H1" s="152" t="s">
        <v>92</v>
      </c>
      <c r="I1" s="153"/>
      <c r="J1" s="153"/>
      <c r="K1" s="153"/>
      <c r="L1" s="153"/>
      <c r="M1" s="154"/>
    </row>
    <row r="2" spans="1:13" ht="15.75" thickBot="1" x14ac:dyDescent="0.3">
      <c r="D2" t="e">
        <f>C2/C3-1</f>
        <v>#DIV/0!</v>
      </c>
      <c r="H2" s="62"/>
      <c r="I2" s="63"/>
      <c r="J2" s="63"/>
      <c r="K2" s="63"/>
      <c r="L2" s="63"/>
      <c r="M2" s="64"/>
    </row>
    <row r="3" spans="1:13" ht="15.75" thickBot="1" x14ac:dyDescent="0.3">
      <c r="D3" t="e">
        <f t="shared" ref="D3:D66" si="0">C3/C4-1</f>
        <v>#DIV/0!</v>
      </c>
      <c r="H3" s="65" t="s">
        <v>93</v>
      </c>
      <c r="I3" s="66" t="s">
        <v>94</v>
      </c>
      <c r="J3" s="67" t="s">
        <v>95</v>
      </c>
      <c r="K3" s="68" t="s">
        <v>96</v>
      </c>
      <c r="L3" s="68" t="s">
        <v>97</v>
      </c>
      <c r="M3" s="69" t="s">
        <v>98</v>
      </c>
    </row>
    <row r="4" spans="1:13" x14ac:dyDescent="0.25">
      <c r="D4" t="e">
        <f t="shared" si="0"/>
        <v>#DIV/0!</v>
      </c>
      <c r="H4" s="70" t="e">
        <f>$I$19-3*$I$23</f>
        <v>#DIV/0!</v>
      </c>
      <c r="I4" s="71" t="e">
        <f>H4</f>
        <v>#DIV/0!</v>
      </c>
      <c r="J4" s="72">
        <f>COUNTIF(D:D,"&lt;="&amp;H4)</f>
        <v>67</v>
      </c>
      <c r="K4" s="72" t="e">
        <f>"Less than "&amp;TEXT(H4,"0,00%")</f>
        <v>#DIV/0!</v>
      </c>
      <c r="L4" s="73" t="e">
        <f>J4/$I$31</f>
        <v>#DIV/0!</v>
      </c>
      <c r="M4" s="74" t="e">
        <f>L4</f>
        <v>#DIV/0!</v>
      </c>
    </row>
    <row r="5" spans="1:13" x14ac:dyDescent="0.25">
      <c r="D5" t="e">
        <f t="shared" si="0"/>
        <v>#DIV/0!</v>
      </c>
      <c r="H5" s="75" t="e">
        <f>$I$19-2.4*$I$23</f>
        <v>#DIV/0!</v>
      </c>
      <c r="I5" s="76" t="e">
        <f>H5</f>
        <v>#DIV/0!</v>
      </c>
      <c r="J5" s="77">
        <f>COUNTIFS(D:D,"&lt;="&amp;H5,D:D,"&gt;"&amp;H4)</f>
        <v>67</v>
      </c>
      <c r="K5" s="78" t="e">
        <f t="shared" ref="K5:K14" si="1">TEXT(H4,"0,00%")&amp;" to "&amp;TEXT(H5,"0,00%")</f>
        <v>#DIV/0!</v>
      </c>
      <c r="L5" s="79" t="e">
        <f>J5/$I$31</f>
        <v>#DIV/0!</v>
      </c>
      <c r="M5" s="80" t="e">
        <f>M4+L5</f>
        <v>#DIV/0!</v>
      </c>
    </row>
    <row r="6" spans="1:13" x14ac:dyDescent="0.25">
      <c r="D6" t="e">
        <f t="shared" si="0"/>
        <v>#DIV/0!</v>
      </c>
      <c r="H6" s="75" t="e">
        <f>$I$19-1.8*$I$23</f>
        <v>#DIV/0!</v>
      </c>
      <c r="I6" s="76" t="e">
        <f t="shared" ref="I6:I14" si="2">H6</f>
        <v>#DIV/0!</v>
      </c>
      <c r="J6" s="77">
        <f t="shared" ref="J6:J14" si="3">COUNTIFS(D:D,"&lt;="&amp;H6,D:D,"&gt;"&amp;H5)</f>
        <v>67</v>
      </c>
      <c r="K6" s="78" t="e">
        <f t="shared" si="1"/>
        <v>#DIV/0!</v>
      </c>
      <c r="L6" s="79" t="e">
        <f t="shared" ref="L6:L15" si="4">J6/$I$31</f>
        <v>#DIV/0!</v>
      </c>
      <c r="M6" s="80" t="e">
        <f t="shared" ref="M6:M15" si="5">M5+L6</f>
        <v>#DIV/0!</v>
      </c>
    </row>
    <row r="7" spans="1:13" x14ac:dyDescent="0.25">
      <c r="D7" t="e">
        <f t="shared" si="0"/>
        <v>#DIV/0!</v>
      </c>
      <c r="H7" s="75" t="e">
        <f>$I$19-1.2*$I$23</f>
        <v>#DIV/0!</v>
      </c>
      <c r="I7" s="76" t="e">
        <f t="shared" si="2"/>
        <v>#DIV/0!</v>
      </c>
      <c r="J7" s="77">
        <f t="shared" si="3"/>
        <v>67</v>
      </c>
      <c r="K7" s="78" t="e">
        <f t="shared" si="1"/>
        <v>#DIV/0!</v>
      </c>
      <c r="L7" s="79" t="e">
        <f t="shared" si="4"/>
        <v>#DIV/0!</v>
      </c>
      <c r="M7" s="80" t="e">
        <f t="shared" si="5"/>
        <v>#DIV/0!</v>
      </c>
    </row>
    <row r="8" spans="1:13" x14ac:dyDescent="0.25">
      <c r="D8" t="e">
        <f t="shared" si="0"/>
        <v>#DIV/0!</v>
      </c>
      <c r="H8" s="75" t="e">
        <f>$I$19-0.6*$I$23</f>
        <v>#DIV/0!</v>
      </c>
      <c r="I8" s="76" t="e">
        <f t="shared" si="2"/>
        <v>#DIV/0!</v>
      </c>
      <c r="J8" s="77">
        <f t="shared" si="3"/>
        <v>67</v>
      </c>
      <c r="K8" s="78" t="e">
        <f t="shared" si="1"/>
        <v>#DIV/0!</v>
      </c>
      <c r="L8" s="79" t="e">
        <f t="shared" si="4"/>
        <v>#DIV/0!</v>
      </c>
      <c r="M8" s="80" t="e">
        <f t="shared" si="5"/>
        <v>#DIV/0!</v>
      </c>
    </row>
    <row r="9" spans="1:13" x14ac:dyDescent="0.25">
      <c r="D9" t="e">
        <f t="shared" si="0"/>
        <v>#DIV/0!</v>
      </c>
      <c r="H9" s="75" t="e">
        <f>$I$19</f>
        <v>#DIV/0!</v>
      </c>
      <c r="I9" s="76" t="e">
        <f t="shared" si="2"/>
        <v>#DIV/0!</v>
      </c>
      <c r="J9" s="77">
        <f t="shared" si="3"/>
        <v>67</v>
      </c>
      <c r="K9" s="78" t="e">
        <f t="shared" si="1"/>
        <v>#DIV/0!</v>
      </c>
      <c r="L9" s="79" t="e">
        <f t="shared" si="4"/>
        <v>#DIV/0!</v>
      </c>
      <c r="M9" s="80" t="e">
        <f t="shared" si="5"/>
        <v>#DIV/0!</v>
      </c>
    </row>
    <row r="10" spans="1:13" x14ac:dyDescent="0.25">
      <c r="D10" t="e">
        <f t="shared" si="0"/>
        <v>#DIV/0!</v>
      </c>
      <c r="H10" s="75" t="e">
        <f>$I$19+0.6*$I$23</f>
        <v>#DIV/0!</v>
      </c>
      <c r="I10" s="76" t="e">
        <f t="shared" si="2"/>
        <v>#DIV/0!</v>
      </c>
      <c r="J10" s="77">
        <f t="shared" si="3"/>
        <v>67</v>
      </c>
      <c r="K10" s="78" t="e">
        <f t="shared" si="1"/>
        <v>#DIV/0!</v>
      </c>
      <c r="L10" s="79" t="e">
        <f t="shared" si="4"/>
        <v>#DIV/0!</v>
      </c>
      <c r="M10" s="80" t="e">
        <f t="shared" si="5"/>
        <v>#DIV/0!</v>
      </c>
    </row>
    <row r="11" spans="1:13" x14ac:dyDescent="0.25">
      <c r="D11" t="e">
        <f t="shared" si="0"/>
        <v>#DIV/0!</v>
      </c>
      <c r="H11" s="75" t="e">
        <f>$I$19+1.2*$I$23</f>
        <v>#DIV/0!</v>
      </c>
      <c r="I11" s="76" t="e">
        <f t="shared" si="2"/>
        <v>#DIV/0!</v>
      </c>
      <c r="J11" s="77">
        <f t="shared" si="3"/>
        <v>67</v>
      </c>
      <c r="K11" s="78" t="e">
        <f t="shared" si="1"/>
        <v>#DIV/0!</v>
      </c>
      <c r="L11" s="79" t="e">
        <f t="shared" si="4"/>
        <v>#DIV/0!</v>
      </c>
      <c r="M11" s="80" t="e">
        <f t="shared" si="5"/>
        <v>#DIV/0!</v>
      </c>
    </row>
    <row r="12" spans="1:13" x14ac:dyDescent="0.25">
      <c r="D12" t="e">
        <f t="shared" si="0"/>
        <v>#DIV/0!</v>
      </c>
      <c r="H12" s="75" t="e">
        <f>$I$19+1.8*$I$23</f>
        <v>#DIV/0!</v>
      </c>
      <c r="I12" s="76" t="e">
        <f t="shared" si="2"/>
        <v>#DIV/0!</v>
      </c>
      <c r="J12" s="77">
        <f t="shared" si="3"/>
        <v>67</v>
      </c>
      <c r="K12" s="78" t="e">
        <f t="shared" si="1"/>
        <v>#DIV/0!</v>
      </c>
      <c r="L12" s="79" t="e">
        <f t="shared" si="4"/>
        <v>#DIV/0!</v>
      </c>
      <c r="M12" s="80" t="e">
        <f t="shared" si="5"/>
        <v>#DIV/0!</v>
      </c>
    </row>
    <row r="13" spans="1:13" x14ac:dyDescent="0.25">
      <c r="D13" t="e">
        <f t="shared" si="0"/>
        <v>#DIV/0!</v>
      </c>
      <c r="H13" s="75" t="e">
        <f>$I$19+2.4*$I$23</f>
        <v>#DIV/0!</v>
      </c>
      <c r="I13" s="76" t="e">
        <f t="shared" si="2"/>
        <v>#DIV/0!</v>
      </c>
      <c r="J13" s="77">
        <f t="shared" si="3"/>
        <v>67</v>
      </c>
      <c r="K13" s="78" t="e">
        <f t="shared" si="1"/>
        <v>#DIV/0!</v>
      </c>
      <c r="L13" s="79" t="e">
        <f t="shared" si="4"/>
        <v>#DIV/0!</v>
      </c>
      <c r="M13" s="80" t="e">
        <f t="shared" si="5"/>
        <v>#DIV/0!</v>
      </c>
    </row>
    <row r="14" spans="1:13" x14ac:dyDescent="0.25">
      <c r="D14" t="e">
        <f t="shared" si="0"/>
        <v>#DIV/0!</v>
      </c>
      <c r="H14" s="75" t="e">
        <f>$I$19+3*$I$23</f>
        <v>#DIV/0!</v>
      </c>
      <c r="I14" s="76" t="e">
        <f t="shared" si="2"/>
        <v>#DIV/0!</v>
      </c>
      <c r="J14" s="77">
        <f t="shared" si="3"/>
        <v>67</v>
      </c>
      <c r="K14" s="78" t="e">
        <f t="shared" si="1"/>
        <v>#DIV/0!</v>
      </c>
      <c r="L14" s="79" t="e">
        <f t="shared" si="4"/>
        <v>#DIV/0!</v>
      </c>
      <c r="M14" s="80" t="e">
        <f t="shared" si="5"/>
        <v>#DIV/0!</v>
      </c>
    </row>
    <row r="15" spans="1:13" ht="15.75" thickBot="1" x14ac:dyDescent="0.3">
      <c r="D15" t="e">
        <f t="shared" si="0"/>
        <v>#DIV/0!</v>
      </c>
      <c r="H15" s="81"/>
      <c r="I15" s="82" t="s">
        <v>99</v>
      </c>
      <c r="J15" s="82">
        <f>COUNTIF(D:D,"&gt;"&amp;H14)</f>
        <v>67</v>
      </c>
      <c r="K15" s="82" t="e">
        <f>"Greater than "&amp;TEXT(H14,"0,00%")</f>
        <v>#DIV/0!</v>
      </c>
      <c r="L15" s="83" t="e">
        <f t="shared" si="4"/>
        <v>#DIV/0!</v>
      </c>
      <c r="M15" s="83" t="e">
        <f t="shared" si="5"/>
        <v>#DIV/0!</v>
      </c>
    </row>
    <row r="16" spans="1:13" ht="15.75" thickBot="1" x14ac:dyDescent="0.3">
      <c r="D16" t="e">
        <f t="shared" si="0"/>
        <v>#DIV/0!</v>
      </c>
      <c r="H16" s="84"/>
      <c r="M16" s="85"/>
    </row>
    <row r="17" spans="4:13" x14ac:dyDescent="0.25">
      <c r="D17" t="e">
        <f t="shared" si="0"/>
        <v>#DIV/0!</v>
      </c>
      <c r="H17" s="155" t="s">
        <v>130</v>
      </c>
      <c r="I17" s="156"/>
      <c r="M17" s="85"/>
    </row>
    <row r="18" spans="4:13" x14ac:dyDescent="0.25">
      <c r="D18" t="e">
        <f t="shared" si="0"/>
        <v>#DIV/0!</v>
      </c>
      <c r="H18" s="157"/>
      <c r="I18" s="158"/>
      <c r="M18" s="85"/>
    </row>
    <row r="19" spans="4:13" x14ac:dyDescent="0.25">
      <c r="D19" t="e">
        <f t="shared" si="0"/>
        <v>#DIV/0!</v>
      </c>
      <c r="H19" s="86" t="s">
        <v>100</v>
      </c>
      <c r="I19" s="123" t="e">
        <f>AVERAGE(D:D)</f>
        <v>#DIV/0!</v>
      </c>
      <c r="M19" s="85"/>
    </row>
    <row r="20" spans="4:13" x14ac:dyDescent="0.25">
      <c r="D20" t="e">
        <f t="shared" si="0"/>
        <v>#DIV/0!</v>
      </c>
      <c r="H20" s="86" t="s">
        <v>101</v>
      </c>
      <c r="I20" s="123" t="e">
        <f>_xlfn.STDEV.S(D:D)/SQRT(COUNT(D:D))</f>
        <v>#DIV/0!</v>
      </c>
      <c r="M20" s="85"/>
    </row>
    <row r="21" spans="4:13" x14ac:dyDescent="0.25">
      <c r="D21" t="e">
        <f t="shared" si="0"/>
        <v>#DIV/0!</v>
      </c>
      <c r="H21" s="86" t="s">
        <v>102</v>
      </c>
      <c r="I21" s="123" t="e">
        <f>MEDIAN(D:D)</f>
        <v>#DIV/0!</v>
      </c>
      <c r="M21" s="85"/>
    </row>
    <row r="22" spans="4:13" x14ac:dyDescent="0.25">
      <c r="D22" t="e">
        <f t="shared" si="0"/>
        <v>#DIV/0!</v>
      </c>
      <c r="H22" s="86" t="s">
        <v>103</v>
      </c>
      <c r="I22" s="123" t="e">
        <f>MODE(D:D)</f>
        <v>#DIV/0!</v>
      </c>
      <c r="M22" s="85"/>
    </row>
    <row r="23" spans="4:13" x14ac:dyDescent="0.25">
      <c r="D23" t="e">
        <f t="shared" si="0"/>
        <v>#DIV/0!</v>
      </c>
      <c r="H23" s="86" t="s">
        <v>104</v>
      </c>
      <c r="I23" s="123" t="e">
        <f>_xlfn.STDEV.S(D:D)</f>
        <v>#DIV/0!</v>
      </c>
      <c r="M23" s="85"/>
    </row>
    <row r="24" spans="4:13" x14ac:dyDescent="0.25">
      <c r="D24" t="e">
        <f t="shared" si="0"/>
        <v>#DIV/0!</v>
      </c>
      <c r="H24" s="86" t="s">
        <v>105</v>
      </c>
      <c r="I24" s="123" t="e">
        <f>_xlfn.VAR.S(D:D)</f>
        <v>#DIV/0!</v>
      </c>
      <c r="M24" s="85"/>
    </row>
    <row r="25" spans="4:13" x14ac:dyDescent="0.25">
      <c r="D25" t="e">
        <f t="shared" si="0"/>
        <v>#DIV/0!</v>
      </c>
      <c r="H25" s="86" t="s">
        <v>106</v>
      </c>
      <c r="I25" s="124" t="e">
        <f>KURT(D:D)</f>
        <v>#DIV/0!</v>
      </c>
      <c r="M25" s="85"/>
    </row>
    <row r="26" spans="4:13" x14ac:dyDescent="0.25">
      <c r="D26" t="e">
        <f t="shared" si="0"/>
        <v>#DIV/0!</v>
      </c>
      <c r="H26" s="86" t="s">
        <v>107</v>
      </c>
      <c r="I26" s="124" t="e">
        <f>SKEW(D:D)</f>
        <v>#DIV/0!</v>
      </c>
      <c r="M26" s="85"/>
    </row>
    <row r="27" spans="4:13" x14ac:dyDescent="0.25">
      <c r="D27" t="e">
        <f t="shared" si="0"/>
        <v>#DIV/0!</v>
      </c>
      <c r="H27" s="86" t="s">
        <v>96</v>
      </c>
      <c r="I27" s="123" t="e">
        <f>I29-I28</f>
        <v>#DIV/0!</v>
      </c>
      <c r="M27" s="85"/>
    </row>
    <row r="28" spans="4:13" x14ac:dyDescent="0.25">
      <c r="D28" t="e">
        <f t="shared" si="0"/>
        <v>#DIV/0!</v>
      </c>
      <c r="H28" s="86" t="s">
        <v>108</v>
      </c>
      <c r="I28" s="123" t="e">
        <f>MIN(D:D)</f>
        <v>#DIV/0!</v>
      </c>
      <c r="M28" s="85"/>
    </row>
    <row r="29" spans="4:13" x14ac:dyDescent="0.25">
      <c r="D29" t="e">
        <f t="shared" si="0"/>
        <v>#DIV/0!</v>
      </c>
      <c r="H29" s="86" t="s">
        <v>109</v>
      </c>
      <c r="I29" s="123" t="e">
        <f>MAX(D:D)</f>
        <v>#DIV/0!</v>
      </c>
      <c r="M29" s="85"/>
    </row>
    <row r="30" spans="4:13" x14ac:dyDescent="0.25">
      <c r="D30" t="e">
        <f t="shared" si="0"/>
        <v>#DIV/0!</v>
      </c>
      <c r="H30" s="86" t="s">
        <v>110</v>
      </c>
      <c r="I30" s="124" t="e">
        <f>SUM(D:D)</f>
        <v>#DIV/0!</v>
      </c>
      <c r="M30" s="85"/>
    </row>
    <row r="31" spans="4:13" ht="15.75" thickBot="1" x14ac:dyDescent="0.3">
      <c r="D31" t="e">
        <f t="shared" si="0"/>
        <v>#DIV/0!</v>
      </c>
      <c r="H31" s="87" t="s">
        <v>111</v>
      </c>
      <c r="I31" s="64">
        <f>COUNT(D:D)</f>
        <v>0</v>
      </c>
      <c r="M31" s="85"/>
    </row>
    <row r="32" spans="4:13" ht="15.75" thickBot="1" x14ac:dyDescent="0.3">
      <c r="D32" t="e">
        <f t="shared" si="0"/>
        <v>#DIV/0!</v>
      </c>
      <c r="H32" s="89"/>
      <c r="M32" s="85"/>
    </row>
    <row r="33" spans="4:13" x14ac:dyDescent="0.25">
      <c r="D33" t="e">
        <f t="shared" si="0"/>
        <v>#DIV/0!</v>
      </c>
      <c r="H33" s="90"/>
      <c r="I33" s="91" t="s">
        <v>112</v>
      </c>
      <c r="J33" s="91" t="s">
        <v>111</v>
      </c>
      <c r="K33" s="91" t="s">
        <v>113</v>
      </c>
      <c r="L33" s="92" t="s">
        <v>114</v>
      </c>
      <c r="M33" s="85"/>
    </row>
    <row r="34" spans="4:13" x14ac:dyDescent="0.25">
      <c r="D34" t="e">
        <f t="shared" si="0"/>
        <v>#DIV/0!</v>
      </c>
      <c r="H34" s="93" t="s">
        <v>115</v>
      </c>
      <c r="I34" s="79" t="e">
        <f>AVERAGEIF(D:D,"&gt;0")</f>
        <v>#DIV/0!</v>
      </c>
      <c r="J34" s="77">
        <f>COUNTIF(D:D,"&gt;0")</f>
        <v>0</v>
      </c>
      <c r="K34" s="79" t="e">
        <f>J34/$I$31</f>
        <v>#DIV/0!</v>
      </c>
      <c r="L34" s="80" t="e">
        <f>K34*I34</f>
        <v>#DIV/0!</v>
      </c>
      <c r="M34" s="85"/>
    </row>
    <row r="35" spans="4:13" x14ac:dyDescent="0.25">
      <c r="D35" t="e">
        <f t="shared" si="0"/>
        <v>#DIV/0!</v>
      </c>
      <c r="H35" s="93" t="s">
        <v>116</v>
      </c>
      <c r="I35" s="79" t="e">
        <f>AVERAGEIF(D:D,"&lt;0")</f>
        <v>#DIV/0!</v>
      </c>
      <c r="J35" s="77">
        <f>COUNTIF(D:D,"&lt;0")</f>
        <v>0</v>
      </c>
      <c r="K35" s="79" t="e">
        <f>J35/$I$31</f>
        <v>#DIV/0!</v>
      </c>
      <c r="L35" s="80" t="e">
        <f t="shared" ref="L35:L36" si="6">K35*I35</f>
        <v>#DIV/0!</v>
      </c>
      <c r="M35" s="85"/>
    </row>
    <row r="36" spans="4:13" ht="15.75" thickBot="1" x14ac:dyDescent="0.3">
      <c r="D36" t="e">
        <f t="shared" si="0"/>
        <v>#DIV/0!</v>
      </c>
      <c r="H36" s="94" t="s">
        <v>117</v>
      </c>
      <c r="I36" s="82">
        <v>0</v>
      </c>
      <c r="J36" s="82">
        <f>COUNTIF(D:D,"0")</f>
        <v>0</v>
      </c>
      <c r="K36" s="95" t="e">
        <f>J36/$I$31</f>
        <v>#DIV/0!</v>
      </c>
      <c r="L36" s="83" t="e">
        <f t="shared" si="6"/>
        <v>#DIV/0!</v>
      </c>
      <c r="M36" s="85"/>
    </row>
    <row r="37" spans="4:13" ht="15.75" thickBot="1" x14ac:dyDescent="0.3">
      <c r="D37" t="e">
        <f t="shared" si="0"/>
        <v>#DIV/0!</v>
      </c>
      <c r="H37" s="89"/>
      <c r="I37" s="96"/>
      <c r="J37" s="96"/>
      <c r="K37" s="96"/>
      <c r="L37" s="96"/>
      <c r="M37" s="85"/>
    </row>
    <row r="38" spans="4:13" x14ac:dyDescent="0.25">
      <c r="D38" t="e">
        <f t="shared" si="0"/>
        <v>#DIV/0!</v>
      </c>
      <c r="H38" s="70" t="s">
        <v>118</v>
      </c>
      <c r="I38" s="91" t="s">
        <v>119</v>
      </c>
      <c r="J38" s="91" t="s">
        <v>120</v>
      </c>
      <c r="K38" s="91" t="s">
        <v>121</v>
      </c>
      <c r="L38" s="91" t="s">
        <v>122</v>
      </c>
      <c r="M38" s="92" t="s">
        <v>123</v>
      </c>
    </row>
    <row r="39" spans="4:13" x14ac:dyDescent="0.25">
      <c r="D39" t="e">
        <f t="shared" si="0"/>
        <v>#DIV/0!</v>
      </c>
      <c r="H39" s="97">
        <v>1</v>
      </c>
      <c r="I39" s="79" t="e">
        <f>$I$19+($H39*$I$23)</f>
        <v>#DIV/0!</v>
      </c>
      <c r="J39" s="79" t="e">
        <f>$I$19-($H39*$I$23)</f>
        <v>#DIV/0!</v>
      </c>
      <c r="K39" s="77">
        <f>COUNTIFS(D:D,"&lt;"&amp;I39,D:D,"&gt;"&amp;J39)</f>
        <v>67</v>
      </c>
      <c r="L39" s="79" t="e">
        <f>K39/$I$31</f>
        <v>#DIV/0!</v>
      </c>
      <c r="M39" s="80">
        <v>0.68269999999999997</v>
      </c>
    </row>
    <row r="40" spans="4:13" x14ac:dyDescent="0.25">
      <c r="D40" t="e">
        <f t="shared" si="0"/>
        <v>#DIV/0!</v>
      </c>
      <c r="H40" s="97">
        <v>2</v>
      </c>
      <c r="I40" s="79" t="e">
        <f>$I$19+($H40*$I$23)</f>
        <v>#DIV/0!</v>
      </c>
      <c r="J40" s="79" t="e">
        <f>$I$19-($H40*$I$23)</f>
        <v>#DIV/0!</v>
      </c>
      <c r="K40" s="77">
        <f>COUNTIFS(D:D,"&lt;"&amp;I40,D:D,"&gt;"&amp;J40)</f>
        <v>67</v>
      </c>
      <c r="L40" s="79" t="e">
        <f>K40/$I$31</f>
        <v>#DIV/0!</v>
      </c>
      <c r="M40" s="80">
        <v>0.95450000000000002</v>
      </c>
    </row>
    <row r="41" spans="4:13" x14ac:dyDescent="0.25">
      <c r="D41" t="e">
        <f t="shared" si="0"/>
        <v>#DIV/0!</v>
      </c>
      <c r="H41" s="97">
        <v>3</v>
      </c>
      <c r="I41" s="79" t="e">
        <f>$I$19+($H41*$I$23)</f>
        <v>#DIV/0!</v>
      </c>
      <c r="J41" s="79" t="e">
        <f>$I$19-($H41*$I$23)</f>
        <v>#DIV/0!</v>
      </c>
      <c r="K41" s="77">
        <f>COUNTIFS(D:D,"&lt;"&amp;I41,D:D,"&gt;"&amp;J41)</f>
        <v>67</v>
      </c>
      <c r="L41" s="79" t="e">
        <f>K41/$I$31</f>
        <v>#DIV/0!</v>
      </c>
      <c r="M41" s="98">
        <v>0.99729999999999996</v>
      </c>
    </row>
    <row r="42" spans="4:13" ht="15.75" thickBot="1" x14ac:dyDescent="0.3">
      <c r="D42" t="e">
        <f t="shared" si="0"/>
        <v>#DIV/0!</v>
      </c>
      <c r="H42" s="75"/>
      <c r="M42" s="98"/>
    </row>
    <row r="43" spans="4:13" ht="15.75" thickBot="1" x14ac:dyDescent="0.3">
      <c r="D43" t="e">
        <f t="shared" si="0"/>
        <v>#DIV/0!</v>
      </c>
      <c r="H43" s="159" t="s">
        <v>124</v>
      </c>
      <c r="I43" s="160"/>
      <c r="J43" s="160"/>
      <c r="K43" s="160"/>
      <c r="L43" s="160"/>
      <c r="M43" s="161"/>
    </row>
    <row r="44" spans="4:13" x14ac:dyDescent="0.25">
      <c r="D44" t="e">
        <f t="shared" si="0"/>
        <v>#DIV/0!</v>
      </c>
      <c r="H44" s="99">
        <v>0.01</v>
      </c>
      <c r="I44" s="100" t="e">
        <f t="shared" ref="I44:I58" si="7">_xlfn.PERCENTILE.INC(D:D,H44)</f>
        <v>#DIV/0!</v>
      </c>
      <c r="J44" s="101">
        <v>0.2</v>
      </c>
      <c r="K44" s="100" t="e">
        <f t="shared" ref="K44:K56" si="8">_xlfn.PERCENTILE.INC(D:D,J44)</f>
        <v>#DIV/0!</v>
      </c>
      <c r="L44" s="101">
        <v>0.85</v>
      </c>
      <c r="M44" s="102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3">
        <v>0.02</v>
      </c>
      <c r="I45" s="104" t="e">
        <f t="shared" si="7"/>
        <v>#DIV/0!</v>
      </c>
      <c r="J45" s="105">
        <v>0.25</v>
      </c>
      <c r="K45" s="104" t="e">
        <f t="shared" si="8"/>
        <v>#DIV/0!</v>
      </c>
      <c r="L45" s="105">
        <v>0.86</v>
      </c>
      <c r="M45" s="106" t="e">
        <f t="shared" si="9"/>
        <v>#DIV/0!</v>
      </c>
    </row>
    <row r="46" spans="4:13" x14ac:dyDescent="0.25">
      <c r="D46" t="e">
        <f t="shared" si="0"/>
        <v>#DIV/0!</v>
      </c>
      <c r="H46" s="103">
        <v>0.03</v>
      </c>
      <c r="I46" s="104" t="e">
        <f t="shared" si="7"/>
        <v>#DIV/0!</v>
      </c>
      <c r="J46" s="105">
        <v>0.3</v>
      </c>
      <c r="K46" s="104" t="e">
        <f t="shared" si="8"/>
        <v>#DIV/0!</v>
      </c>
      <c r="L46" s="105">
        <v>0.87</v>
      </c>
      <c r="M46" s="106" t="e">
        <f t="shared" si="9"/>
        <v>#DIV/0!</v>
      </c>
    </row>
    <row r="47" spans="4:13" x14ac:dyDescent="0.25">
      <c r="D47" t="e">
        <f t="shared" si="0"/>
        <v>#DIV/0!</v>
      </c>
      <c r="H47" s="103">
        <v>0.04</v>
      </c>
      <c r="I47" s="104" t="e">
        <f t="shared" si="7"/>
        <v>#DIV/0!</v>
      </c>
      <c r="J47" s="105">
        <v>0.35</v>
      </c>
      <c r="K47" s="104" t="e">
        <f t="shared" si="8"/>
        <v>#DIV/0!</v>
      </c>
      <c r="L47" s="105">
        <v>0.88</v>
      </c>
      <c r="M47" s="106" t="e">
        <f t="shared" si="9"/>
        <v>#DIV/0!</v>
      </c>
    </row>
    <row r="48" spans="4:13" x14ac:dyDescent="0.25">
      <c r="D48" t="e">
        <f t="shared" si="0"/>
        <v>#DIV/0!</v>
      </c>
      <c r="H48" s="103">
        <v>0.05</v>
      </c>
      <c r="I48" s="104" t="e">
        <f t="shared" si="7"/>
        <v>#DIV/0!</v>
      </c>
      <c r="J48" s="105">
        <v>0.4</v>
      </c>
      <c r="K48" s="104" t="e">
        <f t="shared" si="8"/>
        <v>#DIV/0!</v>
      </c>
      <c r="L48" s="105">
        <v>0.89</v>
      </c>
      <c r="M48" s="106" t="e">
        <f t="shared" si="9"/>
        <v>#DIV/0!</v>
      </c>
    </row>
    <row r="49" spans="4:13" x14ac:dyDescent="0.25">
      <c r="D49" t="e">
        <f t="shared" si="0"/>
        <v>#DIV/0!</v>
      </c>
      <c r="H49" s="103">
        <v>0.06</v>
      </c>
      <c r="I49" s="104" t="e">
        <f t="shared" si="7"/>
        <v>#DIV/0!</v>
      </c>
      <c r="J49" s="105">
        <v>0.45</v>
      </c>
      <c r="K49" s="104" t="e">
        <f t="shared" si="8"/>
        <v>#DIV/0!</v>
      </c>
      <c r="L49" s="105">
        <v>0.9</v>
      </c>
      <c r="M49" s="106" t="e">
        <f t="shared" si="9"/>
        <v>#DIV/0!</v>
      </c>
    </row>
    <row r="50" spans="4:13" x14ac:dyDescent="0.25">
      <c r="D50" t="e">
        <f t="shared" si="0"/>
        <v>#DIV/0!</v>
      </c>
      <c r="H50" s="103">
        <v>7.0000000000000007E-2</v>
      </c>
      <c r="I50" s="104" t="e">
        <f t="shared" si="7"/>
        <v>#DIV/0!</v>
      </c>
      <c r="J50" s="105">
        <v>0.5</v>
      </c>
      <c r="K50" s="104" t="e">
        <f t="shared" si="8"/>
        <v>#DIV/0!</v>
      </c>
      <c r="L50" s="105">
        <v>0.91</v>
      </c>
      <c r="M50" s="106" t="e">
        <f t="shared" si="9"/>
        <v>#DIV/0!</v>
      </c>
    </row>
    <row r="51" spans="4:13" x14ac:dyDescent="0.25">
      <c r="D51" t="e">
        <f t="shared" si="0"/>
        <v>#DIV/0!</v>
      </c>
      <c r="H51" s="103">
        <v>0.08</v>
      </c>
      <c r="I51" s="104" t="e">
        <f t="shared" si="7"/>
        <v>#DIV/0!</v>
      </c>
      <c r="J51" s="105">
        <v>0.55000000000000004</v>
      </c>
      <c r="K51" s="104" t="e">
        <f t="shared" si="8"/>
        <v>#DIV/0!</v>
      </c>
      <c r="L51" s="105">
        <v>0.92</v>
      </c>
      <c r="M51" s="106" t="e">
        <f t="shared" si="9"/>
        <v>#DIV/0!</v>
      </c>
    </row>
    <row r="52" spans="4:13" x14ac:dyDescent="0.25">
      <c r="D52" t="e">
        <f t="shared" si="0"/>
        <v>#DIV/0!</v>
      </c>
      <c r="H52" s="103">
        <v>0.09</v>
      </c>
      <c r="I52" s="104" t="e">
        <f t="shared" si="7"/>
        <v>#DIV/0!</v>
      </c>
      <c r="J52" s="105">
        <v>0.6</v>
      </c>
      <c r="K52" s="104" t="e">
        <f t="shared" si="8"/>
        <v>#DIV/0!</v>
      </c>
      <c r="L52" s="105">
        <v>0.93</v>
      </c>
      <c r="M52" s="106" t="e">
        <f t="shared" si="9"/>
        <v>#DIV/0!</v>
      </c>
    </row>
    <row r="53" spans="4:13" x14ac:dyDescent="0.25">
      <c r="D53" t="e">
        <f t="shared" si="0"/>
        <v>#DIV/0!</v>
      </c>
      <c r="H53" s="103">
        <v>0.1</v>
      </c>
      <c r="I53" s="104" t="e">
        <f t="shared" si="7"/>
        <v>#DIV/0!</v>
      </c>
      <c r="J53" s="105">
        <v>0.65</v>
      </c>
      <c r="K53" s="104" t="e">
        <f t="shared" si="8"/>
        <v>#DIV/0!</v>
      </c>
      <c r="L53" s="105">
        <v>0.94</v>
      </c>
      <c r="M53" s="106" t="e">
        <f t="shared" si="9"/>
        <v>#DIV/0!</v>
      </c>
    </row>
    <row r="54" spans="4:13" x14ac:dyDescent="0.25">
      <c r="D54" t="e">
        <f t="shared" si="0"/>
        <v>#DIV/0!</v>
      </c>
      <c r="H54" s="103">
        <v>0.11</v>
      </c>
      <c r="I54" s="104" t="e">
        <f t="shared" si="7"/>
        <v>#DIV/0!</v>
      </c>
      <c r="J54" s="105">
        <v>0.7</v>
      </c>
      <c r="K54" s="104" t="e">
        <f t="shared" si="8"/>
        <v>#DIV/0!</v>
      </c>
      <c r="L54" s="105">
        <v>0.95</v>
      </c>
      <c r="M54" s="106" t="e">
        <f t="shared" si="9"/>
        <v>#DIV/0!</v>
      </c>
    </row>
    <row r="55" spans="4:13" x14ac:dyDescent="0.25">
      <c r="D55" t="e">
        <f t="shared" si="0"/>
        <v>#DIV/0!</v>
      </c>
      <c r="H55" s="103">
        <v>0.12</v>
      </c>
      <c r="I55" s="104" t="e">
        <f t="shared" si="7"/>
        <v>#DIV/0!</v>
      </c>
      <c r="J55" s="105">
        <v>0.75</v>
      </c>
      <c r="K55" s="104" t="e">
        <f t="shared" si="8"/>
        <v>#DIV/0!</v>
      </c>
      <c r="L55" s="105">
        <v>0.96</v>
      </c>
      <c r="M55" s="106" t="e">
        <f t="shared" si="9"/>
        <v>#DIV/0!</v>
      </c>
    </row>
    <row r="56" spans="4:13" x14ac:dyDescent="0.25">
      <c r="D56" t="e">
        <f t="shared" si="0"/>
        <v>#DIV/0!</v>
      </c>
      <c r="H56" s="103">
        <v>0.13</v>
      </c>
      <c r="I56" s="104" t="e">
        <f t="shared" si="7"/>
        <v>#DIV/0!</v>
      </c>
      <c r="J56" s="105">
        <v>0.8</v>
      </c>
      <c r="K56" s="104" t="e">
        <f t="shared" si="8"/>
        <v>#DIV/0!</v>
      </c>
      <c r="L56" s="105">
        <v>0.97</v>
      </c>
      <c r="M56" s="106" t="e">
        <f t="shared" si="9"/>
        <v>#DIV/0!</v>
      </c>
    </row>
    <row r="57" spans="4:13" x14ac:dyDescent="0.25">
      <c r="D57" t="e">
        <f t="shared" si="0"/>
        <v>#DIV/0!</v>
      </c>
      <c r="H57" s="103">
        <v>0.14000000000000001</v>
      </c>
      <c r="I57" s="104" t="e">
        <f t="shared" si="7"/>
        <v>#DIV/0!</v>
      </c>
      <c r="J57" s="105"/>
      <c r="K57" s="104"/>
      <c r="L57" s="105">
        <v>0.98</v>
      </c>
      <c r="M57" s="106" t="e">
        <f t="shared" si="9"/>
        <v>#DIV/0!</v>
      </c>
    </row>
    <row r="58" spans="4:13" ht="15.75" thickBot="1" x14ac:dyDescent="0.3">
      <c r="D58" t="e">
        <f t="shared" si="0"/>
        <v>#DIV/0!</v>
      </c>
      <c r="H58" s="107">
        <v>0.15</v>
      </c>
      <c r="I58" s="108" t="e">
        <f t="shared" si="7"/>
        <v>#DIV/0!</v>
      </c>
      <c r="J58" s="109"/>
      <c r="K58" s="88"/>
      <c r="L58" s="110">
        <v>0.99</v>
      </c>
      <c r="M58" s="111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2" t="s">
        <v>125</v>
      </c>
      <c r="I60" s="113"/>
    </row>
    <row r="61" spans="4:13" ht="15.75" thickBot="1" x14ac:dyDescent="0.3">
      <c r="D61" t="e">
        <f t="shared" si="0"/>
        <v>#DIV/0!</v>
      </c>
      <c r="H61" s="114" t="s">
        <v>126</v>
      </c>
      <c r="I61" s="115"/>
    </row>
    <row r="62" spans="4:13" ht="15.75" thickBot="1" x14ac:dyDescent="0.3">
      <c r="D62" t="e">
        <f t="shared" si="0"/>
        <v>#DIV/0!</v>
      </c>
      <c r="H62" s="116"/>
    </row>
    <row r="63" spans="4:13" x14ac:dyDescent="0.25">
      <c r="D63" t="e">
        <f t="shared" si="0"/>
        <v>#DIV/0!</v>
      </c>
      <c r="H63" s="112" t="s">
        <v>127</v>
      </c>
      <c r="I63" s="117"/>
    </row>
    <row r="64" spans="4:13" x14ac:dyDescent="0.25">
      <c r="D64" t="e">
        <f t="shared" si="0"/>
        <v>#DIV/0!</v>
      </c>
      <c r="H64" s="118" t="s">
        <v>128</v>
      </c>
      <c r="I64" s="119">
        <f>I63*(1-I60)</f>
        <v>0</v>
      </c>
    </row>
    <row r="65" spans="4:9" ht="15.75" thickBot="1" x14ac:dyDescent="0.3">
      <c r="D65" t="e">
        <f t="shared" si="0"/>
        <v>#DIV/0!</v>
      </c>
      <c r="H65" s="114" t="s">
        <v>129</v>
      </c>
      <c r="I65" s="120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2025-01-06T02:54:26Z</dcterms:modified>
</cp:coreProperties>
</file>