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AB05C0DB-0248-44DA-AE9D-2D6C90B9ECC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Model!$K$2:$W$2</definedName>
    <definedName name="_xlchart.v1.3" hidden="1">Model!$K$3:$W$3</definedName>
    <definedName name="_xlchart.v1.4" hidden="1">Model!$K$4:$W$4</definedName>
    <definedName name="_xlchart.v1.5" hidden="1">Model!$B$20</definedName>
    <definedName name="_xlchart.v1.6" hidden="1">Model!$B$21</definedName>
    <definedName name="_xlchart.v1.7" hidden="1">Model!$K$20:$W$20</definedName>
    <definedName name="_xlchart.v1.8" hidden="1">Model!$K$21:$W$21</definedName>
    <definedName name="_xlchart.v1.9" hidden="1">Model!$K$2:$W$2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C34" i="1" s="1"/>
  <c r="G19" i="2"/>
  <c r="C33" i="1"/>
  <c r="C32" i="1"/>
  <c r="C30" i="1"/>
  <c r="C29" i="1"/>
  <c r="C27" i="1"/>
  <c r="C25" i="1"/>
  <c r="C24" i="1"/>
  <c r="C21" i="1"/>
  <c r="C20" i="1"/>
  <c r="C17" i="1"/>
  <c r="C15" i="1"/>
  <c r="C14" i="1"/>
  <c r="C13" i="1"/>
  <c r="C9" i="1"/>
  <c r="C10" i="1"/>
  <c r="C7" i="1"/>
  <c r="Y17" i="2"/>
  <c r="Y13" i="2"/>
  <c r="U17" i="2"/>
  <c r="D28" i="2"/>
  <c r="E28" i="2"/>
  <c r="F28" i="2"/>
  <c r="H28" i="2"/>
  <c r="S17" i="2"/>
  <c r="S16" i="2"/>
  <c r="S13" i="2"/>
  <c r="W17" i="2"/>
  <c r="W13" i="2"/>
  <c r="R28" i="2"/>
  <c r="Q28" i="2"/>
  <c r="P28" i="2"/>
  <c r="O28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K27" i="2"/>
  <c r="K26" i="2"/>
  <c r="K25" i="2"/>
  <c r="T17" i="2"/>
  <c r="T13" i="2"/>
  <c r="L20" i="2"/>
  <c r="M20" i="2"/>
  <c r="N20" i="2"/>
  <c r="O20" i="2"/>
  <c r="P20" i="2"/>
  <c r="Q20" i="2"/>
  <c r="R20" i="2"/>
  <c r="V20" i="2"/>
  <c r="X20" i="2"/>
  <c r="Z20" i="2"/>
  <c r="K20" i="2"/>
  <c r="X17" i="2"/>
  <c r="X13" i="2"/>
  <c r="X31" i="2"/>
  <c r="V60" i="2"/>
  <c r="V59" i="2"/>
  <c r="V58" i="2"/>
  <c r="V57" i="2"/>
  <c r="V55" i="2"/>
  <c r="V54" i="2"/>
  <c r="V53" i="2"/>
  <c r="V52" i="2"/>
  <c r="V51" i="2"/>
  <c r="V50" i="2"/>
  <c r="V48" i="2"/>
  <c r="V47" i="2"/>
  <c r="V46" i="2"/>
  <c r="V45" i="2"/>
  <c r="V44" i="2"/>
  <c r="V43" i="2"/>
  <c r="V42" i="2"/>
  <c r="V41" i="2"/>
  <c r="V39" i="2"/>
  <c r="V38" i="2"/>
  <c r="V37" i="2"/>
  <c r="V36" i="2"/>
  <c r="V35" i="2"/>
  <c r="V34" i="2"/>
  <c r="V40" i="2" s="1"/>
  <c r="V33" i="2"/>
  <c r="V32" i="2"/>
  <c r="C17" i="2"/>
  <c r="C13" i="2"/>
  <c r="C11" i="2"/>
  <c r="F27" i="2"/>
  <c r="E27" i="2"/>
  <c r="D27" i="2"/>
  <c r="D17" i="2"/>
  <c r="D13" i="2"/>
  <c r="E26" i="2"/>
  <c r="E25" i="2"/>
  <c r="E17" i="2"/>
  <c r="E13" i="2"/>
  <c r="F22" i="2"/>
  <c r="F17" i="2"/>
  <c r="F13" i="2"/>
  <c r="Z31" i="2"/>
  <c r="Y31" i="2"/>
  <c r="W31" i="2"/>
  <c r="U31" i="2"/>
  <c r="T31" i="2"/>
  <c r="S31" i="2"/>
  <c r="R31" i="2"/>
  <c r="Q31" i="2"/>
  <c r="P31" i="2"/>
  <c r="O31" i="2"/>
  <c r="N31" i="2"/>
  <c r="M31" i="2"/>
  <c r="L31" i="2"/>
  <c r="K31" i="2"/>
  <c r="H31" i="2"/>
  <c r="G31" i="2"/>
  <c r="F31" i="2"/>
  <c r="D31" i="2"/>
  <c r="C31" i="2"/>
  <c r="E31" i="2"/>
  <c r="U40" i="2"/>
  <c r="U49" i="2" s="1"/>
  <c r="W40" i="2"/>
  <c r="W49" i="2" s="1"/>
  <c r="X40" i="2"/>
  <c r="X49" i="2" s="1"/>
  <c r="Y40" i="2"/>
  <c r="Y49" i="2" s="1"/>
  <c r="Z40" i="2"/>
  <c r="Z49" i="2" s="1"/>
  <c r="U56" i="2"/>
  <c r="U61" i="2" s="1"/>
  <c r="V56" i="2"/>
  <c r="V61" i="2" s="1"/>
  <c r="W56" i="2"/>
  <c r="W61" i="2" s="1"/>
  <c r="X56" i="2"/>
  <c r="X61" i="2" s="1"/>
  <c r="Y56" i="2"/>
  <c r="Y61" i="2" s="1"/>
  <c r="Z56" i="2"/>
  <c r="Z61" i="2" s="1"/>
  <c r="S22" i="2"/>
  <c r="T22" i="2"/>
  <c r="V22" i="2"/>
  <c r="W22" i="2"/>
  <c r="X22" i="2"/>
  <c r="Y22" i="2"/>
  <c r="Z22" i="2"/>
  <c r="S1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G12" i="2"/>
  <c r="G15" i="2" s="1"/>
  <c r="H12" i="2"/>
  <c r="H15" i="2" s="1"/>
  <c r="C35" i="1" l="1"/>
  <c r="S15" i="2"/>
  <c r="S18" i="2" s="1"/>
  <c r="S20" i="2" s="1"/>
  <c r="S28" i="2" s="1"/>
  <c r="V49" i="2"/>
  <c r="V31" i="2"/>
  <c r="U22" i="2"/>
  <c r="V24" i="2"/>
  <c r="Y24" i="2"/>
  <c r="O12" i="2"/>
  <c r="O15" i="2" s="1"/>
  <c r="O18" i="2" s="1"/>
  <c r="T24" i="2"/>
  <c r="W12" i="2"/>
  <c r="W15" i="2" s="1"/>
  <c r="W18" i="2" s="1"/>
  <c r="W20" i="2" s="1"/>
  <c r="R12" i="2"/>
  <c r="R15" i="2" s="1"/>
  <c r="R18" i="2" s="1"/>
  <c r="U24" i="2"/>
  <c r="W24" i="2"/>
  <c r="K12" i="2"/>
  <c r="K15" i="2" s="1"/>
  <c r="K18" i="2" s="1"/>
  <c r="U12" i="2"/>
  <c r="U15" i="2" s="1"/>
  <c r="U18" i="2" s="1"/>
  <c r="U20" i="2" s="1"/>
  <c r="Q12" i="2"/>
  <c r="Q15" i="2" s="1"/>
  <c r="Q18" i="2" s="1"/>
  <c r="P12" i="2"/>
  <c r="P15" i="2" s="1"/>
  <c r="P18" i="2" s="1"/>
  <c r="X62" i="2"/>
  <c r="W62" i="2"/>
  <c r="V12" i="2"/>
  <c r="V15" i="2" s="1"/>
  <c r="V18" i="2" s="1"/>
  <c r="Z24" i="2"/>
  <c r="Y12" i="2"/>
  <c r="Y15" i="2" s="1"/>
  <c r="Y18" i="2" s="1"/>
  <c r="Y20" i="2" s="1"/>
  <c r="T12" i="2"/>
  <c r="T15" i="2" s="1"/>
  <c r="T18" i="2" s="1"/>
  <c r="T20" i="2" s="1"/>
  <c r="S24" i="2"/>
  <c r="V62" i="2"/>
  <c r="X24" i="2"/>
  <c r="U62" i="2"/>
  <c r="Z12" i="2"/>
  <c r="Z15" i="2" s="1"/>
  <c r="Z18" i="2" s="1"/>
  <c r="X12" i="2"/>
  <c r="X15" i="2" s="1"/>
  <c r="X18" i="2" s="1"/>
  <c r="N12" i="2"/>
  <c r="N15" i="2" s="1"/>
  <c r="N18" i="2" s="1"/>
  <c r="L12" i="2"/>
  <c r="L15" i="2" s="1"/>
  <c r="L18" i="2" s="1"/>
  <c r="Z62" i="2"/>
  <c r="Y62" i="2"/>
  <c r="M12" i="2"/>
  <c r="M15" i="2" s="1"/>
  <c r="M18" i="2" s="1"/>
  <c r="C23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28" i="2" l="1"/>
  <c r="Z28" i="2"/>
  <c r="V28" i="2"/>
  <c r="U28" i="2"/>
  <c r="T28" i="2"/>
  <c r="S23" i="2"/>
  <c r="X28" i="2"/>
  <c r="W28" i="2"/>
  <c r="X23" i="2"/>
  <c r="V23" i="2"/>
  <c r="Y23" i="2"/>
  <c r="W23" i="2"/>
  <c r="U23" i="2"/>
  <c r="T23" i="2"/>
  <c r="Z23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2" i="2"/>
  <c r="C15" i="2" s="1"/>
  <c r="C18" i="2" s="1"/>
  <c r="C20" i="2" s="1"/>
  <c r="D12" i="2"/>
  <c r="D15" i="2" s="1"/>
  <c r="D18" i="2" s="1"/>
  <c r="D20" i="2" s="1"/>
  <c r="E12" i="2"/>
  <c r="E15" i="2" s="1"/>
  <c r="E18" i="2" s="1"/>
  <c r="E20" i="2" s="1"/>
  <c r="F12" i="2"/>
  <c r="F15" i="2" s="1"/>
  <c r="F18" i="2" s="1"/>
  <c r="F20" i="2" s="1"/>
  <c r="L23" i="2"/>
  <c r="M23" i="2"/>
  <c r="N23" i="2"/>
  <c r="K22" i="2"/>
  <c r="L22" i="2"/>
  <c r="M22" i="2"/>
  <c r="N22" i="2"/>
  <c r="O22" i="2"/>
  <c r="P22" i="2"/>
  <c r="Q22" i="2"/>
  <c r="R22" i="2"/>
  <c r="O24" i="2"/>
  <c r="P24" i="2"/>
  <c r="Q24" i="2"/>
  <c r="R24" i="2"/>
  <c r="K40" i="2"/>
  <c r="K49" i="2" s="1"/>
  <c r="L40" i="2"/>
  <c r="L49" i="2" s="1"/>
  <c r="M40" i="2"/>
  <c r="M49" i="2" s="1"/>
  <c r="N40" i="2"/>
  <c r="N49" i="2" s="1"/>
  <c r="O40" i="2"/>
  <c r="O49" i="2" s="1"/>
  <c r="P40" i="2"/>
  <c r="P49" i="2" s="1"/>
  <c r="Q40" i="2"/>
  <c r="Q49" i="2" s="1"/>
  <c r="R40" i="2"/>
  <c r="R49" i="2" s="1"/>
  <c r="S40" i="2"/>
  <c r="S49" i="2" s="1"/>
  <c r="T40" i="2"/>
  <c r="T49" i="2" s="1"/>
  <c r="K56" i="2"/>
  <c r="K61" i="2" s="1"/>
  <c r="L56" i="2"/>
  <c r="L61" i="2" s="1"/>
  <c r="M56" i="2"/>
  <c r="M61" i="2" s="1"/>
  <c r="N56" i="2"/>
  <c r="N61" i="2" s="1"/>
  <c r="O56" i="2"/>
  <c r="O61" i="2" s="1"/>
  <c r="P56" i="2"/>
  <c r="P61" i="2" s="1"/>
  <c r="Q56" i="2"/>
  <c r="Q61" i="2" s="1"/>
  <c r="R56" i="2"/>
  <c r="R61" i="2" s="1"/>
  <c r="S56" i="2"/>
  <c r="S61" i="2" s="1"/>
  <c r="T56" i="2"/>
  <c r="T61" i="2" s="1"/>
  <c r="C40" i="2"/>
  <c r="C49" i="2" s="1"/>
  <c r="D40" i="2"/>
  <c r="D49" i="2" s="1"/>
  <c r="H23" i="2"/>
  <c r="G23" i="2"/>
  <c r="H24" i="2"/>
  <c r="M62" i="2" l="1"/>
  <c r="Q62" i="2"/>
  <c r="O62" i="2"/>
  <c r="N62" i="2"/>
  <c r="T62" i="2"/>
  <c r="L62" i="2"/>
  <c r="S62" i="2"/>
  <c r="K62" i="2"/>
  <c r="R62" i="2"/>
  <c r="P62" i="2"/>
  <c r="K11" i="5"/>
  <c r="K23" i="2"/>
  <c r="C27" i="2"/>
  <c r="F25" i="2"/>
  <c r="F26" i="2"/>
  <c r="D25" i="2"/>
  <c r="D26" i="2"/>
  <c r="C25" i="2"/>
  <c r="C26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O23" i="2"/>
  <c r="R23" i="2"/>
  <c r="Q23" i="2"/>
  <c r="P23" i="2"/>
  <c r="G24" i="2"/>
  <c r="E22" i="2"/>
  <c r="D22" i="2"/>
  <c r="C22" i="2"/>
  <c r="F24" i="2"/>
  <c r="F56" i="2"/>
  <c r="F61" i="2" s="1"/>
  <c r="F40" i="2"/>
  <c r="F49" i="2" s="1"/>
  <c r="D24" i="2"/>
  <c r="E24" i="2"/>
  <c r="C56" i="2"/>
  <c r="C61" i="2" s="1"/>
  <c r="C62" i="2" s="1"/>
  <c r="D56" i="2"/>
  <c r="E40" i="2"/>
  <c r="E49" i="2" s="1"/>
  <c r="F62" i="2" l="1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E56" i="2"/>
  <c r="E61" i="2" s="1"/>
  <c r="E62" i="2" s="1"/>
  <c r="D61" i="2"/>
  <c r="D62" i="2" s="1"/>
  <c r="C18" i="1" l="1"/>
  <c r="C23" i="2"/>
  <c r="F23" i="2"/>
  <c r="D23" i="2" l="1"/>
  <c r="E23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<sst xmlns="http://schemas.openxmlformats.org/spreadsheetml/2006/main" count="249" uniqueCount="230">
  <si>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</si>
  <si>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</si>
  <si>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</si>
  <si>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</si>
  <si>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</si>
  <si>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</si>
  <si>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</si>
  <si>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</si>
  <si>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</si>
  <si>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</si>
  <si>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</si>
  <si>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</si>
  <si>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</si>
  <si>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</si>
  <si>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</si>
  <si>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</si>
  <si>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</si>
  <si>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</si>
  <si>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</si>
  <si>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</si>
  <si>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</si>
  <si>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</si>
  <si>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</si>
  <si>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</si>
  <si>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</si>
  <si>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</si>
  <si>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</si>
  <si>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</si>
  <si>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</si>
  <si>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</si>
  <si>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</si>
  <si>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</si>
  <si>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</si>
  <si>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</si>
  <si>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</si>
  <si>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</si>
  <si>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</si>
  <si>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</si>
  <si>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</si>
  <si>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</si>
  <si>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</si>
  <si>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</si>
  <si>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</si>
  <si>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</si>
  <si>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</si>
  <si>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</si>
  <si>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</si>
  <si>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</si>
  <si>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</si>
  <si>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</si>
  <si>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</si>
  <si>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</si>
  <si>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</si>
  <si>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</si>
  <si>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</si>
  <si>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</si>
  <si>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</si>
  <si>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</si>
  <si>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</si>
  <si>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</si>
  <si>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</si>
  <si>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</si>
  <si>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</si>
  <si>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</si>
  <si>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</si>
  <si>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</si>
  <si>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</si>
  <si>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</si>
  <si>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</si>
  <si>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</si>
  <si>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</si>
  <si>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</si>
  <si>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</si>
  <si>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</si>
  <si>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</si>
  <si>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Notes</t>
  </si>
  <si>
    <t>Restricted Cash</t>
  </si>
  <si>
    <t>Prepaid Expense</t>
  </si>
  <si>
    <t>PP&amp;E</t>
  </si>
  <si>
    <t>Intangible Asset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</si>
  <si>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</si>
  <si>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</si>
  <si>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</si>
  <si>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</si>
  <si>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</si>
  <si>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</si>
  <si>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</si>
  <si>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</si>
  <si>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</si>
  <si>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</si>
  <si>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</si>
  <si>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</si>
  <si>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</si>
  <si>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</si>
  <si>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</si>
  <si>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</si>
  <si>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</si>
  <si>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</si>
  <si>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</si>
  <si>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</si>
  <si>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</si>
  <si>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</si>
  <si>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</si>
  <si>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</si>
  <si>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</si>
  <si>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</si>
  <si>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</si>
  <si>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</si>
  <si>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</si>
  <si>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</si>
  <si>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</si>
  <si>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</si>
  <si>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</si>
  <si>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</si>
  <si>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</si>
  <si>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</si>
  <si>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</si>
  <si>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</si>
  <si>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</si>
  <si>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</si>
  <si>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</si>
  <si>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</si>
  <si>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</si>
  <si>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</si>
  <si>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</si>
  <si>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</si>
  <si>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</si>
  <si>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</si>
  <si>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</si>
  <si>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</si>
  <si>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</si>
  <si>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</si>
  <si>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</si>
  <si>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</si>
  <si>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</si>
  <si>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</si>
  <si>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</si>
  <si>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</si>
  <si>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Net Income before Tax</t>
  </si>
  <si>
    <t>Q324</t>
  </si>
  <si>
    <t>Q424</t>
  </si>
  <si>
    <t>FMR, LLC</t>
  </si>
  <si>
    <t>14.91%</t>
  </si>
  <si>
    <t>Intel Corporation</t>
  </si>
  <si>
    <t>3.77%</t>
  </si>
  <si>
    <t>Atreides Management, LP</t>
  </si>
  <si>
    <t>1.77%</t>
  </si>
  <si>
    <t>Vanguard Group Inc</t>
  </si>
  <si>
    <t>1.28%</t>
  </si>
  <si>
    <t>Blackrock Inc.</t>
  </si>
  <si>
    <t>0.95%</t>
  </si>
  <si>
    <t>Invesco Ltd.</t>
  </si>
  <si>
    <t>0.92%</t>
  </si>
  <si>
    <t>JP Morgan Chase &amp; Company</t>
  </si>
  <si>
    <t>0.91%</t>
  </si>
  <si>
    <t>Goldman Sachs Group Inc</t>
  </si>
  <si>
    <t>0.66%</t>
  </si>
  <si>
    <t>Maverick Capital Ltd.</t>
  </si>
  <si>
    <t>0.64%</t>
  </si>
  <si>
    <t>Summit Partners Public Asset Management LLC</t>
  </si>
  <si>
    <t>0.60%</t>
  </si>
  <si>
    <t>ALBA MANUELDirector</t>
  </si>
  <si>
    <t>DYCKERHOFF STEFAN ADirector and Beneficial Owner of more than 10% of a Class of Security</t>
  </si>
  <si>
    <t>GAJENDRA SANJAYPresident</t>
  </si>
  <si>
    <t>HURLSTON MICHAEL EDirector</t>
  </si>
  <si>
    <t>LAZAR JACK RDirector</t>
  </si>
  <si>
    <t>MAYER BETHANY JDirector</t>
  </si>
  <si>
    <t>MAZZARA PHILIPGeneral Counsel</t>
  </si>
  <si>
    <t>MOHAN JITENDRAChief Executive Officer</t>
  </si>
  <si>
    <t>SUTTER HILL VENTURESBeneficial Owner of more than 10% of a Class of Security</t>
  </si>
  <si>
    <t>TATE MICHAEL TRUETTChief Financial Officer</t>
  </si>
  <si>
    <t>Mr. Matthew P. Flake</t>
  </si>
  <si>
    <t>CEO &amp; Chairman of the Board</t>
  </si>
  <si>
    <t>Mr. Kirk L. Coleman</t>
  </si>
  <si>
    <t>President</t>
  </si>
  <si>
    <t>Mr. Robert H. Seale III</t>
  </si>
  <si>
    <t>Chairman Emeritus</t>
  </si>
  <si>
    <t>Mr. David J. Mehok</t>
  </si>
  <si>
    <t>CFO &amp; Principal Accounting Officer</t>
  </si>
  <si>
    <t>Mr. John E. Breeden</t>
  </si>
  <si>
    <t>Chief Operating Officer</t>
  </si>
  <si>
    <t>Mr. Michael A. Volanoski</t>
  </si>
  <si>
    <t>Chief Revenue Officer</t>
  </si>
  <si>
    <t>Mr. Adam D. Blue</t>
  </si>
  <si>
    <t>Chief Technology Officer</t>
  </si>
  <si>
    <t>Josh Yankovich</t>
  </si>
  <si>
    <t>Investor Contact</t>
  </si>
  <si>
    <t>Ms. Suzette Junier</t>
  </si>
  <si>
    <t>Chief Compliance Officer &amp; Chief Privacy Officer</t>
  </si>
  <si>
    <t>M. Scott Kerr</t>
  </si>
  <si>
    <t>Senior VP, General Counsel &amp; Corporate Secretary</t>
  </si>
  <si>
    <t>Digital Banking in the US</t>
  </si>
  <si>
    <t>Products</t>
  </si>
  <si>
    <t>Q2 Small Business</t>
  </si>
  <si>
    <t>Q2 mobile Remote Deposit Capture</t>
  </si>
  <si>
    <t>Q2 Sentinel</t>
  </si>
  <si>
    <t>Q2 Patrol</t>
  </si>
  <si>
    <t>Q2 Smart</t>
  </si>
  <si>
    <t>Q2 Contextual Personal Financial Management</t>
  </si>
  <si>
    <t>Q2 Consumer Banking</t>
  </si>
  <si>
    <t>Q2 Goals</t>
  </si>
  <si>
    <t>Q2 CardSwap</t>
  </si>
  <si>
    <t>Q2 Gro</t>
  </si>
  <si>
    <t>Q2 Innovation Studio</t>
  </si>
  <si>
    <t>Q2 Biller Direct</t>
  </si>
  <si>
    <t>ClickSWITCH</t>
  </si>
  <si>
    <t>Sensibill</t>
  </si>
  <si>
    <t>Centrix Dispute Tracking System</t>
  </si>
  <si>
    <t>Centrix Payments IQ Systems</t>
  </si>
  <si>
    <t>Centreix Transaction Systems</t>
  </si>
  <si>
    <t>Investments</t>
  </si>
  <si>
    <t>Contract Assets</t>
  </si>
  <si>
    <t>Deferred solution</t>
  </si>
  <si>
    <t>Deferred implementation cost</t>
  </si>
  <si>
    <t>Other long term assets</t>
  </si>
  <si>
    <t>Convertible Notes</t>
  </si>
  <si>
    <t>Deferred revenue</t>
  </si>
  <si>
    <t>Lease liab</t>
  </si>
  <si>
    <t>Deferred revenues</t>
  </si>
  <si>
    <t>Other long-term liab</t>
  </si>
  <si>
    <t>Accrued liabilities</t>
  </si>
  <si>
    <t>Accrued compensation</t>
  </si>
  <si>
    <t>Transaction related costs</t>
  </si>
  <si>
    <t>Amortization</t>
  </si>
  <si>
    <t>Lease and other</t>
  </si>
  <si>
    <t>Gains on ext. Debt</t>
  </si>
  <si>
    <t>Other (investments, curr)</t>
  </si>
  <si>
    <t>EPS Growth</t>
  </si>
  <si>
    <t>Q125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</si>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</sst>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0" xfId="1" applyNumberFormat="1" applyFont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/>
    <xf numFmtId="3" fontId="5" fillId="0" borderId="0" xfId="0" applyNumberFormat="1" applyFont="1" applyBorder="1"/>
    <xf numFmtId="3" fontId="0" fillId="0" borderId="0" xfId="0" applyNumberFormat="1" applyBorder="1"/>
    <xf numFmtId="2" fontId="2" fillId="0" borderId="0" xfId="0" applyNumberFormat="1" applyFont="1" applyBorder="1"/>
    <xf numFmtId="2" fontId="5" fillId="0" borderId="0" xfId="0" applyNumberFormat="1" applyFont="1" applyBorder="1"/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3" fontId="0" fillId="11" borderId="0" xfId="0" applyNumberFormat="1" applyFill="1"/>
    <xf numFmtId="3" fontId="0" fillId="11" borderId="0" xfId="0" applyNumberFormat="1" applyFill="1" applyBorder="1"/>
    <xf numFmtId="3" fontId="0" fillId="11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</c:formatCode>
                <c:ptCount val="13"/>
                <c:pt idx="8">
                  <c:v>153.00800000000001</c:v>
                </c:pt>
                <c:pt idx="9">
                  <c:v>154.53100000000001</c:v>
                </c:pt>
                <c:pt idx="10">
                  <c:v>154.96700000000001</c:v>
                </c:pt>
                <c:pt idx="12">
                  <c:v>165.50800000000001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Model!$K$24:$W$24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8.1695074767332398E-2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49-49AC-9F50-0367BE87A0C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</c:formatCode>
                <c:ptCount val="6"/>
                <c:pt idx="0">
                  <c:v>402.75099999999998</c:v>
                </c:pt>
                <c:pt idx="1">
                  <c:v>498.72</c:v>
                </c:pt>
                <c:pt idx="2">
                  <c:v>565.673</c:v>
                </c:pt>
                <c:pt idx="3">
                  <c:v>624.62400000000002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Model!$C$24:$H$24</c:f>
              <c:numCache>
                <c:formatCode>0%</c:formatCode>
                <c:ptCount val="6"/>
                <c:pt idx="1">
                  <c:v>0.23828370382693054</c:v>
                </c:pt>
                <c:pt idx="2">
                  <c:v>0.13424967917869735</c:v>
                </c:pt>
                <c:pt idx="3">
                  <c:v>0.10421391864204232</c:v>
                </c:pt>
                <c:pt idx="4">
                  <c:v>0.11013986013985999</c:v>
                </c:pt>
                <c:pt idx="5">
                  <c:v>0.11352427100458606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Model!$K$18:$W$18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4.5799999999978525E-2</c:v>
                </c:pt>
                <c:pt idx="9">
                  <c:v>-23.18490000000001</c:v>
                </c:pt>
                <c:pt idx="10">
                  <c:v>-23.119999999999997</c:v>
                </c:pt>
                <c:pt idx="11">
                  <c:v>0</c:v>
                </c:pt>
                <c:pt idx="12">
                  <c:v>-14.037999999999974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Model!$K$22:$W$22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0.47904031161769323</c:v>
                </c:pt>
                <c:pt idx="9">
                  <c:v>0.47775527240488969</c:v>
                </c:pt>
                <c:pt idx="10">
                  <c:v>0.47837926784412166</c:v>
                </c:pt>
                <c:pt idx="11">
                  <c:v>0</c:v>
                </c:pt>
                <c:pt idx="12">
                  <c:v>0.49696691398603088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Model!$C$18:$H$18</c:f>
              <c:numCache>
                <c:formatCode>#,##0</c:formatCode>
                <c:ptCount val="6"/>
                <c:pt idx="0">
                  <c:v>-137.10999999999999</c:v>
                </c:pt>
                <c:pt idx="1">
                  <c:v>-112.849</c:v>
                </c:pt>
                <c:pt idx="2">
                  <c:v>-111.82000000000008</c:v>
                </c:pt>
                <c:pt idx="3">
                  <c:v>-63.523000000000017</c:v>
                </c:pt>
                <c:pt idx="4">
                  <c:v>106.1456</c:v>
                </c:pt>
                <c:pt idx="5">
                  <c:v>141.97999999999999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Model!$C$28:$H$28</c:f>
              <c:numCache>
                <c:formatCode>0.000</c:formatCode>
                <c:ptCount val="6"/>
                <c:pt idx="1">
                  <c:v>0.63562816806640332</c:v>
                </c:pt>
                <c:pt idx="2">
                  <c:v>9.7283163130308381E-2</c:v>
                </c:pt>
                <c:pt idx="3">
                  <c:v>0.78150047244294307</c:v>
                </c:pt>
                <c:pt idx="5" formatCode="0%">
                  <c:v>0.30113636363636376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Model!$B$25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Model!$K$25:$U$25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0.18374202656070271</c:v>
                </c:pt>
                <c:pt idx="9">
                  <c:v>0.18572972413302186</c:v>
                </c:pt>
                <c:pt idx="10">
                  <c:v>0.16857137326011343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Model!$K$26:$V$26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0.22498823590923347</c:v>
                </c:pt>
                <c:pt idx="9">
                  <c:v>0.22064181296956595</c:v>
                </c:pt>
                <c:pt idx="10">
                  <c:v>0.22289906883400981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Model!$B$27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Model!$K$27:$V$27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0.16137718289239777</c:v>
                </c:pt>
                <c:pt idx="9">
                  <c:v>0.17554406559201713</c:v>
                </c:pt>
                <c:pt idx="10">
                  <c:v>0.18122568030612968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Model!$B$25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Model!$C$25:$F$25</c:f>
              <c:numCache>
                <c:formatCode>0%</c:formatCode>
                <c:ptCount val="4"/>
                <c:pt idx="0">
                  <c:v>0.17957249019865873</c:v>
                </c:pt>
                <c:pt idx="1">
                  <c:v>0.17156721206288095</c:v>
                </c:pt>
                <c:pt idx="2">
                  <c:v>0.19130133487014583</c:v>
                </c:pt>
                <c:pt idx="3">
                  <c:v>0.17534068495606958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Model!$C$26:$F$26</c:f>
              <c:numCache>
                <c:formatCode>0%</c:formatCode>
                <c:ptCount val="4"/>
                <c:pt idx="0">
                  <c:v>0.2417895920804666</c:v>
                </c:pt>
                <c:pt idx="1">
                  <c:v>0.2345043310875842</c:v>
                </c:pt>
                <c:pt idx="2">
                  <c:v>0.22999683562765061</c:v>
                </c:pt>
                <c:pt idx="3">
                  <c:v>0.2198666717897487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Model!$B$27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Model!$C$27:$F$27</c:f>
              <c:numCache>
                <c:formatCode>0%</c:formatCode>
                <c:ptCount val="4"/>
                <c:pt idx="0">
                  <c:v>3.8299097953822588E-2</c:v>
                </c:pt>
                <c:pt idx="1">
                  <c:v>0.15622994866859161</c:v>
                </c:pt>
                <c:pt idx="2">
                  <c:v>0.15939067270313415</c:v>
                </c:pt>
                <c:pt idx="3">
                  <c:v>0.17640372448064756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tabSelected="1" workbookViewId="0">
      <selection activeCell="E22" sqref="E22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48</v>
      </c>
      <c r="F2" s="59" t="s">
        <v>49</v>
      </c>
      <c r="G2" s="25"/>
      <c r="H2" s="26" t="s">
        <v>56</v>
      </c>
      <c r="I2" s="26" t="s">
        <v>1</v>
      </c>
      <c r="J2" s="27" t="s">
        <v>49</v>
      </c>
      <c r="L2" s="30" t="s">
        <v>42</v>
      </c>
      <c r="M2" s="31" t="s">
        <v>58</v>
      </c>
      <c r="N2" s="32" t="s">
        <v>57</v>
      </c>
    </row>
    <row r="3" spans="2:14" x14ac:dyDescent="0.25">
      <c r="B3" s="5" t="s">
        <v>41</v>
      </c>
      <c r="C3" s="20">
        <v>45663</v>
      </c>
      <c r="E3" s="5" t="s">
        <v>141</v>
      </c>
      <c r="F3" s="28" t="s">
        <v>142</v>
      </c>
      <c r="H3" t="s">
        <v>161</v>
      </c>
      <c r="I3" s="10"/>
      <c r="J3" s="38"/>
      <c r="L3" s="5" t="s">
        <v>171</v>
      </c>
      <c r="M3" t="s">
        <v>172</v>
      </c>
      <c r="N3" s="37"/>
    </row>
    <row r="4" spans="2:14" x14ac:dyDescent="0.25">
      <c r="B4" s="5"/>
      <c r="C4" s="21">
        <v>0.1701388888888889</v>
      </c>
      <c r="E4" s="5" t="s">
        <v>143</v>
      </c>
      <c r="F4" s="28" t="s">
        <v>144</v>
      </c>
      <c r="H4" t="s">
        <v>162</v>
      </c>
      <c r="I4" s="10"/>
      <c r="J4" s="38"/>
      <c r="L4" s="5" t="s">
        <v>173</v>
      </c>
      <c r="M4" t="s">
        <v>174</v>
      </c>
      <c r="N4" s="13"/>
    </row>
    <row r="5" spans="2:14" x14ac:dyDescent="0.25">
      <c r="B5" s="5"/>
      <c r="C5" s="13"/>
      <c r="E5" s="5" t="s">
        <v>145</v>
      </c>
      <c r="F5" s="28" t="s">
        <v>146</v>
      </c>
      <c r="H5" t="s">
        <v>163</v>
      </c>
      <c r="I5" s="10"/>
      <c r="J5" s="38"/>
      <c r="L5" s="5" t="s">
        <v>175</v>
      </c>
      <c r="M5" t="s">
        <v>176</v>
      </c>
      <c r="N5" s="13"/>
    </row>
    <row r="6" spans="2:14" x14ac:dyDescent="0.25">
      <c r="B6" s="5" t="s">
        <v>0</v>
      </c>
      <c r="C6" s="13">
        <v>102.68</v>
      </c>
      <c r="E6" s="5" t="s">
        <v>147</v>
      </c>
      <c r="F6" s="28" t="s">
        <v>148</v>
      </c>
      <c r="H6" t="s">
        <v>164</v>
      </c>
      <c r="I6" s="10">
        <v>161.74700000000001</v>
      </c>
      <c r="J6" s="38"/>
      <c r="L6" s="5" t="s">
        <v>177</v>
      </c>
      <c r="M6" t="s">
        <v>178</v>
      </c>
      <c r="N6" s="13"/>
    </row>
    <row r="7" spans="2:14" x14ac:dyDescent="0.25">
      <c r="B7" s="5" t="s">
        <v>1</v>
      </c>
      <c r="C7" s="15">
        <f>Model!Y19</f>
        <v>60.31</v>
      </c>
      <c r="E7" s="5" t="s">
        <v>149</v>
      </c>
      <c r="F7" s="28" t="s">
        <v>150</v>
      </c>
      <c r="H7" t="s">
        <v>165</v>
      </c>
      <c r="I7" s="10">
        <v>165</v>
      </c>
      <c r="J7" s="38"/>
      <c r="L7" s="5" t="s">
        <v>179</v>
      </c>
      <c r="M7" t="s">
        <v>180</v>
      </c>
      <c r="N7" s="13"/>
    </row>
    <row r="8" spans="2:14" x14ac:dyDescent="0.25">
      <c r="B8" s="5" t="s">
        <v>2</v>
      </c>
      <c r="C8" s="15">
        <f>C6*C7</f>
        <v>6192.6308000000008</v>
      </c>
      <c r="E8" s="5" t="s">
        <v>151</v>
      </c>
      <c r="F8" s="28" t="s">
        <v>152</v>
      </c>
      <c r="H8" t="s">
        <v>166</v>
      </c>
      <c r="I8" s="10">
        <v>4.5730000000000004</v>
      </c>
      <c r="J8" s="38"/>
      <c r="L8" s="5" t="s">
        <v>181</v>
      </c>
      <c r="M8" t="s">
        <v>182</v>
      </c>
      <c r="N8" s="13"/>
    </row>
    <row r="9" spans="2:14" x14ac:dyDescent="0.25">
      <c r="B9" s="5" t="s">
        <v>3</v>
      </c>
      <c r="C9" s="15">
        <f>Model!Y32+Model!Y34</f>
        <v>407.85199999999998</v>
      </c>
      <c r="E9" s="5" t="s">
        <v>153</v>
      </c>
      <c r="F9" s="28" t="s">
        <v>154</v>
      </c>
      <c r="H9" t="s">
        <v>167</v>
      </c>
      <c r="I9" s="10">
        <v>325.47399999999999</v>
      </c>
      <c r="J9" s="38"/>
      <c r="L9" s="5" t="s">
        <v>183</v>
      </c>
      <c r="M9" t="s">
        <v>184</v>
      </c>
      <c r="N9" s="13"/>
    </row>
    <row r="10" spans="2:14" x14ac:dyDescent="0.25">
      <c r="B10" s="5" t="s">
        <v>4</v>
      </c>
      <c r="C10" s="15">
        <f>Model!Y53+Model!Y57+Model!Y60</f>
        <v>502.21300000000002</v>
      </c>
      <c r="E10" s="5" t="s">
        <v>155</v>
      </c>
      <c r="F10" s="28" t="s">
        <v>156</v>
      </c>
      <c r="H10" t="s">
        <v>168</v>
      </c>
      <c r="I10" s="10"/>
      <c r="J10" s="38"/>
      <c r="L10" s="5" t="s">
        <v>185</v>
      </c>
      <c r="M10" t="s">
        <v>186</v>
      </c>
      <c r="N10" s="13"/>
    </row>
    <row r="11" spans="2:14" x14ac:dyDescent="0.25">
      <c r="B11" s="5" t="s">
        <v>36</v>
      </c>
      <c r="C11" s="15">
        <f>C9-C10</f>
        <v>-94.361000000000047</v>
      </c>
      <c r="E11" s="5" t="s">
        <v>157</v>
      </c>
      <c r="F11" s="28" t="s">
        <v>158</v>
      </c>
      <c r="H11" t="s">
        <v>169</v>
      </c>
      <c r="I11" s="10"/>
      <c r="J11" s="38"/>
      <c r="L11" s="5" t="s">
        <v>187</v>
      </c>
      <c r="M11" t="s">
        <v>188</v>
      </c>
      <c r="N11" s="13"/>
    </row>
    <row r="12" spans="2:14" x14ac:dyDescent="0.25">
      <c r="B12" s="5" t="s">
        <v>5</v>
      </c>
      <c r="C12" s="15">
        <f>C8-C9+C10</f>
        <v>6286.9918000000007</v>
      </c>
      <c r="E12" s="5" t="s">
        <v>159</v>
      </c>
      <c r="F12" s="28" t="s">
        <v>160</v>
      </c>
      <c r="H12" t="s">
        <v>170</v>
      </c>
      <c r="J12" s="13"/>
      <c r="L12" s="5" t="s">
        <v>189</v>
      </c>
      <c r="M12" t="s">
        <v>190</v>
      </c>
      <c r="N12" s="13"/>
    </row>
    <row r="13" spans="2:14" x14ac:dyDescent="0.25">
      <c r="B13" s="5" t="s">
        <v>47</v>
      </c>
      <c r="C13" s="36">
        <f>C6/Model!F20</f>
        <v>-91.639984093967925</v>
      </c>
      <c r="E13" s="5"/>
      <c r="J13" s="13"/>
      <c r="L13" s="5"/>
      <c r="N13" s="13"/>
    </row>
    <row r="14" spans="2:14" x14ac:dyDescent="0.25">
      <c r="B14" s="5" t="s">
        <v>45</v>
      </c>
      <c r="C14" s="36">
        <f>C6/Model!G21</f>
        <v>58.340909090909093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46</v>
      </c>
      <c r="C15" s="36">
        <f>C6/Model!H21</f>
        <v>44.838427947598255</v>
      </c>
    </row>
    <row r="16" spans="2:14" x14ac:dyDescent="0.25">
      <c r="B16" s="5" t="s">
        <v>43</v>
      </c>
      <c r="C16" s="6">
        <v>1</v>
      </c>
    </row>
    <row r="17" spans="2:14" x14ac:dyDescent="0.25">
      <c r="B17" s="5" t="s">
        <v>44</v>
      </c>
      <c r="C17" s="6">
        <f>Model!H21/Model!G21-1</f>
        <v>0.30113636363636376</v>
      </c>
      <c r="E17" s="33" t="s">
        <v>54</v>
      </c>
      <c r="L17" s="128" t="s">
        <v>191</v>
      </c>
      <c r="M17" s="129"/>
      <c r="N17" s="130"/>
    </row>
    <row r="18" spans="2:14" x14ac:dyDescent="0.25">
      <c r="B18" s="5" t="s">
        <v>70</v>
      </c>
      <c r="C18" s="50">
        <f>C14/(C16*100)</f>
        <v>0.58340909090909099</v>
      </c>
      <c r="L18" s="131"/>
      <c r="M18" s="132"/>
      <c r="N18" s="133"/>
    </row>
    <row r="19" spans="2:14" x14ac:dyDescent="0.25">
      <c r="B19" s="5" t="s">
        <v>71</v>
      </c>
      <c r="C19" s="50">
        <f>C15/(C17*100)</f>
        <v>1.4889742110900548</v>
      </c>
      <c r="L19" s="131"/>
      <c r="M19" s="132"/>
      <c r="N19" s="133"/>
    </row>
    <row r="20" spans="2:14" x14ac:dyDescent="0.25">
      <c r="B20" s="5" t="s">
        <v>83</v>
      </c>
      <c r="C20" s="6">
        <f>Model!G4/Model!F3-1</f>
        <v>0.11013986013985999</v>
      </c>
      <c r="L20" s="131"/>
      <c r="M20" s="132"/>
      <c r="N20" s="133"/>
    </row>
    <row r="21" spans="2:14" x14ac:dyDescent="0.25">
      <c r="B21" s="5" t="s">
        <v>84</v>
      </c>
      <c r="C21" s="6">
        <f>Model!H4/Model!G4-1</f>
        <v>0.11352427100458606</v>
      </c>
      <c r="L21" s="131"/>
      <c r="M21" s="132"/>
      <c r="N21" s="133"/>
    </row>
    <row r="22" spans="2:14" x14ac:dyDescent="0.25">
      <c r="B22" s="5" t="s">
        <v>72</v>
      </c>
      <c r="C22" s="15"/>
      <c r="L22" s="131"/>
      <c r="M22" s="132"/>
      <c r="N22" s="133"/>
    </row>
    <row r="23" spans="2:14" x14ac:dyDescent="0.25">
      <c r="B23" s="5" t="s">
        <v>19</v>
      </c>
      <c r="C23" s="15">
        <f>Model!E6</f>
        <v>108.214</v>
      </c>
      <c r="L23" s="131"/>
      <c r="M23" s="132"/>
      <c r="N23" s="133"/>
    </row>
    <row r="24" spans="2:14" x14ac:dyDescent="0.25">
      <c r="B24" s="5" t="s">
        <v>30</v>
      </c>
      <c r="C24" s="7">
        <f>Model!Y22</f>
        <v>0.50884750972740411</v>
      </c>
      <c r="L24" s="131"/>
      <c r="M24" s="132"/>
      <c r="N24" s="133"/>
    </row>
    <row r="25" spans="2:14" x14ac:dyDescent="0.25">
      <c r="B25" s="5" t="s">
        <v>31</v>
      </c>
      <c r="C25" s="7">
        <f>Model!Y23</f>
        <v>-7.090577702104342E-2</v>
      </c>
      <c r="L25" s="131"/>
      <c r="M25" s="132"/>
      <c r="N25" s="133"/>
    </row>
    <row r="26" spans="2:14" x14ac:dyDescent="0.25">
      <c r="B26" s="5" t="s">
        <v>73</v>
      </c>
      <c r="C26" s="36">
        <f>C12/C23</f>
        <v>58.097767386844595</v>
      </c>
      <c r="L26" s="131"/>
      <c r="M26" s="132"/>
      <c r="N26" s="133"/>
    </row>
    <row r="27" spans="2:14" x14ac:dyDescent="0.25">
      <c r="B27" s="5" t="s">
        <v>85</v>
      </c>
      <c r="C27" s="119">
        <f>C10/Model!Y62</f>
        <v>1.0143319659797581</v>
      </c>
      <c r="E27" t="s">
        <v>75</v>
      </c>
      <c r="L27" s="131"/>
      <c r="M27" s="132"/>
      <c r="N27" s="133"/>
    </row>
    <row r="28" spans="2:14" x14ac:dyDescent="0.25">
      <c r="B28" s="5" t="s">
        <v>86</v>
      </c>
      <c r="C28" s="36"/>
      <c r="L28" s="134"/>
      <c r="M28" s="135"/>
      <c r="N28" s="136"/>
    </row>
    <row r="29" spans="2:14" x14ac:dyDescent="0.25">
      <c r="B29" s="5" t="s">
        <v>87</v>
      </c>
      <c r="C29" s="36">
        <f>Model!Y40/Model!Y56</f>
        <v>2.4968169484450016</v>
      </c>
    </row>
    <row r="30" spans="2:14" x14ac:dyDescent="0.25">
      <c r="B30" s="5" t="s">
        <v>88</v>
      </c>
      <c r="C30" s="36">
        <f>C9/Model!Y56</f>
        <v>1.9347450712510201</v>
      </c>
    </row>
    <row r="31" spans="2:14" x14ac:dyDescent="0.25">
      <c r="B31" s="5" t="s">
        <v>89</v>
      </c>
      <c r="C31" s="6"/>
    </row>
    <row r="32" spans="2:14" x14ac:dyDescent="0.25">
      <c r="B32" s="5" t="s">
        <v>90</v>
      </c>
      <c r="C32" s="36">
        <f>(Model!Y49-Model!Y61)/Main!C7</f>
        <v>8.2095340739512555</v>
      </c>
    </row>
    <row r="33" spans="2:9" x14ac:dyDescent="0.25">
      <c r="B33" s="5" t="s">
        <v>91</v>
      </c>
      <c r="C33" s="36">
        <f>Model!F3/Model!Y40</f>
        <v>1.1867332650630107</v>
      </c>
    </row>
    <row r="34" spans="2:9" x14ac:dyDescent="0.25">
      <c r="B34" s="5" t="s">
        <v>92</v>
      </c>
      <c r="C34" s="38">
        <f>Model!G18/Model!Y49</f>
        <v>8.3394366031198555E-2</v>
      </c>
    </row>
    <row r="35" spans="2:9" x14ac:dyDescent="0.25">
      <c r="B35" s="5" t="s">
        <v>93</v>
      </c>
      <c r="C35" s="38">
        <f>Model!G18/Model!Y62</f>
        <v>0.21438488276508372</v>
      </c>
      <c r="E35" t="s">
        <v>192</v>
      </c>
    </row>
    <row r="36" spans="2:9" x14ac:dyDescent="0.25">
      <c r="B36" s="22" t="s">
        <v>94</v>
      </c>
      <c r="C36" s="23"/>
      <c r="E36" t="s">
        <v>199</v>
      </c>
    </row>
    <row r="37" spans="2:9" x14ac:dyDescent="0.25">
      <c r="E37" t="s">
        <v>193</v>
      </c>
    </row>
    <row r="38" spans="2:9" x14ac:dyDescent="0.25">
      <c r="E38" t="s">
        <v>194</v>
      </c>
    </row>
    <row r="39" spans="2:9" x14ac:dyDescent="0.25">
      <c r="E39" t="s">
        <v>195</v>
      </c>
    </row>
    <row r="40" spans="2:9" x14ac:dyDescent="0.25">
      <c r="E40" t="s">
        <v>196</v>
      </c>
    </row>
    <row r="41" spans="2:9" x14ac:dyDescent="0.25">
      <c r="E41" t="s">
        <v>197</v>
      </c>
      <c r="F41" s="57"/>
      <c r="G41" s="58"/>
      <c r="H41" s="58"/>
      <c r="I41" s="58"/>
    </row>
    <row r="42" spans="2:9" ht="25.5" x14ac:dyDescent="0.25">
      <c r="E42" s="57" t="s">
        <v>198</v>
      </c>
      <c r="F42" s="57"/>
      <c r="G42" s="58"/>
      <c r="H42" s="58"/>
      <c r="I42" s="58"/>
    </row>
    <row r="43" spans="2:9" x14ac:dyDescent="0.25">
      <c r="E43" t="s">
        <v>200</v>
      </c>
    </row>
    <row r="44" spans="2:9" x14ac:dyDescent="0.25">
      <c r="E44" t="s">
        <v>201</v>
      </c>
    </row>
    <row r="45" spans="2:9" x14ac:dyDescent="0.25">
      <c r="E45" t="s">
        <v>202</v>
      </c>
    </row>
    <row r="46" spans="2:9" x14ac:dyDescent="0.25">
      <c r="E46" t="s">
        <v>203</v>
      </c>
    </row>
    <row r="47" spans="2:9" x14ac:dyDescent="0.25">
      <c r="E47" t="s">
        <v>204</v>
      </c>
    </row>
    <row r="48" spans="2:9" x14ac:dyDescent="0.25">
      <c r="E48" t="s">
        <v>205</v>
      </c>
    </row>
    <row r="49" spans="5:5" x14ac:dyDescent="0.25">
      <c r="E49" t="s">
        <v>206</v>
      </c>
    </row>
    <row r="50" spans="5:5" x14ac:dyDescent="0.25">
      <c r="E50" t="s">
        <v>207</v>
      </c>
    </row>
    <row r="51" spans="5:5" x14ac:dyDescent="0.25">
      <c r="E51" t="s">
        <v>208</v>
      </c>
    </row>
    <row r="52" spans="5:5" x14ac:dyDescent="0.25">
      <c r="E52" t="s">
        <v>209</v>
      </c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B83"/>
  <sheetViews>
    <sheetView zoomScaleNormal="100" workbookViewId="0">
      <pane xSplit="2" ySplit="2" topLeftCell="T42" activePane="bottomRight" state="frozen"/>
      <selection pane="topRight" activeCell="B1" sqref="B1"/>
      <selection pane="bottomLeft" activeCell="A3" sqref="A3"/>
      <selection pane="bottomRight" activeCell="W20" sqref="W20:Y20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3"/>
    <col min="24" max="24" width="11.42578125" style="147"/>
    <col min="25" max="25" width="11.42578125" style="13"/>
  </cols>
  <sheetData>
    <row r="1" spans="1:28" x14ac:dyDescent="0.25">
      <c r="A1" s="8" t="s">
        <v>37</v>
      </c>
    </row>
    <row r="2" spans="1:28" x14ac:dyDescent="0.25">
      <c r="C2" t="s">
        <v>18</v>
      </c>
      <c r="D2" t="s">
        <v>14</v>
      </c>
      <c r="E2" t="s">
        <v>15</v>
      </c>
      <c r="F2" s="13" t="s">
        <v>16</v>
      </c>
      <c r="G2" t="s">
        <v>33</v>
      </c>
      <c r="H2" t="s">
        <v>69</v>
      </c>
      <c r="K2" t="s">
        <v>34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35</v>
      </c>
      <c r="U2" t="s">
        <v>39</v>
      </c>
      <c r="V2" t="s">
        <v>40</v>
      </c>
      <c r="W2" t="s">
        <v>63</v>
      </c>
      <c r="X2" s="147" t="s">
        <v>67</v>
      </c>
      <c r="Y2" s="13" t="s">
        <v>139</v>
      </c>
      <c r="Z2" t="s">
        <v>140</v>
      </c>
      <c r="AA2" t="s">
        <v>228</v>
      </c>
      <c r="AB2" t="s">
        <v>229</v>
      </c>
    </row>
    <row r="3" spans="1:28" s="1" customFormat="1" x14ac:dyDescent="0.25">
      <c r="B3" s="1" t="s">
        <v>17</v>
      </c>
      <c r="C3" s="11">
        <v>402.75099999999998</v>
      </c>
      <c r="D3" s="11">
        <v>498.72</v>
      </c>
      <c r="E3" s="11">
        <v>565.673</v>
      </c>
      <c r="F3" s="14">
        <v>624.62400000000002</v>
      </c>
      <c r="G3" s="43"/>
      <c r="H3" s="43"/>
      <c r="K3" s="11"/>
      <c r="L3" s="11"/>
      <c r="M3" s="11"/>
      <c r="N3" s="11"/>
      <c r="O3" s="11"/>
      <c r="P3" s="11"/>
      <c r="Q3" s="11"/>
      <c r="R3" s="11"/>
      <c r="S3" s="11">
        <v>153.00800000000001</v>
      </c>
      <c r="T3" s="11">
        <v>154.53100000000001</v>
      </c>
      <c r="U3" s="11">
        <v>154.96700000000001</v>
      </c>
      <c r="V3" s="11"/>
      <c r="W3" s="11">
        <v>165.50800000000001</v>
      </c>
      <c r="X3" s="148">
        <v>172.89</v>
      </c>
      <c r="Y3" s="14">
        <v>175.02099999999999</v>
      </c>
      <c r="Z3" s="11"/>
    </row>
    <row r="4" spans="1:28" x14ac:dyDescent="0.25">
      <c r="B4" s="9" t="s">
        <v>65</v>
      </c>
      <c r="C4" s="10"/>
      <c r="D4" s="10"/>
      <c r="E4" s="10"/>
      <c r="F4" s="15"/>
      <c r="G4" s="42">
        <v>693.42</v>
      </c>
      <c r="H4" s="42">
        <v>772.14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49"/>
      <c r="Y4" s="123"/>
      <c r="Z4" s="40">
        <v>179.95</v>
      </c>
      <c r="AA4">
        <v>184.97</v>
      </c>
    </row>
    <row r="5" spans="1:28" s="1" customFormat="1" x14ac:dyDescent="0.25">
      <c r="B5" s="1" t="s">
        <v>59</v>
      </c>
      <c r="C5" s="11">
        <v>228.15199999999999</v>
      </c>
      <c r="D5" s="11">
        <v>273.685</v>
      </c>
      <c r="E5" s="11">
        <v>309.32799999999997</v>
      </c>
      <c r="F5" s="14">
        <v>321.97300000000001</v>
      </c>
      <c r="G5" s="11"/>
      <c r="H5" s="11"/>
      <c r="K5" s="11"/>
      <c r="L5" s="11"/>
      <c r="M5" s="11"/>
      <c r="N5" s="11"/>
      <c r="O5" s="11"/>
      <c r="P5" s="11"/>
      <c r="Q5" s="11"/>
      <c r="R5" s="11"/>
      <c r="S5" s="11">
        <v>79.710999999999999</v>
      </c>
      <c r="T5" s="11">
        <v>80.703000000000003</v>
      </c>
      <c r="U5" s="11">
        <v>80.834000000000003</v>
      </c>
      <c r="V5" s="11"/>
      <c r="W5" s="11">
        <v>83.256</v>
      </c>
      <c r="X5" s="148">
        <v>86.063000000000002</v>
      </c>
      <c r="Y5" s="14">
        <v>85.962000000000003</v>
      </c>
      <c r="Z5" s="11"/>
    </row>
    <row r="6" spans="1:28" x14ac:dyDescent="0.25">
      <c r="B6" t="s">
        <v>60</v>
      </c>
      <c r="C6" s="10">
        <v>72.322999999999993</v>
      </c>
      <c r="D6" s="10">
        <v>85.563999999999993</v>
      </c>
      <c r="E6" s="10">
        <v>108.214</v>
      </c>
      <c r="F6" s="15">
        <v>109.52200000000001</v>
      </c>
      <c r="G6" s="40"/>
      <c r="H6" s="40"/>
      <c r="K6" s="10"/>
      <c r="L6" s="10"/>
      <c r="M6" s="10"/>
      <c r="N6" s="10"/>
      <c r="O6" s="10"/>
      <c r="P6" s="10"/>
      <c r="Q6" s="10"/>
      <c r="R6" s="10"/>
      <c r="S6" s="10">
        <v>28.114000000000001</v>
      </c>
      <c r="T6" s="10">
        <v>28.701000000000001</v>
      </c>
      <c r="U6" s="10">
        <v>26.123000000000001</v>
      </c>
      <c r="V6" s="10"/>
      <c r="W6" s="10">
        <v>25.445</v>
      </c>
      <c r="X6" s="150">
        <v>27.733000000000001</v>
      </c>
      <c r="Y6" s="15">
        <v>25.558</v>
      </c>
      <c r="Z6" s="10"/>
    </row>
    <row r="7" spans="1:28" x14ac:dyDescent="0.25">
      <c r="B7" t="s">
        <v>74</v>
      </c>
      <c r="C7" s="10">
        <v>97.381</v>
      </c>
      <c r="D7" s="10">
        <v>116.952</v>
      </c>
      <c r="E7" s="10">
        <v>130.10300000000001</v>
      </c>
      <c r="F7" s="15">
        <v>137.334</v>
      </c>
      <c r="G7" s="40"/>
      <c r="H7" s="40"/>
      <c r="K7" s="10"/>
      <c r="L7" s="10"/>
      <c r="M7" s="10"/>
      <c r="N7" s="10"/>
      <c r="O7" s="10"/>
      <c r="P7" s="10"/>
      <c r="Q7" s="10"/>
      <c r="R7" s="10"/>
      <c r="S7" s="10">
        <v>34.424999999999997</v>
      </c>
      <c r="T7" s="10">
        <v>34.095999999999997</v>
      </c>
      <c r="U7" s="10">
        <v>34.542000000000002</v>
      </c>
      <c r="V7" s="10"/>
      <c r="W7" s="10">
        <v>34.862000000000002</v>
      </c>
      <c r="X7" s="150">
        <v>35.759</v>
      </c>
      <c r="Y7" s="15">
        <v>36.901000000000003</v>
      </c>
      <c r="Z7" s="10"/>
    </row>
    <row r="8" spans="1:28" x14ac:dyDescent="0.25">
      <c r="B8" t="s">
        <v>137</v>
      </c>
      <c r="C8" s="10">
        <v>70.381</v>
      </c>
      <c r="D8" s="10">
        <v>77.915000000000006</v>
      </c>
      <c r="E8" s="10">
        <v>90.162999999999997</v>
      </c>
      <c r="F8" s="15">
        <v>110.18600000000001</v>
      </c>
      <c r="G8" s="10"/>
      <c r="H8" s="10"/>
      <c r="K8" s="10"/>
      <c r="L8" s="10"/>
      <c r="M8" s="10"/>
      <c r="N8" s="10"/>
      <c r="O8" s="10"/>
      <c r="P8" s="10"/>
      <c r="Q8" s="10"/>
      <c r="R8" s="10"/>
      <c r="S8" s="10">
        <v>24.692</v>
      </c>
      <c r="T8" s="10">
        <v>27.126999999999999</v>
      </c>
      <c r="U8" s="10">
        <v>28.084</v>
      </c>
      <c r="V8" s="10"/>
      <c r="W8" s="10">
        <v>30.175999999999998</v>
      </c>
      <c r="X8" s="150">
        <v>31.283000000000001</v>
      </c>
      <c r="Y8" s="15">
        <v>31.495000000000001</v>
      </c>
      <c r="Z8" s="10"/>
    </row>
    <row r="9" spans="1:28" x14ac:dyDescent="0.25">
      <c r="B9" t="s">
        <v>222</v>
      </c>
      <c r="C9" s="10">
        <v>0.47799999999999998</v>
      </c>
      <c r="D9" s="10">
        <v>2.69</v>
      </c>
      <c r="E9" s="10">
        <v>1.1759999999999999</v>
      </c>
      <c r="F9" s="15">
        <v>2.4E-2</v>
      </c>
      <c r="G9" s="10"/>
      <c r="H9" s="10"/>
      <c r="K9" s="10"/>
      <c r="L9" s="10"/>
      <c r="M9" s="10"/>
      <c r="N9" s="10"/>
      <c r="O9" s="10"/>
      <c r="P9" s="10"/>
      <c r="Q9" s="10"/>
      <c r="R9" s="10"/>
      <c r="S9" s="10">
        <v>1.1999999999999999E-3</v>
      </c>
      <c r="T9" s="10">
        <v>8.9999999999999993E-3</v>
      </c>
      <c r="U9" s="10">
        <v>3.0000000000000001E-3</v>
      </c>
      <c r="V9" s="10"/>
      <c r="W9" s="10"/>
      <c r="X9" s="150"/>
      <c r="Y9" s="15">
        <v>0</v>
      </c>
      <c r="Z9" s="10"/>
    </row>
    <row r="10" spans="1:28" x14ac:dyDescent="0.25">
      <c r="B10" t="s">
        <v>223</v>
      </c>
      <c r="C10" s="10">
        <v>17.888000000000002</v>
      </c>
      <c r="D10" s="10">
        <v>17.901</v>
      </c>
      <c r="E10" s="10">
        <v>18.248000000000001</v>
      </c>
      <c r="F10" s="15">
        <v>20.667000000000002</v>
      </c>
      <c r="G10" s="10"/>
      <c r="H10" s="10"/>
      <c r="K10" s="10"/>
      <c r="L10" s="10"/>
      <c r="M10" s="10"/>
      <c r="N10" s="10"/>
      <c r="O10" s="10"/>
      <c r="P10" s="10"/>
      <c r="Q10" s="10"/>
      <c r="R10" s="10"/>
      <c r="S10" s="10">
        <v>5.2619999999999996</v>
      </c>
      <c r="T10" s="10">
        <v>5.2519999999999998</v>
      </c>
      <c r="U10" s="10">
        <v>5.25</v>
      </c>
      <c r="V10" s="10"/>
      <c r="W10" s="10">
        <v>4.8280000000000003</v>
      </c>
      <c r="X10" s="150">
        <v>4.7880000000000003</v>
      </c>
      <c r="Y10" s="15">
        <v>4.7759999999999998</v>
      </c>
      <c r="Z10" s="10"/>
    </row>
    <row r="11" spans="1:28" x14ac:dyDescent="0.25">
      <c r="B11" t="s">
        <v>224</v>
      </c>
      <c r="C11" s="10">
        <f>13.244+2.181</f>
        <v>15.425000000000001</v>
      </c>
      <c r="D11" s="10">
        <v>2.008</v>
      </c>
      <c r="E11" s="10">
        <v>13.202</v>
      </c>
      <c r="F11" s="15">
        <v>10.975</v>
      </c>
      <c r="G11" s="40"/>
      <c r="H11" s="40"/>
      <c r="K11" s="10"/>
      <c r="L11" s="10"/>
      <c r="M11" s="10"/>
      <c r="N11" s="10"/>
      <c r="O11" s="10"/>
      <c r="P11" s="10"/>
      <c r="Q11" s="10"/>
      <c r="R11" s="10"/>
      <c r="S11" s="10">
        <v>1.9610000000000001</v>
      </c>
      <c r="T11" s="10">
        <v>2.3119999999999998</v>
      </c>
      <c r="U11" s="10">
        <v>3.3029999999999999</v>
      </c>
      <c r="V11" s="10"/>
      <c r="W11" s="10">
        <v>1.1259999999999999</v>
      </c>
      <c r="X11" s="150">
        <v>0.96699999999999997</v>
      </c>
      <c r="Y11" s="15">
        <v>3.129</v>
      </c>
      <c r="Z11" s="10"/>
    </row>
    <row r="12" spans="1:28" s="1" customFormat="1" x14ac:dyDescent="0.25">
      <c r="B12" s="1" t="s">
        <v>23</v>
      </c>
      <c r="C12" s="11">
        <f t="shared" ref="C12:H12" si="0">C3-SUM(C5:C11)</f>
        <v>-99.276999999999987</v>
      </c>
      <c r="D12" s="11">
        <f t="shared" si="0"/>
        <v>-77.995000000000005</v>
      </c>
      <c r="E12" s="11">
        <f t="shared" si="0"/>
        <v>-104.76100000000008</v>
      </c>
      <c r="F12" s="14">
        <f t="shared" si="0"/>
        <v>-86.057000000000016</v>
      </c>
      <c r="G12" s="11">
        <f t="shared" si="0"/>
        <v>0</v>
      </c>
      <c r="H12" s="11">
        <f t="shared" si="0"/>
        <v>0</v>
      </c>
      <c r="I12" s="11"/>
      <c r="J12" s="11"/>
      <c r="K12" s="11">
        <f t="shared" ref="K12:Z12" si="1">K3-SUM(K5:K11)</f>
        <v>0</v>
      </c>
      <c r="L12" s="11">
        <f t="shared" si="1"/>
        <v>0</v>
      </c>
      <c r="M12" s="11">
        <f t="shared" si="1"/>
        <v>0</v>
      </c>
      <c r="N12" s="11">
        <f t="shared" si="1"/>
        <v>0</v>
      </c>
      <c r="O12" s="11">
        <f t="shared" si="1"/>
        <v>0</v>
      </c>
      <c r="P12" s="11">
        <f t="shared" si="1"/>
        <v>0</v>
      </c>
      <c r="Q12" s="11">
        <f t="shared" si="1"/>
        <v>0</v>
      </c>
      <c r="R12" s="11">
        <f t="shared" si="1"/>
        <v>0</v>
      </c>
      <c r="S12" s="11">
        <f t="shared" si="1"/>
        <v>-21.158200000000022</v>
      </c>
      <c r="T12" s="11">
        <f t="shared" si="1"/>
        <v>-23.669000000000011</v>
      </c>
      <c r="U12" s="11">
        <f t="shared" si="1"/>
        <v>-23.171999999999997</v>
      </c>
      <c r="V12" s="11">
        <f t="shared" si="1"/>
        <v>0</v>
      </c>
      <c r="W12" s="11">
        <f t="shared" si="1"/>
        <v>-14.184999999999974</v>
      </c>
      <c r="X12" s="148">
        <f t="shared" si="1"/>
        <v>-13.70300000000006</v>
      </c>
      <c r="Y12" s="14">
        <f t="shared" si="1"/>
        <v>-12.80000000000004</v>
      </c>
      <c r="Z12" s="11">
        <f t="shared" si="1"/>
        <v>0</v>
      </c>
    </row>
    <row r="13" spans="1:28" x14ac:dyDescent="0.25">
      <c r="B13" t="s">
        <v>68</v>
      </c>
      <c r="C13" s="10">
        <f>1.207-28.646</f>
        <v>-27.439</v>
      </c>
      <c r="D13" s="10">
        <f>1.476-33.071</f>
        <v>-31.594999999999999</v>
      </c>
      <c r="E13" s="10">
        <f>5.362-6.676</f>
        <v>-1.3140000000000001</v>
      </c>
      <c r="F13" s="15">
        <f>10.098-5.732</f>
        <v>4.3660000000000005</v>
      </c>
      <c r="G13" s="40"/>
      <c r="H13" s="40"/>
      <c r="K13" s="10"/>
      <c r="L13" s="10"/>
      <c r="M13" s="10"/>
      <c r="N13" s="10"/>
      <c r="O13" s="10"/>
      <c r="P13" s="10"/>
      <c r="Q13" s="10"/>
      <c r="R13" s="10"/>
      <c r="S13" s="10">
        <f>2.276-1.444</f>
        <v>0.83199999999999985</v>
      </c>
      <c r="T13" s="10">
        <f>2.107-1.581</f>
        <v>0.52600000000000025</v>
      </c>
      <c r="U13" s="10">
        <v>2.3279999999999998</v>
      </c>
      <c r="V13" s="10"/>
      <c r="W13" s="10">
        <f>3.189-1.292</f>
        <v>1.897</v>
      </c>
      <c r="X13" s="150">
        <f>3.852-1.12</f>
        <v>2.7319999999999998</v>
      </c>
      <c r="Y13" s="15">
        <f>4.617-1.354</f>
        <v>3.2629999999999999</v>
      </c>
      <c r="Z13" s="10"/>
    </row>
    <row r="14" spans="1:28" x14ac:dyDescent="0.25">
      <c r="B14" t="s">
        <v>225</v>
      </c>
      <c r="C14" s="10">
        <v>-8.9320000000000004</v>
      </c>
      <c r="D14" s="10">
        <v>-1.5129999999999999</v>
      </c>
      <c r="E14" s="10"/>
      <c r="F14" s="15">
        <v>19.869</v>
      </c>
      <c r="G14" s="40"/>
      <c r="H14" s="40"/>
      <c r="K14" s="10"/>
      <c r="L14" s="10"/>
      <c r="M14" s="10"/>
      <c r="N14" s="10"/>
      <c r="O14" s="10"/>
      <c r="P14" s="10"/>
      <c r="Q14" s="10"/>
      <c r="R14" s="10"/>
      <c r="S14" s="10">
        <v>19.869</v>
      </c>
      <c r="T14" s="10"/>
      <c r="U14" s="10">
        <v>-1.3169999999999999</v>
      </c>
      <c r="V14" s="10"/>
      <c r="W14" s="10"/>
      <c r="X14" s="150"/>
      <c r="Y14" s="15"/>
      <c r="Z14" s="10"/>
    </row>
    <row r="15" spans="1:28" s="1" customFormat="1" x14ac:dyDescent="0.25">
      <c r="B15" s="1" t="s">
        <v>138</v>
      </c>
      <c r="C15" s="11">
        <f t="shared" ref="C15:H15" si="2">C12+SUM(C13:C14)</f>
        <v>-135.648</v>
      </c>
      <c r="D15" s="11">
        <f t="shared" si="2"/>
        <v>-111.10300000000001</v>
      </c>
      <c r="E15" s="11">
        <f t="shared" si="2"/>
        <v>-106.07500000000007</v>
      </c>
      <c r="F15" s="14">
        <f t="shared" si="2"/>
        <v>-61.822000000000017</v>
      </c>
      <c r="G15" s="11">
        <f t="shared" si="2"/>
        <v>0</v>
      </c>
      <c r="H15" s="11">
        <f t="shared" si="2"/>
        <v>0</v>
      </c>
      <c r="K15" s="11">
        <f t="shared" ref="K15:Z15" si="3">K12+SUM(K13:K14)</f>
        <v>0</v>
      </c>
      <c r="L15" s="11">
        <f t="shared" si="3"/>
        <v>0</v>
      </c>
      <c r="M15" s="11">
        <f t="shared" si="3"/>
        <v>0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 s="11">
        <f t="shared" si="3"/>
        <v>0</v>
      </c>
      <c r="R15" s="11">
        <f t="shared" si="3"/>
        <v>0</v>
      </c>
      <c r="S15" s="11">
        <f t="shared" si="3"/>
        <v>-0.45720000000002159</v>
      </c>
      <c r="T15" s="11">
        <f t="shared" si="3"/>
        <v>-23.143000000000011</v>
      </c>
      <c r="U15" s="11">
        <f t="shared" si="3"/>
        <v>-22.160999999999998</v>
      </c>
      <c r="V15" s="11">
        <f t="shared" si="3"/>
        <v>0</v>
      </c>
      <c r="W15" s="11">
        <f t="shared" si="3"/>
        <v>-12.287999999999974</v>
      </c>
      <c r="X15" s="148">
        <f t="shared" si="3"/>
        <v>-10.97100000000006</v>
      </c>
      <c r="Y15" s="14">
        <f t="shared" si="3"/>
        <v>-9.5370000000000399</v>
      </c>
      <c r="Z15" s="11">
        <f t="shared" si="3"/>
        <v>0</v>
      </c>
    </row>
    <row r="16" spans="1:28" x14ac:dyDescent="0.25">
      <c r="B16" t="s">
        <v>20</v>
      </c>
      <c r="C16" s="10">
        <v>1.4159999999999999</v>
      </c>
      <c r="D16" s="10">
        <v>1.643</v>
      </c>
      <c r="E16" s="10">
        <v>2.9079999999999999</v>
      </c>
      <c r="F16" s="15">
        <v>3.5619999999999998</v>
      </c>
      <c r="G16" s="40"/>
      <c r="H16" s="40"/>
      <c r="K16" s="10"/>
      <c r="L16" s="10"/>
      <c r="M16" s="10"/>
      <c r="N16" s="10"/>
      <c r="O16" s="10"/>
      <c r="P16" s="10"/>
      <c r="Q16" s="10"/>
      <c r="R16" s="10"/>
      <c r="S16" s="10">
        <f>0.498+0.018</f>
        <v>0.51600000000000001</v>
      </c>
      <c r="T16" s="10">
        <v>4.7899999999999998E-2</v>
      </c>
      <c r="U16" s="10">
        <v>1.006</v>
      </c>
      <c r="V16" s="10"/>
      <c r="W16" s="10">
        <v>1.5549999999999999</v>
      </c>
      <c r="X16" s="150">
        <v>2.089</v>
      </c>
      <c r="Y16" s="15">
        <v>2.2599999999999998</v>
      </c>
      <c r="Z16" s="10"/>
    </row>
    <row r="17" spans="2:27" x14ac:dyDescent="0.25">
      <c r="B17" t="s">
        <v>226</v>
      </c>
      <c r="C17" s="10">
        <f>0.118-0.072</f>
        <v>4.5999999999999999E-2</v>
      </c>
      <c r="D17" s="10">
        <f>0.213-0.11</f>
        <v>0.10299999999999999</v>
      </c>
      <c r="E17" s="10">
        <f>1.873+0.964</f>
        <v>2.8369999999999997</v>
      </c>
      <c r="F17" s="15">
        <f>-1.8-0.061</f>
        <v>-1.861</v>
      </c>
      <c r="G17" s="40"/>
      <c r="H17" s="40"/>
      <c r="K17" s="10"/>
      <c r="L17" s="10"/>
      <c r="M17" s="10"/>
      <c r="N17" s="10"/>
      <c r="O17" s="10"/>
      <c r="P17" s="10"/>
      <c r="Q17" s="10"/>
      <c r="R17" s="10"/>
      <c r="S17" s="10">
        <f>-1.036+0.017</f>
        <v>-1.0190000000000001</v>
      </c>
      <c r="T17" s="10">
        <f>0.174-0.18</f>
        <v>-6.0000000000000053E-3</v>
      </c>
      <c r="U17" s="10">
        <f>0.423-0.47</f>
        <v>-4.6999999999999986E-2</v>
      </c>
      <c r="V17" s="10"/>
      <c r="W17" s="10">
        <f>-0.126+0.321</f>
        <v>0.19500000000000001</v>
      </c>
      <c r="X17" s="150">
        <f>-0.051-0.049</f>
        <v>-0.1</v>
      </c>
      <c r="Y17" s="15">
        <f>0.383+0.23</f>
        <v>0.61299999999999999</v>
      </c>
      <c r="Z17" s="10"/>
    </row>
    <row r="18" spans="2:27" s="1" customFormat="1" x14ac:dyDescent="0.25">
      <c r="B18" s="1" t="s">
        <v>21</v>
      </c>
      <c r="C18" s="11">
        <f t="shared" ref="C18:F18" si="4">C15-SUM(C16:C17)</f>
        <v>-137.10999999999999</v>
      </c>
      <c r="D18" s="11">
        <f t="shared" si="4"/>
        <v>-112.849</v>
      </c>
      <c r="E18" s="11">
        <f t="shared" si="4"/>
        <v>-111.82000000000008</v>
      </c>
      <c r="F18" s="14">
        <f t="shared" si="4"/>
        <v>-63.523000000000017</v>
      </c>
      <c r="G18" s="56">
        <f>G21*G19</f>
        <v>106.1456</v>
      </c>
      <c r="H18" s="56">
        <f>H21*H19</f>
        <v>141.97999999999999</v>
      </c>
      <c r="K18" s="11">
        <f t="shared" ref="K18" si="5">K15-SUM(K16:K17)</f>
        <v>0</v>
      </c>
      <c r="L18" s="11">
        <f t="shared" ref="L18" si="6">L15-SUM(L16:L17)</f>
        <v>0</v>
      </c>
      <c r="M18" s="11">
        <f t="shared" ref="M18" si="7">M15-SUM(M16:M17)</f>
        <v>0</v>
      </c>
      <c r="N18" s="11">
        <f t="shared" ref="N18" si="8">N15-SUM(N16:N17)</f>
        <v>0</v>
      </c>
      <c r="O18" s="11">
        <f t="shared" ref="O18" si="9">O15-SUM(O16:O17)</f>
        <v>0</v>
      </c>
      <c r="P18" s="11">
        <f t="shared" ref="P18" si="10">P15-SUM(P16:P17)</f>
        <v>0</v>
      </c>
      <c r="Q18" s="11">
        <f t="shared" ref="Q18" si="11">Q15-SUM(Q16:Q17)</f>
        <v>0</v>
      </c>
      <c r="R18" s="11">
        <f t="shared" ref="R18" si="12">R15-SUM(R16:R17)</f>
        <v>0</v>
      </c>
      <c r="S18" s="11">
        <f t="shared" ref="S18:Z18" si="13">S15-SUM(S16:S17)</f>
        <v>4.5799999999978525E-2</v>
      </c>
      <c r="T18" s="11">
        <f t="shared" si="13"/>
        <v>-23.18490000000001</v>
      </c>
      <c r="U18" s="11">
        <f t="shared" si="13"/>
        <v>-23.119999999999997</v>
      </c>
      <c r="V18" s="11">
        <f t="shared" si="13"/>
        <v>0</v>
      </c>
      <c r="W18" s="11">
        <f t="shared" si="13"/>
        <v>-14.037999999999974</v>
      </c>
      <c r="X18" s="148">
        <f t="shared" si="13"/>
        <v>-12.960000000000061</v>
      </c>
      <c r="Y18" s="14">
        <f t="shared" si="13"/>
        <v>-12.410000000000039</v>
      </c>
      <c r="Z18" s="11">
        <f t="shared" si="13"/>
        <v>0</v>
      </c>
    </row>
    <row r="19" spans="2:27" x14ac:dyDescent="0.25">
      <c r="B19" t="s">
        <v>1</v>
      </c>
      <c r="C19" s="10">
        <v>52.018999999999998</v>
      </c>
      <c r="D19" s="10">
        <v>56.393999999999998</v>
      </c>
      <c r="E19" s="10">
        <v>57.3</v>
      </c>
      <c r="F19" s="15">
        <v>58.353999999999999</v>
      </c>
      <c r="G19" s="40">
        <f>Main!C7</f>
        <v>60.31</v>
      </c>
      <c r="H19" s="40">
        <v>62</v>
      </c>
      <c r="K19" s="10"/>
      <c r="L19" s="10"/>
      <c r="M19" s="10"/>
      <c r="N19" s="10"/>
      <c r="O19" s="10"/>
      <c r="P19" s="10"/>
      <c r="Q19" s="10"/>
      <c r="R19" s="10"/>
      <c r="S19" s="10">
        <v>57.884999999999998</v>
      </c>
      <c r="T19" s="10">
        <v>58.286000000000001</v>
      </c>
      <c r="U19" s="10">
        <v>58.491999999999997</v>
      </c>
      <c r="V19" s="10"/>
      <c r="W19" s="10">
        <v>59.445999999999998</v>
      </c>
      <c r="X19" s="150">
        <v>60.161999999999999</v>
      </c>
      <c r="Y19" s="15">
        <v>60.31</v>
      </c>
      <c r="Z19" s="10"/>
    </row>
    <row r="20" spans="2:27" s="1" customFormat="1" x14ac:dyDescent="0.25">
      <c r="B20" s="1" t="s">
        <v>22</v>
      </c>
      <c r="C20" s="2">
        <f t="shared" ref="C20:E20" si="14">(C18+C17)/C19</f>
        <v>-2.6348834079855439</v>
      </c>
      <c r="D20" s="2">
        <f t="shared" si="14"/>
        <v>-1.9992552399191406</v>
      </c>
      <c r="E20" s="2">
        <f t="shared" si="14"/>
        <v>-1.9019720767888322</v>
      </c>
      <c r="F20" s="53">
        <f>(F18+F17)/F19</f>
        <v>-1.1204716043458891</v>
      </c>
      <c r="G20" s="54"/>
      <c r="H20" s="55"/>
      <c r="K20" s="2" t="e">
        <f t="shared" ref="K20" si="15">(K18+K17)/K19</f>
        <v>#DIV/0!</v>
      </c>
      <c r="L20" s="2" t="e">
        <f t="shared" ref="L20" si="16">(L18+L17)/L19</f>
        <v>#DIV/0!</v>
      </c>
      <c r="M20" s="2" t="e">
        <f t="shared" ref="M20" si="17">(M18+M17)/M19</f>
        <v>#DIV/0!</v>
      </c>
      <c r="N20" s="2" t="e">
        <f t="shared" ref="N20" si="18">(N18+N17)/N19</f>
        <v>#DIV/0!</v>
      </c>
      <c r="O20" s="2" t="e">
        <f t="shared" ref="O20" si="19">(O18+O17)/O19</f>
        <v>#DIV/0!</v>
      </c>
      <c r="P20" s="2" t="e">
        <f t="shared" ref="P20" si="20">(P18+P17)/P19</f>
        <v>#DIV/0!</v>
      </c>
      <c r="Q20" s="2" t="e">
        <f t="shared" ref="Q20" si="21">(Q18+Q17)/Q19</f>
        <v>#DIV/0!</v>
      </c>
      <c r="R20" s="2" t="e">
        <f t="shared" ref="R20" si="22">(R18+R17)/R19</f>
        <v>#DIV/0!</v>
      </c>
      <c r="S20" s="2">
        <f t="shared" ref="S20" si="23">(S18+S17)/S19</f>
        <v>-1.6812645763151449E-2</v>
      </c>
      <c r="T20" s="2">
        <f t="shared" ref="T20" si="24">(T18+T17)/T19</f>
        <v>-0.3978811378375598</v>
      </c>
      <c r="U20" s="2">
        <f t="shared" ref="U20" si="25">(U18+U17)/U19</f>
        <v>-0.39607125760787798</v>
      </c>
      <c r="V20" s="2" t="e">
        <f t="shared" ref="V20" si="26">(V18+V17)/V19</f>
        <v>#DIV/0!</v>
      </c>
      <c r="W20" s="2">
        <f t="shared" ref="W20" si="27">(W18+W17)/W19</f>
        <v>-0.23286680348551583</v>
      </c>
      <c r="X20" s="151">
        <f t="shared" ref="X20" si="28">(X18+X17)/X19</f>
        <v>-0.21708054918387124</v>
      </c>
      <c r="Y20" s="35">
        <f t="shared" ref="Y20" si="29">(Y18+Y17)/Y19</f>
        <v>-0.19560603548333674</v>
      </c>
      <c r="Z20" s="2" t="e">
        <f t="shared" ref="Z20" si="30">(Z18+Z17)/Z19</f>
        <v>#DIV/0!</v>
      </c>
    </row>
    <row r="21" spans="2:27" s="1" customFormat="1" x14ac:dyDescent="0.25">
      <c r="B21" s="9" t="s">
        <v>64</v>
      </c>
      <c r="C21" s="2"/>
      <c r="D21" s="2"/>
      <c r="E21" s="2"/>
      <c r="F21" s="35"/>
      <c r="G21" s="44">
        <v>1.76</v>
      </c>
      <c r="H21" s="45">
        <v>2.29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152"/>
      <c r="Y21" s="124">
        <v>0.16</v>
      </c>
      <c r="Z21" s="49">
        <v>0.53</v>
      </c>
      <c r="AA21" s="1">
        <v>0.5</v>
      </c>
    </row>
    <row r="22" spans="2:27" s="1" customFormat="1" x14ac:dyDescent="0.25">
      <c r="B22" t="s">
        <v>30</v>
      </c>
      <c r="C22" s="3">
        <f>1-C5/C3</f>
        <v>0.43351599375296401</v>
      </c>
      <c r="D22" s="3">
        <f>1-D5/D3</f>
        <v>0.45122513634905359</v>
      </c>
      <c r="E22" s="3">
        <f>1-E5/E3</f>
        <v>0.45316817313182711</v>
      </c>
      <c r="F22" s="6">
        <f>1-F5/F3</f>
        <v>0.48453309511001819</v>
      </c>
      <c r="G22" s="46"/>
      <c r="H22" s="46"/>
      <c r="K22" s="3" t="e">
        <f t="shared" ref="K22:Z22" si="31">1-K5/K3</f>
        <v>#DIV/0!</v>
      </c>
      <c r="L22" s="3" t="e">
        <f t="shared" si="31"/>
        <v>#DIV/0!</v>
      </c>
      <c r="M22" s="3" t="e">
        <f t="shared" si="31"/>
        <v>#DIV/0!</v>
      </c>
      <c r="N22" s="3" t="e">
        <f t="shared" si="31"/>
        <v>#DIV/0!</v>
      </c>
      <c r="O22" s="3" t="e">
        <f t="shared" si="31"/>
        <v>#DIV/0!</v>
      </c>
      <c r="P22" s="3" t="e">
        <f t="shared" si="31"/>
        <v>#DIV/0!</v>
      </c>
      <c r="Q22" s="3" t="e">
        <f t="shared" si="31"/>
        <v>#DIV/0!</v>
      </c>
      <c r="R22" s="3" t="e">
        <f t="shared" si="31"/>
        <v>#DIV/0!</v>
      </c>
      <c r="S22" s="3">
        <f t="shared" si="31"/>
        <v>0.47904031161769323</v>
      </c>
      <c r="T22" s="3">
        <f t="shared" si="31"/>
        <v>0.47775527240488969</v>
      </c>
      <c r="U22" s="3">
        <f t="shared" si="31"/>
        <v>0.47837926784412166</v>
      </c>
      <c r="V22" s="3" t="e">
        <f t="shared" si="31"/>
        <v>#DIV/0!</v>
      </c>
      <c r="W22" s="3">
        <f t="shared" si="31"/>
        <v>0.49696691398603088</v>
      </c>
      <c r="X22" s="39">
        <f t="shared" si="31"/>
        <v>0.50220949736826881</v>
      </c>
      <c r="Y22" s="6">
        <f t="shared" si="31"/>
        <v>0.50884750972740411</v>
      </c>
      <c r="Z22" s="3" t="e">
        <f t="shared" si="31"/>
        <v>#DIV/0!</v>
      </c>
    </row>
    <row r="23" spans="2:27" x14ac:dyDescent="0.25">
      <c r="B23" t="s">
        <v>31</v>
      </c>
      <c r="C23" s="4">
        <f>C18/C3</f>
        <v>-0.34043366745209819</v>
      </c>
      <c r="D23" s="4">
        <f>D18/D3</f>
        <v>-0.22627726981071541</v>
      </c>
      <c r="E23" s="4">
        <f>E18/E3</f>
        <v>-0.19767604251926479</v>
      </c>
      <c r="F23" s="7">
        <f>F18/F3</f>
        <v>-0.10169798150567384</v>
      </c>
      <c r="G23" s="47">
        <f>G18/G4</f>
        <v>0.15307548094949672</v>
      </c>
      <c r="H23" s="47">
        <f>H18/H4</f>
        <v>0.18387857124355686</v>
      </c>
      <c r="K23" s="4" t="e">
        <f t="shared" ref="K23:Z23" si="32">K18/K3</f>
        <v>#DIV/0!</v>
      </c>
      <c r="L23" s="4" t="e">
        <f t="shared" si="32"/>
        <v>#DIV/0!</v>
      </c>
      <c r="M23" s="4" t="e">
        <f t="shared" si="32"/>
        <v>#DIV/0!</v>
      </c>
      <c r="N23" s="4" t="e">
        <f t="shared" si="32"/>
        <v>#DIV/0!</v>
      </c>
      <c r="O23" s="4" t="e">
        <f t="shared" si="32"/>
        <v>#DIV/0!</v>
      </c>
      <c r="P23" s="4" t="e">
        <f t="shared" si="32"/>
        <v>#DIV/0!</v>
      </c>
      <c r="Q23" s="4" t="e">
        <f t="shared" si="32"/>
        <v>#DIV/0!</v>
      </c>
      <c r="R23" s="4" t="e">
        <f t="shared" si="32"/>
        <v>#DIV/0!</v>
      </c>
      <c r="S23" s="4">
        <f t="shared" si="32"/>
        <v>2.9933075394736563E-4</v>
      </c>
      <c r="T23" s="4">
        <f t="shared" si="32"/>
        <v>-0.15003397376578168</v>
      </c>
      <c r="U23" s="4">
        <f t="shared" si="32"/>
        <v>-0.14919305400504621</v>
      </c>
      <c r="V23" s="4" t="e">
        <f t="shared" si="32"/>
        <v>#DIV/0!</v>
      </c>
      <c r="W23" s="4">
        <f t="shared" si="32"/>
        <v>-8.481765231892098E-2</v>
      </c>
      <c r="X23" s="153">
        <f t="shared" si="32"/>
        <v>-7.4960957834461578E-2</v>
      </c>
      <c r="Y23" s="7">
        <f t="shared" si="32"/>
        <v>-7.090577702104342E-2</v>
      </c>
      <c r="Z23" s="4" t="e">
        <f t="shared" si="32"/>
        <v>#DIV/0!</v>
      </c>
    </row>
    <row r="24" spans="2:27" x14ac:dyDescent="0.25">
      <c r="B24" t="s">
        <v>32</v>
      </c>
      <c r="C24" s="3"/>
      <c r="D24" s="3">
        <f>D3/C3-1</f>
        <v>0.23828370382693054</v>
      </c>
      <c r="E24" s="39">
        <f>E3/D3-1</f>
        <v>0.13424967917869735</v>
      </c>
      <c r="F24" s="6">
        <f>F3/E3-1</f>
        <v>0.10421391864204232</v>
      </c>
      <c r="G24" s="48">
        <f>G4/F3-1</f>
        <v>0.11013986013985999</v>
      </c>
      <c r="H24" s="48">
        <f>H4/G4-1</f>
        <v>0.11352427100458606</v>
      </c>
      <c r="K24" s="4"/>
      <c r="L24" s="4"/>
      <c r="M24" s="4"/>
      <c r="N24" s="4"/>
      <c r="O24" s="4" t="e">
        <f t="shared" ref="O24:Z24" si="33">O3/K3-1</f>
        <v>#DIV/0!</v>
      </c>
      <c r="P24" s="4" t="e">
        <f t="shared" si="33"/>
        <v>#DIV/0!</v>
      </c>
      <c r="Q24" s="4" t="e">
        <f t="shared" si="33"/>
        <v>#DIV/0!</v>
      </c>
      <c r="R24" s="4" t="e">
        <f t="shared" si="33"/>
        <v>#DIV/0!</v>
      </c>
      <c r="S24" s="4" t="e">
        <f t="shared" si="33"/>
        <v>#DIV/0!</v>
      </c>
      <c r="T24" s="4" t="e">
        <f t="shared" si="33"/>
        <v>#DIV/0!</v>
      </c>
      <c r="U24" s="4" t="e">
        <f t="shared" si="33"/>
        <v>#DIV/0!</v>
      </c>
      <c r="V24" s="4" t="e">
        <f t="shared" si="33"/>
        <v>#DIV/0!</v>
      </c>
      <c r="W24" s="4">
        <f t="shared" si="33"/>
        <v>8.1695074767332398E-2</v>
      </c>
      <c r="X24" s="153">
        <f t="shared" si="33"/>
        <v>0.11880464113996525</v>
      </c>
      <c r="Y24" s="7">
        <f t="shared" si="33"/>
        <v>0.12940819658378855</v>
      </c>
      <c r="Z24" s="4" t="e">
        <f t="shared" si="33"/>
        <v>#DIV/0!</v>
      </c>
    </row>
    <row r="25" spans="2:27" x14ac:dyDescent="0.25">
      <c r="B25" t="s">
        <v>66</v>
      </c>
      <c r="C25" s="4">
        <f>C6/C3</f>
        <v>0.17957249019865873</v>
      </c>
      <c r="D25" s="4">
        <f>D6/D3</f>
        <v>0.17156721206288095</v>
      </c>
      <c r="E25" s="4">
        <f>E6/E3</f>
        <v>0.19130133487014583</v>
      </c>
      <c r="F25" s="7">
        <f>F6/F3</f>
        <v>0.17534068495606958</v>
      </c>
      <c r="G25" s="120"/>
      <c r="H25" s="120"/>
      <c r="K25" s="4" t="e">
        <f>K6/K3</f>
        <v>#DIV/0!</v>
      </c>
      <c r="L25" s="4" t="e">
        <f t="shared" ref="L25:Z25" si="34">L6/L3</f>
        <v>#DIV/0!</v>
      </c>
      <c r="M25" s="4" t="e">
        <f t="shared" si="34"/>
        <v>#DIV/0!</v>
      </c>
      <c r="N25" s="4" t="e">
        <f t="shared" si="34"/>
        <v>#DIV/0!</v>
      </c>
      <c r="O25" s="4" t="e">
        <f t="shared" si="34"/>
        <v>#DIV/0!</v>
      </c>
      <c r="P25" s="4" t="e">
        <f t="shared" si="34"/>
        <v>#DIV/0!</v>
      </c>
      <c r="Q25" s="4" t="e">
        <f t="shared" si="34"/>
        <v>#DIV/0!</v>
      </c>
      <c r="R25" s="4" t="e">
        <f t="shared" si="34"/>
        <v>#DIV/0!</v>
      </c>
      <c r="S25" s="4">
        <f t="shared" si="34"/>
        <v>0.18374202656070271</v>
      </c>
      <c r="T25" s="4">
        <f t="shared" si="34"/>
        <v>0.18572972413302186</v>
      </c>
      <c r="U25" s="4">
        <f t="shared" si="34"/>
        <v>0.16857137326011343</v>
      </c>
      <c r="V25" s="4" t="e">
        <f t="shared" si="34"/>
        <v>#DIV/0!</v>
      </c>
      <c r="W25" s="4">
        <f t="shared" si="34"/>
        <v>0.15373879208255795</v>
      </c>
      <c r="X25" s="153">
        <f t="shared" si="34"/>
        <v>0.16040835213141305</v>
      </c>
      <c r="Y25" s="7">
        <f t="shared" si="34"/>
        <v>0.14602819090280597</v>
      </c>
      <c r="Z25" s="4" t="e">
        <f t="shared" si="34"/>
        <v>#DIV/0!</v>
      </c>
    </row>
    <row r="26" spans="2:27" x14ac:dyDescent="0.25">
      <c r="B26" t="s">
        <v>135</v>
      </c>
      <c r="C26" s="4">
        <f>C7/C3</f>
        <v>0.2417895920804666</v>
      </c>
      <c r="D26" s="4">
        <f>D7/D3</f>
        <v>0.2345043310875842</v>
      </c>
      <c r="E26" s="4">
        <f>E7/E3</f>
        <v>0.22999683562765061</v>
      </c>
      <c r="F26" s="7">
        <f>F7/F3</f>
        <v>0.2198666717897487</v>
      </c>
      <c r="G26" s="120"/>
      <c r="H26" s="120"/>
      <c r="K26" s="4" t="e">
        <f>K7/K3</f>
        <v>#DIV/0!</v>
      </c>
      <c r="L26" s="4" t="e">
        <f t="shared" ref="L26:Z26" si="35">L7/L3</f>
        <v>#DIV/0!</v>
      </c>
      <c r="M26" s="4" t="e">
        <f t="shared" si="35"/>
        <v>#DIV/0!</v>
      </c>
      <c r="N26" s="4" t="e">
        <f t="shared" si="35"/>
        <v>#DIV/0!</v>
      </c>
      <c r="O26" s="4" t="e">
        <f t="shared" si="35"/>
        <v>#DIV/0!</v>
      </c>
      <c r="P26" s="4" t="e">
        <f t="shared" si="35"/>
        <v>#DIV/0!</v>
      </c>
      <c r="Q26" s="4" t="e">
        <f t="shared" si="35"/>
        <v>#DIV/0!</v>
      </c>
      <c r="R26" s="4" t="e">
        <f t="shared" si="35"/>
        <v>#DIV/0!</v>
      </c>
      <c r="S26" s="4">
        <f t="shared" si="35"/>
        <v>0.22498823590923347</v>
      </c>
      <c r="T26" s="4">
        <f t="shared" si="35"/>
        <v>0.22064181296956595</v>
      </c>
      <c r="U26" s="4">
        <f t="shared" si="35"/>
        <v>0.22289906883400981</v>
      </c>
      <c r="V26" s="4" t="e">
        <f t="shared" si="35"/>
        <v>#DIV/0!</v>
      </c>
      <c r="W26" s="4">
        <f t="shared" si="35"/>
        <v>0.21063634386253233</v>
      </c>
      <c r="X26" s="153">
        <f t="shared" si="35"/>
        <v>0.20683093296315577</v>
      </c>
      <c r="Y26" s="7">
        <f t="shared" si="35"/>
        <v>0.21083755663606085</v>
      </c>
      <c r="Z26" s="4" t="e">
        <f t="shared" si="35"/>
        <v>#DIV/0!</v>
      </c>
    </row>
    <row r="27" spans="2:27" x14ac:dyDescent="0.25">
      <c r="B27" t="s">
        <v>136</v>
      </c>
      <c r="C27" s="4">
        <f>C11/C3</f>
        <v>3.8299097953822588E-2</v>
      </c>
      <c r="D27" s="4">
        <f>D8/D3</f>
        <v>0.15622994866859161</v>
      </c>
      <c r="E27" s="4">
        <f>E8/E3</f>
        <v>0.15939067270313415</v>
      </c>
      <c r="F27" s="7">
        <f>F8/F3</f>
        <v>0.17640372448064756</v>
      </c>
      <c r="G27" s="120"/>
      <c r="H27" s="120"/>
      <c r="K27" s="4" t="e">
        <f>K8/K3</f>
        <v>#DIV/0!</v>
      </c>
      <c r="L27" s="4" t="e">
        <f t="shared" ref="L27:Z27" si="36">L8/L3</f>
        <v>#DIV/0!</v>
      </c>
      <c r="M27" s="4" t="e">
        <f t="shared" si="36"/>
        <v>#DIV/0!</v>
      </c>
      <c r="N27" s="4" t="e">
        <f t="shared" si="36"/>
        <v>#DIV/0!</v>
      </c>
      <c r="O27" s="4" t="e">
        <f t="shared" si="36"/>
        <v>#DIV/0!</v>
      </c>
      <c r="P27" s="4" t="e">
        <f t="shared" si="36"/>
        <v>#DIV/0!</v>
      </c>
      <c r="Q27" s="4" t="e">
        <f t="shared" si="36"/>
        <v>#DIV/0!</v>
      </c>
      <c r="R27" s="4" t="e">
        <f t="shared" si="36"/>
        <v>#DIV/0!</v>
      </c>
      <c r="S27" s="4">
        <f t="shared" si="36"/>
        <v>0.16137718289239777</v>
      </c>
      <c r="T27" s="4">
        <f t="shared" si="36"/>
        <v>0.17554406559201713</v>
      </c>
      <c r="U27" s="4">
        <f t="shared" si="36"/>
        <v>0.18122568030612968</v>
      </c>
      <c r="V27" s="4" t="e">
        <f t="shared" si="36"/>
        <v>#DIV/0!</v>
      </c>
      <c r="W27" s="4">
        <f t="shared" si="36"/>
        <v>0.18232351306281266</v>
      </c>
      <c r="X27" s="153">
        <f t="shared" si="36"/>
        <v>0.18094163919255019</v>
      </c>
      <c r="Y27" s="7">
        <f t="shared" si="36"/>
        <v>0.17994983459127764</v>
      </c>
      <c r="Z27" s="4" t="e">
        <f t="shared" si="36"/>
        <v>#DIV/0!</v>
      </c>
    </row>
    <row r="28" spans="2:27" x14ac:dyDescent="0.25">
      <c r="B28" t="s">
        <v>227</v>
      </c>
      <c r="C28" s="3"/>
      <c r="D28" s="125">
        <f>D20-C20</f>
        <v>0.63562816806640332</v>
      </c>
      <c r="E28" s="125">
        <f>E20-D20</f>
        <v>9.7283163130308381E-2</v>
      </c>
      <c r="F28" s="126">
        <f>F20-E20</f>
        <v>0.78150047244294307</v>
      </c>
      <c r="G28" s="39"/>
      <c r="H28" s="39">
        <f>H21/G21-1</f>
        <v>0.30113636363636376</v>
      </c>
      <c r="K28" s="4"/>
      <c r="L28" s="4"/>
      <c r="M28" s="4"/>
      <c r="N28" s="4"/>
      <c r="O28" s="125" t="e">
        <f t="shared" ref="O28:Z28" si="37">O20-N20</f>
        <v>#DIV/0!</v>
      </c>
      <c r="P28" s="125" t="e">
        <f t="shared" si="37"/>
        <v>#DIV/0!</v>
      </c>
      <c r="Q28" s="125" t="e">
        <f t="shared" si="37"/>
        <v>#DIV/0!</v>
      </c>
      <c r="R28" s="125" t="e">
        <f t="shared" si="37"/>
        <v>#DIV/0!</v>
      </c>
      <c r="S28" s="125" t="e">
        <f t="shared" si="37"/>
        <v>#DIV/0!</v>
      </c>
      <c r="T28" s="125">
        <f t="shared" si="37"/>
        <v>-0.38106849207440835</v>
      </c>
      <c r="U28" s="125">
        <f t="shared" si="37"/>
        <v>1.8098802296818151E-3</v>
      </c>
      <c r="V28" s="125" t="e">
        <f t="shared" si="37"/>
        <v>#DIV/0!</v>
      </c>
      <c r="W28" s="125" t="e">
        <f t="shared" si="37"/>
        <v>#DIV/0!</v>
      </c>
      <c r="X28" s="127">
        <f t="shared" si="37"/>
        <v>1.5786254301644598E-2</v>
      </c>
      <c r="Y28" s="126">
        <f t="shared" si="37"/>
        <v>2.1474513700534492E-2</v>
      </c>
      <c r="Z28" s="125" t="e">
        <f t="shared" si="37"/>
        <v>#DIV/0!</v>
      </c>
    </row>
    <row r="31" spans="2:27" s="1" customFormat="1" x14ac:dyDescent="0.25">
      <c r="B31" s="1" t="s">
        <v>38</v>
      </c>
      <c r="C31" s="11">
        <f t="shared" ref="C31:D31" si="38">C32+C33+C34-C57-C53</f>
        <v>-14.930999999999926</v>
      </c>
      <c r="D31" s="11">
        <f t="shared" si="38"/>
        <v>-120.89899999999994</v>
      </c>
      <c r="E31" s="11">
        <f>E32+E33+E34-E57-E53</f>
        <v>-233.03700000000001</v>
      </c>
      <c r="F31" s="14">
        <f t="shared" ref="F31:H31" si="39">F32+F33+F34-F57-F53</f>
        <v>-162.47899999999998</v>
      </c>
      <c r="G31" s="11">
        <f t="shared" si="39"/>
        <v>0</v>
      </c>
      <c r="H31" s="11">
        <f t="shared" si="39"/>
        <v>0</v>
      </c>
      <c r="K31" s="11">
        <f t="shared" ref="K31:Z31" si="40">K32+K33+K34-K57-K53</f>
        <v>0</v>
      </c>
      <c r="L31" s="11">
        <f t="shared" si="40"/>
        <v>0</v>
      </c>
      <c r="M31" s="11">
        <f t="shared" si="40"/>
        <v>0</v>
      </c>
      <c r="N31" s="11">
        <f t="shared" si="40"/>
        <v>0</v>
      </c>
      <c r="O31" s="11">
        <f t="shared" si="40"/>
        <v>0</v>
      </c>
      <c r="P31" s="11">
        <f t="shared" si="40"/>
        <v>0</v>
      </c>
      <c r="Q31" s="11">
        <f t="shared" si="40"/>
        <v>0</v>
      </c>
      <c r="R31" s="11">
        <f t="shared" si="40"/>
        <v>0</v>
      </c>
      <c r="S31" s="11">
        <f t="shared" si="40"/>
        <v>0</v>
      </c>
      <c r="T31" s="11">
        <f t="shared" si="40"/>
        <v>0</v>
      </c>
      <c r="U31" s="11">
        <f t="shared" si="40"/>
        <v>0</v>
      </c>
      <c r="V31" s="11">
        <f t="shared" si="40"/>
        <v>-162.47899999999998</v>
      </c>
      <c r="W31" s="11">
        <f t="shared" si="40"/>
        <v>-148.24199999999996</v>
      </c>
      <c r="X31" s="148">
        <f>X32+X33+X34-X57-X53</f>
        <v>-116.88900000000001</v>
      </c>
      <c r="Y31" s="14">
        <f t="shared" si="40"/>
        <v>-82.245000000000061</v>
      </c>
      <c r="Z31" s="11">
        <f t="shared" si="40"/>
        <v>0</v>
      </c>
    </row>
    <row r="32" spans="2:27" x14ac:dyDescent="0.25">
      <c r="B32" t="s">
        <v>24</v>
      </c>
      <c r="C32" s="10">
        <v>407.70299999999997</v>
      </c>
      <c r="D32" s="10">
        <v>322.84800000000001</v>
      </c>
      <c r="E32" s="10">
        <v>199.6</v>
      </c>
      <c r="F32" s="15">
        <v>229.655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>
        <f>F32</f>
        <v>229.655</v>
      </c>
      <c r="W32" s="10">
        <v>274.52199999999999</v>
      </c>
      <c r="X32" s="150">
        <v>303.82299999999998</v>
      </c>
      <c r="Y32" s="15">
        <v>320.29399999999998</v>
      </c>
      <c r="Z32" s="10"/>
    </row>
    <row r="33" spans="2:26" x14ac:dyDescent="0.25">
      <c r="B33" t="s">
        <v>76</v>
      </c>
      <c r="C33" s="10">
        <v>3.4820000000000002</v>
      </c>
      <c r="D33" s="10">
        <v>2.9729999999999999</v>
      </c>
      <c r="E33" s="10">
        <v>2.302</v>
      </c>
      <c r="F33" s="15">
        <v>3.9769999999999999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>
        <f t="shared" ref="V33:V39" si="41">F33</f>
        <v>3.9769999999999999</v>
      </c>
      <c r="W33" s="10">
        <v>4.2569999999999997</v>
      </c>
      <c r="X33" s="150">
        <v>2.5169999999999999</v>
      </c>
      <c r="Y33" s="15">
        <v>1.8540000000000001</v>
      </c>
      <c r="Z33" s="10"/>
    </row>
    <row r="34" spans="2:26" x14ac:dyDescent="0.25">
      <c r="B34" t="s">
        <v>210</v>
      </c>
      <c r="C34" s="10">
        <v>131.352</v>
      </c>
      <c r="D34" s="10">
        <v>104.878</v>
      </c>
      <c r="E34" s="10">
        <v>233.75299999999999</v>
      </c>
      <c r="F34" s="15">
        <v>94.352999999999994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>
        <f t="shared" si="41"/>
        <v>94.352999999999994</v>
      </c>
      <c r="W34" s="10">
        <v>63.939</v>
      </c>
      <c r="X34" s="150">
        <v>68.227000000000004</v>
      </c>
      <c r="Y34" s="15">
        <v>87.558000000000007</v>
      </c>
      <c r="Z34" s="10"/>
    </row>
    <row r="35" spans="2:26" x14ac:dyDescent="0.25">
      <c r="B35" t="s">
        <v>25</v>
      </c>
      <c r="C35" s="10">
        <v>36.43</v>
      </c>
      <c r="D35" s="10">
        <v>46.978999999999999</v>
      </c>
      <c r="E35" s="10">
        <v>46.734999999999999</v>
      </c>
      <c r="F35" s="15">
        <v>42.899000000000001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>
        <f t="shared" si="41"/>
        <v>42.899000000000001</v>
      </c>
      <c r="W35" s="10">
        <v>54.292000000000002</v>
      </c>
      <c r="X35" s="150">
        <v>59.435000000000002</v>
      </c>
      <c r="Y35" s="15">
        <v>57.923999999999999</v>
      </c>
      <c r="Z35" s="10"/>
    </row>
    <row r="36" spans="2:26" x14ac:dyDescent="0.25">
      <c r="B36" t="s">
        <v>211</v>
      </c>
      <c r="C36" s="10">
        <v>1.0880000000000001</v>
      </c>
      <c r="D36" s="10">
        <v>1.845</v>
      </c>
      <c r="E36" s="10">
        <v>8.9090000000000007</v>
      </c>
      <c r="F36" s="15">
        <v>9.1929999999999996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>
        <f t="shared" si="41"/>
        <v>9.1929999999999996</v>
      </c>
      <c r="W36" s="10">
        <v>8.5790000000000006</v>
      </c>
      <c r="X36" s="150">
        <v>8.7759999999999998</v>
      </c>
      <c r="Y36" s="15">
        <v>7.2279999999999998</v>
      </c>
      <c r="Z36" s="10"/>
    </row>
    <row r="37" spans="2:26" x14ac:dyDescent="0.25">
      <c r="B37" t="s">
        <v>77</v>
      </c>
      <c r="C37" s="10">
        <v>8.8610000000000007</v>
      </c>
      <c r="D37" s="10">
        <v>10.531000000000001</v>
      </c>
      <c r="E37" s="10">
        <v>10.832000000000001</v>
      </c>
      <c r="F37" s="15">
        <v>11.625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>
        <f t="shared" si="41"/>
        <v>11.625</v>
      </c>
      <c r="W37" s="10">
        <v>15.542</v>
      </c>
      <c r="X37" s="150">
        <v>12.535</v>
      </c>
      <c r="Y37" s="15">
        <v>17.559000000000001</v>
      </c>
      <c r="Z37" s="10"/>
    </row>
    <row r="38" spans="2:26" x14ac:dyDescent="0.25">
      <c r="B38" t="s">
        <v>212</v>
      </c>
      <c r="C38" s="10">
        <v>19.042000000000002</v>
      </c>
      <c r="D38" s="10">
        <v>25.076000000000001</v>
      </c>
      <c r="E38" s="10">
        <v>21.117000000000001</v>
      </c>
      <c r="F38" s="15">
        <v>27.521000000000001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>
        <f t="shared" si="41"/>
        <v>27.521000000000001</v>
      </c>
      <c r="W38" s="10">
        <v>28.355</v>
      </c>
      <c r="X38" s="150">
        <v>26.657</v>
      </c>
      <c r="Y38" s="15">
        <v>24.256</v>
      </c>
      <c r="Z38" s="10"/>
    </row>
    <row r="39" spans="2:26" x14ac:dyDescent="0.25">
      <c r="B39" t="s">
        <v>213</v>
      </c>
      <c r="C39" s="10">
        <v>8.2579999999999991</v>
      </c>
      <c r="D39" s="10">
        <v>7.32</v>
      </c>
      <c r="E39" s="10">
        <v>7.8280000000000003</v>
      </c>
      <c r="F39" s="15">
        <v>8.7409999999999997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>
        <f t="shared" si="41"/>
        <v>8.7409999999999997</v>
      </c>
      <c r="W39" s="10">
        <v>9.0120000000000005</v>
      </c>
      <c r="X39" s="150">
        <v>9.4130000000000003</v>
      </c>
      <c r="Y39" s="15">
        <v>9.6660000000000004</v>
      </c>
      <c r="Z39" s="10"/>
    </row>
    <row r="40" spans="2:26" s="1" customFormat="1" x14ac:dyDescent="0.25">
      <c r="B40" s="1" t="s">
        <v>61</v>
      </c>
      <c r="C40" s="11">
        <f t="shared" ref="C40" si="42">SUM(C32:C39)</f>
        <v>616.21600000000001</v>
      </c>
      <c r="D40" s="11">
        <f>SUM(D32:D39)</f>
        <v>522.45000000000005</v>
      </c>
      <c r="E40" s="11">
        <f t="shared" ref="E40:F40" si="43">SUM(E32:E39)</f>
        <v>531.07599999999991</v>
      </c>
      <c r="F40" s="14">
        <f t="shared" si="43"/>
        <v>427.964</v>
      </c>
      <c r="K40" s="11">
        <f t="shared" ref="K40:T40" si="44">SUM(K32:K39)</f>
        <v>0</v>
      </c>
      <c r="L40" s="11">
        <f t="shared" si="44"/>
        <v>0</v>
      </c>
      <c r="M40" s="11">
        <f t="shared" si="44"/>
        <v>0</v>
      </c>
      <c r="N40" s="11">
        <f t="shared" si="44"/>
        <v>0</v>
      </c>
      <c r="O40" s="11">
        <f t="shared" si="44"/>
        <v>0</v>
      </c>
      <c r="P40" s="11">
        <f t="shared" si="44"/>
        <v>0</v>
      </c>
      <c r="Q40" s="11">
        <f t="shared" si="44"/>
        <v>0</v>
      </c>
      <c r="R40" s="11">
        <f t="shared" si="44"/>
        <v>0</v>
      </c>
      <c r="S40" s="11">
        <f t="shared" si="44"/>
        <v>0</v>
      </c>
      <c r="T40" s="11">
        <f t="shared" si="44"/>
        <v>0</v>
      </c>
      <c r="U40" s="11">
        <f t="shared" ref="U40:Z40" si="45">SUM(U32:U39)</f>
        <v>0</v>
      </c>
      <c r="V40" s="11">
        <f t="shared" si="45"/>
        <v>427.964</v>
      </c>
      <c r="W40" s="11">
        <f t="shared" si="45"/>
        <v>458.49799999999999</v>
      </c>
      <c r="X40" s="148">
        <f t="shared" si="45"/>
        <v>491.38300000000004</v>
      </c>
      <c r="Y40" s="14">
        <f t="shared" si="45"/>
        <v>526.33900000000006</v>
      </c>
      <c r="Z40" s="11">
        <f t="shared" si="45"/>
        <v>0</v>
      </c>
    </row>
    <row r="41" spans="2:26" x14ac:dyDescent="0.25">
      <c r="B41" t="s">
        <v>78</v>
      </c>
      <c r="C41" s="10">
        <v>49.558</v>
      </c>
      <c r="D41" s="10">
        <v>66.608000000000004</v>
      </c>
      <c r="E41" s="10">
        <v>56.695</v>
      </c>
      <c r="F41" s="15">
        <v>41.177999999999997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f t="shared" ref="V41:V48" si="46">F41</f>
        <v>41.177999999999997</v>
      </c>
      <c r="W41" s="10">
        <v>37.871000000000002</v>
      </c>
      <c r="X41" s="150">
        <v>35.491</v>
      </c>
      <c r="Y41" s="15">
        <v>34.247999999999998</v>
      </c>
      <c r="Z41" s="10"/>
    </row>
    <row r="42" spans="2:26" x14ac:dyDescent="0.25">
      <c r="B42" t="s">
        <v>81</v>
      </c>
      <c r="C42" s="10">
        <v>34.709000000000003</v>
      </c>
      <c r="D42" s="10">
        <v>52.277999999999999</v>
      </c>
      <c r="E42" s="10">
        <v>39.837000000000003</v>
      </c>
      <c r="F42" s="15">
        <v>35.453000000000003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>
        <f t="shared" si="46"/>
        <v>35.453000000000003</v>
      </c>
      <c r="W42" s="10">
        <v>34.957000000000001</v>
      </c>
      <c r="X42" s="150">
        <v>33.411000000000001</v>
      </c>
      <c r="Y42" s="15">
        <v>31.055</v>
      </c>
      <c r="Z42" s="10"/>
    </row>
    <row r="43" spans="2:26" x14ac:dyDescent="0.25">
      <c r="B43" t="s">
        <v>212</v>
      </c>
      <c r="C43" s="10">
        <v>32.781999999999996</v>
      </c>
      <c r="D43" s="10">
        <v>26.93</v>
      </c>
      <c r="E43" s="10">
        <v>26.41</v>
      </c>
      <c r="F43" s="15">
        <v>26.09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>
        <f t="shared" si="46"/>
        <v>26.09</v>
      </c>
      <c r="W43" s="10">
        <v>31.861000000000001</v>
      </c>
      <c r="X43" s="150">
        <v>30.094000000000001</v>
      </c>
      <c r="Y43" s="15">
        <v>28.797999999999998</v>
      </c>
      <c r="Z43" s="10"/>
    </row>
    <row r="44" spans="2:26" x14ac:dyDescent="0.25">
      <c r="B44" t="s">
        <v>213</v>
      </c>
      <c r="C44" s="10">
        <v>15.183999999999999</v>
      </c>
      <c r="D44" s="10">
        <v>17.039000000000001</v>
      </c>
      <c r="E44" s="10">
        <v>18.713000000000001</v>
      </c>
      <c r="F44" s="15">
        <v>21.48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>
        <f t="shared" si="46"/>
        <v>21.48</v>
      </c>
      <c r="W44" s="10">
        <v>22.172000000000001</v>
      </c>
      <c r="X44" s="150">
        <v>23.151</v>
      </c>
      <c r="Y44" s="15">
        <v>24.795000000000002</v>
      </c>
      <c r="Z44" s="10"/>
    </row>
    <row r="45" spans="2:26" s="1" customFormat="1" x14ac:dyDescent="0.25">
      <c r="B45" t="s">
        <v>79</v>
      </c>
      <c r="C45" s="10">
        <v>184.85900000000001</v>
      </c>
      <c r="D45" s="10">
        <v>162.46100000000001</v>
      </c>
      <c r="E45" s="10">
        <v>145.68100000000001</v>
      </c>
      <c r="F45" s="15">
        <v>121.572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>
        <f t="shared" si="46"/>
        <v>121.572</v>
      </c>
      <c r="W45" s="10">
        <v>115.249</v>
      </c>
      <c r="X45" s="150">
        <v>108.402</v>
      </c>
      <c r="Y45" s="15">
        <v>101.14700000000001</v>
      </c>
      <c r="Z45" s="10"/>
    </row>
    <row r="46" spans="2:26" s="1" customFormat="1" x14ac:dyDescent="0.25">
      <c r="B46" t="s">
        <v>26</v>
      </c>
      <c r="C46" s="10">
        <v>462.274</v>
      </c>
      <c r="D46" s="10">
        <v>512.86900000000003</v>
      </c>
      <c r="E46" s="10">
        <v>512.86900000000003</v>
      </c>
      <c r="F46" s="15">
        <v>512.86900000000003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56">
        <f t="shared" si="46"/>
        <v>512.86900000000003</v>
      </c>
      <c r="W46" s="156">
        <v>512.86900000000003</v>
      </c>
      <c r="X46" s="157">
        <v>512.86900000000003</v>
      </c>
      <c r="Y46" s="158">
        <v>512.86900000000003</v>
      </c>
      <c r="Z46" s="10"/>
    </row>
    <row r="47" spans="2:26" s="1" customFormat="1" x14ac:dyDescent="0.25">
      <c r="B47" t="s">
        <v>211</v>
      </c>
      <c r="C47" s="10">
        <v>18.693999999999999</v>
      </c>
      <c r="D47" s="10">
        <v>22.103000000000002</v>
      </c>
      <c r="E47" s="10">
        <v>16.186</v>
      </c>
      <c r="F47" s="15">
        <v>12.21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>
        <f t="shared" si="46"/>
        <v>12.21</v>
      </c>
      <c r="W47" s="10">
        <v>11.702</v>
      </c>
      <c r="X47" s="150">
        <v>11.238</v>
      </c>
      <c r="Y47" s="15">
        <v>10.071999999999999</v>
      </c>
      <c r="Z47" s="10"/>
    </row>
    <row r="48" spans="2:26" s="1" customFormat="1" x14ac:dyDescent="0.25">
      <c r="B48" t="s">
        <v>214</v>
      </c>
      <c r="C48" s="10">
        <v>2.4260000000000002</v>
      </c>
      <c r="D48" s="10">
        <v>2.3069999999999999</v>
      </c>
      <c r="E48" s="10">
        <v>2.2589999999999999</v>
      </c>
      <c r="F48" s="15">
        <v>2.609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>
        <f t="shared" si="46"/>
        <v>2.609</v>
      </c>
      <c r="W48" s="10">
        <v>3.2080000000000002</v>
      </c>
      <c r="X48" s="150">
        <v>2.9849999999999999</v>
      </c>
      <c r="Y48" s="15">
        <v>3.492</v>
      </c>
      <c r="Z48" s="10"/>
    </row>
    <row r="49" spans="2:26" x14ac:dyDescent="0.25">
      <c r="B49" s="1" t="s">
        <v>27</v>
      </c>
      <c r="C49" s="11">
        <f>SUM(C40:C48)</f>
        <v>1416.7019999999998</v>
      </c>
      <c r="D49" s="11">
        <f>SUM(D40:D48)</f>
        <v>1385.0450000000001</v>
      </c>
      <c r="E49" s="11">
        <f>SUM(E40:E48)</f>
        <v>1349.7259999999999</v>
      </c>
      <c r="F49" s="14">
        <f>SUM(F40:F48)</f>
        <v>1201.4250000000002</v>
      </c>
      <c r="K49" s="11">
        <f t="shared" ref="K49:T49" si="47">SUM(K40:K48)</f>
        <v>0</v>
      </c>
      <c r="L49" s="11">
        <f t="shared" si="47"/>
        <v>0</v>
      </c>
      <c r="M49" s="11">
        <f t="shared" si="47"/>
        <v>0</v>
      </c>
      <c r="N49" s="11">
        <f t="shared" si="47"/>
        <v>0</v>
      </c>
      <c r="O49" s="11">
        <f t="shared" si="47"/>
        <v>0</v>
      </c>
      <c r="P49" s="11">
        <f t="shared" si="47"/>
        <v>0</v>
      </c>
      <c r="Q49" s="11">
        <f t="shared" si="47"/>
        <v>0</v>
      </c>
      <c r="R49" s="11">
        <f t="shared" si="47"/>
        <v>0</v>
      </c>
      <c r="S49" s="11">
        <f t="shared" si="47"/>
        <v>0</v>
      </c>
      <c r="T49" s="11">
        <f t="shared" si="47"/>
        <v>0</v>
      </c>
      <c r="U49" s="11">
        <f t="shared" ref="U49:Z49" si="48">SUM(U40:U48)</f>
        <v>0</v>
      </c>
      <c r="V49" s="11">
        <f t="shared" si="48"/>
        <v>1201.4250000000002</v>
      </c>
      <c r="W49" s="11">
        <f t="shared" si="48"/>
        <v>1228.3870000000002</v>
      </c>
      <c r="X49" s="148">
        <f t="shared" si="48"/>
        <v>1249.0240000000001</v>
      </c>
      <c r="Y49" s="14">
        <f t="shared" si="48"/>
        <v>1272.8150000000001</v>
      </c>
      <c r="Z49" s="11">
        <f t="shared" si="48"/>
        <v>0</v>
      </c>
    </row>
    <row r="50" spans="2:26" x14ac:dyDescent="0.25">
      <c r="B50" t="s">
        <v>29</v>
      </c>
      <c r="C50" s="10">
        <v>7.8869999999999996</v>
      </c>
      <c r="D50" s="10">
        <v>10.597</v>
      </c>
      <c r="E50" s="10">
        <v>10.055</v>
      </c>
      <c r="F50" s="15">
        <v>19.353000000000002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>
        <f t="shared" ref="V50:V55" si="49">F50</f>
        <v>19.353000000000002</v>
      </c>
      <c r="W50" s="10">
        <v>12.599</v>
      </c>
      <c r="X50" s="150">
        <v>14.249000000000001</v>
      </c>
      <c r="Y50" s="15">
        <v>13.23</v>
      </c>
      <c r="Z50" s="10"/>
    </row>
    <row r="51" spans="2:26" x14ac:dyDescent="0.25">
      <c r="B51" t="s">
        <v>220</v>
      </c>
      <c r="C51" s="10">
        <v>22.443999999999999</v>
      </c>
      <c r="D51" s="10">
        <v>18.343</v>
      </c>
      <c r="E51" s="10">
        <v>20.748000000000001</v>
      </c>
      <c r="F51" s="15">
        <v>16.471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>
        <f t="shared" si="49"/>
        <v>16.471</v>
      </c>
      <c r="W51" s="10">
        <v>23.225999999999999</v>
      </c>
      <c r="X51" s="150">
        <v>20.338999999999999</v>
      </c>
      <c r="Y51" s="15">
        <v>19.614999999999998</v>
      </c>
      <c r="Z51" s="10"/>
    </row>
    <row r="52" spans="2:26" x14ac:dyDescent="0.25">
      <c r="B52" t="s">
        <v>221</v>
      </c>
      <c r="C52" s="10">
        <v>26.716000000000001</v>
      </c>
      <c r="D52" s="10">
        <v>31.725000000000001</v>
      </c>
      <c r="E52" s="10">
        <v>23.46</v>
      </c>
      <c r="F52" s="15">
        <v>26.58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>
        <f t="shared" si="49"/>
        <v>26.58</v>
      </c>
      <c r="W52" s="10">
        <v>13.81</v>
      </c>
      <c r="X52" s="150">
        <v>21.36</v>
      </c>
      <c r="Y52" s="15">
        <v>25.908000000000001</v>
      </c>
      <c r="Z52" s="10"/>
    </row>
    <row r="53" spans="2:26" x14ac:dyDescent="0.25">
      <c r="B53" t="s">
        <v>215</v>
      </c>
      <c r="C53" s="10"/>
      <c r="D53" s="10"/>
      <c r="E53" s="10">
        <v>10.903</v>
      </c>
      <c r="F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>
        <f t="shared" si="49"/>
        <v>0</v>
      </c>
      <c r="W53" s="10"/>
      <c r="X53" s="150"/>
      <c r="Y53" s="15"/>
      <c r="Z53" s="10"/>
    </row>
    <row r="54" spans="2:26" x14ac:dyDescent="0.25">
      <c r="B54" t="s">
        <v>216</v>
      </c>
      <c r="C54" s="10">
        <v>81.935000000000002</v>
      </c>
      <c r="D54" s="10">
        <v>98.691999999999993</v>
      </c>
      <c r="E54" s="10">
        <v>117.468</v>
      </c>
      <c r="F54" s="15">
        <v>118.723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>
        <f t="shared" si="49"/>
        <v>118.723</v>
      </c>
      <c r="W54" s="10">
        <v>132.387</v>
      </c>
      <c r="X54" s="150">
        <v>134.36099999999999</v>
      </c>
      <c r="Y54" s="15">
        <v>141.267</v>
      </c>
      <c r="Z54" s="10"/>
    </row>
    <row r="55" spans="2:26" x14ac:dyDescent="0.25">
      <c r="B55" t="s">
        <v>217</v>
      </c>
      <c r="C55" s="10">
        <v>6.8440000000000003</v>
      </c>
      <c r="D55" s="10">
        <v>9.0009999999999994</v>
      </c>
      <c r="E55" s="10">
        <v>9.4079999999999995</v>
      </c>
      <c r="F55" s="15">
        <v>10.436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>
        <f t="shared" si="49"/>
        <v>10.436</v>
      </c>
      <c r="W55" s="10">
        <v>10.63</v>
      </c>
      <c r="X55" s="150">
        <v>10.895</v>
      </c>
      <c r="Y55" s="15">
        <v>10.784000000000001</v>
      </c>
      <c r="Z55" s="10"/>
    </row>
    <row r="56" spans="2:26" s="1" customFormat="1" x14ac:dyDescent="0.25">
      <c r="B56" s="1" t="s">
        <v>62</v>
      </c>
      <c r="C56" s="11">
        <f>SUM(C50:C55)</f>
        <v>145.82599999999999</v>
      </c>
      <c r="D56" s="11">
        <f>SUM(D50:D55)</f>
        <v>168.358</v>
      </c>
      <c r="E56" s="11">
        <f>SUM(E50:E55)</f>
        <v>192.042</v>
      </c>
      <c r="F56" s="14">
        <f>SUM(F50:F55)</f>
        <v>191.56300000000002</v>
      </c>
      <c r="K56" s="11">
        <f t="shared" ref="K56:Z56" si="50">SUM(K50:K55)</f>
        <v>0</v>
      </c>
      <c r="L56" s="11">
        <f t="shared" si="50"/>
        <v>0</v>
      </c>
      <c r="M56" s="11">
        <f t="shared" si="50"/>
        <v>0</v>
      </c>
      <c r="N56" s="11">
        <f t="shared" si="50"/>
        <v>0</v>
      </c>
      <c r="O56" s="11">
        <f t="shared" si="50"/>
        <v>0</v>
      </c>
      <c r="P56" s="11">
        <f t="shared" si="50"/>
        <v>0</v>
      </c>
      <c r="Q56" s="11">
        <f t="shared" si="50"/>
        <v>0</v>
      </c>
      <c r="R56" s="11">
        <f t="shared" si="50"/>
        <v>0</v>
      </c>
      <c r="S56" s="11">
        <f t="shared" si="50"/>
        <v>0</v>
      </c>
      <c r="T56" s="11">
        <f t="shared" si="50"/>
        <v>0</v>
      </c>
      <c r="U56" s="11">
        <f t="shared" si="50"/>
        <v>0</v>
      </c>
      <c r="V56" s="11">
        <f t="shared" si="50"/>
        <v>191.56300000000002</v>
      </c>
      <c r="W56" s="11">
        <f t="shared" si="50"/>
        <v>192.65199999999999</v>
      </c>
      <c r="X56" s="148">
        <f t="shared" si="50"/>
        <v>201.20400000000001</v>
      </c>
      <c r="Y56" s="14">
        <f t="shared" si="50"/>
        <v>210.80399999999997</v>
      </c>
      <c r="Z56" s="11">
        <f t="shared" si="50"/>
        <v>0</v>
      </c>
    </row>
    <row r="57" spans="2:26" x14ac:dyDescent="0.25">
      <c r="B57" t="s">
        <v>215</v>
      </c>
      <c r="C57" s="10">
        <v>557.46799999999996</v>
      </c>
      <c r="D57" s="10">
        <v>551.59799999999996</v>
      </c>
      <c r="E57" s="10">
        <v>657.78899999999999</v>
      </c>
      <c r="F57" s="15">
        <v>490.464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>
        <f t="shared" ref="V57:V60" si="51">F57</f>
        <v>490.464</v>
      </c>
      <c r="W57" s="10">
        <v>490.96</v>
      </c>
      <c r="X57" s="150">
        <v>491.45600000000002</v>
      </c>
      <c r="Y57" s="15">
        <v>491.95100000000002</v>
      </c>
      <c r="Z57" s="10"/>
    </row>
    <row r="58" spans="2:26" x14ac:dyDescent="0.25">
      <c r="B58" t="s">
        <v>218</v>
      </c>
      <c r="C58" s="10">
        <v>29.202999999999999</v>
      </c>
      <c r="D58" s="10">
        <v>29.167999999999999</v>
      </c>
      <c r="E58" s="10">
        <v>21.690999999999999</v>
      </c>
      <c r="F58" s="15">
        <v>17.350000000000001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>
        <f t="shared" si="51"/>
        <v>17.350000000000001</v>
      </c>
      <c r="W58" s="10">
        <v>26.850999999999999</v>
      </c>
      <c r="X58" s="150">
        <v>24.334</v>
      </c>
      <c r="Y58" s="15">
        <v>25.324000000000002</v>
      </c>
      <c r="Z58" s="10"/>
    </row>
    <row r="59" spans="2:26" x14ac:dyDescent="0.25">
      <c r="B59" t="s">
        <v>217</v>
      </c>
      <c r="C59" s="10">
        <v>36.738999999999997</v>
      </c>
      <c r="D59" s="10">
        <v>61.374000000000002</v>
      </c>
      <c r="E59" s="10">
        <v>52.991</v>
      </c>
      <c r="F59" s="15">
        <v>45.588000000000001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>
        <f t="shared" si="51"/>
        <v>45.588000000000001</v>
      </c>
      <c r="W59" s="10">
        <v>44.429000000000002</v>
      </c>
      <c r="X59" s="150">
        <v>41.771000000000001</v>
      </c>
      <c r="Y59" s="15">
        <v>39.356999999999999</v>
      </c>
      <c r="Z59" s="10"/>
    </row>
    <row r="60" spans="2:26" x14ac:dyDescent="0.25">
      <c r="B60" t="s">
        <v>219</v>
      </c>
      <c r="C60" s="10">
        <v>4.1020000000000003</v>
      </c>
      <c r="D60" s="10">
        <v>4.2510000000000003</v>
      </c>
      <c r="E60" s="10">
        <v>6.1890000000000001</v>
      </c>
      <c r="F60" s="15">
        <v>7.9809999999999999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>
        <f t="shared" si="51"/>
        <v>7.9809999999999999</v>
      </c>
      <c r="W60" s="10">
        <v>8.5239999999999991</v>
      </c>
      <c r="X60" s="150">
        <v>9.5939999999999994</v>
      </c>
      <c r="Y60" s="15">
        <v>10.262</v>
      </c>
      <c r="Z60" s="10"/>
    </row>
    <row r="61" spans="2:26" x14ac:dyDescent="0.25">
      <c r="B61" s="1" t="s">
        <v>28</v>
      </c>
      <c r="C61" s="11">
        <f>SUM(C56:C60)</f>
        <v>773.33799999999997</v>
      </c>
      <c r="D61" s="11">
        <f>SUM(D56:D60)</f>
        <v>814.74899999999991</v>
      </c>
      <c r="E61" s="11">
        <f>SUM(E56:E60)</f>
        <v>930.702</v>
      </c>
      <c r="F61" s="14">
        <f>SUM(F56:F60)</f>
        <v>752.94600000000003</v>
      </c>
      <c r="K61" s="11">
        <f t="shared" ref="K61:Z61" si="52">SUM(K56:K60)</f>
        <v>0</v>
      </c>
      <c r="L61" s="11">
        <f t="shared" si="52"/>
        <v>0</v>
      </c>
      <c r="M61" s="11">
        <f t="shared" si="52"/>
        <v>0</v>
      </c>
      <c r="N61" s="11">
        <f t="shared" si="52"/>
        <v>0</v>
      </c>
      <c r="O61" s="11">
        <f t="shared" si="52"/>
        <v>0</v>
      </c>
      <c r="P61" s="11">
        <f t="shared" si="52"/>
        <v>0</v>
      </c>
      <c r="Q61" s="11">
        <f t="shared" si="52"/>
        <v>0</v>
      </c>
      <c r="R61" s="11">
        <f t="shared" si="52"/>
        <v>0</v>
      </c>
      <c r="S61" s="11">
        <f t="shared" si="52"/>
        <v>0</v>
      </c>
      <c r="T61" s="11">
        <f t="shared" si="52"/>
        <v>0</v>
      </c>
      <c r="U61" s="11">
        <f t="shared" si="52"/>
        <v>0</v>
      </c>
      <c r="V61" s="11">
        <f t="shared" si="52"/>
        <v>752.94600000000003</v>
      </c>
      <c r="W61" s="11">
        <f t="shared" si="52"/>
        <v>763.41599999999994</v>
      </c>
      <c r="X61" s="148">
        <f t="shared" si="52"/>
        <v>768.35900000000004</v>
      </c>
      <c r="Y61" s="14">
        <f t="shared" si="52"/>
        <v>777.69799999999987</v>
      </c>
      <c r="Z61" s="11">
        <f t="shared" si="52"/>
        <v>0</v>
      </c>
    </row>
    <row r="62" spans="2:26" x14ac:dyDescent="0.25">
      <c r="B62" t="s">
        <v>80</v>
      </c>
      <c r="C62" s="10">
        <f>C49-C61</f>
        <v>643.36399999999981</v>
      </c>
      <c r="D62" s="10">
        <f>D49-D61</f>
        <v>570.29600000000016</v>
      </c>
      <c r="E62" s="10">
        <f>E49-E61</f>
        <v>419.02399999999989</v>
      </c>
      <c r="F62" s="15">
        <f>F49-F61</f>
        <v>448.47900000000016</v>
      </c>
      <c r="K62" s="10">
        <f t="shared" ref="K62:Z62" si="53">K49-K61</f>
        <v>0</v>
      </c>
      <c r="L62" s="10">
        <f t="shared" si="53"/>
        <v>0</v>
      </c>
      <c r="M62" s="10">
        <f t="shared" si="53"/>
        <v>0</v>
      </c>
      <c r="N62" s="10">
        <f t="shared" si="53"/>
        <v>0</v>
      </c>
      <c r="O62" s="10">
        <f t="shared" si="53"/>
        <v>0</v>
      </c>
      <c r="P62" s="10">
        <f t="shared" si="53"/>
        <v>0</v>
      </c>
      <c r="Q62" s="10">
        <f t="shared" si="53"/>
        <v>0</v>
      </c>
      <c r="R62" s="10">
        <f t="shared" si="53"/>
        <v>0</v>
      </c>
      <c r="S62" s="10">
        <f t="shared" si="53"/>
        <v>0</v>
      </c>
      <c r="T62" s="10">
        <f t="shared" si="53"/>
        <v>0</v>
      </c>
      <c r="U62" s="10">
        <f t="shared" si="53"/>
        <v>0</v>
      </c>
      <c r="V62" s="10">
        <f t="shared" si="53"/>
        <v>448.47900000000016</v>
      </c>
      <c r="W62" s="10">
        <f t="shared" si="53"/>
        <v>464.97100000000023</v>
      </c>
      <c r="X62" s="150">
        <f t="shared" si="53"/>
        <v>480.66500000000008</v>
      </c>
      <c r="Y62" s="15">
        <f t="shared" si="53"/>
        <v>495.11700000000019</v>
      </c>
      <c r="Z62" s="10">
        <f t="shared" si="53"/>
        <v>0</v>
      </c>
    </row>
    <row r="64" spans="2:26" s="1" customFormat="1" x14ac:dyDescent="0.25">
      <c r="B64" s="1" t="s">
        <v>82</v>
      </c>
      <c r="C64" s="51"/>
      <c r="D64" s="51"/>
      <c r="E64" s="51"/>
      <c r="F64" s="52"/>
      <c r="X64" s="154"/>
      <c r="Y64" s="16"/>
    </row>
    <row r="82" spans="6:25" s="9" customFormat="1" x14ac:dyDescent="0.25">
      <c r="F82" s="41"/>
      <c r="X82" s="155"/>
      <c r="Y82" s="41"/>
    </row>
    <row r="83" spans="6:25" s="1" customFormat="1" x14ac:dyDescent="0.25">
      <c r="F83" s="16"/>
      <c r="X83" s="154"/>
      <c r="Y8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37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37</v>
      </c>
      <c r="B1" t="s">
        <v>50</v>
      </c>
      <c r="C1" s="17" t="s">
        <v>51</v>
      </c>
    </row>
    <row r="2" spans="1:13" x14ac:dyDescent="0.25">
      <c r="B2" s="12"/>
      <c r="C2" s="18"/>
      <c r="E2" t="s">
        <v>50</v>
      </c>
      <c r="F2" t="s">
        <v>52</v>
      </c>
      <c r="M2" t="s">
        <v>53</v>
      </c>
    </row>
    <row r="3" spans="1:13" x14ac:dyDescent="0.25">
      <c r="B3" s="12"/>
      <c r="C3" s="18"/>
      <c r="E3" s="12">
        <v>45328</v>
      </c>
      <c r="F3" t="s">
        <v>55</v>
      </c>
      <c r="M3" s="12"/>
    </row>
    <row r="4" spans="1:13" x14ac:dyDescent="0.25">
      <c r="B4" s="12"/>
      <c r="C4" s="18"/>
      <c r="E4" s="12">
        <v>45302</v>
      </c>
      <c r="F4" t="s">
        <v>55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37</v>
      </c>
      <c r="B1" s="1" t="s">
        <v>50</v>
      </c>
      <c r="C1" s="1" t="s">
        <v>0</v>
      </c>
      <c r="D1" s="1" t="s">
        <v>95</v>
      </c>
      <c r="H1" s="137" t="s">
        <v>96</v>
      </c>
      <c r="I1" s="138"/>
      <c r="J1" s="138"/>
      <c r="K1" s="138"/>
      <c r="L1" s="138"/>
      <c r="M1" s="139"/>
    </row>
    <row r="2" spans="1:13" ht="15.75" thickBot="1" x14ac:dyDescent="0.3">
      <c r="D2" t="e">
        <f>C2/C3-1</f>
        <v>#DIV/0!</v>
      </c>
      <c r="H2" s="60"/>
      <c r="I2" s="61"/>
      <c r="J2" s="61"/>
      <c r="K2" s="61"/>
      <c r="L2" s="61"/>
      <c r="M2" s="62"/>
    </row>
    <row r="3" spans="1:13" ht="15.75" thickBot="1" x14ac:dyDescent="0.3">
      <c r="D3" t="e">
        <f t="shared" ref="D3:D66" si="0">C3/C4-1</f>
        <v>#DIV/0!</v>
      </c>
      <c r="H3" s="63" t="s">
        <v>97</v>
      </c>
      <c r="I3" s="64" t="s">
        <v>98</v>
      </c>
      <c r="J3" s="65" t="s">
        <v>99</v>
      </c>
      <c r="K3" s="66" t="s">
        <v>100</v>
      </c>
      <c r="L3" s="66" t="s">
        <v>101</v>
      </c>
      <c r="M3" s="67" t="s">
        <v>102</v>
      </c>
    </row>
    <row r="4" spans="1:13" x14ac:dyDescent="0.25">
      <c r="D4" t="e">
        <f t="shared" si="0"/>
        <v>#DIV/0!</v>
      </c>
      <c r="H4" s="68" t="e">
        <f>$I$19-3*$I$23</f>
        <v>#DIV/0!</v>
      </c>
      <c r="I4" s="69" t="e">
        <f>H4</f>
        <v>#DIV/0!</v>
      </c>
      <c r="J4" s="70">
        <f>COUNTIF(D:D,"&lt;="&amp;H4)</f>
        <v>67</v>
      </c>
      <c r="K4" s="70" t="e">
        <f>"Less than "&amp;TEXT(H4,"0,00%")</f>
        <v>#DIV/0!</v>
      </c>
      <c r="L4" s="71" t="e">
        <f>J4/$I$31</f>
        <v>#DIV/0!</v>
      </c>
      <c r="M4" s="72" t="e">
        <f>L4</f>
        <v>#DIV/0!</v>
      </c>
    </row>
    <row r="5" spans="1:13" x14ac:dyDescent="0.25">
      <c r="D5" t="e">
        <f t="shared" si="0"/>
        <v>#DIV/0!</v>
      </c>
      <c r="H5" s="73" t="e">
        <f>$I$19-2.4*$I$23</f>
        <v>#DIV/0!</v>
      </c>
      <c r="I5" s="74" t="e">
        <f>H5</f>
        <v>#DIV/0!</v>
      </c>
      <c r="J5" s="75">
        <f>COUNTIFS(D:D,"&lt;="&amp;H5,D:D,"&gt;"&amp;H4)</f>
        <v>67</v>
      </c>
      <c r="K5" s="76" t="e">
        <f t="shared" ref="K5:K14" si="1">TEXT(H4,"0,00%")&amp;" to "&amp;TEXT(H5,"0,00%")</f>
        <v>#DIV/0!</v>
      </c>
      <c r="L5" s="77" t="e">
        <f>J5/$I$31</f>
        <v>#DIV/0!</v>
      </c>
      <c r="M5" s="78" t="e">
        <f>M4+L5</f>
        <v>#DIV/0!</v>
      </c>
    </row>
    <row r="6" spans="1:13" x14ac:dyDescent="0.25">
      <c r="D6" t="e">
        <f t="shared" si="0"/>
        <v>#DIV/0!</v>
      </c>
      <c r="H6" s="73" t="e">
        <f>$I$19-1.8*$I$23</f>
        <v>#DIV/0!</v>
      </c>
      <c r="I6" s="74" t="e">
        <f t="shared" ref="I6:I14" si="2">H6</f>
        <v>#DIV/0!</v>
      </c>
      <c r="J6" s="75">
        <f t="shared" ref="J6:J14" si="3">COUNTIFS(D:D,"&lt;="&amp;H6,D:D,"&gt;"&amp;H5)</f>
        <v>67</v>
      </c>
      <c r="K6" s="76" t="e">
        <f t="shared" si="1"/>
        <v>#DIV/0!</v>
      </c>
      <c r="L6" s="77" t="e">
        <f t="shared" ref="L6:L15" si="4">J6/$I$31</f>
        <v>#DIV/0!</v>
      </c>
      <c r="M6" s="78" t="e">
        <f t="shared" ref="M6:M15" si="5">M5+L6</f>
        <v>#DIV/0!</v>
      </c>
    </row>
    <row r="7" spans="1:13" x14ac:dyDescent="0.25">
      <c r="D7" t="e">
        <f t="shared" si="0"/>
        <v>#DIV/0!</v>
      </c>
      <c r="H7" s="73" t="e">
        <f>$I$19-1.2*$I$23</f>
        <v>#DIV/0!</v>
      </c>
      <c r="I7" s="74" t="e">
        <f t="shared" si="2"/>
        <v>#DIV/0!</v>
      </c>
      <c r="J7" s="75">
        <f t="shared" si="3"/>
        <v>67</v>
      </c>
      <c r="K7" s="76" t="e">
        <f t="shared" si="1"/>
        <v>#DIV/0!</v>
      </c>
      <c r="L7" s="77" t="e">
        <f t="shared" si="4"/>
        <v>#DIV/0!</v>
      </c>
      <c r="M7" s="78" t="e">
        <f t="shared" si="5"/>
        <v>#DIV/0!</v>
      </c>
    </row>
    <row r="8" spans="1:13" x14ac:dyDescent="0.25">
      <c r="D8" t="e">
        <f t="shared" si="0"/>
        <v>#DIV/0!</v>
      </c>
      <c r="H8" s="73" t="e">
        <f>$I$19-0.6*$I$23</f>
        <v>#DIV/0!</v>
      </c>
      <c r="I8" s="74" t="e">
        <f t="shared" si="2"/>
        <v>#DIV/0!</v>
      </c>
      <c r="J8" s="75">
        <f t="shared" si="3"/>
        <v>67</v>
      </c>
      <c r="K8" s="76" t="e">
        <f t="shared" si="1"/>
        <v>#DIV/0!</v>
      </c>
      <c r="L8" s="77" t="e">
        <f t="shared" si="4"/>
        <v>#DIV/0!</v>
      </c>
      <c r="M8" s="78" t="e">
        <f t="shared" si="5"/>
        <v>#DIV/0!</v>
      </c>
    </row>
    <row r="9" spans="1:13" x14ac:dyDescent="0.25">
      <c r="D9" t="e">
        <f t="shared" si="0"/>
        <v>#DIV/0!</v>
      </c>
      <c r="H9" s="73" t="e">
        <f>$I$19</f>
        <v>#DIV/0!</v>
      </c>
      <c r="I9" s="74" t="e">
        <f t="shared" si="2"/>
        <v>#DIV/0!</v>
      </c>
      <c r="J9" s="75">
        <f t="shared" si="3"/>
        <v>67</v>
      </c>
      <c r="K9" s="76" t="e">
        <f t="shared" si="1"/>
        <v>#DIV/0!</v>
      </c>
      <c r="L9" s="77" t="e">
        <f t="shared" si="4"/>
        <v>#DIV/0!</v>
      </c>
      <c r="M9" s="78" t="e">
        <f t="shared" si="5"/>
        <v>#DIV/0!</v>
      </c>
    </row>
    <row r="10" spans="1:13" x14ac:dyDescent="0.25">
      <c r="D10" t="e">
        <f t="shared" si="0"/>
        <v>#DIV/0!</v>
      </c>
      <c r="H10" s="73" t="e">
        <f>$I$19+0.6*$I$23</f>
        <v>#DIV/0!</v>
      </c>
      <c r="I10" s="74" t="e">
        <f t="shared" si="2"/>
        <v>#DIV/0!</v>
      </c>
      <c r="J10" s="75">
        <f t="shared" si="3"/>
        <v>67</v>
      </c>
      <c r="K10" s="76" t="e">
        <f t="shared" si="1"/>
        <v>#DIV/0!</v>
      </c>
      <c r="L10" s="77" t="e">
        <f t="shared" si="4"/>
        <v>#DIV/0!</v>
      </c>
      <c r="M10" s="78" t="e">
        <f t="shared" si="5"/>
        <v>#DIV/0!</v>
      </c>
    </row>
    <row r="11" spans="1:13" x14ac:dyDescent="0.25">
      <c r="D11" t="e">
        <f t="shared" si="0"/>
        <v>#DIV/0!</v>
      </c>
      <c r="H11" s="73" t="e">
        <f>$I$19+1.2*$I$23</f>
        <v>#DIV/0!</v>
      </c>
      <c r="I11" s="74" t="e">
        <f t="shared" si="2"/>
        <v>#DIV/0!</v>
      </c>
      <c r="J11" s="75">
        <f t="shared" si="3"/>
        <v>67</v>
      </c>
      <c r="K11" s="76" t="e">
        <f t="shared" si="1"/>
        <v>#DIV/0!</v>
      </c>
      <c r="L11" s="77" t="e">
        <f t="shared" si="4"/>
        <v>#DIV/0!</v>
      </c>
      <c r="M11" s="78" t="e">
        <f t="shared" si="5"/>
        <v>#DIV/0!</v>
      </c>
    </row>
    <row r="12" spans="1:13" x14ac:dyDescent="0.25">
      <c r="D12" t="e">
        <f t="shared" si="0"/>
        <v>#DIV/0!</v>
      </c>
      <c r="H12" s="73" t="e">
        <f>$I$19+1.8*$I$23</f>
        <v>#DIV/0!</v>
      </c>
      <c r="I12" s="74" t="e">
        <f t="shared" si="2"/>
        <v>#DIV/0!</v>
      </c>
      <c r="J12" s="75">
        <f t="shared" si="3"/>
        <v>67</v>
      </c>
      <c r="K12" s="76" t="e">
        <f t="shared" si="1"/>
        <v>#DIV/0!</v>
      </c>
      <c r="L12" s="77" t="e">
        <f t="shared" si="4"/>
        <v>#DIV/0!</v>
      </c>
      <c r="M12" s="78" t="e">
        <f t="shared" si="5"/>
        <v>#DIV/0!</v>
      </c>
    </row>
    <row r="13" spans="1:13" x14ac:dyDescent="0.25">
      <c r="D13" t="e">
        <f t="shared" si="0"/>
        <v>#DIV/0!</v>
      </c>
      <c r="H13" s="73" t="e">
        <f>$I$19+2.4*$I$23</f>
        <v>#DIV/0!</v>
      </c>
      <c r="I13" s="74" t="e">
        <f t="shared" si="2"/>
        <v>#DIV/0!</v>
      </c>
      <c r="J13" s="75">
        <f t="shared" si="3"/>
        <v>67</v>
      </c>
      <c r="K13" s="76" t="e">
        <f t="shared" si="1"/>
        <v>#DIV/0!</v>
      </c>
      <c r="L13" s="77" t="e">
        <f t="shared" si="4"/>
        <v>#DIV/0!</v>
      </c>
      <c r="M13" s="78" t="e">
        <f t="shared" si="5"/>
        <v>#DIV/0!</v>
      </c>
    </row>
    <row r="14" spans="1:13" x14ac:dyDescent="0.25">
      <c r="D14" t="e">
        <f t="shared" si="0"/>
        <v>#DIV/0!</v>
      </c>
      <c r="H14" s="73" t="e">
        <f>$I$19+3*$I$23</f>
        <v>#DIV/0!</v>
      </c>
      <c r="I14" s="74" t="e">
        <f t="shared" si="2"/>
        <v>#DIV/0!</v>
      </c>
      <c r="J14" s="75">
        <f t="shared" si="3"/>
        <v>67</v>
      </c>
      <c r="K14" s="76" t="e">
        <f t="shared" si="1"/>
        <v>#DIV/0!</v>
      </c>
      <c r="L14" s="77" t="e">
        <f t="shared" si="4"/>
        <v>#DIV/0!</v>
      </c>
      <c r="M14" s="78" t="e">
        <f t="shared" si="5"/>
        <v>#DIV/0!</v>
      </c>
    </row>
    <row r="15" spans="1:13" ht="15.75" thickBot="1" x14ac:dyDescent="0.3">
      <c r="D15" t="e">
        <f t="shared" si="0"/>
        <v>#DIV/0!</v>
      </c>
      <c r="H15" s="79"/>
      <c r="I15" s="80" t="s">
        <v>103</v>
      </c>
      <c r="J15" s="80">
        <f>COUNTIF(D:D,"&gt;"&amp;H14)</f>
        <v>67</v>
      </c>
      <c r="K15" s="80" t="e">
        <f>"Greater than "&amp;TEXT(H14,"0,00%")</f>
        <v>#DIV/0!</v>
      </c>
      <c r="L15" s="81" t="e">
        <f t="shared" si="4"/>
        <v>#DIV/0!</v>
      </c>
      <c r="M15" s="81" t="e">
        <f t="shared" si="5"/>
        <v>#DIV/0!</v>
      </c>
    </row>
    <row r="16" spans="1:13" ht="15.75" thickBot="1" x14ac:dyDescent="0.3">
      <c r="D16" t="e">
        <f t="shared" si="0"/>
        <v>#DIV/0!</v>
      </c>
      <c r="H16" s="82"/>
      <c r="M16" s="83"/>
    </row>
    <row r="17" spans="4:13" x14ac:dyDescent="0.25">
      <c r="D17" t="e">
        <f t="shared" si="0"/>
        <v>#DIV/0!</v>
      </c>
      <c r="H17" s="140" t="s">
        <v>134</v>
      </c>
      <c r="I17" s="141"/>
      <c r="M17" s="83"/>
    </row>
    <row r="18" spans="4:13" x14ac:dyDescent="0.25">
      <c r="D18" t="e">
        <f t="shared" si="0"/>
        <v>#DIV/0!</v>
      </c>
      <c r="H18" s="142"/>
      <c r="I18" s="143"/>
      <c r="M18" s="83"/>
    </row>
    <row r="19" spans="4:13" x14ac:dyDescent="0.25">
      <c r="D19" t="e">
        <f t="shared" si="0"/>
        <v>#DIV/0!</v>
      </c>
      <c r="H19" s="84" t="s">
        <v>104</v>
      </c>
      <c r="I19" s="121" t="e">
        <f>AVERAGE(D:D)</f>
        <v>#DIV/0!</v>
      </c>
      <c r="M19" s="83"/>
    </row>
    <row r="20" spans="4:13" x14ac:dyDescent="0.25">
      <c r="D20" t="e">
        <f t="shared" si="0"/>
        <v>#DIV/0!</v>
      </c>
      <c r="H20" s="84" t="s">
        <v>105</v>
      </c>
      <c r="I20" s="121" t="e">
        <f>_xlfn.STDEV.S(D:D)/SQRT(COUNT(D:D))</f>
        <v>#DIV/0!</v>
      </c>
      <c r="M20" s="83"/>
    </row>
    <row r="21" spans="4:13" x14ac:dyDescent="0.25">
      <c r="D21" t="e">
        <f t="shared" si="0"/>
        <v>#DIV/0!</v>
      </c>
      <c r="H21" s="84" t="s">
        <v>106</v>
      </c>
      <c r="I21" s="121" t="e">
        <f>MEDIAN(D:D)</f>
        <v>#DIV/0!</v>
      </c>
      <c r="M21" s="83"/>
    </row>
    <row r="22" spans="4:13" x14ac:dyDescent="0.25">
      <c r="D22" t="e">
        <f t="shared" si="0"/>
        <v>#DIV/0!</v>
      </c>
      <c r="H22" s="84" t="s">
        <v>107</v>
      </c>
      <c r="I22" s="121" t="e">
        <f>MODE(D:D)</f>
        <v>#DIV/0!</v>
      </c>
      <c r="M22" s="83"/>
    </row>
    <row r="23" spans="4:13" x14ac:dyDescent="0.25">
      <c r="D23" t="e">
        <f t="shared" si="0"/>
        <v>#DIV/0!</v>
      </c>
      <c r="H23" s="84" t="s">
        <v>108</v>
      </c>
      <c r="I23" s="121" t="e">
        <f>_xlfn.STDEV.S(D:D)</f>
        <v>#DIV/0!</v>
      </c>
      <c r="M23" s="83"/>
    </row>
    <row r="24" spans="4:13" x14ac:dyDescent="0.25">
      <c r="D24" t="e">
        <f t="shared" si="0"/>
        <v>#DIV/0!</v>
      </c>
      <c r="H24" s="84" t="s">
        <v>109</v>
      </c>
      <c r="I24" s="121" t="e">
        <f>_xlfn.VAR.S(D:D)</f>
        <v>#DIV/0!</v>
      </c>
      <c r="M24" s="83"/>
    </row>
    <row r="25" spans="4:13" x14ac:dyDescent="0.25">
      <c r="D25" t="e">
        <f t="shared" si="0"/>
        <v>#DIV/0!</v>
      </c>
      <c r="H25" s="84" t="s">
        <v>110</v>
      </c>
      <c r="I25" s="122" t="e">
        <f>KURT(D:D)</f>
        <v>#DIV/0!</v>
      </c>
      <c r="M25" s="83"/>
    </row>
    <row r="26" spans="4:13" x14ac:dyDescent="0.25">
      <c r="D26" t="e">
        <f t="shared" si="0"/>
        <v>#DIV/0!</v>
      </c>
      <c r="H26" s="84" t="s">
        <v>111</v>
      </c>
      <c r="I26" s="122" t="e">
        <f>SKEW(D:D)</f>
        <v>#DIV/0!</v>
      </c>
      <c r="M26" s="83"/>
    </row>
    <row r="27" spans="4:13" x14ac:dyDescent="0.25">
      <c r="D27" t="e">
        <f t="shared" si="0"/>
        <v>#DIV/0!</v>
      </c>
      <c r="H27" s="84" t="s">
        <v>100</v>
      </c>
      <c r="I27" s="121" t="e">
        <f>I29-I28</f>
        <v>#DIV/0!</v>
      </c>
      <c r="M27" s="83"/>
    </row>
    <row r="28" spans="4:13" x14ac:dyDescent="0.25">
      <c r="D28" t="e">
        <f t="shared" si="0"/>
        <v>#DIV/0!</v>
      </c>
      <c r="H28" s="84" t="s">
        <v>112</v>
      </c>
      <c r="I28" s="121" t="e">
        <f>MIN(D:D)</f>
        <v>#DIV/0!</v>
      </c>
      <c r="M28" s="83"/>
    </row>
    <row r="29" spans="4:13" x14ac:dyDescent="0.25">
      <c r="D29" t="e">
        <f t="shared" si="0"/>
        <v>#DIV/0!</v>
      </c>
      <c r="H29" s="84" t="s">
        <v>113</v>
      </c>
      <c r="I29" s="121" t="e">
        <f>MAX(D:D)</f>
        <v>#DIV/0!</v>
      </c>
      <c r="M29" s="83"/>
    </row>
    <row r="30" spans="4:13" x14ac:dyDescent="0.25">
      <c r="D30" t="e">
        <f t="shared" si="0"/>
        <v>#DIV/0!</v>
      </c>
      <c r="H30" s="84" t="s">
        <v>114</v>
      </c>
      <c r="I30" s="122" t="e">
        <f>SUM(D:D)</f>
        <v>#DIV/0!</v>
      </c>
      <c r="M30" s="83"/>
    </row>
    <row r="31" spans="4:13" ht="15.75" thickBot="1" x14ac:dyDescent="0.3">
      <c r="D31" t="e">
        <f t="shared" si="0"/>
        <v>#DIV/0!</v>
      </c>
      <c r="H31" s="85" t="s">
        <v>115</v>
      </c>
      <c r="I31" s="62">
        <f>COUNT(D:D)</f>
        <v>0</v>
      </c>
      <c r="M31" s="83"/>
    </row>
    <row r="32" spans="4:13" ht="15.75" thickBot="1" x14ac:dyDescent="0.3">
      <c r="D32" t="e">
        <f t="shared" si="0"/>
        <v>#DIV/0!</v>
      </c>
      <c r="H32" s="87"/>
      <c r="M32" s="83"/>
    </row>
    <row r="33" spans="4:13" x14ac:dyDescent="0.25">
      <c r="D33" t="e">
        <f t="shared" si="0"/>
        <v>#DIV/0!</v>
      </c>
      <c r="H33" s="88"/>
      <c r="I33" s="89" t="s">
        <v>116</v>
      </c>
      <c r="J33" s="89" t="s">
        <v>115</v>
      </c>
      <c r="K33" s="89" t="s">
        <v>117</v>
      </c>
      <c r="L33" s="90" t="s">
        <v>118</v>
      </c>
      <c r="M33" s="83"/>
    </row>
    <row r="34" spans="4:13" x14ac:dyDescent="0.25">
      <c r="D34" t="e">
        <f t="shared" si="0"/>
        <v>#DIV/0!</v>
      </c>
      <c r="H34" s="91" t="s">
        <v>119</v>
      </c>
      <c r="I34" s="77" t="e">
        <f>AVERAGEIF(D:D,"&gt;0")</f>
        <v>#DIV/0!</v>
      </c>
      <c r="J34" s="75">
        <f>COUNTIF(D:D,"&gt;0")</f>
        <v>0</v>
      </c>
      <c r="K34" s="77" t="e">
        <f>J34/$I$31</f>
        <v>#DIV/0!</v>
      </c>
      <c r="L34" s="78" t="e">
        <f>K34*I34</f>
        <v>#DIV/0!</v>
      </c>
      <c r="M34" s="83"/>
    </row>
    <row r="35" spans="4:13" x14ac:dyDescent="0.25">
      <c r="D35" t="e">
        <f t="shared" si="0"/>
        <v>#DIV/0!</v>
      </c>
      <c r="H35" s="91" t="s">
        <v>120</v>
      </c>
      <c r="I35" s="77" t="e">
        <f>AVERAGEIF(D:D,"&lt;0")</f>
        <v>#DIV/0!</v>
      </c>
      <c r="J35" s="75">
        <f>COUNTIF(D:D,"&lt;0")</f>
        <v>0</v>
      </c>
      <c r="K35" s="77" t="e">
        <f>J35/$I$31</f>
        <v>#DIV/0!</v>
      </c>
      <c r="L35" s="78" t="e">
        <f t="shared" ref="L35:L36" si="6">K35*I35</f>
        <v>#DIV/0!</v>
      </c>
      <c r="M35" s="83"/>
    </row>
    <row r="36" spans="4:13" ht="15.75" thickBot="1" x14ac:dyDescent="0.3">
      <c r="D36" t="e">
        <f t="shared" si="0"/>
        <v>#DIV/0!</v>
      </c>
      <c r="H36" s="92" t="s">
        <v>121</v>
      </c>
      <c r="I36" s="80">
        <v>0</v>
      </c>
      <c r="J36" s="80">
        <f>COUNTIF(D:D,"0")</f>
        <v>0</v>
      </c>
      <c r="K36" s="93" t="e">
        <f>J36/$I$31</f>
        <v>#DIV/0!</v>
      </c>
      <c r="L36" s="81" t="e">
        <f t="shared" si="6"/>
        <v>#DIV/0!</v>
      </c>
      <c r="M36" s="83"/>
    </row>
    <row r="37" spans="4:13" ht="15.75" thickBot="1" x14ac:dyDescent="0.3">
      <c r="D37" t="e">
        <f t="shared" si="0"/>
        <v>#DIV/0!</v>
      </c>
      <c r="H37" s="87"/>
      <c r="I37" s="94"/>
      <c r="J37" s="94"/>
      <c r="K37" s="94"/>
      <c r="L37" s="94"/>
      <c r="M37" s="83"/>
    </row>
    <row r="38" spans="4:13" x14ac:dyDescent="0.25">
      <c r="D38" t="e">
        <f t="shared" si="0"/>
        <v>#DIV/0!</v>
      </c>
      <c r="H38" s="68" t="s">
        <v>122</v>
      </c>
      <c r="I38" s="89" t="s">
        <v>123</v>
      </c>
      <c r="J38" s="89" t="s">
        <v>124</v>
      </c>
      <c r="K38" s="89" t="s">
        <v>125</v>
      </c>
      <c r="L38" s="89" t="s">
        <v>126</v>
      </c>
      <c r="M38" s="90" t="s">
        <v>127</v>
      </c>
    </row>
    <row r="39" spans="4:13" x14ac:dyDescent="0.25">
      <c r="D39" t="e">
        <f t="shared" si="0"/>
        <v>#DIV/0!</v>
      </c>
      <c r="H39" s="95">
        <v>1</v>
      </c>
      <c r="I39" s="77" t="e">
        <f>$I$19+($H39*$I$23)</f>
        <v>#DIV/0!</v>
      </c>
      <c r="J39" s="77" t="e">
        <f>$I$19-($H39*$I$23)</f>
        <v>#DIV/0!</v>
      </c>
      <c r="K39" s="75">
        <f>COUNTIFS(D:D,"&lt;"&amp;I39,D:D,"&gt;"&amp;J39)</f>
        <v>67</v>
      </c>
      <c r="L39" s="77" t="e">
        <f>K39/$I$31</f>
        <v>#DIV/0!</v>
      </c>
      <c r="M39" s="78">
        <v>0.68269999999999997</v>
      </c>
    </row>
    <row r="40" spans="4:13" x14ac:dyDescent="0.25">
      <c r="D40" t="e">
        <f t="shared" si="0"/>
        <v>#DIV/0!</v>
      </c>
      <c r="H40" s="95">
        <v>2</v>
      </c>
      <c r="I40" s="77" t="e">
        <f>$I$19+($H40*$I$23)</f>
        <v>#DIV/0!</v>
      </c>
      <c r="J40" s="77" t="e">
        <f>$I$19-($H40*$I$23)</f>
        <v>#DIV/0!</v>
      </c>
      <c r="K40" s="75">
        <f>COUNTIFS(D:D,"&lt;"&amp;I40,D:D,"&gt;"&amp;J40)</f>
        <v>67</v>
      </c>
      <c r="L40" s="77" t="e">
        <f>K40/$I$31</f>
        <v>#DIV/0!</v>
      </c>
      <c r="M40" s="78">
        <v>0.95450000000000002</v>
      </c>
    </row>
    <row r="41" spans="4:13" x14ac:dyDescent="0.25">
      <c r="D41" t="e">
        <f t="shared" si="0"/>
        <v>#DIV/0!</v>
      </c>
      <c r="H41" s="95">
        <v>3</v>
      </c>
      <c r="I41" s="77" t="e">
        <f>$I$19+($H41*$I$23)</f>
        <v>#DIV/0!</v>
      </c>
      <c r="J41" s="77" t="e">
        <f>$I$19-($H41*$I$23)</f>
        <v>#DIV/0!</v>
      </c>
      <c r="K41" s="75">
        <f>COUNTIFS(D:D,"&lt;"&amp;I41,D:D,"&gt;"&amp;J41)</f>
        <v>67</v>
      </c>
      <c r="L41" s="77" t="e">
        <f>K41/$I$31</f>
        <v>#DIV/0!</v>
      </c>
      <c r="M41" s="96">
        <v>0.99729999999999996</v>
      </c>
    </row>
    <row r="42" spans="4:13" ht="15.75" thickBot="1" x14ac:dyDescent="0.3">
      <c r="D42" t="e">
        <f t="shared" si="0"/>
        <v>#DIV/0!</v>
      </c>
      <c r="H42" s="73"/>
      <c r="M42" s="96"/>
    </row>
    <row r="43" spans="4:13" ht="15.75" thickBot="1" x14ac:dyDescent="0.3">
      <c r="D43" t="e">
        <f t="shared" si="0"/>
        <v>#DIV/0!</v>
      </c>
      <c r="H43" s="144" t="s">
        <v>128</v>
      </c>
      <c r="I43" s="145"/>
      <c r="J43" s="145"/>
      <c r="K43" s="145"/>
      <c r="L43" s="145"/>
      <c r="M43" s="146"/>
    </row>
    <row r="44" spans="4:13" x14ac:dyDescent="0.25">
      <c r="D44" t="e">
        <f t="shared" si="0"/>
        <v>#DIV/0!</v>
      </c>
      <c r="H44" s="97">
        <v>0.01</v>
      </c>
      <c r="I44" s="98" t="e">
        <f t="shared" ref="I44:I58" si="7">_xlfn.PERCENTILE.INC(D:D,H44)</f>
        <v>#DIV/0!</v>
      </c>
      <c r="J44" s="99">
        <v>0.2</v>
      </c>
      <c r="K44" s="98" t="e">
        <f t="shared" ref="K44:K56" si="8">_xlfn.PERCENTILE.INC(D:D,J44)</f>
        <v>#DIV/0!</v>
      </c>
      <c r="L44" s="99">
        <v>0.85</v>
      </c>
      <c r="M44" s="100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1">
        <v>0.02</v>
      </c>
      <c r="I45" s="102" t="e">
        <f t="shared" si="7"/>
        <v>#DIV/0!</v>
      </c>
      <c r="J45" s="103">
        <v>0.25</v>
      </c>
      <c r="K45" s="102" t="e">
        <f t="shared" si="8"/>
        <v>#DIV/0!</v>
      </c>
      <c r="L45" s="103">
        <v>0.86</v>
      </c>
      <c r="M45" s="104" t="e">
        <f t="shared" si="9"/>
        <v>#DIV/0!</v>
      </c>
    </row>
    <row r="46" spans="4:13" x14ac:dyDescent="0.25">
      <c r="D46" t="e">
        <f t="shared" si="0"/>
        <v>#DIV/0!</v>
      </c>
      <c r="H46" s="101">
        <v>0.03</v>
      </c>
      <c r="I46" s="102" t="e">
        <f t="shared" si="7"/>
        <v>#DIV/0!</v>
      </c>
      <c r="J46" s="103">
        <v>0.3</v>
      </c>
      <c r="K46" s="102" t="e">
        <f t="shared" si="8"/>
        <v>#DIV/0!</v>
      </c>
      <c r="L46" s="103">
        <v>0.87</v>
      </c>
      <c r="M46" s="104" t="e">
        <f t="shared" si="9"/>
        <v>#DIV/0!</v>
      </c>
    </row>
    <row r="47" spans="4:13" x14ac:dyDescent="0.25">
      <c r="D47" t="e">
        <f t="shared" si="0"/>
        <v>#DIV/0!</v>
      </c>
      <c r="H47" s="101">
        <v>0.04</v>
      </c>
      <c r="I47" s="102" t="e">
        <f t="shared" si="7"/>
        <v>#DIV/0!</v>
      </c>
      <c r="J47" s="103">
        <v>0.35</v>
      </c>
      <c r="K47" s="102" t="e">
        <f t="shared" si="8"/>
        <v>#DIV/0!</v>
      </c>
      <c r="L47" s="103">
        <v>0.88</v>
      </c>
      <c r="M47" s="104" t="e">
        <f t="shared" si="9"/>
        <v>#DIV/0!</v>
      </c>
    </row>
    <row r="48" spans="4:13" x14ac:dyDescent="0.25">
      <c r="D48" t="e">
        <f t="shared" si="0"/>
        <v>#DIV/0!</v>
      </c>
      <c r="H48" s="101">
        <v>0.05</v>
      </c>
      <c r="I48" s="102" t="e">
        <f t="shared" si="7"/>
        <v>#DIV/0!</v>
      </c>
      <c r="J48" s="103">
        <v>0.4</v>
      </c>
      <c r="K48" s="102" t="e">
        <f t="shared" si="8"/>
        <v>#DIV/0!</v>
      </c>
      <c r="L48" s="103">
        <v>0.89</v>
      </c>
      <c r="M48" s="104" t="e">
        <f t="shared" si="9"/>
        <v>#DIV/0!</v>
      </c>
    </row>
    <row r="49" spans="4:13" x14ac:dyDescent="0.25">
      <c r="D49" t="e">
        <f t="shared" si="0"/>
        <v>#DIV/0!</v>
      </c>
      <c r="H49" s="101">
        <v>0.06</v>
      </c>
      <c r="I49" s="102" t="e">
        <f t="shared" si="7"/>
        <v>#DIV/0!</v>
      </c>
      <c r="J49" s="103">
        <v>0.45</v>
      </c>
      <c r="K49" s="102" t="e">
        <f t="shared" si="8"/>
        <v>#DIV/0!</v>
      </c>
      <c r="L49" s="103">
        <v>0.9</v>
      </c>
      <c r="M49" s="104" t="e">
        <f t="shared" si="9"/>
        <v>#DIV/0!</v>
      </c>
    </row>
    <row r="50" spans="4:13" x14ac:dyDescent="0.25">
      <c r="D50" t="e">
        <f t="shared" si="0"/>
        <v>#DIV/0!</v>
      </c>
      <c r="H50" s="101">
        <v>7.0000000000000007E-2</v>
      </c>
      <c r="I50" s="102" t="e">
        <f t="shared" si="7"/>
        <v>#DIV/0!</v>
      </c>
      <c r="J50" s="103">
        <v>0.5</v>
      </c>
      <c r="K50" s="102" t="e">
        <f t="shared" si="8"/>
        <v>#DIV/0!</v>
      </c>
      <c r="L50" s="103">
        <v>0.91</v>
      </c>
      <c r="M50" s="104" t="e">
        <f t="shared" si="9"/>
        <v>#DIV/0!</v>
      </c>
    </row>
    <row r="51" spans="4:13" x14ac:dyDescent="0.25">
      <c r="D51" t="e">
        <f t="shared" si="0"/>
        <v>#DIV/0!</v>
      </c>
      <c r="H51" s="101">
        <v>0.08</v>
      </c>
      <c r="I51" s="102" t="e">
        <f t="shared" si="7"/>
        <v>#DIV/0!</v>
      </c>
      <c r="J51" s="103">
        <v>0.55000000000000004</v>
      </c>
      <c r="K51" s="102" t="e">
        <f t="shared" si="8"/>
        <v>#DIV/0!</v>
      </c>
      <c r="L51" s="103">
        <v>0.92</v>
      </c>
      <c r="M51" s="104" t="e">
        <f t="shared" si="9"/>
        <v>#DIV/0!</v>
      </c>
    </row>
    <row r="52" spans="4:13" x14ac:dyDescent="0.25">
      <c r="D52" t="e">
        <f t="shared" si="0"/>
        <v>#DIV/0!</v>
      </c>
      <c r="H52" s="101">
        <v>0.09</v>
      </c>
      <c r="I52" s="102" t="e">
        <f t="shared" si="7"/>
        <v>#DIV/0!</v>
      </c>
      <c r="J52" s="103">
        <v>0.6</v>
      </c>
      <c r="K52" s="102" t="e">
        <f t="shared" si="8"/>
        <v>#DIV/0!</v>
      </c>
      <c r="L52" s="103">
        <v>0.93</v>
      </c>
      <c r="M52" s="104" t="e">
        <f t="shared" si="9"/>
        <v>#DIV/0!</v>
      </c>
    </row>
    <row r="53" spans="4:13" x14ac:dyDescent="0.25">
      <c r="D53" t="e">
        <f t="shared" si="0"/>
        <v>#DIV/0!</v>
      </c>
      <c r="H53" s="101">
        <v>0.1</v>
      </c>
      <c r="I53" s="102" t="e">
        <f t="shared" si="7"/>
        <v>#DIV/0!</v>
      </c>
      <c r="J53" s="103">
        <v>0.65</v>
      </c>
      <c r="K53" s="102" t="e">
        <f t="shared" si="8"/>
        <v>#DIV/0!</v>
      </c>
      <c r="L53" s="103">
        <v>0.94</v>
      </c>
      <c r="M53" s="104" t="e">
        <f t="shared" si="9"/>
        <v>#DIV/0!</v>
      </c>
    </row>
    <row r="54" spans="4:13" x14ac:dyDescent="0.25">
      <c r="D54" t="e">
        <f t="shared" si="0"/>
        <v>#DIV/0!</v>
      </c>
      <c r="H54" s="101">
        <v>0.11</v>
      </c>
      <c r="I54" s="102" t="e">
        <f t="shared" si="7"/>
        <v>#DIV/0!</v>
      </c>
      <c r="J54" s="103">
        <v>0.7</v>
      </c>
      <c r="K54" s="102" t="e">
        <f t="shared" si="8"/>
        <v>#DIV/0!</v>
      </c>
      <c r="L54" s="103">
        <v>0.95</v>
      </c>
      <c r="M54" s="104" t="e">
        <f t="shared" si="9"/>
        <v>#DIV/0!</v>
      </c>
    </row>
    <row r="55" spans="4:13" x14ac:dyDescent="0.25">
      <c r="D55" t="e">
        <f t="shared" si="0"/>
        <v>#DIV/0!</v>
      </c>
      <c r="H55" s="101">
        <v>0.12</v>
      </c>
      <c r="I55" s="102" t="e">
        <f t="shared" si="7"/>
        <v>#DIV/0!</v>
      </c>
      <c r="J55" s="103">
        <v>0.75</v>
      </c>
      <c r="K55" s="102" t="e">
        <f t="shared" si="8"/>
        <v>#DIV/0!</v>
      </c>
      <c r="L55" s="103">
        <v>0.96</v>
      </c>
      <c r="M55" s="104" t="e">
        <f t="shared" si="9"/>
        <v>#DIV/0!</v>
      </c>
    </row>
    <row r="56" spans="4:13" x14ac:dyDescent="0.25">
      <c r="D56" t="e">
        <f t="shared" si="0"/>
        <v>#DIV/0!</v>
      </c>
      <c r="H56" s="101">
        <v>0.13</v>
      </c>
      <c r="I56" s="102" t="e">
        <f t="shared" si="7"/>
        <v>#DIV/0!</v>
      </c>
      <c r="J56" s="103">
        <v>0.8</v>
      </c>
      <c r="K56" s="102" t="e">
        <f t="shared" si="8"/>
        <v>#DIV/0!</v>
      </c>
      <c r="L56" s="103">
        <v>0.97</v>
      </c>
      <c r="M56" s="104" t="e">
        <f t="shared" si="9"/>
        <v>#DIV/0!</v>
      </c>
    </row>
    <row r="57" spans="4:13" x14ac:dyDescent="0.25">
      <c r="D57" t="e">
        <f t="shared" si="0"/>
        <v>#DIV/0!</v>
      </c>
      <c r="H57" s="101">
        <v>0.14000000000000001</v>
      </c>
      <c r="I57" s="102" t="e">
        <f t="shared" si="7"/>
        <v>#DIV/0!</v>
      </c>
      <c r="J57" s="103"/>
      <c r="K57" s="102"/>
      <c r="L57" s="103">
        <v>0.98</v>
      </c>
      <c r="M57" s="104" t="e">
        <f t="shared" si="9"/>
        <v>#DIV/0!</v>
      </c>
    </row>
    <row r="58" spans="4:13" ht="15.75" thickBot="1" x14ac:dyDescent="0.3">
      <c r="D58" t="e">
        <f t="shared" si="0"/>
        <v>#DIV/0!</v>
      </c>
      <c r="H58" s="105">
        <v>0.15</v>
      </c>
      <c r="I58" s="106" t="e">
        <f t="shared" si="7"/>
        <v>#DIV/0!</v>
      </c>
      <c r="J58" s="107"/>
      <c r="K58" s="86"/>
      <c r="L58" s="108">
        <v>0.99</v>
      </c>
      <c r="M58" s="109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0" t="s">
        <v>129</v>
      </c>
      <c r="I60" s="111"/>
    </row>
    <row r="61" spans="4:13" ht="15.75" thickBot="1" x14ac:dyDescent="0.3">
      <c r="D61" t="e">
        <f t="shared" si="0"/>
        <v>#DIV/0!</v>
      </c>
      <c r="H61" s="112" t="s">
        <v>130</v>
      </c>
      <c r="I61" s="113"/>
    </row>
    <row r="62" spans="4:13" ht="15.75" thickBot="1" x14ac:dyDescent="0.3">
      <c r="D62" t="e">
        <f t="shared" si="0"/>
        <v>#DIV/0!</v>
      </c>
      <c r="H62" s="114"/>
    </row>
    <row r="63" spans="4:13" x14ac:dyDescent="0.25">
      <c r="D63" t="e">
        <f t="shared" si="0"/>
        <v>#DIV/0!</v>
      </c>
      <c r="H63" s="110" t="s">
        <v>131</v>
      </c>
      <c r="I63" s="115"/>
    </row>
    <row r="64" spans="4:13" x14ac:dyDescent="0.25">
      <c r="D64" t="e">
        <f t="shared" si="0"/>
        <v>#DIV/0!</v>
      </c>
      <c r="H64" s="116" t="s">
        <v>132</v>
      </c>
      <c r="I64" s="117">
        <f>I63*(1-I60)</f>
        <v>0</v>
      </c>
    </row>
    <row r="65" spans="4:9" ht="15.75" thickBot="1" x14ac:dyDescent="0.3">
      <c r="D65" t="e">
        <f t="shared" si="0"/>
        <v>#DIV/0!</v>
      </c>
      <c r="H65" s="112" t="s">
        <v>133</v>
      </c>
      <c r="I65" s="118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2025-01-06T03:10:25Z</dcterms:modified>
</cp:coreProperties>
</file>