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Internet - Software Services\"/>
    </mc:Choice>
  </mc:AlternateContent>
  <xr:revisionPtr revIDLastSave="0" documentId="13_ncr:1_{DEA1A0D8-E45E-41A3-9923-FEF0E634A2A1}" xr6:coauthVersionLast="47" xr6:coauthVersionMax="47" xr10:uidLastSave="{00000000-0000-0000-0000-000000000000}"/>
  <bookViews>
    <workbookView xWindow="-60" yWindow="60" windowWidth="14535" windowHeight="154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Model!$B$20</definedName>
    <definedName name="_xlchart.v1.6" hidden="1">Model!$B$21</definedName>
    <definedName name="_xlchart.v1.7" hidden="1">Model!$L$20:$X$20</definedName>
    <definedName name="_xlchart.v1.8" hidden="1">Model!$L$21:$X$21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0" i="1"/>
  <c r="C29" i="1"/>
  <c r="C25" i="1"/>
  <c r="C24" i="1"/>
  <c r="G18" i="2"/>
  <c r="C23" i="1"/>
  <c r="C22" i="1"/>
  <c r="C21" i="1"/>
  <c r="C20" i="1"/>
  <c r="C17" i="1"/>
  <c r="C15" i="1"/>
  <c r="C14" i="1"/>
  <c r="C13" i="1"/>
  <c r="C9" i="1"/>
  <c r="C7" i="1"/>
  <c r="S16" i="2"/>
  <c r="S15" i="2"/>
  <c r="S13" i="2"/>
  <c r="S12" i="2"/>
  <c r="S10" i="2"/>
  <c r="S9" i="2"/>
  <c r="S8" i="2"/>
  <c r="S7" i="2"/>
  <c r="S6" i="2"/>
  <c r="S5" i="2"/>
  <c r="S3" i="2"/>
  <c r="S11" i="2" s="1"/>
  <c r="S14" i="2" s="1"/>
  <c r="O16" i="2"/>
  <c r="O15" i="2"/>
  <c r="O13" i="2"/>
  <c r="O12" i="2"/>
  <c r="O9" i="2"/>
  <c r="O8" i="2"/>
  <c r="O7" i="2"/>
  <c r="O6" i="2"/>
  <c r="O5" i="2"/>
  <c r="O3" i="2"/>
  <c r="O27" i="2" s="1"/>
  <c r="L12" i="2"/>
  <c r="W19" i="2"/>
  <c r="W16" i="2"/>
  <c r="W15" i="2"/>
  <c r="W13" i="2"/>
  <c r="W12" i="2"/>
  <c r="W10" i="2"/>
  <c r="W9" i="2"/>
  <c r="W8" i="2"/>
  <c r="W7" i="2"/>
  <c r="W6" i="2"/>
  <c r="W5" i="2"/>
  <c r="W3" i="2"/>
  <c r="W27" i="2" s="1"/>
  <c r="X18" i="2"/>
  <c r="V18" i="2"/>
  <c r="U18" i="2"/>
  <c r="T18" i="2"/>
  <c r="R18" i="2"/>
  <c r="F18" i="2"/>
  <c r="E18" i="2"/>
  <c r="D18" i="2"/>
  <c r="C18" i="2"/>
  <c r="Y24" i="2"/>
  <c r="X54" i="2"/>
  <c r="X57" i="2" s="1"/>
  <c r="X41" i="2"/>
  <c r="X50" i="2" s="1"/>
  <c r="X22" i="2"/>
  <c r="X24" i="2"/>
  <c r="X25" i="2"/>
  <c r="X26" i="2"/>
  <c r="X27" i="2"/>
  <c r="Z24" i="2"/>
  <c r="O56" i="2"/>
  <c r="O55" i="2"/>
  <c r="O53" i="2"/>
  <c r="O52" i="2"/>
  <c r="O51" i="2"/>
  <c r="O49" i="2"/>
  <c r="O48" i="2"/>
  <c r="O47" i="2"/>
  <c r="O46" i="2"/>
  <c r="O45" i="2"/>
  <c r="O44" i="2"/>
  <c r="O43" i="2"/>
  <c r="O42" i="2"/>
  <c r="O40" i="2"/>
  <c r="O39" i="2"/>
  <c r="O38" i="2"/>
  <c r="O37" i="2"/>
  <c r="O36" i="2"/>
  <c r="O35" i="2" s="1"/>
  <c r="S56" i="2"/>
  <c r="S55" i="2"/>
  <c r="S53" i="2"/>
  <c r="S52" i="2"/>
  <c r="S51" i="2"/>
  <c r="S49" i="2"/>
  <c r="S48" i="2"/>
  <c r="S47" i="2"/>
  <c r="S46" i="2"/>
  <c r="S45" i="2"/>
  <c r="S44" i="2"/>
  <c r="S43" i="2"/>
  <c r="S42" i="2"/>
  <c r="S40" i="2"/>
  <c r="S39" i="2"/>
  <c r="S38" i="2"/>
  <c r="S37" i="2"/>
  <c r="S36" i="2"/>
  <c r="W56" i="2"/>
  <c r="W55" i="2"/>
  <c r="W53" i="2"/>
  <c r="W52" i="2"/>
  <c r="W51" i="2"/>
  <c r="W49" i="2"/>
  <c r="W48" i="2"/>
  <c r="W47" i="2"/>
  <c r="W46" i="2"/>
  <c r="W45" i="2"/>
  <c r="W44" i="2"/>
  <c r="W43" i="2"/>
  <c r="W42" i="2"/>
  <c r="W40" i="2"/>
  <c r="W39" i="2"/>
  <c r="W38" i="2"/>
  <c r="W37" i="2"/>
  <c r="M35" i="2"/>
  <c r="N35" i="2"/>
  <c r="P35" i="2"/>
  <c r="Q35" i="2"/>
  <c r="R35" i="2"/>
  <c r="S35" i="2"/>
  <c r="T35" i="2"/>
  <c r="U35" i="2"/>
  <c r="V35" i="2"/>
  <c r="X35" i="2"/>
  <c r="L35" i="2"/>
  <c r="W36" i="2"/>
  <c r="G25" i="2"/>
  <c r="D12" i="2"/>
  <c r="D53" i="2"/>
  <c r="F35" i="2"/>
  <c r="E35" i="2"/>
  <c r="D35" i="2"/>
  <c r="C35" i="2"/>
  <c r="F41" i="2"/>
  <c r="G41" i="2"/>
  <c r="C41" i="2"/>
  <c r="G35" i="2"/>
  <c r="E22" i="2"/>
  <c r="E25" i="2"/>
  <c r="M27" i="2"/>
  <c r="N27" i="2"/>
  <c r="P27" i="2"/>
  <c r="Q27" i="2"/>
  <c r="R27" i="2"/>
  <c r="T27" i="2"/>
  <c r="U27" i="2"/>
  <c r="V27" i="2"/>
  <c r="L27" i="2"/>
  <c r="F27" i="2"/>
  <c r="E27" i="2"/>
  <c r="D27" i="2"/>
  <c r="C27" i="2"/>
  <c r="G27" i="2"/>
  <c r="G26" i="2"/>
  <c r="I30" i="2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M11" i="2"/>
  <c r="M14" i="2" s="1"/>
  <c r="M17" i="2" s="1"/>
  <c r="M20" i="2" s="1"/>
  <c r="N11" i="2"/>
  <c r="N14" i="2" s="1"/>
  <c r="N17" i="2" s="1"/>
  <c r="N20" i="2" s="1"/>
  <c r="P11" i="2"/>
  <c r="P14" i="2" s="1"/>
  <c r="P17" i="2" s="1"/>
  <c r="P20" i="2" s="1"/>
  <c r="Q11" i="2"/>
  <c r="Q14" i="2" s="1"/>
  <c r="Q17" i="2" s="1"/>
  <c r="Q20" i="2" s="1"/>
  <c r="R11" i="2"/>
  <c r="R14" i="2" s="1"/>
  <c r="R17" i="2" s="1"/>
  <c r="R20" i="2" s="1"/>
  <c r="T11" i="2"/>
  <c r="T14" i="2" s="1"/>
  <c r="T17" i="2" s="1"/>
  <c r="T20" i="2" s="1"/>
  <c r="U11" i="2"/>
  <c r="U14" i="2" s="1"/>
  <c r="U17" i="2" s="1"/>
  <c r="U20" i="2" s="1"/>
  <c r="V11" i="2"/>
  <c r="V14" i="2" s="1"/>
  <c r="V17" i="2" s="1"/>
  <c r="V20" i="2" s="1"/>
  <c r="W11" i="2"/>
  <c r="W14" i="2" s="1"/>
  <c r="X11" i="2"/>
  <c r="X14" i="2" s="1"/>
  <c r="X17" i="2" s="1"/>
  <c r="X23" i="2" s="1"/>
  <c r="Y11" i="2"/>
  <c r="Y14" i="2" s="1"/>
  <c r="Y17" i="2" s="1"/>
  <c r="L11" i="2"/>
  <c r="L14" i="2" s="1"/>
  <c r="L17" i="2" s="1"/>
  <c r="L20" i="2" s="1"/>
  <c r="H11" i="2"/>
  <c r="H14" i="2" s="1"/>
  <c r="I11" i="2"/>
  <c r="I14" i="2" s="1"/>
  <c r="W26" i="2"/>
  <c r="V26" i="2"/>
  <c r="U26" i="2"/>
  <c r="T26" i="2"/>
  <c r="S26" i="2"/>
  <c r="R26" i="2"/>
  <c r="Q26" i="2"/>
  <c r="P26" i="2"/>
  <c r="N26" i="2"/>
  <c r="M26" i="2"/>
  <c r="L26" i="2"/>
  <c r="S17" i="2" l="1"/>
  <c r="S20" i="2" s="1"/>
  <c r="S18" i="2"/>
  <c r="S27" i="2"/>
  <c r="O11" i="2"/>
  <c r="O14" i="2" s="1"/>
  <c r="O26" i="2"/>
  <c r="L18" i="2"/>
  <c r="P18" i="2"/>
  <c r="M18" i="2"/>
  <c r="N18" i="2"/>
  <c r="Q18" i="2"/>
  <c r="W17" i="2"/>
  <c r="W20" i="2" s="1"/>
  <c r="W18" i="2"/>
  <c r="W35" i="2"/>
  <c r="X20" i="2"/>
  <c r="X5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O17" i="2" l="1"/>
  <c r="O20" i="2" s="1"/>
  <c r="O18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1" i="2"/>
  <c r="C14" i="2" s="1"/>
  <c r="C17" i="2" s="1"/>
  <c r="D11" i="2"/>
  <c r="D14" i="2" s="1"/>
  <c r="D17" i="2" s="1"/>
  <c r="E11" i="2"/>
  <c r="E14" i="2" s="1"/>
  <c r="E17" i="2" s="1"/>
  <c r="F11" i="2"/>
  <c r="F14" i="2" s="1"/>
  <c r="F17" i="2" s="1"/>
  <c r="G11" i="2"/>
  <c r="M23" i="2"/>
  <c r="N23" i="2"/>
  <c r="L22" i="2"/>
  <c r="M22" i="2"/>
  <c r="N22" i="2"/>
  <c r="O22" i="2"/>
  <c r="P22" i="2"/>
  <c r="Q22" i="2"/>
  <c r="R22" i="2"/>
  <c r="S22" i="2"/>
  <c r="T22" i="2"/>
  <c r="U22" i="2"/>
  <c r="V22" i="2"/>
  <c r="W22" i="2"/>
  <c r="P24" i="2"/>
  <c r="Q24" i="2"/>
  <c r="R24" i="2"/>
  <c r="S24" i="2"/>
  <c r="T24" i="2"/>
  <c r="U24" i="2"/>
  <c r="V24" i="2"/>
  <c r="W24" i="2"/>
  <c r="L25" i="2"/>
  <c r="M25" i="2"/>
  <c r="N25" i="2"/>
  <c r="O25" i="2"/>
  <c r="P25" i="2"/>
  <c r="Q25" i="2"/>
  <c r="R25" i="2"/>
  <c r="S25" i="2"/>
  <c r="T25" i="2"/>
  <c r="U25" i="2"/>
  <c r="V25" i="2"/>
  <c r="W25" i="2"/>
  <c r="L41" i="2"/>
  <c r="L50" i="2" s="1"/>
  <c r="M41" i="2"/>
  <c r="M50" i="2" s="1"/>
  <c r="N41" i="2"/>
  <c r="N50" i="2" s="1"/>
  <c r="O41" i="2"/>
  <c r="O50" i="2" s="1"/>
  <c r="P41" i="2"/>
  <c r="P50" i="2" s="1"/>
  <c r="Q41" i="2"/>
  <c r="Q50" i="2" s="1"/>
  <c r="R41" i="2"/>
  <c r="R50" i="2" s="1"/>
  <c r="S41" i="2"/>
  <c r="S50" i="2" s="1"/>
  <c r="T41" i="2"/>
  <c r="T50" i="2" s="1"/>
  <c r="U41" i="2"/>
  <c r="U50" i="2" s="1"/>
  <c r="V41" i="2"/>
  <c r="V50" i="2" s="1"/>
  <c r="W41" i="2"/>
  <c r="W50" i="2" s="1"/>
  <c r="L54" i="2"/>
  <c r="L57" i="2" s="1"/>
  <c r="M54" i="2"/>
  <c r="M57" i="2" s="1"/>
  <c r="N54" i="2"/>
  <c r="N57" i="2" s="1"/>
  <c r="O54" i="2"/>
  <c r="O57" i="2" s="1"/>
  <c r="P54" i="2"/>
  <c r="P57" i="2" s="1"/>
  <c r="Q54" i="2"/>
  <c r="Q57" i="2" s="1"/>
  <c r="R54" i="2"/>
  <c r="R57" i="2" s="1"/>
  <c r="S54" i="2"/>
  <c r="S57" i="2" s="1"/>
  <c r="T54" i="2"/>
  <c r="T57" i="2" s="1"/>
  <c r="U54" i="2"/>
  <c r="U57" i="2" s="1"/>
  <c r="V54" i="2"/>
  <c r="V57" i="2" s="1"/>
  <c r="W54" i="2"/>
  <c r="W57" i="2" s="1"/>
  <c r="C50" i="2"/>
  <c r="D41" i="2"/>
  <c r="D50" i="2" s="1"/>
  <c r="E41" i="2"/>
  <c r="E50" i="2" s="1"/>
  <c r="I23" i="2"/>
  <c r="H23" i="2"/>
  <c r="I24" i="2"/>
  <c r="O23" i="2" l="1"/>
  <c r="M58" i="2"/>
  <c r="U58" i="2"/>
  <c r="G14" i="2"/>
  <c r="G17" i="2" s="1"/>
  <c r="O58" i="2"/>
  <c r="W58" i="2"/>
  <c r="T58" i="2"/>
  <c r="V58" i="2"/>
  <c r="L58" i="2"/>
  <c r="S58" i="2"/>
  <c r="N58" i="2"/>
  <c r="R58" i="2"/>
  <c r="Q58" i="2"/>
  <c r="P58" i="2"/>
  <c r="K11" i="5"/>
  <c r="L23" i="2"/>
  <c r="F26" i="2"/>
  <c r="E26" i="2"/>
  <c r="D25" i="2"/>
  <c r="D26" i="2"/>
  <c r="C25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3" i="2"/>
  <c r="X30" i="2"/>
  <c r="T30" i="2"/>
  <c r="P23" i="2"/>
  <c r="S23" i="2"/>
  <c r="S30" i="2"/>
  <c r="W30" i="2"/>
  <c r="W23" i="2"/>
  <c r="V30" i="2"/>
  <c r="V23" i="2"/>
  <c r="U23" i="2"/>
  <c r="U30" i="2"/>
  <c r="R30" i="2"/>
  <c r="R23" i="2"/>
  <c r="Q30" i="2"/>
  <c r="Q23" i="2"/>
  <c r="C22" i="2"/>
  <c r="H24" i="2"/>
  <c r="F22" i="2"/>
  <c r="F25" i="2"/>
  <c r="D22" i="2"/>
  <c r="G22" i="2"/>
  <c r="G24" i="2"/>
  <c r="G54" i="2"/>
  <c r="G57" i="2" s="1"/>
  <c r="G50" i="2"/>
  <c r="E24" i="2"/>
  <c r="F24" i="2"/>
  <c r="D24" i="2"/>
  <c r="D54" i="2"/>
  <c r="D57" i="2" s="1"/>
  <c r="D58" i="2" s="1"/>
  <c r="E54" i="2"/>
  <c r="F50" i="2"/>
  <c r="G58" i="2" l="1"/>
  <c r="P30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4" i="2"/>
  <c r="F57" i="2" s="1"/>
  <c r="F58" i="2" s="1"/>
  <c r="E57" i="2"/>
  <c r="E58" i="2" s="1"/>
  <c r="C54" i="2"/>
  <c r="C57" i="2" s="1"/>
  <c r="C58" i="2" s="1"/>
  <c r="C18" i="1" l="1"/>
  <c r="C20" i="2"/>
  <c r="E20" i="2"/>
  <c r="D23" i="2"/>
  <c r="G30" i="2"/>
  <c r="G20" i="2"/>
  <c r="H30" i="2" s="1"/>
  <c r="G23" i="2"/>
  <c r="C23" i="2" l="1"/>
  <c r="D30" i="2"/>
  <c r="E23" i="2"/>
  <c r="F30" i="2"/>
  <c r="F20" i="2"/>
  <c r="E30" i="2"/>
  <c r="D20" i="2"/>
  <c r="F23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<sst xmlns="http://schemas.openxmlformats.org/spreadsheetml/2006/main" count="211" uniqueCount="192">
  <si>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</si>
  <si>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</si>
  <si>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</si>
  <si>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</si>
  <si>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</si>
  <si>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</si>
  <si>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</si>
  <si>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</si>
  <si>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</si>
  <si>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</si>
  <si>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</si>
  <si>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</si>
  <si>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</si>
  <si>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</si>
  <si>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</si>
  <si>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</si>
  <si>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</si>
  <si>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</si>
  <si>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</si>
  <si>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</si>
  <si>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</si>
  <si>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</si>
  <si>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</si>
  <si>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</si>
  <si>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</si>
  <si>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</si>
  <si>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</si>
  <si>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</si>
  <si>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</si>
  <si>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</si>
  <si>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</si>
  <si>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</si>
  <si>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</si>
  <si>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</si>
  <si>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</si>
  <si>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</si>
  <si>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</si>
  <si>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</si>
  <si>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</si>
  <si>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</si>
  <si>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</si>
  <si>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</si>
  <si>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</si>
  <si>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</si>
  <si>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</si>
  <si>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</si>
  <si>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</si>
  <si>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</si>
  <si>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</si>
  <si>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</si>
  <si>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</si>
  <si>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</si>
  <si>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</si>
  <si>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</si>
  <si>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</si>
  <si>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</si>
  <si>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</si>
  <si>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</si>
  <si>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</si>
  <si>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</si>
  <si>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</si>
  <si>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</si>
  <si>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</si>
  <si>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</si>
  <si>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</si>
  <si>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</si>
  <si>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</si>
  <si>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</si>
  <si>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</si>
  <si>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</si>
  <si>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</si>
  <si>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</si>
  <si>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</si>
  <si>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</si>
  <si>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</si>
  <si>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</si>
  <si>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</si>
  <si>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</si>
  <si>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</si>
  <si>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</si>
  <si>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</si>
  <si>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</si>
  <si>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Restricted cash</t>
  </si>
  <si>
    <t>PP&amp;E</t>
  </si>
  <si>
    <t>Intangible Asset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</si>
  <si>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</si>
  <si>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</si>
  <si>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</si>
  <si>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</si>
  <si>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</si>
  <si>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</si>
  <si>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</si>
  <si>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</si>
  <si>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</si>
  <si>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</si>
  <si>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</si>
  <si>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</si>
  <si>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</si>
  <si>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</si>
  <si>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</si>
  <si>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</si>
  <si>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</si>
  <si>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</si>
  <si>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</si>
  <si>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</si>
  <si>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</si>
  <si>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</si>
  <si>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</si>
  <si>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</si>
  <si>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</si>
  <si>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</si>
  <si>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</si>
  <si>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</si>
  <si>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</si>
  <si>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</si>
  <si>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</si>
  <si>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</si>
  <si>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</si>
  <si>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</si>
  <si>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</si>
  <si>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</si>
  <si>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</si>
  <si>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</si>
  <si>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</si>
  <si>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</si>
  <si>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</si>
  <si>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</si>
  <si>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</si>
  <si>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</si>
  <si>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</si>
  <si>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</si>
  <si>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</si>
  <si>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</si>
  <si>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</si>
  <si>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</si>
  <si>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</si>
  <si>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</si>
  <si>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</si>
  <si>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</si>
  <si>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</si>
  <si>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</si>
  <si>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</si>
  <si>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</si>
  <si>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</si>
  <si>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DASH</t>
  </si>
  <si>
    <t>Mr. Tony Xu</t>
  </si>
  <si>
    <t>Co-Founder, CEO &amp; Chair</t>
  </si>
  <si>
    <t>Mr. Prabir Adarkar</t>
  </si>
  <si>
    <t>President &amp; COO</t>
  </si>
  <si>
    <t>--</t>
  </si>
  <si>
    <t>Mr. Gordon Lee</t>
  </si>
  <si>
    <t>Chief Accounting Officer</t>
  </si>
  <si>
    <t>Mr. Andrew Rex Hargreaves C.F.A.</t>
  </si>
  <si>
    <t>Vice President of Investor Relations</t>
  </si>
  <si>
    <t>Sc Us (ttgp), Ltd.</t>
  </si>
  <si>
    <t>8.67%</t>
  </si>
  <si>
    <t>Vanguard Group Inc</t>
  </si>
  <si>
    <t>8.01%</t>
  </si>
  <si>
    <t>Morgan Stanley</t>
  </si>
  <si>
    <t>7.43%</t>
  </si>
  <si>
    <t>Capital Research Global Investors</t>
  </si>
  <si>
    <t>4.87%</t>
  </si>
  <si>
    <t>Blackrock Inc.</t>
  </si>
  <si>
    <t>4.59%</t>
  </si>
  <si>
    <t>Baillie Gifford and Company</t>
  </si>
  <si>
    <t>3.49%</t>
  </si>
  <si>
    <t>JP Morgan Chase &amp; Company</t>
  </si>
  <si>
    <t>2.60%</t>
  </si>
  <si>
    <t>SB Investment Advisers (UK) LTD</t>
  </si>
  <si>
    <t>2.59%</t>
  </si>
  <si>
    <t>Capital World Investors</t>
  </si>
  <si>
    <t>2.57%</t>
  </si>
  <si>
    <t>Galileo (ptc) Ltd</t>
  </si>
  <si>
    <t>2.10%</t>
  </si>
  <si>
    <t>ADARKAR PRABIR</t>
  </si>
  <si>
    <t>BROWN SHONA L</t>
  </si>
  <si>
    <t>FANG ANDY</t>
  </si>
  <si>
    <t>INUKONDA RAVI</t>
  </si>
  <si>
    <t>LEE GORDON Officer</t>
  </si>
  <si>
    <t>SHERRINGHAM TIA</t>
  </si>
  <si>
    <t>STILL ASHLEY</t>
  </si>
  <si>
    <t>TANG WEIRUI STANLEY</t>
  </si>
  <si>
    <t>XU TONY</t>
  </si>
  <si>
    <t>YANDELL KEITH</t>
  </si>
  <si>
    <t>Restructuring charges</t>
  </si>
  <si>
    <t>Interest net</t>
  </si>
  <si>
    <t>MS</t>
  </si>
  <si>
    <t>Fund held at payments</t>
  </si>
  <si>
    <t>longterm MS</t>
  </si>
  <si>
    <t>Non-marketable equity</t>
  </si>
  <si>
    <t>Accrued Expense and other</t>
  </si>
  <si>
    <t>Income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</si>
</sst>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0" borderId="0" xfId="1" applyNumberFormat="1" applyFont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2" fontId="2" fillId="0" borderId="2" xfId="0" applyNumberFormat="1" applyFont="1" applyFill="1" applyBorder="1"/>
    <xf numFmtId="9" fontId="0" fillId="0" borderId="0" xfId="0" applyNumberFormat="1" applyBorder="1"/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5" fillId="0" borderId="0" xfId="0" applyFont="1" applyBorder="1"/>
    <xf numFmtId="3" fontId="6" fillId="0" borderId="0" xfId="0" applyNumberFormat="1" applyFont="1" applyFill="1"/>
    <xf numFmtId="2" fontId="2" fillId="7" borderId="2" xfId="0" applyNumberFormat="1" applyFont="1" applyFill="1" applyBorder="1" applyAlignment="1">
      <alignment horizontal="right"/>
    </xf>
    <xf numFmtId="3" fontId="5" fillId="3" borderId="2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1077</c:v>
                </c:pt>
                <c:pt idx="1">
                  <c:v>1236</c:v>
                </c:pt>
                <c:pt idx="2">
                  <c:v>1275</c:v>
                </c:pt>
                <c:pt idx="3">
                  <c:v>1300</c:v>
                </c:pt>
                <c:pt idx="4">
                  <c:v>1456</c:v>
                </c:pt>
                <c:pt idx="5">
                  <c:v>1608</c:v>
                </c:pt>
                <c:pt idx="6">
                  <c:v>1701</c:v>
                </c:pt>
                <c:pt idx="7">
                  <c:v>1818</c:v>
                </c:pt>
                <c:pt idx="8">
                  <c:v>2035</c:v>
                </c:pt>
                <c:pt idx="9">
                  <c:v>2133</c:v>
                </c:pt>
                <c:pt idx="10">
                  <c:v>2164</c:v>
                </c:pt>
                <c:pt idx="11">
                  <c:v>2303</c:v>
                </c:pt>
                <c:pt idx="12">
                  <c:v>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4">
                  <c:v>0.35190343546889502</c:v>
                </c:pt>
                <c:pt idx="5">
                  <c:v>0.30097087378640786</c:v>
                </c:pt>
                <c:pt idx="6">
                  <c:v>0.33411764705882363</c:v>
                </c:pt>
                <c:pt idx="7">
                  <c:v>0.39846153846153842</c:v>
                </c:pt>
                <c:pt idx="8">
                  <c:v>0.39766483516483508</c:v>
                </c:pt>
                <c:pt idx="9">
                  <c:v>0.32649253731343286</c:v>
                </c:pt>
                <c:pt idx="10">
                  <c:v>0.27219282774838338</c:v>
                </c:pt>
                <c:pt idx="11">
                  <c:v>0.26677667766776669</c:v>
                </c:pt>
                <c:pt idx="12">
                  <c:v>0.23488943488943481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0">
                  <c:v>885</c:v>
                </c:pt>
                <c:pt idx="1">
                  <c:v>2886</c:v>
                </c:pt>
                <c:pt idx="2">
                  <c:v>4888</c:v>
                </c:pt>
                <c:pt idx="3">
                  <c:v>6583</c:v>
                </c:pt>
                <c:pt idx="4">
                  <c:v>8635</c:v>
                </c:pt>
                <c:pt idx="5">
                  <c:v>10200</c:v>
                </c:pt>
                <c:pt idx="6">
                  <c:v>11850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Model!$C$24:$I$24</c:f>
              <c:numCache>
                <c:formatCode>0%</c:formatCode>
                <c:ptCount val="7"/>
                <c:pt idx="1">
                  <c:v>2.2610169491525425</c:v>
                </c:pt>
                <c:pt idx="2">
                  <c:v>0.69369369369369371</c:v>
                </c:pt>
                <c:pt idx="3">
                  <c:v>0.34676759410801972</c:v>
                </c:pt>
                <c:pt idx="4">
                  <c:v>0.31171198541698319</c:v>
                </c:pt>
                <c:pt idx="5">
                  <c:v>0.18123914302258259</c:v>
                </c:pt>
                <c:pt idx="6">
                  <c:v>0.16176470588235303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Model!$L$17:$X$17</c:f>
              <c:numCache>
                <c:formatCode>#,##0</c:formatCode>
                <c:ptCount val="13"/>
                <c:pt idx="0">
                  <c:v>-110</c:v>
                </c:pt>
                <c:pt idx="1">
                  <c:v>-102</c:v>
                </c:pt>
                <c:pt idx="2">
                  <c:v>-101</c:v>
                </c:pt>
                <c:pt idx="3">
                  <c:v>-155</c:v>
                </c:pt>
                <c:pt idx="4">
                  <c:v>-167</c:v>
                </c:pt>
                <c:pt idx="5">
                  <c:v>-263</c:v>
                </c:pt>
                <c:pt idx="6">
                  <c:v>-295</c:v>
                </c:pt>
                <c:pt idx="7">
                  <c:v>-640</c:v>
                </c:pt>
                <c:pt idx="8">
                  <c:v>-161</c:v>
                </c:pt>
                <c:pt idx="9">
                  <c:v>-170</c:v>
                </c:pt>
                <c:pt idx="10">
                  <c:v>-73</c:v>
                </c:pt>
                <c:pt idx="11">
                  <c:v>-154</c:v>
                </c:pt>
                <c:pt idx="12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Model!$L$22:$X$22</c:f>
              <c:numCache>
                <c:formatCode>0%</c:formatCode>
                <c:ptCount val="13"/>
                <c:pt idx="0">
                  <c:v>0.47725162488393691</c:v>
                </c:pt>
                <c:pt idx="1">
                  <c:v>0.55097087378640774</c:v>
                </c:pt>
                <c:pt idx="2">
                  <c:v>0.54117647058823537</c:v>
                </c:pt>
                <c:pt idx="3">
                  <c:v>0.5115384615384615</c:v>
                </c:pt>
                <c:pt idx="4">
                  <c:v>0.47596153846153844</c:v>
                </c:pt>
                <c:pt idx="5">
                  <c:v>0.45273631840796025</c:v>
                </c:pt>
                <c:pt idx="6">
                  <c:v>0.45267489711934161</c:v>
                </c:pt>
                <c:pt idx="7">
                  <c:v>0.44224422442244227</c:v>
                </c:pt>
                <c:pt idx="8">
                  <c:v>0.47469287469287469</c:v>
                </c:pt>
                <c:pt idx="9">
                  <c:v>0.46788560712611349</c:v>
                </c:pt>
                <c:pt idx="10">
                  <c:v>0.46580406654343809</c:v>
                </c:pt>
                <c:pt idx="11">
                  <c:v>0.46634824142422926</c:v>
                </c:pt>
                <c:pt idx="12">
                  <c:v>0.47075208913649025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Model!$C$17:$I$17</c:f>
              <c:numCache>
                <c:formatCode>#,##0</c:formatCode>
                <c:ptCount val="7"/>
                <c:pt idx="0">
                  <c:v>-666</c:v>
                </c:pt>
                <c:pt idx="1">
                  <c:v>-461</c:v>
                </c:pt>
                <c:pt idx="2">
                  <c:v>-468</c:v>
                </c:pt>
                <c:pt idx="3">
                  <c:v>-1365</c:v>
                </c:pt>
                <c:pt idx="4">
                  <c:v>-558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Model!$C$30:$I$30</c:f>
              <c:numCache>
                <c:formatCode>0%</c:formatCode>
                <c:ptCount val="7"/>
                <c:pt idx="1">
                  <c:v>0.30780780780780781</c:v>
                </c:pt>
                <c:pt idx="2">
                  <c:v>-1.5184381778741818E-2</c:v>
                </c:pt>
                <c:pt idx="3">
                  <c:v>1.9166666666666665</c:v>
                </c:pt>
                <c:pt idx="4">
                  <c:v>-0.59120879120879122</c:v>
                </c:pt>
                <c:pt idx="5">
                  <c:v>-1.1408415770609319</c:v>
                </c:pt>
                <c:pt idx="6">
                  <c:v>5.9499999999999993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Model!$L$25:$V$25</c:f>
              <c:numCache>
                <c:formatCode>0%</c:formatCode>
                <c:ptCount val="11"/>
                <c:pt idx="0">
                  <c:v>0.30919220055710306</c:v>
                </c:pt>
                <c:pt idx="1">
                  <c:v>0.3454692556634304</c:v>
                </c:pt>
                <c:pt idx="2">
                  <c:v>0.34980392156862744</c:v>
                </c:pt>
                <c:pt idx="3">
                  <c:v>0.31769230769230772</c:v>
                </c:pt>
                <c:pt idx="4">
                  <c:v>0.28434065934065933</c:v>
                </c:pt>
                <c:pt idx="5">
                  <c:v>0.26181592039800994</c:v>
                </c:pt>
                <c:pt idx="6">
                  <c:v>0.24573780129335684</c:v>
                </c:pt>
                <c:pt idx="7">
                  <c:v>0.23597359735973597</c:v>
                </c:pt>
                <c:pt idx="8">
                  <c:v>0.24373464373464374</c:v>
                </c:pt>
                <c:pt idx="9">
                  <c:v>0.22081575246132207</c:v>
                </c:pt>
                <c:pt idx="10">
                  <c:v>0.20748613678373382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Model!$L$26:$W$26</c:f>
              <c:numCache>
                <c:formatCode>0%</c:formatCode>
                <c:ptCount val="12"/>
                <c:pt idx="0">
                  <c:v>7.6137418755803155E-2</c:v>
                </c:pt>
                <c:pt idx="1">
                  <c:v>8.0906148867313912E-2</c:v>
                </c:pt>
                <c:pt idx="2">
                  <c:v>9.0196078431372548E-2</c:v>
                </c:pt>
                <c:pt idx="3">
                  <c:v>0.10230769230769231</c:v>
                </c:pt>
                <c:pt idx="4">
                  <c:v>0.10164835164835165</c:v>
                </c:pt>
                <c:pt idx="5">
                  <c:v>0.12748756218905472</c:v>
                </c:pt>
                <c:pt idx="6">
                  <c:v>0.13286302175191064</c:v>
                </c:pt>
                <c:pt idx="7">
                  <c:v>0.13751375137513752</c:v>
                </c:pt>
                <c:pt idx="8">
                  <c:v>0.11351351351351352</c:v>
                </c:pt>
                <c:pt idx="9">
                  <c:v>0.12611345522737927</c:v>
                </c:pt>
                <c:pt idx="10">
                  <c:v>0.11552680221811461</c:v>
                </c:pt>
                <c:pt idx="11">
                  <c:v>0.10985670864090318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2.6926648096564532E-2</c:v>
                </c:pt>
                <c:pt idx="1">
                  <c:v>2.9935275080906147E-2</c:v>
                </c:pt>
                <c:pt idx="2">
                  <c:v>3.215686274509804E-2</c:v>
                </c:pt>
                <c:pt idx="3">
                  <c:v>3.7692307692307692E-2</c:v>
                </c:pt>
                <c:pt idx="4">
                  <c:v>4.0521978021978024E-2</c:v>
                </c:pt>
                <c:pt idx="5">
                  <c:v>5.0373134328358209E-2</c:v>
                </c:pt>
                <c:pt idx="6">
                  <c:v>6.9370958259847154E-2</c:v>
                </c:pt>
                <c:pt idx="7">
                  <c:v>6.1056105610561059E-2</c:v>
                </c:pt>
                <c:pt idx="8">
                  <c:v>6.0442260442260441E-2</c:v>
                </c:pt>
                <c:pt idx="9">
                  <c:v>6.0009376465072671E-2</c:v>
                </c:pt>
                <c:pt idx="10">
                  <c:v>5.9149722735674676E-2</c:v>
                </c:pt>
                <c:pt idx="11">
                  <c:v>5.6448111159357363E-2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Model!$C$25:$G$25</c:f>
              <c:numCache>
                <c:formatCode>0%</c:formatCode>
                <c:ptCount val="5"/>
                <c:pt idx="0">
                  <c:v>0.67118644067796607</c:v>
                </c:pt>
                <c:pt idx="1">
                  <c:v>0.33160083160083159</c:v>
                </c:pt>
                <c:pt idx="2">
                  <c:v>0.33121931260229132</c:v>
                </c:pt>
                <c:pt idx="3">
                  <c:v>0.25550660792951541</c:v>
                </c:pt>
                <c:pt idx="4">
                  <c:v>0.21725535610885929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0.12090395480225989</c:v>
                </c:pt>
                <c:pt idx="1">
                  <c:v>0.11122661122661123</c:v>
                </c:pt>
                <c:pt idx="2">
                  <c:v>8.797054009819967E-2</c:v>
                </c:pt>
                <c:pt idx="3">
                  <c:v>0.12593042685705605</c:v>
                </c:pt>
                <c:pt idx="4">
                  <c:v>0.11615518239722061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3.6158192090395481E-2</c:v>
                </c:pt>
                <c:pt idx="1">
                  <c:v>4.1580041580041582E-2</c:v>
                </c:pt>
                <c:pt idx="2">
                  <c:v>3.1914893617021274E-2</c:v>
                </c:pt>
                <c:pt idx="3">
                  <c:v>5.6053471061825913E-2</c:v>
                </c:pt>
                <c:pt idx="4">
                  <c:v>5.8946149392009262E-2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  <c:pt idx="145">
                  <c:v>44396</c:v>
                </c:pt>
                <c:pt idx="146">
                  <c:v>44389</c:v>
                </c:pt>
                <c:pt idx="147">
                  <c:v>44382</c:v>
                </c:pt>
                <c:pt idx="148">
                  <c:v>44375</c:v>
                </c:pt>
                <c:pt idx="149">
                  <c:v>44368</c:v>
                </c:pt>
                <c:pt idx="150">
                  <c:v>44361</c:v>
                </c:pt>
                <c:pt idx="151">
                  <c:v>44354</c:v>
                </c:pt>
                <c:pt idx="152">
                  <c:v>44347</c:v>
                </c:pt>
                <c:pt idx="153">
                  <c:v>44340</c:v>
                </c:pt>
                <c:pt idx="154">
                  <c:v>44333</c:v>
                </c:pt>
                <c:pt idx="155">
                  <c:v>44326</c:v>
                </c:pt>
                <c:pt idx="156">
                  <c:v>44319</c:v>
                </c:pt>
                <c:pt idx="157">
                  <c:v>44312</c:v>
                </c:pt>
                <c:pt idx="158">
                  <c:v>44305</c:v>
                </c:pt>
                <c:pt idx="159">
                  <c:v>44298</c:v>
                </c:pt>
                <c:pt idx="160">
                  <c:v>44291</c:v>
                </c:pt>
                <c:pt idx="161">
                  <c:v>44284</c:v>
                </c:pt>
                <c:pt idx="162">
                  <c:v>44277</c:v>
                </c:pt>
                <c:pt idx="163">
                  <c:v>44270</c:v>
                </c:pt>
                <c:pt idx="164">
                  <c:v>44263</c:v>
                </c:pt>
                <c:pt idx="165">
                  <c:v>44256</c:v>
                </c:pt>
                <c:pt idx="166">
                  <c:v>44249</c:v>
                </c:pt>
                <c:pt idx="167">
                  <c:v>44242</c:v>
                </c:pt>
                <c:pt idx="168">
                  <c:v>44235</c:v>
                </c:pt>
                <c:pt idx="169">
                  <c:v>44228</c:v>
                </c:pt>
                <c:pt idx="170">
                  <c:v>44221</c:v>
                </c:pt>
                <c:pt idx="171">
                  <c:v>44214</c:v>
                </c:pt>
                <c:pt idx="172">
                  <c:v>44207</c:v>
                </c:pt>
                <c:pt idx="173">
                  <c:v>44200</c:v>
                </c:pt>
                <c:pt idx="174">
                  <c:v>44193</c:v>
                </c:pt>
                <c:pt idx="175">
                  <c:v>44186</c:v>
                </c:pt>
                <c:pt idx="176">
                  <c:v>44179</c:v>
                </c:pt>
                <c:pt idx="177">
                  <c:v>44172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129.259995</c:v>
                </c:pt>
                <c:pt idx="1">
                  <c:v>132.11000100000001</c:v>
                </c:pt>
                <c:pt idx="2">
                  <c:v>127.18</c:v>
                </c:pt>
                <c:pt idx="3">
                  <c:v>138.38000500000001</c:v>
                </c:pt>
                <c:pt idx="4">
                  <c:v>139.55999800000001</c:v>
                </c:pt>
                <c:pt idx="5">
                  <c:v>137.720001</c:v>
                </c:pt>
                <c:pt idx="6">
                  <c:v>137.240005</c:v>
                </c:pt>
                <c:pt idx="7">
                  <c:v>130.550003</c:v>
                </c:pt>
                <c:pt idx="8">
                  <c:v>131.800003</c:v>
                </c:pt>
                <c:pt idx="9">
                  <c:v>127.43</c:v>
                </c:pt>
                <c:pt idx="10">
                  <c:v>121.760002</c:v>
                </c:pt>
                <c:pt idx="11">
                  <c:v>116.010002</c:v>
                </c:pt>
                <c:pt idx="12">
                  <c:v>119.30999799999999</c:v>
                </c:pt>
                <c:pt idx="13">
                  <c:v>109.5</c:v>
                </c:pt>
                <c:pt idx="14">
                  <c:v>108.239998</c:v>
                </c:pt>
                <c:pt idx="15">
                  <c:v>106.33000199999999</c:v>
                </c:pt>
                <c:pt idx="16">
                  <c:v>104.129997</c:v>
                </c:pt>
                <c:pt idx="17">
                  <c:v>94.809997999999993</c:v>
                </c:pt>
                <c:pt idx="18">
                  <c:v>98.889999000000003</c:v>
                </c:pt>
                <c:pt idx="19">
                  <c:v>100.529999</c:v>
                </c:pt>
                <c:pt idx="20">
                  <c:v>101.57</c:v>
                </c:pt>
                <c:pt idx="21">
                  <c:v>100</c:v>
                </c:pt>
                <c:pt idx="22">
                  <c:v>96.580001999999993</c:v>
                </c:pt>
                <c:pt idx="23">
                  <c:v>93.809997999999993</c:v>
                </c:pt>
                <c:pt idx="24">
                  <c:v>95.230002999999996</c:v>
                </c:pt>
                <c:pt idx="25">
                  <c:v>87.470000999999996</c:v>
                </c:pt>
                <c:pt idx="26">
                  <c:v>92.489998</c:v>
                </c:pt>
                <c:pt idx="27">
                  <c:v>70.650002000000001</c:v>
                </c:pt>
                <c:pt idx="28">
                  <c:v>73.069999999999993</c:v>
                </c:pt>
                <c:pt idx="29">
                  <c:v>75.370002999999997</c:v>
                </c:pt>
                <c:pt idx="30">
                  <c:v>74.510002</c:v>
                </c:pt>
                <c:pt idx="31">
                  <c:v>79.470000999999996</c:v>
                </c:pt>
                <c:pt idx="32">
                  <c:v>76.180000000000007</c:v>
                </c:pt>
                <c:pt idx="33">
                  <c:v>80.930000000000007</c:v>
                </c:pt>
                <c:pt idx="34">
                  <c:v>82.169998000000007</c:v>
                </c:pt>
                <c:pt idx="35">
                  <c:v>84.040001000000004</c:v>
                </c:pt>
                <c:pt idx="36">
                  <c:v>78.019997000000004</c:v>
                </c:pt>
                <c:pt idx="37">
                  <c:v>77.819999999999993</c:v>
                </c:pt>
                <c:pt idx="38">
                  <c:v>79.190002000000007</c:v>
                </c:pt>
                <c:pt idx="39">
                  <c:v>83.599997999999999</c:v>
                </c:pt>
                <c:pt idx="40">
                  <c:v>89.650002000000001</c:v>
                </c:pt>
                <c:pt idx="41">
                  <c:v>84.5</c:v>
                </c:pt>
                <c:pt idx="42">
                  <c:v>83.959998999999996</c:v>
                </c:pt>
                <c:pt idx="43">
                  <c:v>77.949996999999996</c:v>
                </c:pt>
                <c:pt idx="44">
                  <c:v>76.419998000000007</c:v>
                </c:pt>
                <c:pt idx="45">
                  <c:v>72.639999000000003</c:v>
                </c:pt>
                <c:pt idx="46">
                  <c:v>73.260002</c:v>
                </c:pt>
                <c:pt idx="47">
                  <c:v>71.779999000000004</c:v>
                </c:pt>
                <c:pt idx="48">
                  <c:v>67.879997000000003</c:v>
                </c:pt>
                <c:pt idx="49">
                  <c:v>67.440002000000007</c:v>
                </c:pt>
                <c:pt idx="50">
                  <c:v>66.980002999999996</c:v>
                </c:pt>
                <c:pt idx="51">
                  <c:v>65.870002999999997</c:v>
                </c:pt>
                <c:pt idx="52">
                  <c:v>62.900002000000001</c:v>
                </c:pt>
                <c:pt idx="53">
                  <c:v>61.189999</c:v>
                </c:pt>
                <c:pt idx="54">
                  <c:v>61.290000999999997</c:v>
                </c:pt>
                <c:pt idx="55">
                  <c:v>61.720001000000003</c:v>
                </c:pt>
                <c:pt idx="56">
                  <c:v>60.68</c:v>
                </c:pt>
                <c:pt idx="57">
                  <c:v>63.560001</c:v>
                </c:pt>
                <c:pt idx="58">
                  <c:v>60.669998</c:v>
                </c:pt>
                <c:pt idx="59">
                  <c:v>59.639999000000003</c:v>
                </c:pt>
                <c:pt idx="60">
                  <c:v>53.23</c:v>
                </c:pt>
                <c:pt idx="61">
                  <c:v>57.34</c:v>
                </c:pt>
                <c:pt idx="62">
                  <c:v>55.09</c:v>
                </c:pt>
                <c:pt idx="63">
                  <c:v>61.810001</c:v>
                </c:pt>
                <c:pt idx="64">
                  <c:v>57.720001000000003</c:v>
                </c:pt>
                <c:pt idx="65">
                  <c:v>59.040000999999997</c:v>
                </c:pt>
                <c:pt idx="66">
                  <c:v>58.630001</c:v>
                </c:pt>
                <c:pt idx="67">
                  <c:v>58.02</c:v>
                </c:pt>
                <c:pt idx="68">
                  <c:v>52.34</c:v>
                </c:pt>
                <c:pt idx="69">
                  <c:v>48</c:v>
                </c:pt>
                <c:pt idx="70">
                  <c:v>48.82</c:v>
                </c:pt>
                <c:pt idx="71">
                  <c:v>50.689999</c:v>
                </c:pt>
                <c:pt idx="72">
                  <c:v>52.52</c:v>
                </c:pt>
                <c:pt idx="73">
                  <c:v>55.27</c:v>
                </c:pt>
                <c:pt idx="74">
                  <c:v>55.189999</c:v>
                </c:pt>
                <c:pt idx="75">
                  <c:v>55.470001000000003</c:v>
                </c:pt>
                <c:pt idx="76">
                  <c:v>58.290000999999997</c:v>
                </c:pt>
                <c:pt idx="77">
                  <c:v>62.990001999999997</c:v>
                </c:pt>
                <c:pt idx="78">
                  <c:v>51.57</c:v>
                </c:pt>
                <c:pt idx="79">
                  <c:v>47.060001</c:v>
                </c:pt>
                <c:pt idx="80">
                  <c:v>45.23</c:v>
                </c:pt>
                <c:pt idx="81">
                  <c:v>43.060001</c:v>
                </c:pt>
                <c:pt idx="82">
                  <c:v>49.389999000000003</c:v>
                </c:pt>
                <c:pt idx="83">
                  <c:v>49.450001</c:v>
                </c:pt>
                <c:pt idx="84">
                  <c:v>52.009998000000003</c:v>
                </c:pt>
                <c:pt idx="85">
                  <c:v>59.130001</c:v>
                </c:pt>
                <c:pt idx="86">
                  <c:v>64.309997999999993</c:v>
                </c:pt>
                <c:pt idx="87">
                  <c:v>58.23</c:v>
                </c:pt>
                <c:pt idx="88">
                  <c:v>61.66</c:v>
                </c:pt>
                <c:pt idx="89">
                  <c:v>64.989998</c:v>
                </c:pt>
                <c:pt idx="90">
                  <c:v>77.370002999999997</c:v>
                </c:pt>
                <c:pt idx="91">
                  <c:v>80.290001000000004</c:v>
                </c:pt>
                <c:pt idx="92">
                  <c:v>69.75</c:v>
                </c:pt>
                <c:pt idx="93">
                  <c:v>73.449996999999996</c:v>
                </c:pt>
                <c:pt idx="94">
                  <c:v>70.099997999999999</c:v>
                </c:pt>
                <c:pt idx="95">
                  <c:v>74.959998999999996</c:v>
                </c:pt>
                <c:pt idx="96">
                  <c:v>67.949996999999996</c:v>
                </c:pt>
                <c:pt idx="97">
                  <c:v>74.110000999999997</c:v>
                </c:pt>
                <c:pt idx="98">
                  <c:v>61.689999</c:v>
                </c:pt>
                <c:pt idx="99">
                  <c:v>62.18</c:v>
                </c:pt>
                <c:pt idx="100">
                  <c:v>68.040001000000004</c:v>
                </c:pt>
                <c:pt idx="101">
                  <c:v>78.089995999999999</c:v>
                </c:pt>
                <c:pt idx="102">
                  <c:v>66.230002999999996</c:v>
                </c:pt>
                <c:pt idx="103">
                  <c:v>73.709998999999996</c:v>
                </c:pt>
                <c:pt idx="104">
                  <c:v>72.110000999999997</c:v>
                </c:pt>
                <c:pt idx="105">
                  <c:v>81.430000000000007</c:v>
                </c:pt>
                <c:pt idx="106">
                  <c:v>89</c:v>
                </c:pt>
                <c:pt idx="107">
                  <c:v>109.30999799999999</c:v>
                </c:pt>
                <c:pt idx="108">
                  <c:v>106.41999800000001</c:v>
                </c:pt>
                <c:pt idx="109">
                  <c:v>120.900002</c:v>
                </c:pt>
                <c:pt idx="110">
                  <c:v>105.290001</c:v>
                </c:pt>
                <c:pt idx="111">
                  <c:v>107.290001</c:v>
                </c:pt>
                <c:pt idx="112">
                  <c:v>86.970000999999996</c:v>
                </c:pt>
                <c:pt idx="113">
                  <c:v>89.860000999999997</c:v>
                </c:pt>
                <c:pt idx="114">
                  <c:v>100.339996</c:v>
                </c:pt>
                <c:pt idx="115">
                  <c:v>96.209998999999996</c:v>
                </c:pt>
                <c:pt idx="116">
                  <c:v>95.010002</c:v>
                </c:pt>
                <c:pt idx="117">
                  <c:v>98.489998</c:v>
                </c:pt>
                <c:pt idx="118">
                  <c:v>103.66999800000001</c:v>
                </c:pt>
                <c:pt idx="119">
                  <c:v>116.949997</c:v>
                </c:pt>
                <c:pt idx="120">
                  <c:v>131.529999</c:v>
                </c:pt>
                <c:pt idx="121">
                  <c:v>132.270004</c:v>
                </c:pt>
                <c:pt idx="122">
                  <c:v>148.89999399999999</c:v>
                </c:pt>
                <c:pt idx="123">
                  <c:v>153.679993</c:v>
                </c:pt>
                <c:pt idx="124">
                  <c:v>148.80999800000001</c:v>
                </c:pt>
                <c:pt idx="125">
                  <c:v>158</c:v>
                </c:pt>
                <c:pt idx="126">
                  <c:v>157.71000699999999</c:v>
                </c:pt>
                <c:pt idx="127">
                  <c:v>187.91999799999999</c:v>
                </c:pt>
                <c:pt idx="128">
                  <c:v>215.25</c:v>
                </c:pt>
                <c:pt idx="129">
                  <c:v>245.970001</c:v>
                </c:pt>
                <c:pt idx="130">
                  <c:v>198.679993</c:v>
                </c:pt>
                <c:pt idx="131">
                  <c:v>194.800003</c:v>
                </c:pt>
                <c:pt idx="132">
                  <c:v>213.83000200000001</c:v>
                </c:pt>
                <c:pt idx="133">
                  <c:v>214.070007</c:v>
                </c:pt>
                <c:pt idx="134">
                  <c:v>204.41999799999999</c:v>
                </c:pt>
                <c:pt idx="135">
                  <c:v>203.990005</c:v>
                </c:pt>
                <c:pt idx="136">
                  <c:v>220.520004</c:v>
                </c:pt>
                <c:pt idx="137">
                  <c:v>222.91000399999999</c:v>
                </c:pt>
                <c:pt idx="138">
                  <c:v>210.36999499999999</c:v>
                </c:pt>
                <c:pt idx="139">
                  <c:v>193.46000699999999</c:v>
                </c:pt>
                <c:pt idx="140">
                  <c:v>187.94000199999999</c:v>
                </c:pt>
                <c:pt idx="141">
                  <c:v>184.08000200000001</c:v>
                </c:pt>
                <c:pt idx="142">
                  <c:v>194.78999300000001</c:v>
                </c:pt>
                <c:pt idx="143">
                  <c:v>181.55999800000001</c:v>
                </c:pt>
                <c:pt idx="144">
                  <c:v>174.28999300000001</c:v>
                </c:pt>
                <c:pt idx="145">
                  <c:v>188.60000600000001</c:v>
                </c:pt>
                <c:pt idx="146">
                  <c:v>167.36000100000001</c:v>
                </c:pt>
                <c:pt idx="147">
                  <c:v>180.229996</c:v>
                </c:pt>
                <c:pt idx="148">
                  <c:v>182.91000399999999</c:v>
                </c:pt>
                <c:pt idx="149">
                  <c:v>176.720001</c:v>
                </c:pt>
                <c:pt idx="150">
                  <c:v>167.33000200000001</c:v>
                </c:pt>
                <c:pt idx="151">
                  <c:v>154.16000399999999</c:v>
                </c:pt>
                <c:pt idx="152">
                  <c:v>143.800003</c:v>
                </c:pt>
                <c:pt idx="153">
                  <c:v>150.279999</c:v>
                </c:pt>
                <c:pt idx="154">
                  <c:v>137.570007</c:v>
                </c:pt>
                <c:pt idx="155">
                  <c:v>141.070007</c:v>
                </c:pt>
                <c:pt idx="156">
                  <c:v>124.889999</c:v>
                </c:pt>
                <c:pt idx="157">
                  <c:v>143.16999799999999</c:v>
                </c:pt>
                <c:pt idx="158">
                  <c:v>152.75</c:v>
                </c:pt>
                <c:pt idx="159">
                  <c:v>149.490005</c:v>
                </c:pt>
                <c:pt idx="160">
                  <c:v>140.5</c:v>
                </c:pt>
                <c:pt idx="161">
                  <c:v>133.13999899999999</c:v>
                </c:pt>
                <c:pt idx="162">
                  <c:v>134.009995</c:v>
                </c:pt>
                <c:pt idx="163">
                  <c:v>135.029999</c:v>
                </c:pt>
                <c:pt idx="164">
                  <c:v>142.029999</c:v>
                </c:pt>
                <c:pt idx="165">
                  <c:v>151.479996</c:v>
                </c:pt>
                <c:pt idx="166">
                  <c:v>169.490005</c:v>
                </c:pt>
                <c:pt idx="167">
                  <c:v>205.970001</c:v>
                </c:pt>
                <c:pt idx="168">
                  <c:v>202.970001</c:v>
                </c:pt>
                <c:pt idx="169">
                  <c:v>181.229996</c:v>
                </c:pt>
                <c:pt idx="170">
                  <c:v>193.270004</c:v>
                </c:pt>
                <c:pt idx="171">
                  <c:v>192</c:v>
                </c:pt>
                <c:pt idx="172">
                  <c:v>187.14999399999999</c:v>
                </c:pt>
                <c:pt idx="173">
                  <c:v>156.08999600000001</c:v>
                </c:pt>
                <c:pt idx="174">
                  <c:v>142.75</c:v>
                </c:pt>
                <c:pt idx="175">
                  <c:v>158.46000699999999</c:v>
                </c:pt>
                <c:pt idx="176">
                  <c:v>166.35000600000001</c:v>
                </c:pt>
                <c:pt idx="17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-24,25%</c:v>
                </c:pt>
                <c:pt idx="1">
                  <c:v>-24,25% to -19,37%</c:v>
                </c:pt>
                <c:pt idx="2">
                  <c:v>-19,37% to -14,49%</c:v>
                </c:pt>
                <c:pt idx="3">
                  <c:v>-14,49% to -9,61%</c:v>
                </c:pt>
                <c:pt idx="4">
                  <c:v>-9,61% to -4,73%</c:v>
                </c:pt>
                <c:pt idx="5">
                  <c:v>-4,73% to 0,15%</c:v>
                </c:pt>
                <c:pt idx="6">
                  <c:v>0,15% to 5,03%</c:v>
                </c:pt>
                <c:pt idx="7">
                  <c:v>5,03% to 9,91%</c:v>
                </c:pt>
                <c:pt idx="8">
                  <c:v>9,91% to 14,79%</c:v>
                </c:pt>
                <c:pt idx="9">
                  <c:v>14,79% to 19,67%</c:v>
                </c:pt>
                <c:pt idx="10">
                  <c:v>19,67% to 24,55%</c:v>
                </c:pt>
                <c:pt idx="11">
                  <c:v>Greater than 24,55%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38</c:v>
                </c:pt>
                <c:pt idx="6">
                  <c:v>48</c:v>
                </c:pt>
                <c:pt idx="7">
                  <c:v>23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9"/>
  <sheetViews>
    <sheetView workbookViewId="0">
      <selection activeCell="E28" sqref="E2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144</v>
      </c>
      <c r="C2" s="19"/>
      <c r="E2" s="24" t="s">
        <v>52</v>
      </c>
      <c r="F2" s="61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45414</v>
      </c>
      <c r="E3" s="5" t="s">
        <v>154</v>
      </c>
      <c r="F3" s="28" t="s">
        <v>155</v>
      </c>
      <c r="H3" t="s">
        <v>174</v>
      </c>
      <c r="I3" s="10">
        <v>910340</v>
      </c>
      <c r="J3" s="39"/>
      <c r="L3" s="5" t="s">
        <v>145</v>
      </c>
      <c r="M3" t="s">
        <v>146</v>
      </c>
      <c r="N3" s="38"/>
    </row>
    <row r="4" spans="2:14" x14ac:dyDescent="0.25">
      <c r="B4" s="5"/>
      <c r="C4" s="21">
        <v>0.10347222222222222</v>
      </c>
      <c r="E4" s="5" t="s">
        <v>156</v>
      </c>
      <c r="F4" s="28" t="s">
        <v>157</v>
      </c>
      <c r="H4" t="s">
        <v>175</v>
      </c>
      <c r="I4" s="10">
        <v>70111</v>
      </c>
      <c r="J4" s="39"/>
      <c r="L4" s="5" t="s">
        <v>147</v>
      </c>
      <c r="M4" t="s">
        <v>148</v>
      </c>
      <c r="N4" s="13"/>
    </row>
    <row r="5" spans="2:14" x14ac:dyDescent="0.25">
      <c r="B5" s="5"/>
      <c r="C5" s="13"/>
      <c r="E5" s="5" t="s">
        <v>158</v>
      </c>
      <c r="F5" s="28" t="s">
        <v>159</v>
      </c>
      <c r="H5" t="s">
        <v>176</v>
      </c>
      <c r="I5" s="10">
        <v>41183</v>
      </c>
      <c r="J5" s="39"/>
      <c r="L5" s="5" t="s">
        <v>150</v>
      </c>
      <c r="M5" t="s">
        <v>151</v>
      </c>
      <c r="N5" s="13"/>
    </row>
    <row r="6" spans="2:14" x14ac:dyDescent="0.25">
      <c r="B6" s="5" t="s">
        <v>0</v>
      </c>
      <c r="C6" s="13">
        <v>108</v>
      </c>
      <c r="E6" s="5" t="s">
        <v>160</v>
      </c>
      <c r="F6" s="28" t="s">
        <v>161</v>
      </c>
      <c r="H6" t="s">
        <v>177</v>
      </c>
      <c r="I6" s="10">
        <v>391425</v>
      </c>
      <c r="J6" s="39"/>
      <c r="L6" s="5" t="s">
        <v>152</v>
      </c>
      <c r="M6" t="s">
        <v>153</v>
      </c>
      <c r="N6" s="13"/>
    </row>
    <row r="7" spans="2:14" x14ac:dyDescent="0.25">
      <c r="B7" s="5" t="s">
        <v>1</v>
      </c>
      <c r="C7" s="15">
        <f>Model!X19</f>
        <v>405.48200000000003</v>
      </c>
      <c r="E7" s="5" t="s">
        <v>162</v>
      </c>
      <c r="F7" s="28" t="s">
        <v>163</v>
      </c>
      <c r="H7" t="s">
        <v>178</v>
      </c>
      <c r="I7" s="10">
        <v>106253</v>
      </c>
      <c r="J7" s="39"/>
      <c r="L7" s="5"/>
      <c r="N7" s="13"/>
    </row>
    <row r="8" spans="2:14" x14ac:dyDescent="0.25">
      <c r="B8" s="5" t="s">
        <v>2</v>
      </c>
      <c r="C8" s="15">
        <f>C6*C7</f>
        <v>43792.056000000004</v>
      </c>
      <c r="E8" s="5" t="s">
        <v>164</v>
      </c>
      <c r="F8" s="28" t="s">
        <v>165</v>
      </c>
      <c r="H8" t="s">
        <v>179</v>
      </c>
      <c r="I8" s="10">
        <v>166990</v>
      </c>
      <c r="J8" s="39"/>
      <c r="L8" s="5"/>
      <c r="N8" s="13"/>
    </row>
    <row r="9" spans="2:14" x14ac:dyDescent="0.25">
      <c r="B9" s="5" t="s">
        <v>3</v>
      </c>
      <c r="C9" s="15">
        <f>Model!X36+Model!X37</f>
        <v>4490</v>
      </c>
      <c r="E9" s="5" t="s">
        <v>166</v>
      </c>
      <c r="F9" s="28" t="s">
        <v>167</v>
      </c>
      <c r="H9" t="s">
        <v>180</v>
      </c>
      <c r="I9" s="10">
        <v>5852</v>
      </c>
      <c r="J9" s="39"/>
      <c r="L9" s="5"/>
      <c r="N9" s="13"/>
    </row>
    <row r="10" spans="2:14" x14ac:dyDescent="0.25">
      <c r="B10" s="5" t="s">
        <v>4</v>
      </c>
      <c r="C10" s="15">
        <v>0</v>
      </c>
      <c r="E10" s="5" t="s">
        <v>168</v>
      </c>
      <c r="F10" s="28" t="s">
        <v>169</v>
      </c>
      <c r="H10" t="s">
        <v>181</v>
      </c>
      <c r="I10" s="10">
        <v>40952</v>
      </c>
      <c r="J10" s="39"/>
      <c r="L10" s="5"/>
      <c r="N10" s="13"/>
    </row>
    <row r="11" spans="2:14" x14ac:dyDescent="0.25">
      <c r="B11" s="5" t="s">
        <v>40</v>
      </c>
      <c r="C11" s="15">
        <f>C9-C10</f>
        <v>4490</v>
      </c>
      <c r="E11" s="5" t="s">
        <v>170</v>
      </c>
      <c r="F11" s="28" t="s">
        <v>171</v>
      </c>
      <c r="H11" t="s">
        <v>182</v>
      </c>
      <c r="I11" s="10" t="s">
        <v>149</v>
      </c>
      <c r="J11" s="39"/>
      <c r="L11" s="5"/>
      <c r="N11" s="13"/>
    </row>
    <row r="12" spans="2:14" x14ac:dyDescent="0.25">
      <c r="B12" s="5" t="s">
        <v>5</v>
      </c>
      <c r="C12" s="15">
        <f>C8-C9+C10</f>
        <v>39302.056000000004</v>
      </c>
      <c r="E12" s="5" t="s">
        <v>172</v>
      </c>
      <c r="F12" s="28" t="s">
        <v>173</v>
      </c>
      <c r="H12" t="s">
        <v>183</v>
      </c>
      <c r="I12">
        <v>155252</v>
      </c>
      <c r="J12" s="13"/>
      <c r="L12" s="5"/>
      <c r="N12" s="13"/>
    </row>
    <row r="13" spans="2:14" x14ac:dyDescent="0.25">
      <c r="B13" s="5" t="s">
        <v>51</v>
      </c>
      <c r="C13" s="36">
        <f>C6/Model!G20</f>
        <v>-76.054451612903222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C6/Model!H21</f>
        <v>540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C6/Model!I21</f>
        <v>77.697841726618705</v>
      </c>
    </row>
    <row r="16" spans="2:14" x14ac:dyDescent="0.25">
      <c r="B16" s="5" t="s">
        <v>47</v>
      </c>
      <c r="C16" s="6">
        <v>1</v>
      </c>
    </row>
    <row r="17" spans="2:14" x14ac:dyDescent="0.25">
      <c r="B17" s="5" t="s">
        <v>48</v>
      </c>
      <c r="C17" s="6">
        <f>Model!I21/Model!H21-1</f>
        <v>5.9499999999999993</v>
      </c>
      <c r="E17" s="33" t="s">
        <v>58</v>
      </c>
      <c r="L17" s="125"/>
      <c r="M17" s="126"/>
      <c r="N17" s="127"/>
    </row>
    <row r="18" spans="2:14" x14ac:dyDescent="0.25">
      <c r="B18" s="5" t="s">
        <v>74</v>
      </c>
      <c r="C18" s="52">
        <f>C14/(C16*100)</f>
        <v>5.4</v>
      </c>
      <c r="L18" s="128"/>
      <c r="M18" s="129"/>
      <c r="N18" s="130"/>
    </row>
    <row r="19" spans="2:14" x14ac:dyDescent="0.25">
      <c r="B19" s="5" t="s">
        <v>75</v>
      </c>
      <c r="C19" s="52">
        <f>C15/(C17*100)</f>
        <v>0.13058460794389701</v>
      </c>
      <c r="L19" s="128"/>
      <c r="M19" s="129"/>
      <c r="N19" s="130"/>
    </row>
    <row r="20" spans="2:14" x14ac:dyDescent="0.25">
      <c r="B20" s="5" t="s">
        <v>87</v>
      </c>
      <c r="C20" s="6">
        <f>Model!H3/Model!G3-1</f>
        <v>0.18123914302258259</v>
      </c>
      <c r="L20" s="128"/>
      <c r="M20" s="129"/>
      <c r="N20" s="130"/>
    </row>
    <row r="21" spans="2:14" x14ac:dyDescent="0.25">
      <c r="B21" s="5" t="s">
        <v>88</v>
      </c>
      <c r="C21" s="6">
        <f>Model!I3/Model!H3-1</f>
        <v>0.16176470588235303</v>
      </c>
      <c r="L21" s="128"/>
      <c r="M21" s="129"/>
      <c r="N21" s="130"/>
    </row>
    <row r="22" spans="2:14" x14ac:dyDescent="0.25">
      <c r="B22" s="5" t="s">
        <v>76</v>
      </c>
      <c r="C22" s="15">
        <f>Model!G14-Model!G12</f>
        <v>-686</v>
      </c>
      <c r="L22" s="128"/>
      <c r="M22" s="129"/>
      <c r="N22" s="130"/>
    </row>
    <row r="23" spans="2:14" x14ac:dyDescent="0.25">
      <c r="B23" s="5" t="s">
        <v>19</v>
      </c>
      <c r="C23" s="15">
        <f>Model!G18</f>
        <v>-177</v>
      </c>
      <c r="L23" s="128"/>
      <c r="M23" s="129"/>
      <c r="N23" s="130"/>
    </row>
    <row r="24" spans="2:14" x14ac:dyDescent="0.25">
      <c r="B24" s="5" t="s">
        <v>32</v>
      </c>
      <c r="C24" s="7">
        <f>Model!G22</f>
        <v>0.46855819339895777</v>
      </c>
      <c r="L24" s="128"/>
      <c r="M24" s="129"/>
      <c r="N24" s="130"/>
    </row>
    <row r="25" spans="2:14" x14ac:dyDescent="0.25">
      <c r="B25" s="5" t="s">
        <v>33</v>
      </c>
      <c r="C25" s="7">
        <f>Model!G23</f>
        <v>-6.4620729588882458E-2</v>
      </c>
      <c r="L25" s="128"/>
      <c r="M25" s="129"/>
      <c r="N25" s="130"/>
    </row>
    <row r="26" spans="2:14" x14ac:dyDescent="0.25">
      <c r="B26" s="5" t="s">
        <v>77</v>
      </c>
      <c r="C26" s="36">
        <f>C12/C23</f>
        <v>-222.04551412429382</v>
      </c>
      <c r="L26" s="128"/>
      <c r="M26" s="129"/>
      <c r="N26" s="130"/>
    </row>
    <row r="27" spans="2:14" x14ac:dyDescent="0.25">
      <c r="B27" s="5" t="s">
        <v>89</v>
      </c>
      <c r="C27" s="121">
        <v>0</v>
      </c>
      <c r="E27" t="s">
        <v>80</v>
      </c>
      <c r="L27" s="128"/>
      <c r="M27" s="129"/>
      <c r="N27" s="130"/>
    </row>
    <row r="28" spans="2:14" x14ac:dyDescent="0.25">
      <c r="B28" s="5" t="s">
        <v>90</v>
      </c>
      <c r="C28" s="36">
        <v>0</v>
      </c>
      <c r="L28" s="131"/>
      <c r="M28" s="132"/>
      <c r="N28" s="133"/>
    </row>
    <row r="29" spans="2:14" x14ac:dyDescent="0.25">
      <c r="B29" s="5" t="s">
        <v>91</v>
      </c>
      <c r="C29" s="36">
        <f>Model!G41/Model!G54</f>
        <v>1.6413489736070381</v>
      </c>
    </row>
    <row r="30" spans="2:14" x14ac:dyDescent="0.25">
      <c r="B30" s="5" t="s">
        <v>92</v>
      </c>
      <c r="C30" s="36">
        <f>(Model!G36+Model!G37+Model!G38+Model!G39)/Model!G54</f>
        <v>1.4565982404692082</v>
      </c>
    </row>
    <row r="31" spans="2:14" x14ac:dyDescent="0.25">
      <c r="B31" s="5" t="s">
        <v>93</v>
      </c>
      <c r="C31" s="6"/>
    </row>
    <row r="32" spans="2:14" x14ac:dyDescent="0.25">
      <c r="B32" s="5" t="s">
        <v>94</v>
      </c>
      <c r="C32" s="36">
        <f>(Model!G50-Model!G57)/C7</f>
        <v>16.802225499528955</v>
      </c>
    </row>
    <row r="33" spans="2:9" x14ac:dyDescent="0.25">
      <c r="B33" s="5" t="s">
        <v>95</v>
      </c>
      <c r="C33" s="36">
        <f>Model!G3/Model!G50</f>
        <v>0.7966602085063198</v>
      </c>
    </row>
    <row r="34" spans="2:9" x14ac:dyDescent="0.25">
      <c r="B34" s="5" t="s">
        <v>96</v>
      </c>
      <c r="C34" s="39">
        <f>Model!G17/Model!G50</f>
        <v>-5.1480763908109607E-2</v>
      </c>
    </row>
    <row r="35" spans="2:9" x14ac:dyDescent="0.25">
      <c r="B35" s="5" t="s">
        <v>97</v>
      </c>
      <c r="C35" s="39">
        <f>Model!G17/Model!G58</f>
        <v>-8.1902245706737126E-2</v>
      </c>
    </row>
    <row r="36" spans="2:9" x14ac:dyDescent="0.25">
      <c r="B36" s="22" t="s">
        <v>98</v>
      </c>
      <c r="C36" s="23"/>
    </row>
    <row r="37" spans="2:9" x14ac:dyDescent="0.25">
      <c r="E37" s="59"/>
      <c r="F37" s="59"/>
      <c r="G37" s="60"/>
      <c r="H37" s="60"/>
      <c r="I37" s="60"/>
    </row>
    <row r="38" spans="2:9" x14ac:dyDescent="0.25">
      <c r="E38" s="59"/>
      <c r="F38" s="59"/>
      <c r="G38" s="60"/>
      <c r="H38" s="60"/>
      <c r="I38" s="60"/>
    </row>
    <row r="39" spans="2:9" x14ac:dyDescent="0.25">
      <c r="E39" s="59"/>
      <c r="F39" s="59"/>
      <c r="G39" s="60"/>
      <c r="H39" s="60"/>
      <c r="I39" s="60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9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1"/>
    <col min="24" max="24" width="11.42578125" style="13"/>
  </cols>
  <sheetData>
    <row r="1" spans="1:25" x14ac:dyDescent="0.25">
      <c r="A1" s="8" t="s">
        <v>41</v>
      </c>
    </row>
    <row r="2" spans="1:25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73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s="151" t="s">
        <v>44</v>
      </c>
      <c r="X2" s="13" t="s">
        <v>68</v>
      </c>
      <c r="Y2" t="s">
        <v>72</v>
      </c>
    </row>
    <row r="3" spans="1:25" s="145" customFormat="1" x14ac:dyDescent="0.25">
      <c r="B3" s="145" t="s">
        <v>17</v>
      </c>
      <c r="C3" s="146">
        <v>885</v>
      </c>
      <c r="D3" s="146">
        <v>2886</v>
      </c>
      <c r="E3" s="146">
        <v>4888</v>
      </c>
      <c r="F3" s="146">
        <v>6583</v>
      </c>
      <c r="G3" s="147">
        <v>8635</v>
      </c>
      <c r="H3" s="41">
        <v>10200</v>
      </c>
      <c r="I3" s="41">
        <v>11850</v>
      </c>
      <c r="L3" s="146">
        <v>1077</v>
      </c>
      <c r="M3" s="146">
        <v>1236</v>
      </c>
      <c r="N3" s="146">
        <v>1275</v>
      </c>
      <c r="O3" s="146">
        <f>E3-N3-M3-L3</f>
        <v>1300</v>
      </c>
      <c r="P3" s="146">
        <v>1456</v>
      </c>
      <c r="Q3" s="146">
        <v>1608</v>
      </c>
      <c r="R3" s="146">
        <v>1701</v>
      </c>
      <c r="S3" s="146">
        <f>F3-R3-Q3-P3</f>
        <v>1818</v>
      </c>
      <c r="T3" s="146">
        <v>2035</v>
      </c>
      <c r="U3" s="146">
        <v>2133</v>
      </c>
      <c r="V3" s="146">
        <v>2164</v>
      </c>
      <c r="W3" s="152">
        <f>G3-V3-U3-T3</f>
        <v>2303</v>
      </c>
      <c r="X3" s="147">
        <v>2513</v>
      </c>
    </row>
    <row r="4" spans="1:25" x14ac:dyDescent="0.25">
      <c r="B4" s="9" t="s">
        <v>70</v>
      </c>
      <c r="C4" s="10"/>
      <c r="D4" s="10"/>
      <c r="E4" s="10"/>
      <c r="F4" s="10"/>
      <c r="G4" s="15"/>
      <c r="H4" s="43">
        <v>10200</v>
      </c>
      <c r="I4" s="43">
        <v>11850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3"/>
      <c r="X4" s="159">
        <v>2450</v>
      </c>
      <c r="Y4" s="41">
        <v>2510</v>
      </c>
    </row>
    <row r="5" spans="1:25" s="145" customFormat="1" x14ac:dyDescent="0.25">
      <c r="B5" s="145" t="s">
        <v>63</v>
      </c>
      <c r="C5" s="146">
        <v>523</v>
      </c>
      <c r="D5" s="146">
        <v>1368</v>
      </c>
      <c r="E5" s="146">
        <v>2338</v>
      </c>
      <c r="F5" s="146">
        <v>3588</v>
      </c>
      <c r="G5" s="147">
        <v>4589</v>
      </c>
      <c r="H5" s="146"/>
      <c r="I5" s="146"/>
      <c r="L5" s="146">
        <v>563</v>
      </c>
      <c r="M5" s="146">
        <v>555</v>
      </c>
      <c r="N5" s="146">
        <v>585</v>
      </c>
      <c r="O5" s="146">
        <f t="shared" ref="O5:O9" si="0">E5-N5-M5-L5</f>
        <v>635</v>
      </c>
      <c r="P5" s="146">
        <v>763</v>
      </c>
      <c r="Q5" s="146">
        <v>880</v>
      </c>
      <c r="R5" s="146">
        <v>931</v>
      </c>
      <c r="S5" s="146">
        <f t="shared" ref="S5:S10" si="1">F5-R5-Q5-P5</f>
        <v>1014</v>
      </c>
      <c r="T5" s="146">
        <v>1069</v>
      </c>
      <c r="U5" s="146">
        <v>1135</v>
      </c>
      <c r="V5" s="146">
        <v>1156</v>
      </c>
      <c r="W5" s="152">
        <f t="shared" ref="W5:W10" si="2">G5-V5-U5-T5</f>
        <v>1229</v>
      </c>
      <c r="X5" s="147">
        <v>1330</v>
      </c>
      <c r="Y5" s="146"/>
    </row>
    <row r="6" spans="1:25" x14ac:dyDescent="0.25">
      <c r="B6" t="s">
        <v>64</v>
      </c>
      <c r="C6" s="10">
        <v>594</v>
      </c>
      <c r="D6" s="10">
        <v>957</v>
      </c>
      <c r="E6" s="10">
        <v>1619</v>
      </c>
      <c r="F6" s="10">
        <v>1682</v>
      </c>
      <c r="G6" s="15">
        <v>1876</v>
      </c>
      <c r="H6" s="41"/>
      <c r="I6" s="41"/>
      <c r="L6" s="10">
        <v>333</v>
      </c>
      <c r="M6" s="10">
        <v>427</v>
      </c>
      <c r="N6" s="10">
        <v>446</v>
      </c>
      <c r="O6" s="146">
        <f t="shared" si="0"/>
        <v>413</v>
      </c>
      <c r="P6" s="10">
        <v>414</v>
      </c>
      <c r="Q6" s="10">
        <v>421</v>
      </c>
      <c r="R6" s="10">
        <v>418</v>
      </c>
      <c r="S6" s="146">
        <f t="shared" si="1"/>
        <v>429</v>
      </c>
      <c r="T6" s="10">
        <v>496</v>
      </c>
      <c r="U6" s="10">
        <v>471</v>
      </c>
      <c r="V6" s="10">
        <v>449</v>
      </c>
      <c r="W6" s="152">
        <f t="shared" si="2"/>
        <v>460</v>
      </c>
      <c r="X6" s="13">
        <v>504</v>
      </c>
    </row>
    <row r="7" spans="1:25" x14ac:dyDescent="0.25">
      <c r="B7" t="s">
        <v>78</v>
      </c>
      <c r="C7" s="10">
        <v>107</v>
      </c>
      <c r="D7" s="10">
        <v>321</v>
      </c>
      <c r="E7" s="10">
        <v>430</v>
      </c>
      <c r="F7" s="10">
        <v>829</v>
      </c>
      <c r="G7" s="15">
        <v>1003</v>
      </c>
      <c r="H7" s="41"/>
      <c r="I7" s="41"/>
      <c r="L7" s="10">
        <v>82</v>
      </c>
      <c r="M7" s="10">
        <v>100</v>
      </c>
      <c r="N7" s="10">
        <v>115</v>
      </c>
      <c r="O7" s="146">
        <f t="shared" si="0"/>
        <v>133</v>
      </c>
      <c r="P7" s="10">
        <v>148</v>
      </c>
      <c r="Q7" s="10">
        <v>205</v>
      </c>
      <c r="R7" s="10">
        <v>226</v>
      </c>
      <c r="S7" s="146">
        <f t="shared" si="1"/>
        <v>250</v>
      </c>
      <c r="T7" s="10">
        <v>231</v>
      </c>
      <c r="U7" s="10">
        <v>269</v>
      </c>
      <c r="V7" s="10">
        <v>250</v>
      </c>
      <c r="W7" s="152">
        <f t="shared" si="2"/>
        <v>253</v>
      </c>
      <c r="X7" s="13">
        <v>279</v>
      </c>
    </row>
    <row r="8" spans="1:25" x14ac:dyDescent="0.25">
      <c r="B8" t="s">
        <v>143</v>
      </c>
      <c r="C8" s="10">
        <v>245</v>
      </c>
      <c r="D8" s="10">
        <v>556</v>
      </c>
      <c r="E8" s="10">
        <v>797</v>
      </c>
      <c r="F8" s="10">
        <v>1147</v>
      </c>
      <c r="G8" s="15">
        <v>1235</v>
      </c>
      <c r="H8" s="10"/>
      <c r="I8" s="10"/>
      <c r="L8" s="10">
        <v>169</v>
      </c>
      <c r="M8" s="10">
        <v>216</v>
      </c>
      <c r="N8" s="10">
        <v>188</v>
      </c>
      <c r="O8" s="146">
        <f t="shared" si="0"/>
        <v>224</v>
      </c>
      <c r="P8" s="10">
        <v>245</v>
      </c>
      <c r="Q8" s="10">
        <v>291</v>
      </c>
      <c r="R8" s="10">
        <v>311</v>
      </c>
      <c r="S8" s="146">
        <f t="shared" si="1"/>
        <v>300</v>
      </c>
      <c r="T8" s="10">
        <v>285</v>
      </c>
      <c r="U8" s="10">
        <v>341</v>
      </c>
      <c r="V8" s="10">
        <v>289</v>
      </c>
      <c r="W8" s="152">
        <f t="shared" si="2"/>
        <v>320</v>
      </c>
      <c r="X8" s="13">
        <v>319</v>
      </c>
    </row>
    <row r="9" spans="1:25" x14ac:dyDescent="0.25">
      <c r="B9" t="s">
        <v>24</v>
      </c>
      <c r="C9" s="10">
        <v>32</v>
      </c>
      <c r="D9" s="10">
        <v>120</v>
      </c>
      <c r="E9" s="10">
        <v>156</v>
      </c>
      <c r="F9" s="10">
        <v>369</v>
      </c>
      <c r="G9" s="15">
        <v>509</v>
      </c>
      <c r="H9" s="10"/>
      <c r="I9" s="10"/>
      <c r="L9" s="10">
        <v>29</v>
      </c>
      <c r="M9" s="10">
        <v>37</v>
      </c>
      <c r="N9" s="10">
        <v>41</v>
      </c>
      <c r="O9" s="146">
        <f t="shared" si="0"/>
        <v>49</v>
      </c>
      <c r="P9" s="10">
        <v>59</v>
      </c>
      <c r="Q9" s="10">
        <v>81</v>
      </c>
      <c r="R9" s="10">
        <v>118</v>
      </c>
      <c r="S9" s="146">
        <f t="shared" si="1"/>
        <v>111</v>
      </c>
      <c r="T9" s="10">
        <v>123</v>
      </c>
      <c r="U9" s="10">
        <v>128</v>
      </c>
      <c r="V9" s="10">
        <v>128</v>
      </c>
      <c r="W9" s="152">
        <f t="shared" si="2"/>
        <v>130</v>
      </c>
      <c r="X9" s="13">
        <v>142</v>
      </c>
    </row>
    <row r="10" spans="1:25" x14ac:dyDescent="0.25">
      <c r="B10" t="s">
        <v>184</v>
      </c>
      <c r="C10" s="10"/>
      <c r="D10" s="10"/>
      <c r="E10" s="10"/>
      <c r="F10" s="10">
        <v>92</v>
      </c>
      <c r="G10" s="15">
        <v>2</v>
      </c>
      <c r="H10" s="41"/>
      <c r="I10" s="41"/>
      <c r="L10" s="10"/>
      <c r="M10" s="10"/>
      <c r="N10" s="10"/>
      <c r="O10" s="10"/>
      <c r="P10" s="10"/>
      <c r="Q10" s="10">
        <v>3</v>
      </c>
      <c r="R10" s="10">
        <v>5</v>
      </c>
      <c r="S10" s="146">
        <f t="shared" si="1"/>
        <v>84</v>
      </c>
      <c r="T10" s="10">
        <v>2</v>
      </c>
      <c r="U10" s="10"/>
      <c r="V10" s="10"/>
      <c r="W10" s="152">
        <f t="shared" si="2"/>
        <v>0</v>
      </c>
    </row>
    <row r="11" spans="1:25" s="1" customFormat="1" x14ac:dyDescent="0.25">
      <c r="B11" s="1" t="s">
        <v>23</v>
      </c>
      <c r="C11" s="11">
        <f>C3-SUM(C5:C10)</f>
        <v>-616</v>
      </c>
      <c r="D11" s="11">
        <f>D3-SUM(D5:D10)</f>
        <v>-436</v>
      </c>
      <c r="E11" s="11">
        <f>E3-SUM(E5:E10)</f>
        <v>-452</v>
      </c>
      <c r="F11" s="11">
        <f>F3-SUM(F5:F10)</f>
        <v>-1124</v>
      </c>
      <c r="G11" s="14">
        <f>G3-SUM(G5:G10)</f>
        <v>-579</v>
      </c>
      <c r="H11" s="11">
        <f>H3-SUM(H5:H10)</f>
        <v>10200</v>
      </c>
      <c r="I11" s="11">
        <f>I3-SUM(I5:I10)</f>
        <v>11850</v>
      </c>
      <c r="J11" s="11"/>
      <c r="K11" s="11"/>
      <c r="L11" s="11">
        <f>L3-SUM(L5:L10)</f>
        <v>-99</v>
      </c>
      <c r="M11" s="11">
        <f>M3-SUM(M5:M10)</f>
        <v>-99</v>
      </c>
      <c r="N11" s="11">
        <f>N3-SUM(N5:N10)</f>
        <v>-100</v>
      </c>
      <c r="O11" s="11">
        <f>O3-SUM(O5:O10)</f>
        <v>-154</v>
      </c>
      <c r="P11" s="11">
        <f>P3-SUM(P5:P10)</f>
        <v>-173</v>
      </c>
      <c r="Q11" s="11">
        <f>Q3-SUM(Q5:Q10)</f>
        <v>-273</v>
      </c>
      <c r="R11" s="11">
        <f>R3-SUM(R5:R10)</f>
        <v>-308</v>
      </c>
      <c r="S11" s="11">
        <f>S3-SUM(S5:S10)</f>
        <v>-370</v>
      </c>
      <c r="T11" s="11">
        <f>T3-SUM(T5:T10)</f>
        <v>-171</v>
      </c>
      <c r="U11" s="11">
        <f>U3-SUM(U5:U10)</f>
        <v>-211</v>
      </c>
      <c r="V11" s="11">
        <f>V3-SUM(V5:V10)</f>
        <v>-108</v>
      </c>
      <c r="W11" s="150">
        <f>W3-SUM(W5:W10)</f>
        <v>-89</v>
      </c>
      <c r="X11" s="14">
        <f>X3-SUM(X5:X10)</f>
        <v>-61</v>
      </c>
      <c r="Y11" s="11">
        <f>Y3-SUM(Y5:Y10)</f>
        <v>0</v>
      </c>
    </row>
    <row r="12" spans="1:25" x14ac:dyDescent="0.25">
      <c r="B12" t="s">
        <v>185</v>
      </c>
      <c r="C12" s="10">
        <v>18</v>
      </c>
      <c r="D12" s="10">
        <f>7-32</f>
        <v>-25</v>
      </c>
      <c r="E12" s="10">
        <v>-11</v>
      </c>
      <c r="F12" s="10">
        <v>30</v>
      </c>
      <c r="G12" s="15">
        <v>152</v>
      </c>
      <c r="H12" s="41"/>
      <c r="I12" s="41"/>
      <c r="L12" s="10">
        <f>2-12</f>
        <v>-10</v>
      </c>
      <c r="M12" s="10">
        <v>-1</v>
      </c>
      <c r="N12" s="10"/>
      <c r="O12" s="146">
        <f t="shared" ref="O12:O13" si="3">E12-N12-M12-L12</f>
        <v>0</v>
      </c>
      <c r="P12" s="10">
        <v>1</v>
      </c>
      <c r="Q12" s="10">
        <v>4</v>
      </c>
      <c r="R12" s="10">
        <v>9</v>
      </c>
      <c r="S12" s="146">
        <f t="shared" ref="S12:S13" si="4">F12-R12-Q12-P12</f>
        <v>16</v>
      </c>
      <c r="T12" s="10">
        <v>27</v>
      </c>
      <c r="U12" s="10">
        <v>34</v>
      </c>
      <c r="V12" s="10">
        <v>40</v>
      </c>
      <c r="W12" s="152">
        <f t="shared" ref="W12:W13" si="5">G12-V12-U12-T12</f>
        <v>51</v>
      </c>
      <c r="X12" s="13">
        <v>45</v>
      </c>
    </row>
    <row r="13" spans="1:25" x14ac:dyDescent="0.25">
      <c r="B13" t="s">
        <v>27</v>
      </c>
      <c r="C13" s="10">
        <v>-68</v>
      </c>
      <c r="D13" s="10">
        <v>3</v>
      </c>
      <c r="E13" s="10"/>
      <c r="F13" s="10">
        <v>-305</v>
      </c>
      <c r="G13" s="15">
        <v>-107</v>
      </c>
      <c r="H13" s="41"/>
      <c r="I13" s="41"/>
      <c r="L13" s="10"/>
      <c r="M13" s="10"/>
      <c r="N13" s="10">
        <v>-1</v>
      </c>
      <c r="O13" s="146">
        <f t="shared" si="3"/>
        <v>1</v>
      </c>
      <c r="P13" s="10">
        <v>5</v>
      </c>
      <c r="Q13" s="10">
        <v>-3</v>
      </c>
      <c r="R13" s="10">
        <v>-2</v>
      </c>
      <c r="S13" s="146">
        <f t="shared" si="4"/>
        <v>-305</v>
      </c>
      <c r="T13" s="10">
        <v>-1</v>
      </c>
      <c r="U13" s="10">
        <v>-4</v>
      </c>
      <c r="V13" s="10">
        <v>-1</v>
      </c>
      <c r="W13" s="152">
        <f t="shared" si="5"/>
        <v>-101</v>
      </c>
      <c r="X13" s="13">
        <v>-2</v>
      </c>
    </row>
    <row r="14" spans="1:25" s="1" customFormat="1" x14ac:dyDescent="0.25">
      <c r="B14" s="1" t="s">
        <v>191</v>
      </c>
      <c r="C14" s="11">
        <f>C11+SUM(C12:C13)</f>
        <v>-666</v>
      </c>
      <c r="D14" s="11">
        <f>D11+SUM(D12:D13)</f>
        <v>-458</v>
      </c>
      <c r="E14" s="11">
        <f>E11+SUM(E12:E13)</f>
        <v>-463</v>
      </c>
      <c r="F14" s="11">
        <f>F11+SUM(F12:F13)</f>
        <v>-1399</v>
      </c>
      <c r="G14" s="14">
        <f>G11+SUM(G12:G13)</f>
        <v>-534</v>
      </c>
      <c r="H14" s="11">
        <f>H11+SUM(H12:H13)</f>
        <v>10200</v>
      </c>
      <c r="I14" s="11">
        <f>I11+SUM(I12:I13)</f>
        <v>11850</v>
      </c>
      <c r="L14" s="11">
        <f>L11+SUM(L12:L13)</f>
        <v>-109</v>
      </c>
      <c r="M14" s="11">
        <f>M11+SUM(M12:M13)</f>
        <v>-100</v>
      </c>
      <c r="N14" s="11">
        <f>N11+SUM(N12:N13)</f>
        <v>-101</v>
      </c>
      <c r="O14" s="11">
        <f>O11+SUM(O12:O13)</f>
        <v>-153</v>
      </c>
      <c r="P14" s="11">
        <f>P11+SUM(P12:P13)</f>
        <v>-167</v>
      </c>
      <c r="Q14" s="11">
        <f>Q11+SUM(Q12:Q13)</f>
        <v>-272</v>
      </c>
      <c r="R14" s="11">
        <f>R11+SUM(R12:R13)</f>
        <v>-301</v>
      </c>
      <c r="S14" s="11">
        <f>S11+SUM(S12:S13)</f>
        <v>-659</v>
      </c>
      <c r="T14" s="11">
        <f>T11+SUM(T12:T13)</f>
        <v>-145</v>
      </c>
      <c r="U14" s="11">
        <f>U11+SUM(U12:U13)</f>
        <v>-181</v>
      </c>
      <c r="V14" s="11">
        <f>V11+SUM(V12:V13)</f>
        <v>-69</v>
      </c>
      <c r="W14" s="150">
        <f>W11+SUM(W12:W13)</f>
        <v>-139</v>
      </c>
      <c r="X14" s="14">
        <f>X11+SUM(X12:X13)</f>
        <v>-18</v>
      </c>
      <c r="Y14" s="11">
        <f>Y11+SUM(Y12:Y13)</f>
        <v>0</v>
      </c>
    </row>
    <row r="15" spans="1:25" x14ac:dyDescent="0.25">
      <c r="B15" t="s">
        <v>20</v>
      </c>
      <c r="C15" s="10">
        <v>1</v>
      </c>
      <c r="D15" s="10">
        <v>3</v>
      </c>
      <c r="E15" s="10">
        <v>5</v>
      </c>
      <c r="F15" s="10">
        <v>-31</v>
      </c>
      <c r="G15" s="15">
        <v>31</v>
      </c>
      <c r="H15" s="41"/>
      <c r="I15" s="41"/>
      <c r="L15" s="10">
        <v>1</v>
      </c>
      <c r="M15" s="10">
        <v>2</v>
      </c>
      <c r="N15" s="10"/>
      <c r="O15" s="146">
        <f t="shared" ref="O15:O16" si="6">E15-N15-M15-L15</f>
        <v>2</v>
      </c>
      <c r="P15" s="10"/>
      <c r="Q15" s="10">
        <v>-9</v>
      </c>
      <c r="R15" s="10">
        <v>-5</v>
      </c>
      <c r="S15" s="146">
        <f>F15-R15-Q15-P15</f>
        <v>-17</v>
      </c>
      <c r="T15" s="10">
        <v>17</v>
      </c>
      <c r="U15" s="10">
        <v>-9</v>
      </c>
      <c r="V15" s="10">
        <v>6</v>
      </c>
      <c r="W15" s="152">
        <f t="shared" ref="W15:W16" si="7">G15-V15-U15-T15</f>
        <v>17</v>
      </c>
      <c r="X15" s="13">
        <v>7</v>
      </c>
    </row>
    <row r="16" spans="1:25" x14ac:dyDescent="0.25">
      <c r="B16" t="s">
        <v>79</v>
      </c>
      <c r="C16" s="10">
        <v>-1</v>
      </c>
      <c r="D16" s="10"/>
      <c r="E16" s="10"/>
      <c r="F16" s="10">
        <v>-3</v>
      </c>
      <c r="G16" s="15">
        <v>-7</v>
      </c>
      <c r="H16" s="41"/>
      <c r="I16" s="41"/>
      <c r="L16" s="10"/>
      <c r="M16" s="10"/>
      <c r="N16" s="10"/>
      <c r="O16" s="146">
        <f t="shared" si="6"/>
        <v>0</v>
      </c>
      <c r="P16" s="10"/>
      <c r="Q16" s="10"/>
      <c r="R16" s="10">
        <v>-1</v>
      </c>
      <c r="S16" s="146">
        <f>F16-R16-Q16-P16</f>
        <v>-2</v>
      </c>
      <c r="T16" s="10">
        <v>-1</v>
      </c>
      <c r="U16" s="10">
        <v>-2</v>
      </c>
      <c r="V16" s="10">
        <v>-2</v>
      </c>
      <c r="W16" s="152">
        <f t="shared" si="7"/>
        <v>-2</v>
      </c>
      <c r="X16" s="13">
        <v>-2</v>
      </c>
    </row>
    <row r="17" spans="2:26" s="1" customFormat="1" x14ac:dyDescent="0.25">
      <c r="B17" s="1" t="s">
        <v>21</v>
      </c>
      <c r="C17" s="11">
        <f>C14-SUM(C15:C16)</f>
        <v>-666</v>
      </c>
      <c r="D17" s="11">
        <f t="shared" ref="D17:G17" si="8">D14-SUM(D15:D16)</f>
        <v>-461</v>
      </c>
      <c r="E17" s="11">
        <f t="shared" si="8"/>
        <v>-468</v>
      </c>
      <c r="F17" s="11">
        <f t="shared" si="8"/>
        <v>-1365</v>
      </c>
      <c r="G17" s="14">
        <f t="shared" si="8"/>
        <v>-558</v>
      </c>
      <c r="H17" s="58"/>
      <c r="I17" s="58"/>
      <c r="L17" s="11">
        <f t="shared" ref="L17" si="9">L14-SUM(L15:L16)</f>
        <v>-110</v>
      </c>
      <c r="M17" s="11">
        <f t="shared" ref="M17" si="10">M14-SUM(M15:M16)</f>
        <v>-102</v>
      </c>
      <c r="N17" s="11">
        <f t="shared" ref="N17" si="11">N14-SUM(N15:N16)</f>
        <v>-101</v>
      </c>
      <c r="O17" s="11">
        <f t="shared" ref="O17" si="12">O14-SUM(O15:O16)</f>
        <v>-155</v>
      </c>
      <c r="P17" s="11">
        <f t="shared" ref="P17" si="13">P14-SUM(P15:P16)</f>
        <v>-167</v>
      </c>
      <c r="Q17" s="11">
        <f t="shared" ref="Q17" si="14">Q14-SUM(Q15:Q16)</f>
        <v>-263</v>
      </c>
      <c r="R17" s="11">
        <f t="shared" ref="R17" si="15">R14-SUM(R15:R16)</f>
        <v>-295</v>
      </c>
      <c r="S17" s="11">
        <f t="shared" ref="S17" si="16">S14-SUM(S15:S16)</f>
        <v>-640</v>
      </c>
      <c r="T17" s="11">
        <f t="shared" ref="T17" si="17">T14-SUM(T15:T16)</f>
        <v>-161</v>
      </c>
      <c r="U17" s="11">
        <f t="shared" ref="U17" si="18">U14-SUM(U15:U16)</f>
        <v>-170</v>
      </c>
      <c r="V17" s="11">
        <f t="shared" ref="V17" si="19">V14-SUM(V15:V16)</f>
        <v>-73</v>
      </c>
      <c r="W17" s="150">
        <f t="shared" ref="W17" si="20">W14-SUM(W15:W16)</f>
        <v>-154</v>
      </c>
      <c r="X17" s="14">
        <f t="shared" ref="X17" si="21">X14-SUM(X15:X16)</f>
        <v>-23</v>
      </c>
      <c r="Y17" s="11">
        <f t="shared" ref="Y17" si="22">Y14-SUM(Y15:Y16)</f>
        <v>0</v>
      </c>
    </row>
    <row r="18" spans="2:26" s="1" customFormat="1" x14ac:dyDescent="0.25">
      <c r="B18" s="1" t="s">
        <v>19</v>
      </c>
      <c r="C18" s="150">
        <f t="shared" ref="C18:F18" si="23">C14-C12+C9</f>
        <v>-652</v>
      </c>
      <c r="D18" s="150">
        <f t="shared" si="23"/>
        <v>-313</v>
      </c>
      <c r="E18" s="150">
        <f t="shared" si="23"/>
        <v>-296</v>
      </c>
      <c r="F18" s="150">
        <f t="shared" si="23"/>
        <v>-1060</v>
      </c>
      <c r="G18" s="14">
        <f>G14-G12+G9</f>
        <v>-177</v>
      </c>
      <c r="H18" s="157"/>
      <c r="I18" s="157"/>
      <c r="L18" s="150">
        <f t="shared" ref="L18:X18" si="24">L14-L12+L9</f>
        <v>-70</v>
      </c>
      <c r="M18" s="150">
        <f t="shared" si="24"/>
        <v>-62</v>
      </c>
      <c r="N18" s="150">
        <f t="shared" si="24"/>
        <v>-60</v>
      </c>
      <c r="O18" s="150">
        <f t="shared" si="24"/>
        <v>-104</v>
      </c>
      <c r="P18" s="150">
        <f t="shared" si="24"/>
        <v>-109</v>
      </c>
      <c r="Q18" s="150">
        <f t="shared" si="24"/>
        <v>-195</v>
      </c>
      <c r="R18" s="150">
        <f t="shared" si="24"/>
        <v>-192</v>
      </c>
      <c r="S18" s="150">
        <f t="shared" si="24"/>
        <v>-564</v>
      </c>
      <c r="T18" s="150">
        <f t="shared" si="24"/>
        <v>-49</v>
      </c>
      <c r="U18" s="150">
        <f t="shared" si="24"/>
        <v>-87</v>
      </c>
      <c r="V18" s="150">
        <f t="shared" si="24"/>
        <v>19</v>
      </c>
      <c r="W18" s="150">
        <f t="shared" si="24"/>
        <v>-60</v>
      </c>
      <c r="X18" s="14">
        <f t="shared" si="24"/>
        <v>79</v>
      </c>
      <c r="Y18" s="11"/>
    </row>
    <row r="19" spans="2:26" x14ac:dyDescent="0.25">
      <c r="B19" t="s">
        <v>1</v>
      </c>
      <c r="C19" s="10">
        <v>43.252000000000002</v>
      </c>
      <c r="D19" s="10">
        <v>62.39</v>
      </c>
      <c r="E19" s="10">
        <v>336.84699999999998</v>
      </c>
      <c r="F19" s="10">
        <v>371.41300000000001</v>
      </c>
      <c r="G19" s="15">
        <v>392.94799999999998</v>
      </c>
      <c r="H19" s="41"/>
      <c r="I19" s="41"/>
      <c r="L19" s="10">
        <v>349.21899999999999</v>
      </c>
      <c r="M19" s="10">
        <v>334.70699999999999</v>
      </c>
      <c r="N19" s="10">
        <v>340.16899999999998</v>
      </c>
      <c r="O19" s="10">
        <v>340.16899999999998</v>
      </c>
      <c r="P19" s="10">
        <v>349.21899999999999</v>
      </c>
      <c r="Q19" s="10">
        <v>363.96100000000001</v>
      </c>
      <c r="R19" s="10">
        <v>384.75599999999997</v>
      </c>
      <c r="S19" s="10">
        <v>384.75599999999997</v>
      </c>
      <c r="T19" s="10">
        <v>390.39699999999999</v>
      </c>
      <c r="U19" s="10">
        <v>388.73700000000002</v>
      </c>
      <c r="V19" s="10">
        <v>393.21699999999998</v>
      </c>
      <c r="W19" s="152">
        <f>G19</f>
        <v>392.94799999999998</v>
      </c>
      <c r="X19" s="15">
        <v>405.48200000000003</v>
      </c>
      <c r="Y19" s="10"/>
    </row>
    <row r="20" spans="2:26" s="1" customFormat="1" x14ac:dyDescent="0.25">
      <c r="B20" s="1" t="s">
        <v>22</v>
      </c>
      <c r="C20" s="2">
        <f>C17/C19</f>
        <v>-15.398131878294645</v>
      </c>
      <c r="D20" s="2">
        <f>D17/D19</f>
        <v>-7.3890046481807978</v>
      </c>
      <c r="E20" s="2">
        <f>E17/E19</f>
        <v>-1.3893548109379037</v>
      </c>
      <c r="F20" s="2">
        <f>F17/F19</f>
        <v>-3.6751540737669384</v>
      </c>
      <c r="G20" s="148">
        <f>G17/G19</f>
        <v>-1.4200352209452651</v>
      </c>
      <c r="H20" s="55"/>
      <c r="I20" s="56"/>
      <c r="L20" s="154">
        <f t="shared" ref="L20:V20" si="25">L17/L19</f>
        <v>-0.31498858882248676</v>
      </c>
      <c r="M20" s="154">
        <f t="shared" si="25"/>
        <v>-0.30474414936048544</v>
      </c>
      <c r="N20" s="154">
        <f t="shared" si="25"/>
        <v>-0.2969112411771796</v>
      </c>
      <c r="O20" s="154">
        <f t="shared" si="25"/>
        <v>-0.45565586517289935</v>
      </c>
      <c r="P20" s="154">
        <f t="shared" si="25"/>
        <v>-0.47820994848504805</v>
      </c>
      <c r="Q20" s="154">
        <f t="shared" si="25"/>
        <v>-0.72260489448045251</v>
      </c>
      <c r="R20" s="154">
        <f t="shared" si="25"/>
        <v>-0.76671968728232964</v>
      </c>
      <c r="S20" s="154">
        <f t="shared" si="25"/>
        <v>-1.6633918639345457</v>
      </c>
      <c r="T20" s="154">
        <f t="shared" si="25"/>
        <v>-0.41240071004643991</v>
      </c>
      <c r="U20" s="154">
        <f t="shared" si="25"/>
        <v>-0.43731365936352851</v>
      </c>
      <c r="V20" s="154">
        <f t="shared" si="25"/>
        <v>-0.18564812813281217</v>
      </c>
      <c r="W20" s="154">
        <f>W17/W19</f>
        <v>-0.39190936205299431</v>
      </c>
      <c r="X20" s="49">
        <f>X17/X19</f>
        <v>-5.6722616540314977E-2</v>
      </c>
      <c r="Y20" s="50"/>
    </row>
    <row r="21" spans="2:26" s="1" customFormat="1" x14ac:dyDescent="0.25">
      <c r="B21" s="9" t="s">
        <v>69</v>
      </c>
      <c r="C21" s="2"/>
      <c r="D21" s="2"/>
      <c r="E21" s="2"/>
      <c r="F21" s="2"/>
      <c r="G21" s="35"/>
      <c r="H21" s="44">
        <v>0.2</v>
      </c>
      <c r="I21" s="45">
        <v>1.39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154"/>
      <c r="X21" s="158">
        <v>-0.04</v>
      </c>
      <c r="Y21" s="50">
        <v>-0.06</v>
      </c>
    </row>
    <row r="22" spans="2:26" s="1" customFormat="1" x14ac:dyDescent="0.25">
      <c r="B22" t="s">
        <v>32</v>
      </c>
      <c r="C22" s="3">
        <f>1-C5/C3</f>
        <v>0.4090395480225989</v>
      </c>
      <c r="D22" s="3">
        <f>1-D5/D3</f>
        <v>0.52598752598752596</v>
      </c>
      <c r="E22" s="3">
        <f>1-E5/E3</f>
        <v>0.52168576104746323</v>
      </c>
      <c r="F22" s="3">
        <f>1-F5/F3</f>
        <v>0.45495974479720491</v>
      </c>
      <c r="G22" s="6">
        <f>1-G5/G3</f>
        <v>0.46855819339895777</v>
      </c>
      <c r="H22" s="46"/>
      <c r="I22" s="46"/>
      <c r="L22" s="3">
        <f>1-L5/L3</f>
        <v>0.47725162488393691</v>
      </c>
      <c r="M22" s="3">
        <f>1-M5/M3</f>
        <v>0.55097087378640774</v>
      </c>
      <c r="N22" s="3">
        <f>1-N5/N3</f>
        <v>0.54117647058823537</v>
      </c>
      <c r="O22" s="3">
        <f>1-O5/O3</f>
        <v>0.5115384615384615</v>
      </c>
      <c r="P22" s="3">
        <f>1-P5/P3</f>
        <v>0.47596153846153844</v>
      </c>
      <c r="Q22" s="3">
        <f>1-Q5/Q3</f>
        <v>0.45273631840796025</v>
      </c>
      <c r="R22" s="3">
        <f>1-R5/R3</f>
        <v>0.45267489711934161</v>
      </c>
      <c r="S22" s="3">
        <f>1-S5/S3</f>
        <v>0.44224422442244227</v>
      </c>
      <c r="T22" s="3">
        <f>1-T5/T3</f>
        <v>0.47469287469287469</v>
      </c>
      <c r="U22" s="3">
        <f>1-U5/U3</f>
        <v>0.46788560712611349</v>
      </c>
      <c r="V22" s="3">
        <f>1-V5/V3</f>
        <v>0.46580406654343809</v>
      </c>
      <c r="W22" s="40">
        <f>1-W5/W3</f>
        <v>0.46634824142422926</v>
      </c>
      <c r="X22" s="6">
        <f>1-X5/X3</f>
        <v>0.47075208913649025</v>
      </c>
    </row>
    <row r="23" spans="2:26" x14ac:dyDescent="0.25">
      <c r="B23" t="s">
        <v>33</v>
      </c>
      <c r="C23" s="4">
        <f>C17/C3</f>
        <v>-0.75254237288135595</v>
      </c>
      <c r="D23" s="4">
        <f>D17/D3</f>
        <v>-0.15973665973665974</v>
      </c>
      <c r="E23" s="4">
        <f>E17/E3</f>
        <v>-9.5744680851063829E-2</v>
      </c>
      <c r="F23" s="4">
        <f>F17/F3</f>
        <v>-0.20735227100106335</v>
      </c>
      <c r="G23" s="7">
        <f>G17/G3</f>
        <v>-6.4620729588882458E-2</v>
      </c>
      <c r="H23" s="47">
        <f>H17/H4</f>
        <v>0</v>
      </c>
      <c r="I23" s="47">
        <f>I17/I4</f>
        <v>0</v>
      </c>
      <c r="L23" s="4">
        <f>L17/L3</f>
        <v>-0.1021355617455896</v>
      </c>
      <c r="M23" s="4">
        <f>M17/M3</f>
        <v>-8.2524271844660199E-2</v>
      </c>
      <c r="N23" s="4">
        <f>N17/N3</f>
        <v>-7.9215686274509797E-2</v>
      </c>
      <c r="O23" s="4">
        <f>O17/O3</f>
        <v>-0.11923076923076924</v>
      </c>
      <c r="P23" s="4">
        <f>P17/P3</f>
        <v>-0.11469780219780219</v>
      </c>
      <c r="Q23" s="4">
        <f>Q17/Q3</f>
        <v>-0.16355721393034825</v>
      </c>
      <c r="R23" s="4">
        <f>R17/R3</f>
        <v>-0.17342739564961787</v>
      </c>
      <c r="S23" s="4">
        <f>S17/S3</f>
        <v>-0.35203520352035206</v>
      </c>
      <c r="T23" s="4">
        <f>T17/T3</f>
        <v>-7.9115479115479115E-2</v>
      </c>
      <c r="U23" s="4">
        <f>U17/U3</f>
        <v>-7.9699953117674638E-2</v>
      </c>
      <c r="V23" s="4">
        <f>V17/V3</f>
        <v>-3.3733826247689461E-2</v>
      </c>
      <c r="W23" s="149">
        <f>W17/W3</f>
        <v>-6.6869300911854099E-2</v>
      </c>
      <c r="X23" s="7">
        <f>X17/X3</f>
        <v>-9.1524074810982892E-3</v>
      </c>
    </row>
    <row r="24" spans="2:26" x14ac:dyDescent="0.25">
      <c r="B24" t="s">
        <v>34</v>
      </c>
      <c r="C24" s="3"/>
      <c r="D24" s="3">
        <f>D3/C3-1</f>
        <v>2.2610169491525425</v>
      </c>
      <c r="E24" s="3">
        <f>E3/D3-1</f>
        <v>0.69369369369369371</v>
      </c>
      <c r="F24" s="40">
        <f>F3/E3-1</f>
        <v>0.34676759410801972</v>
      </c>
      <c r="G24" s="6">
        <f>G3/F3-1</f>
        <v>0.31171198541698319</v>
      </c>
      <c r="H24" s="48">
        <f>H4/G3-1</f>
        <v>0.18123914302258259</v>
      </c>
      <c r="I24" s="48">
        <f>I4/H4-1</f>
        <v>0.16176470588235303</v>
      </c>
      <c r="L24" s="4"/>
      <c r="M24" s="4"/>
      <c r="N24" s="4"/>
      <c r="O24" s="4"/>
      <c r="P24" s="4">
        <f>P3/L3-1</f>
        <v>0.35190343546889502</v>
      </c>
      <c r="Q24" s="4">
        <f>Q3/M3-1</f>
        <v>0.30097087378640786</v>
      </c>
      <c r="R24" s="4">
        <f>R3/N3-1</f>
        <v>0.33411764705882363</v>
      </c>
      <c r="S24" s="4">
        <f>S3/O3-1</f>
        <v>0.39846153846153842</v>
      </c>
      <c r="T24" s="4">
        <f>T3/P3-1</f>
        <v>0.39766483516483508</v>
      </c>
      <c r="U24" s="4">
        <f>U3/Q3-1</f>
        <v>0.32649253731343286</v>
      </c>
      <c r="V24" s="4">
        <f>V3/R3-1</f>
        <v>0.27219282774838338</v>
      </c>
      <c r="W24" s="149">
        <f>W3/S3-1</f>
        <v>0.26677667766776669</v>
      </c>
      <c r="X24" s="7">
        <f>X3/T3-1</f>
        <v>0.23488943488943481</v>
      </c>
      <c r="Y24" s="37">
        <f>Y4/U3-1</f>
        <v>0.17674636661978438</v>
      </c>
      <c r="Z24" s="37">
        <f>Z4/V3-1</f>
        <v>-1</v>
      </c>
    </row>
    <row r="25" spans="2:26" x14ac:dyDescent="0.25">
      <c r="B25" t="s">
        <v>71</v>
      </c>
      <c r="C25" s="4">
        <f>C6/C3</f>
        <v>0.67118644067796607</v>
      </c>
      <c r="D25" s="4">
        <f>D6/D3</f>
        <v>0.33160083160083159</v>
      </c>
      <c r="E25" s="4">
        <f>E6/E3</f>
        <v>0.33121931260229132</v>
      </c>
      <c r="F25" s="4">
        <f>F6/F3</f>
        <v>0.25550660792951541</v>
      </c>
      <c r="G25" s="7">
        <f>G6/G3</f>
        <v>0.21725535610885929</v>
      </c>
      <c r="H25" s="122"/>
      <c r="I25" s="122"/>
      <c r="L25" s="4">
        <f>L6/L3</f>
        <v>0.30919220055710306</v>
      </c>
      <c r="M25" s="4">
        <f>M6/M3</f>
        <v>0.3454692556634304</v>
      </c>
      <c r="N25" s="4">
        <f>N6/N3</f>
        <v>0.34980392156862744</v>
      </c>
      <c r="O25" s="4">
        <f>O6/O3</f>
        <v>0.31769230769230772</v>
      </c>
      <c r="P25" s="4">
        <f>P6/P3</f>
        <v>0.28434065934065933</v>
      </c>
      <c r="Q25" s="4">
        <f>Q6/Q3</f>
        <v>0.26181592039800994</v>
      </c>
      <c r="R25" s="4">
        <f>R6/R3</f>
        <v>0.24573780129335684</v>
      </c>
      <c r="S25" s="4">
        <f>S6/S3</f>
        <v>0.23597359735973597</v>
      </c>
      <c r="T25" s="4">
        <f>T6/T3</f>
        <v>0.24373464373464374</v>
      </c>
      <c r="U25" s="4">
        <f>U6/U3</f>
        <v>0.22081575246132207</v>
      </c>
      <c r="V25" s="4">
        <f>V6/V3</f>
        <v>0.20748613678373382</v>
      </c>
      <c r="W25" s="149">
        <f>W6/W3</f>
        <v>0.19973947025618757</v>
      </c>
      <c r="X25" s="7">
        <f>X6/X3</f>
        <v>0.20055710306406685</v>
      </c>
    </row>
    <row r="26" spans="2:26" x14ac:dyDescent="0.25">
      <c r="B26" t="s">
        <v>141</v>
      </c>
      <c r="C26" s="4">
        <f>C7/C3</f>
        <v>0.12090395480225989</v>
      </c>
      <c r="D26" s="4">
        <f>D7/D3</f>
        <v>0.11122661122661123</v>
      </c>
      <c r="E26" s="4">
        <f>E7/E3</f>
        <v>8.797054009819967E-2</v>
      </c>
      <c r="F26" s="4">
        <f>F7/F3</f>
        <v>0.12593042685705605</v>
      </c>
      <c r="G26" s="7">
        <f>G7/G3</f>
        <v>0.11615518239722061</v>
      </c>
      <c r="H26" s="122"/>
      <c r="I26" s="122"/>
      <c r="L26" s="4">
        <f>L7/L3</f>
        <v>7.6137418755803155E-2</v>
      </c>
      <c r="M26" s="4">
        <f>M7/M3</f>
        <v>8.0906148867313912E-2</v>
      </c>
      <c r="N26" s="4">
        <f>N7/N3</f>
        <v>9.0196078431372548E-2</v>
      </c>
      <c r="O26" s="4">
        <f>O7/O3</f>
        <v>0.10230769230769231</v>
      </c>
      <c r="P26" s="4">
        <f>P7/P3</f>
        <v>0.10164835164835165</v>
      </c>
      <c r="Q26" s="4">
        <f>Q7/Q3</f>
        <v>0.12748756218905472</v>
      </c>
      <c r="R26" s="4">
        <f>R7/R3</f>
        <v>0.13286302175191064</v>
      </c>
      <c r="S26" s="4">
        <f>S7/S3</f>
        <v>0.13751375137513752</v>
      </c>
      <c r="T26" s="4">
        <f>T7/T3</f>
        <v>0.11351351351351352</v>
      </c>
      <c r="U26" s="4">
        <f>U7/U3</f>
        <v>0.12611345522737927</v>
      </c>
      <c r="V26" s="4">
        <f>V7/V3</f>
        <v>0.11552680221811461</v>
      </c>
      <c r="W26" s="149">
        <f>W7/W3</f>
        <v>0.10985670864090318</v>
      </c>
      <c r="X26" s="7">
        <f>X7/X3</f>
        <v>0.11102268205332272</v>
      </c>
    </row>
    <row r="27" spans="2:26" x14ac:dyDescent="0.25">
      <c r="B27" t="s">
        <v>142</v>
      </c>
      <c r="C27" s="149">
        <f t="shared" ref="C27:F27" si="26">C9/C3</f>
        <v>3.6158192090395481E-2</v>
      </c>
      <c r="D27" s="149">
        <f t="shared" si="26"/>
        <v>4.1580041580041582E-2</v>
      </c>
      <c r="E27" s="149">
        <f t="shared" si="26"/>
        <v>3.1914893617021274E-2</v>
      </c>
      <c r="F27" s="149">
        <f t="shared" si="26"/>
        <v>5.6053471061825913E-2</v>
      </c>
      <c r="G27" s="7">
        <f>G9/G3</f>
        <v>5.8946149392009262E-2</v>
      </c>
      <c r="H27" s="122"/>
      <c r="I27" s="122"/>
      <c r="L27" s="149">
        <f t="shared" ref="L27:W27" si="27">L9/L3</f>
        <v>2.6926648096564532E-2</v>
      </c>
      <c r="M27" s="149">
        <f t="shared" si="27"/>
        <v>2.9935275080906147E-2</v>
      </c>
      <c r="N27" s="149">
        <f t="shared" si="27"/>
        <v>3.215686274509804E-2</v>
      </c>
      <c r="O27" s="149">
        <f t="shared" si="27"/>
        <v>3.7692307692307692E-2</v>
      </c>
      <c r="P27" s="149">
        <f t="shared" si="27"/>
        <v>4.0521978021978024E-2</v>
      </c>
      <c r="Q27" s="149">
        <f t="shared" si="27"/>
        <v>5.0373134328358209E-2</v>
      </c>
      <c r="R27" s="149">
        <f t="shared" si="27"/>
        <v>6.9370958259847154E-2</v>
      </c>
      <c r="S27" s="149">
        <f t="shared" si="27"/>
        <v>6.1056105610561059E-2</v>
      </c>
      <c r="T27" s="149">
        <f t="shared" si="27"/>
        <v>6.0442260442260441E-2</v>
      </c>
      <c r="U27" s="149">
        <f t="shared" si="27"/>
        <v>6.0009376465072671E-2</v>
      </c>
      <c r="V27" s="149">
        <f t="shared" si="27"/>
        <v>5.9149722735674676E-2</v>
      </c>
      <c r="W27" s="149">
        <f t="shared" si="27"/>
        <v>5.6448111159357363E-2</v>
      </c>
      <c r="X27" s="7">
        <f t="shared" ref="X27" si="28">X9/X3</f>
        <v>5.6506167926780738E-2</v>
      </c>
    </row>
    <row r="28" spans="2:26" x14ac:dyDescent="0.25">
      <c r="B28" t="s">
        <v>139</v>
      </c>
      <c r="C28" s="4"/>
      <c r="D28" s="4"/>
      <c r="E28" s="4"/>
      <c r="F28" s="4"/>
      <c r="G28" s="7"/>
      <c r="H28" s="122"/>
      <c r="I28" s="12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49"/>
      <c r="X28" s="7"/>
    </row>
    <row r="29" spans="2:26" x14ac:dyDescent="0.25">
      <c r="B29" t="s">
        <v>140</v>
      </c>
      <c r="C29" s="4"/>
      <c r="D29" s="4"/>
      <c r="E29" s="4"/>
      <c r="F29" s="4"/>
      <c r="G29" s="7"/>
      <c r="H29" s="122"/>
      <c r="I29" s="12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49"/>
      <c r="X29" s="7"/>
    </row>
    <row r="30" spans="2:26" x14ac:dyDescent="0.25">
      <c r="B30" t="s">
        <v>38</v>
      </c>
      <c r="C30" s="3"/>
      <c r="D30" s="3">
        <f>-(D17/C17-1)</f>
        <v>0.30780780780780781</v>
      </c>
      <c r="E30" s="3">
        <f>-(E17/D17-1)</f>
        <v>-1.5184381778741818E-2</v>
      </c>
      <c r="F30" s="40">
        <f>F17/E17-1</f>
        <v>1.9166666666666665</v>
      </c>
      <c r="G30" s="6">
        <f>G17/F17-1</f>
        <v>-0.59120879120879122</v>
      </c>
      <c r="H30" s="57">
        <f>H21/G20-1</f>
        <v>-1.1408415770609319</v>
      </c>
      <c r="I30" s="57">
        <f>I21/H21-1</f>
        <v>5.9499999999999993</v>
      </c>
      <c r="L30" s="4"/>
      <c r="M30" s="4"/>
      <c r="N30" s="4"/>
      <c r="O30" s="4"/>
      <c r="P30" s="4">
        <f t="shared" ref="P30:X30" si="29">P17/L17-1</f>
        <v>0.51818181818181808</v>
      </c>
      <c r="Q30" s="4">
        <f t="shared" si="29"/>
        <v>1.5784313725490198</v>
      </c>
      <c r="R30" s="4">
        <f t="shared" si="29"/>
        <v>1.9207920792079207</v>
      </c>
      <c r="S30" s="4">
        <f t="shared" si="29"/>
        <v>3.129032258064516</v>
      </c>
      <c r="T30" s="4">
        <f t="shared" si="29"/>
        <v>-3.59281437125748E-2</v>
      </c>
      <c r="U30" s="4">
        <f>U17/Q17-1</f>
        <v>-0.35361216730038025</v>
      </c>
      <c r="V30" s="4">
        <f t="shared" si="29"/>
        <v>-0.75254237288135595</v>
      </c>
      <c r="W30" s="149">
        <f t="shared" si="29"/>
        <v>-0.75937500000000002</v>
      </c>
      <c r="X30" s="7">
        <f t="shared" si="29"/>
        <v>-0.85714285714285721</v>
      </c>
    </row>
    <row r="31" spans="2:26" x14ac:dyDescent="0.25">
      <c r="C31" s="3"/>
      <c r="D31" s="3"/>
      <c r="E31" s="3"/>
      <c r="F31" s="40"/>
      <c r="G31" s="6"/>
      <c r="H31" s="57"/>
      <c r="I31" s="5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49"/>
      <c r="X31" s="7"/>
    </row>
    <row r="32" spans="2:26" x14ac:dyDescent="0.25">
      <c r="C32" s="3"/>
      <c r="D32" s="3"/>
      <c r="E32" s="3"/>
      <c r="F32" s="40"/>
      <c r="G32" s="6"/>
      <c r="H32" s="57"/>
      <c r="I32" s="5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49"/>
      <c r="X32" s="7"/>
    </row>
    <row r="35" spans="2:24" s="1" customFormat="1" x14ac:dyDescent="0.25">
      <c r="B35" s="1" t="s">
        <v>42</v>
      </c>
      <c r="C35" s="150">
        <f t="shared" ref="C35:F35" si="30">C36+C37</f>
        <v>0</v>
      </c>
      <c r="D35" s="150">
        <f t="shared" si="30"/>
        <v>4859</v>
      </c>
      <c r="E35" s="150">
        <f t="shared" si="30"/>
        <v>3757</v>
      </c>
      <c r="F35" s="150">
        <f t="shared" si="30"/>
        <v>3521</v>
      </c>
      <c r="G35" s="14">
        <f>G36+G37</f>
        <v>4078</v>
      </c>
      <c r="L35" s="150">
        <f t="shared" ref="L35" si="31">L36+L37</f>
        <v>0</v>
      </c>
      <c r="M35" s="150">
        <f t="shared" ref="M35" si="32">M36+M37</f>
        <v>0</v>
      </c>
      <c r="N35" s="150">
        <f t="shared" ref="N35" si="33">N36+N37</f>
        <v>0</v>
      </c>
      <c r="O35" s="150">
        <f t="shared" ref="O35" si="34">O36+O37</f>
        <v>3757</v>
      </c>
      <c r="P35" s="150">
        <f t="shared" ref="P35" si="35">P36+P37</f>
        <v>3596</v>
      </c>
      <c r="Q35" s="150">
        <f t="shared" ref="Q35" si="36">Q36+Q37</f>
        <v>3999</v>
      </c>
      <c r="R35" s="150">
        <f t="shared" ref="R35" si="37">R36+R37</f>
        <v>3812</v>
      </c>
      <c r="S35" s="150">
        <f t="shared" ref="S35" si="38">S36+S37</f>
        <v>3521</v>
      </c>
      <c r="T35" s="150">
        <f t="shared" ref="T35" si="39">T36+T37</f>
        <v>3406</v>
      </c>
      <c r="U35" s="150">
        <f t="shared" ref="U35" si="40">U36+U37</f>
        <v>3456</v>
      </c>
      <c r="V35" s="150">
        <f t="shared" ref="V35" si="41">V36+V37</f>
        <v>3821</v>
      </c>
      <c r="W35" s="150">
        <f t="shared" ref="W35" si="42">W36+W37</f>
        <v>4078</v>
      </c>
      <c r="X35" s="14">
        <f t="shared" ref="X35" si="43">X36+X37</f>
        <v>4490</v>
      </c>
    </row>
    <row r="36" spans="2:24" x14ac:dyDescent="0.25">
      <c r="B36" t="s">
        <v>25</v>
      </c>
      <c r="C36" s="10"/>
      <c r="D36" s="10">
        <v>4345</v>
      </c>
      <c r="E36" s="10">
        <v>2504</v>
      </c>
      <c r="F36" s="10">
        <v>1977</v>
      </c>
      <c r="G36" s="15">
        <v>2656</v>
      </c>
      <c r="L36" s="10"/>
      <c r="M36" s="10"/>
      <c r="N36" s="10"/>
      <c r="O36" s="10">
        <f>E36</f>
        <v>2504</v>
      </c>
      <c r="P36" s="10">
        <v>2243</v>
      </c>
      <c r="Q36" s="10">
        <v>2727</v>
      </c>
      <c r="R36" s="10">
        <v>2320</v>
      </c>
      <c r="S36" s="10">
        <f>F36</f>
        <v>1977</v>
      </c>
      <c r="T36" s="10">
        <v>1833</v>
      </c>
      <c r="U36" s="10">
        <v>1904</v>
      </c>
      <c r="V36" s="10">
        <v>2344</v>
      </c>
      <c r="W36" s="153">
        <f>G36</f>
        <v>2656</v>
      </c>
      <c r="X36" s="15">
        <v>3124</v>
      </c>
    </row>
    <row r="37" spans="2:24" x14ac:dyDescent="0.25">
      <c r="B37" t="s">
        <v>186</v>
      </c>
      <c r="C37" s="10"/>
      <c r="D37" s="10">
        <v>514</v>
      </c>
      <c r="E37" s="10">
        <v>1253</v>
      </c>
      <c r="F37" s="10">
        <v>1544</v>
      </c>
      <c r="G37" s="15">
        <v>1422</v>
      </c>
      <c r="L37" s="10"/>
      <c r="M37" s="10"/>
      <c r="N37" s="10"/>
      <c r="O37" s="10">
        <f t="shared" ref="O37:O40" si="44">E37</f>
        <v>1253</v>
      </c>
      <c r="P37" s="10">
        <v>1353</v>
      </c>
      <c r="Q37" s="10">
        <v>1272</v>
      </c>
      <c r="R37" s="10">
        <v>1492</v>
      </c>
      <c r="S37" s="10">
        <f t="shared" ref="S37:S39" si="45">F37</f>
        <v>1544</v>
      </c>
      <c r="T37" s="10">
        <v>1573</v>
      </c>
      <c r="U37" s="10">
        <v>1552</v>
      </c>
      <c r="V37" s="10">
        <v>1477</v>
      </c>
      <c r="W37" s="153">
        <f t="shared" ref="W37:W40" si="46">G37</f>
        <v>1422</v>
      </c>
      <c r="X37" s="15">
        <v>1366</v>
      </c>
    </row>
    <row r="38" spans="2:24" x14ac:dyDescent="0.25">
      <c r="B38" t="s">
        <v>187</v>
      </c>
      <c r="C38" s="10"/>
      <c r="D38" s="10">
        <v>146</v>
      </c>
      <c r="E38" s="10">
        <v>320</v>
      </c>
      <c r="F38" s="10">
        <v>441</v>
      </c>
      <c r="G38" s="15">
        <v>356</v>
      </c>
      <c r="L38" s="10"/>
      <c r="M38" s="10"/>
      <c r="N38" s="10"/>
      <c r="O38" s="10">
        <f t="shared" si="44"/>
        <v>320</v>
      </c>
      <c r="P38" s="10">
        <v>293</v>
      </c>
      <c r="Q38" s="10">
        <v>246</v>
      </c>
      <c r="R38" s="10">
        <v>251</v>
      </c>
      <c r="S38" s="10">
        <f t="shared" si="45"/>
        <v>441</v>
      </c>
      <c r="T38" s="10">
        <v>290</v>
      </c>
      <c r="U38" s="10">
        <v>297</v>
      </c>
      <c r="V38" s="10">
        <v>385</v>
      </c>
      <c r="W38" s="153">
        <f t="shared" si="46"/>
        <v>356</v>
      </c>
      <c r="X38" s="15">
        <v>394</v>
      </c>
    </row>
    <row r="39" spans="2:24" x14ac:dyDescent="0.25">
      <c r="B39" t="s">
        <v>26</v>
      </c>
      <c r="C39" s="10"/>
      <c r="D39" s="10">
        <v>291</v>
      </c>
      <c r="E39" s="10">
        <v>349</v>
      </c>
      <c r="F39" s="10">
        <v>400</v>
      </c>
      <c r="G39" s="15">
        <v>533</v>
      </c>
      <c r="L39" s="10"/>
      <c r="M39" s="10"/>
      <c r="N39" s="10"/>
      <c r="O39" s="10">
        <f t="shared" si="44"/>
        <v>349</v>
      </c>
      <c r="P39" s="10">
        <v>321</v>
      </c>
      <c r="Q39" s="10">
        <v>346</v>
      </c>
      <c r="R39" s="10">
        <v>325</v>
      </c>
      <c r="S39" s="10">
        <f t="shared" si="45"/>
        <v>400</v>
      </c>
      <c r="T39" s="10">
        <v>382</v>
      </c>
      <c r="U39" s="10">
        <v>383</v>
      </c>
      <c r="V39" s="10">
        <v>417</v>
      </c>
      <c r="W39" s="153">
        <f t="shared" si="46"/>
        <v>533</v>
      </c>
      <c r="X39" s="15">
        <v>546</v>
      </c>
    </row>
    <row r="40" spans="2:24" x14ac:dyDescent="0.25">
      <c r="B40" t="s">
        <v>81</v>
      </c>
      <c r="C40" s="10"/>
      <c r="D40" s="10">
        <v>221</v>
      </c>
      <c r="E40" s="10">
        <v>139</v>
      </c>
      <c r="F40" s="10">
        <v>358</v>
      </c>
      <c r="G40" s="15">
        <v>630</v>
      </c>
      <c r="L40" s="10"/>
      <c r="M40" s="10"/>
      <c r="N40" s="10"/>
      <c r="O40" s="10">
        <f t="shared" si="44"/>
        <v>139</v>
      </c>
      <c r="P40" s="10">
        <v>208</v>
      </c>
      <c r="Q40" s="10">
        <v>242</v>
      </c>
      <c r="R40" s="10">
        <v>302</v>
      </c>
      <c r="S40" s="10">
        <f>F40</f>
        <v>358</v>
      </c>
      <c r="T40" s="10">
        <v>509</v>
      </c>
      <c r="U40" s="10">
        <v>469</v>
      </c>
      <c r="V40" s="10">
        <v>519</v>
      </c>
      <c r="W40" s="153">
        <f t="shared" si="46"/>
        <v>630</v>
      </c>
      <c r="X40" s="15">
        <v>700</v>
      </c>
    </row>
    <row r="41" spans="2:24" s="1" customFormat="1" x14ac:dyDescent="0.25">
      <c r="B41" s="1" t="s">
        <v>65</v>
      </c>
      <c r="C41" s="11">
        <f>SUM(C36:C40)</f>
        <v>0</v>
      </c>
      <c r="D41" s="11">
        <f>SUM(D36:D40)</f>
        <v>5517</v>
      </c>
      <c r="E41" s="11">
        <f>SUM(E36:E40)</f>
        <v>4565</v>
      </c>
      <c r="F41" s="11">
        <f>SUM(F36:F40)</f>
        <v>4720</v>
      </c>
      <c r="G41" s="14">
        <f>SUM(G36:G40)</f>
        <v>5597</v>
      </c>
      <c r="L41" s="11">
        <f>SUM(L36:L40)</f>
        <v>0</v>
      </c>
      <c r="M41" s="11">
        <f>SUM(M36:M40)</f>
        <v>0</v>
      </c>
      <c r="N41" s="11">
        <f>SUM(N36:N40)</f>
        <v>0</v>
      </c>
      <c r="O41" s="11">
        <f>SUM(O36:O40)</f>
        <v>4565</v>
      </c>
      <c r="P41" s="11">
        <f>SUM(P36:P40)</f>
        <v>4418</v>
      </c>
      <c r="Q41" s="11">
        <f>SUM(Q36:Q40)</f>
        <v>4833</v>
      </c>
      <c r="R41" s="11">
        <f>SUM(R36:R40)</f>
        <v>4690</v>
      </c>
      <c r="S41" s="11">
        <f>SUM(S36:S40)</f>
        <v>4720</v>
      </c>
      <c r="T41" s="11">
        <f>SUM(T36:T40)</f>
        <v>4587</v>
      </c>
      <c r="U41" s="11">
        <f>SUM(U36:U40)</f>
        <v>4605</v>
      </c>
      <c r="V41" s="11">
        <f>SUM(V36:V40)</f>
        <v>5142</v>
      </c>
      <c r="W41" s="150">
        <f>SUM(W36:W40)</f>
        <v>5597</v>
      </c>
      <c r="X41" s="14">
        <f>SUM(X36:X40)</f>
        <v>6130</v>
      </c>
    </row>
    <row r="42" spans="2:24" x14ac:dyDescent="0.25">
      <c r="B42" t="s">
        <v>82</v>
      </c>
      <c r="C42" s="10"/>
      <c r="D42" s="10"/>
      <c r="E42" s="10"/>
      <c r="F42" s="10">
        <v>211</v>
      </c>
      <c r="G42" s="15">
        <v>11</v>
      </c>
      <c r="L42" s="10"/>
      <c r="M42" s="10"/>
      <c r="N42" s="10"/>
      <c r="O42" s="10">
        <f t="shared" ref="O42:O49" si="47">E42</f>
        <v>0</v>
      </c>
      <c r="P42" s="10"/>
      <c r="Q42" s="10"/>
      <c r="R42" s="10"/>
      <c r="S42" s="10">
        <f t="shared" ref="S42:S49" si="48">F42</f>
        <v>211</v>
      </c>
      <c r="T42" s="10">
        <v>278</v>
      </c>
      <c r="U42" s="10">
        <v>144</v>
      </c>
      <c r="V42" s="10">
        <v>11</v>
      </c>
      <c r="W42" s="153">
        <f t="shared" ref="W42:W49" si="49">G42</f>
        <v>11</v>
      </c>
      <c r="X42" s="15">
        <v>12</v>
      </c>
    </row>
    <row r="43" spans="2:24" x14ac:dyDescent="0.25">
      <c r="B43" t="s">
        <v>188</v>
      </c>
      <c r="C43" s="10"/>
      <c r="D43" s="10"/>
      <c r="E43" s="10">
        <v>650</v>
      </c>
      <c r="F43" s="10">
        <v>397</v>
      </c>
      <c r="G43" s="15">
        <v>583</v>
      </c>
      <c r="L43" s="10"/>
      <c r="M43" s="10"/>
      <c r="N43" s="10"/>
      <c r="O43" s="10">
        <f t="shared" si="47"/>
        <v>650</v>
      </c>
      <c r="P43" s="10">
        <v>643</v>
      </c>
      <c r="Q43" s="10">
        <v>495</v>
      </c>
      <c r="R43" s="10">
        <v>365</v>
      </c>
      <c r="S43" s="10">
        <f t="shared" si="48"/>
        <v>397</v>
      </c>
      <c r="T43" s="10">
        <v>314</v>
      </c>
      <c r="U43" s="10">
        <v>381</v>
      </c>
      <c r="V43" s="10">
        <v>474</v>
      </c>
      <c r="W43" s="153">
        <f t="shared" si="49"/>
        <v>583</v>
      </c>
      <c r="X43" s="15">
        <v>646</v>
      </c>
    </row>
    <row r="44" spans="2:24" x14ac:dyDescent="0.25">
      <c r="B44" t="s">
        <v>67</v>
      </c>
      <c r="C44" s="10"/>
      <c r="D44" s="10">
        <v>203</v>
      </c>
      <c r="E44" s="10">
        <v>336</v>
      </c>
      <c r="F44" s="10">
        <v>436</v>
      </c>
      <c r="G44" s="15">
        <v>436</v>
      </c>
      <c r="L44" s="10"/>
      <c r="M44" s="10"/>
      <c r="N44" s="10"/>
      <c r="O44" s="10">
        <f t="shared" si="47"/>
        <v>336</v>
      </c>
      <c r="P44" s="10">
        <v>354</v>
      </c>
      <c r="Q44" s="10">
        <v>426</v>
      </c>
      <c r="R44" s="10">
        <v>436</v>
      </c>
      <c r="S44" s="10">
        <f t="shared" si="48"/>
        <v>436</v>
      </c>
      <c r="T44" s="10">
        <v>414</v>
      </c>
      <c r="U44" s="10">
        <v>417</v>
      </c>
      <c r="V44" s="10">
        <v>406</v>
      </c>
      <c r="W44" s="153">
        <f t="shared" si="49"/>
        <v>436</v>
      </c>
      <c r="X44" s="15">
        <v>448</v>
      </c>
    </row>
    <row r="45" spans="2:24" x14ac:dyDescent="0.25">
      <c r="B45" t="s">
        <v>83</v>
      </c>
      <c r="C45" s="10"/>
      <c r="D45" s="10">
        <v>210</v>
      </c>
      <c r="E45" s="10">
        <v>402</v>
      </c>
      <c r="F45" s="10">
        <v>637</v>
      </c>
      <c r="G45" s="15">
        <v>712</v>
      </c>
      <c r="L45" s="10"/>
      <c r="M45" s="10"/>
      <c r="N45" s="10"/>
      <c r="O45" s="10">
        <f t="shared" si="47"/>
        <v>402</v>
      </c>
      <c r="P45" s="10">
        <v>455</v>
      </c>
      <c r="Q45" s="10">
        <v>529</v>
      </c>
      <c r="R45" s="10">
        <v>588</v>
      </c>
      <c r="S45" s="10">
        <f t="shared" si="48"/>
        <v>637</v>
      </c>
      <c r="T45" s="10">
        <v>656</v>
      </c>
      <c r="U45" s="10">
        <v>677</v>
      </c>
      <c r="V45" s="10">
        <v>690</v>
      </c>
      <c r="W45" s="153">
        <f t="shared" si="49"/>
        <v>712</v>
      </c>
      <c r="X45" s="15">
        <v>705</v>
      </c>
    </row>
    <row r="46" spans="2:24" s="1" customFormat="1" x14ac:dyDescent="0.25">
      <c r="B46" t="s">
        <v>84</v>
      </c>
      <c r="C46" s="10"/>
      <c r="D46" s="10">
        <v>74</v>
      </c>
      <c r="E46" s="10">
        <v>61</v>
      </c>
      <c r="F46" s="10">
        <v>765</v>
      </c>
      <c r="G46" s="15">
        <v>659</v>
      </c>
      <c r="L46" s="10"/>
      <c r="M46" s="10"/>
      <c r="N46" s="10"/>
      <c r="O46" s="10">
        <f t="shared" si="47"/>
        <v>61</v>
      </c>
      <c r="P46" s="10">
        <v>76</v>
      </c>
      <c r="Q46" s="10">
        <v>809</v>
      </c>
      <c r="R46" s="10">
        <v>735</v>
      </c>
      <c r="S46" s="10">
        <f t="shared" si="48"/>
        <v>765</v>
      </c>
      <c r="T46" s="10">
        <v>743</v>
      </c>
      <c r="U46" s="10">
        <v>708</v>
      </c>
      <c r="V46" s="10">
        <v>663</v>
      </c>
      <c r="W46" s="153">
        <f t="shared" si="49"/>
        <v>659</v>
      </c>
      <c r="X46" s="15">
        <v>621</v>
      </c>
    </row>
    <row r="47" spans="2:24" s="1" customFormat="1" x14ac:dyDescent="0.25">
      <c r="B47" t="s">
        <v>28</v>
      </c>
      <c r="C47" s="10"/>
      <c r="D47" s="10">
        <v>316</v>
      </c>
      <c r="E47" s="10">
        <v>316</v>
      </c>
      <c r="F47" s="10">
        <v>2370</v>
      </c>
      <c r="G47" s="15">
        <v>2432</v>
      </c>
      <c r="L47" s="10"/>
      <c r="M47" s="10"/>
      <c r="N47" s="10"/>
      <c r="O47" s="10">
        <f t="shared" si="47"/>
        <v>316</v>
      </c>
      <c r="P47" s="10">
        <v>376</v>
      </c>
      <c r="Q47" s="10">
        <v>2315</v>
      </c>
      <c r="R47" s="10">
        <v>2198</v>
      </c>
      <c r="S47" s="10">
        <f t="shared" si="48"/>
        <v>2370</v>
      </c>
      <c r="T47" s="10">
        <v>2403</v>
      </c>
      <c r="U47" s="10">
        <v>2396</v>
      </c>
      <c r="V47" s="10">
        <v>2345</v>
      </c>
      <c r="W47" s="153">
        <f t="shared" si="49"/>
        <v>2432</v>
      </c>
      <c r="X47" s="15">
        <v>2386</v>
      </c>
    </row>
    <row r="48" spans="2:24" s="1" customFormat="1" x14ac:dyDescent="0.25">
      <c r="B48" t="s">
        <v>189</v>
      </c>
      <c r="C48" s="10"/>
      <c r="D48" s="10"/>
      <c r="E48" s="10">
        <v>409</v>
      </c>
      <c r="F48" s="10">
        <v>124</v>
      </c>
      <c r="G48" s="15">
        <v>46</v>
      </c>
      <c r="L48" s="10"/>
      <c r="M48" s="10"/>
      <c r="N48" s="10"/>
      <c r="O48" s="10">
        <f t="shared" si="47"/>
        <v>409</v>
      </c>
      <c r="P48" s="10">
        <v>412</v>
      </c>
      <c r="Q48" s="10">
        <v>412</v>
      </c>
      <c r="R48" s="10">
        <v>415</v>
      </c>
      <c r="S48" s="10">
        <f t="shared" si="48"/>
        <v>124</v>
      </c>
      <c r="T48" s="10">
        <v>125</v>
      </c>
      <c r="U48" s="10">
        <v>142</v>
      </c>
      <c r="V48" s="10">
        <v>142</v>
      </c>
      <c r="W48" s="153">
        <f t="shared" si="49"/>
        <v>46</v>
      </c>
      <c r="X48" s="15">
        <v>46</v>
      </c>
    </row>
    <row r="49" spans="2:25" s="1" customFormat="1" x14ac:dyDescent="0.25">
      <c r="B49" t="s">
        <v>27</v>
      </c>
      <c r="C49" s="10"/>
      <c r="D49" s="10">
        <v>33</v>
      </c>
      <c r="E49" s="10">
        <v>70</v>
      </c>
      <c r="F49" s="10">
        <v>363</v>
      </c>
      <c r="G49" s="15">
        <v>363</v>
      </c>
      <c r="L49" s="10"/>
      <c r="M49" s="10"/>
      <c r="N49" s="10"/>
      <c r="O49" s="10">
        <f t="shared" si="47"/>
        <v>70</v>
      </c>
      <c r="P49" s="10">
        <v>88</v>
      </c>
      <c r="Q49" s="10">
        <v>109</v>
      </c>
      <c r="R49" s="10">
        <v>125</v>
      </c>
      <c r="S49" s="10">
        <f t="shared" si="48"/>
        <v>363</v>
      </c>
      <c r="T49" s="10">
        <v>126</v>
      </c>
      <c r="U49" s="10">
        <v>131</v>
      </c>
      <c r="V49" s="10">
        <v>140</v>
      </c>
      <c r="W49" s="153">
        <f t="shared" si="49"/>
        <v>363</v>
      </c>
      <c r="X49" s="15">
        <v>456</v>
      </c>
    </row>
    <row r="50" spans="2:25" x14ac:dyDescent="0.25">
      <c r="B50" s="1" t="s">
        <v>29</v>
      </c>
      <c r="C50" s="11">
        <f>SUM(C41:C49)</f>
        <v>0</v>
      </c>
      <c r="D50" s="11">
        <f>SUM(D41:D49)</f>
        <v>6353</v>
      </c>
      <c r="E50" s="11">
        <f>SUM(E41:E49)</f>
        <v>6809</v>
      </c>
      <c r="F50" s="11">
        <f>SUM(F41:F49)</f>
        <v>10023</v>
      </c>
      <c r="G50" s="14">
        <f>SUM(G41:G49)</f>
        <v>10839</v>
      </c>
      <c r="L50" s="11">
        <f t="shared" ref="L50:X50" si="50">SUM(L41:L49)</f>
        <v>0</v>
      </c>
      <c r="M50" s="11">
        <f t="shared" si="50"/>
        <v>0</v>
      </c>
      <c r="N50" s="11">
        <f t="shared" si="50"/>
        <v>0</v>
      </c>
      <c r="O50" s="11">
        <f t="shared" si="50"/>
        <v>6809</v>
      </c>
      <c r="P50" s="11">
        <f t="shared" si="50"/>
        <v>6822</v>
      </c>
      <c r="Q50" s="11">
        <f t="shared" si="50"/>
        <v>9928</v>
      </c>
      <c r="R50" s="11">
        <f t="shared" si="50"/>
        <v>9552</v>
      </c>
      <c r="S50" s="11">
        <f t="shared" si="50"/>
        <v>10023</v>
      </c>
      <c r="T50" s="11">
        <f t="shared" si="50"/>
        <v>9646</v>
      </c>
      <c r="U50" s="11">
        <f t="shared" si="50"/>
        <v>9601</v>
      </c>
      <c r="V50" s="11">
        <f t="shared" si="50"/>
        <v>10013</v>
      </c>
      <c r="W50" s="150">
        <f t="shared" si="50"/>
        <v>10839</v>
      </c>
      <c r="X50" s="14">
        <f t="shared" si="50"/>
        <v>11450</v>
      </c>
    </row>
    <row r="51" spans="2:25" x14ac:dyDescent="0.25">
      <c r="B51" t="s">
        <v>31</v>
      </c>
      <c r="C51" s="10"/>
      <c r="D51" s="10">
        <v>80</v>
      </c>
      <c r="E51" s="10">
        <v>161</v>
      </c>
      <c r="F51" s="10">
        <v>157</v>
      </c>
      <c r="G51" s="15">
        <v>216</v>
      </c>
      <c r="L51" s="10"/>
      <c r="M51" s="10"/>
      <c r="N51" s="10"/>
      <c r="O51" s="10">
        <f t="shared" ref="O51:O53" si="51">E51</f>
        <v>161</v>
      </c>
      <c r="P51" s="10">
        <v>203</v>
      </c>
      <c r="Q51" s="10">
        <v>207</v>
      </c>
      <c r="R51" s="10">
        <v>238</v>
      </c>
      <c r="S51" s="10">
        <f t="shared" ref="S51:S53" si="52">F51</f>
        <v>157</v>
      </c>
      <c r="T51" s="10">
        <v>208</v>
      </c>
      <c r="U51" s="10">
        <v>173</v>
      </c>
      <c r="V51" s="10">
        <v>149</v>
      </c>
      <c r="W51" s="153">
        <f t="shared" ref="W51:W53" si="53">G51</f>
        <v>216</v>
      </c>
      <c r="X51" s="15">
        <v>203</v>
      </c>
    </row>
    <row r="52" spans="2:25" x14ac:dyDescent="0.25">
      <c r="B52" t="s">
        <v>67</v>
      </c>
      <c r="C52" s="10"/>
      <c r="D52" s="10">
        <v>15</v>
      </c>
      <c r="E52" s="10">
        <v>26</v>
      </c>
      <c r="F52" s="10">
        <v>55</v>
      </c>
      <c r="G52" s="15">
        <v>68</v>
      </c>
      <c r="L52" s="10"/>
      <c r="M52" s="10"/>
      <c r="N52" s="10"/>
      <c r="O52" s="10">
        <f t="shared" si="51"/>
        <v>26</v>
      </c>
      <c r="P52" s="10">
        <v>31</v>
      </c>
      <c r="Q52" s="10">
        <v>47</v>
      </c>
      <c r="R52" s="10">
        <v>45</v>
      </c>
      <c r="S52" s="10">
        <f t="shared" si="52"/>
        <v>55</v>
      </c>
      <c r="T52" s="10">
        <v>55</v>
      </c>
      <c r="U52" s="10">
        <v>58</v>
      </c>
      <c r="V52" s="10">
        <v>63</v>
      </c>
      <c r="W52" s="153">
        <f t="shared" si="53"/>
        <v>68</v>
      </c>
      <c r="X52" s="15">
        <v>64</v>
      </c>
    </row>
    <row r="53" spans="2:25" x14ac:dyDescent="0.25">
      <c r="B53" t="s">
        <v>190</v>
      </c>
      <c r="C53" s="10"/>
      <c r="D53" s="10">
        <f>364+943</f>
        <v>1307</v>
      </c>
      <c r="E53" s="10">
        <v>0</v>
      </c>
      <c r="F53" s="10">
        <v>2332</v>
      </c>
      <c r="G53" s="15">
        <v>3126</v>
      </c>
      <c r="L53" s="10"/>
      <c r="M53" s="10"/>
      <c r="N53" s="10"/>
      <c r="O53" s="10">
        <f t="shared" si="51"/>
        <v>0</v>
      </c>
      <c r="P53" s="10">
        <v>1526</v>
      </c>
      <c r="Q53" s="10">
        <v>1772</v>
      </c>
      <c r="R53" s="10">
        <v>1933</v>
      </c>
      <c r="S53" s="10">
        <f t="shared" si="52"/>
        <v>2332</v>
      </c>
      <c r="T53" s="10">
        <v>2388</v>
      </c>
      <c r="U53" s="10">
        <v>2495</v>
      </c>
      <c r="V53" s="10">
        <v>2774</v>
      </c>
      <c r="W53" s="153">
        <f t="shared" si="53"/>
        <v>3126</v>
      </c>
      <c r="X53" s="15">
        <v>3476</v>
      </c>
    </row>
    <row r="54" spans="2:25" s="1" customFormat="1" x14ac:dyDescent="0.25">
      <c r="B54" s="1" t="s">
        <v>66</v>
      </c>
      <c r="C54" s="11">
        <f>SUM(C51:C53)</f>
        <v>0</v>
      </c>
      <c r="D54" s="11">
        <f>SUM(D51:D53)</f>
        <v>1402</v>
      </c>
      <c r="E54" s="11">
        <f>SUM(E51:E53)</f>
        <v>187</v>
      </c>
      <c r="F54" s="11">
        <f>SUM(F51:F53)</f>
        <v>2544</v>
      </c>
      <c r="G54" s="14">
        <f>SUM(G51:G53)</f>
        <v>3410</v>
      </c>
      <c r="L54" s="11">
        <f>SUM(L51:L53)</f>
        <v>0</v>
      </c>
      <c r="M54" s="11">
        <f>SUM(M51:M53)</f>
        <v>0</v>
      </c>
      <c r="N54" s="11">
        <f>SUM(N51:N53)</f>
        <v>0</v>
      </c>
      <c r="O54" s="11">
        <f>SUM(O51:O53)</f>
        <v>187</v>
      </c>
      <c r="P54" s="11">
        <f>SUM(P51:P53)</f>
        <v>1760</v>
      </c>
      <c r="Q54" s="11">
        <f>SUM(Q51:Q53)</f>
        <v>2026</v>
      </c>
      <c r="R54" s="11">
        <f>SUM(R51:R53)</f>
        <v>2216</v>
      </c>
      <c r="S54" s="11">
        <f>SUM(S51:S53)</f>
        <v>2544</v>
      </c>
      <c r="T54" s="11">
        <f>SUM(T51:T53)</f>
        <v>2651</v>
      </c>
      <c r="U54" s="11">
        <f>SUM(U51:U53)</f>
        <v>2726</v>
      </c>
      <c r="V54" s="11">
        <f>SUM(V51:V53)</f>
        <v>2986</v>
      </c>
      <c r="W54" s="150">
        <f>SUM(W51:W53)</f>
        <v>3410</v>
      </c>
      <c r="X54" s="14">
        <f>SUM(X51:X53)</f>
        <v>3743</v>
      </c>
      <c r="Y54" s="11"/>
    </row>
    <row r="55" spans="2:25" x14ac:dyDescent="0.25">
      <c r="B55" t="s">
        <v>67</v>
      </c>
      <c r="C55" s="10"/>
      <c r="D55" s="10">
        <v>238</v>
      </c>
      <c r="E55" s="10">
        <v>373</v>
      </c>
      <c r="F55" s="10">
        <v>456</v>
      </c>
      <c r="G55" s="15">
        <v>454</v>
      </c>
      <c r="L55" s="10"/>
      <c r="M55" s="10"/>
      <c r="N55" s="10"/>
      <c r="O55" s="10">
        <f t="shared" ref="O55:O56" si="54">E55</f>
        <v>373</v>
      </c>
      <c r="P55" s="10">
        <v>391</v>
      </c>
      <c r="Q55" s="10">
        <v>449</v>
      </c>
      <c r="R55" s="10">
        <v>460</v>
      </c>
      <c r="S55" s="10">
        <f t="shared" ref="S55:S56" si="55">F55</f>
        <v>456</v>
      </c>
      <c r="T55" s="10">
        <v>437</v>
      </c>
      <c r="U55" s="10">
        <v>440</v>
      </c>
      <c r="V55" s="10">
        <v>430</v>
      </c>
      <c r="W55" s="153">
        <f t="shared" ref="W55:W56" si="56">G55</f>
        <v>454</v>
      </c>
      <c r="X55" s="15">
        <v>483</v>
      </c>
    </row>
    <row r="56" spans="2:25" x14ac:dyDescent="0.25">
      <c r="B56" t="s">
        <v>27</v>
      </c>
      <c r="C56" s="10"/>
      <c r="D56" s="10">
        <v>13</v>
      </c>
      <c r="E56" s="10">
        <v>9</v>
      </c>
      <c r="F56" s="10">
        <v>21</v>
      </c>
      <c r="G56" s="15">
        <v>162</v>
      </c>
      <c r="L56" s="10"/>
      <c r="M56" s="10"/>
      <c r="N56" s="10"/>
      <c r="O56" s="10">
        <f t="shared" si="54"/>
        <v>9</v>
      </c>
      <c r="P56" s="10">
        <v>19</v>
      </c>
      <c r="Q56" s="10">
        <v>43</v>
      </c>
      <c r="R56" s="10">
        <v>35</v>
      </c>
      <c r="S56" s="10">
        <f t="shared" si="55"/>
        <v>21</v>
      </c>
      <c r="T56" s="10">
        <v>27</v>
      </c>
      <c r="U56" s="10">
        <v>28</v>
      </c>
      <c r="V56" s="10">
        <v>29</v>
      </c>
      <c r="W56" s="153">
        <f t="shared" si="56"/>
        <v>162</v>
      </c>
      <c r="X56" s="15">
        <v>214</v>
      </c>
    </row>
    <row r="57" spans="2:25" x14ac:dyDescent="0.25">
      <c r="B57" s="1" t="s">
        <v>30</v>
      </c>
      <c r="C57" s="11">
        <f>SUM(C54:C56)</f>
        <v>0</v>
      </c>
      <c r="D57" s="11">
        <f>SUM(D54:D56)</f>
        <v>1653</v>
      </c>
      <c r="E57" s="11">
        <f>SUM(E54:E56)</f>
        <v>569</v>
      </c>
      <c r="F57" s="11">
        <f>SUM(F54:F56)</f>
        <v>3021</v>
      </c>
      <c r="G57" s="14">
        <f>SUM(G54:G56)</f>
        <v>4026</v>
      </c>
      <c r="L57" s="11">
        <f>SUM(L54:L56)</f>
        <v>0</v>
      </c>
      <c r="M57" s="11">
        <f>SUM(M54:M56)</f>
        <v>0</v>
      </c>
      <c r="N57" s="11">
        <f>SUM(N54:N56)</f>
        <v>0</v>
      </c>
      <c r="O57" s="11">
        <f>SUM(O54:O56)</f>
        <v>569</v>
      </c>
      <c r="P57" s="11">
        <f>SUM(P54:P56)</f>
        <v>2170</v>
      </c>
      <c r="Q57" s="11">
        <f>SUM(Q54:Q56)</f>
        <v>2518</v>
      </c>
      <c r="R57" s="11">
        <f>SUM(R54:R56)</f>
        <v>2711</v>
      </c>
      <c r="S57" s="11">
        <f>SUM(S54:S56)</f>
        <v>3021</v>
      </c>
      <c r="T57" s="11">
        <f>SUM(T54:T56)</f>
        <v>3115</v>
      </c>
      <c r="U57" s="11">
        <f>SUM(U54:U56)</f>
        <v>3194</v>
      </c>
      <c r="V57" s="11">
        <f>SUM(V54:V56)</f>
        <v>3445</v>
      </c>
      <c r="W57" s="150">
        <f>SUM(W54:W56)</f>
        <v>4026</v>
      </c>
      <c r="X57" s="14">
        <f>SUM(X54:X56)</f>
        <v>4440</v>
      </c>
    </row>
    <row r="58" spans="2:25" x14ac:dyDescent="0.25">
      <c r="B58" t="s">
        <v>85</v>
      </c>
      <c r="C58" s="10">
        <f>C50-C57</f>
        <v>0</v>
      </c>
      <c r="D58" s="10">
        <f>D50-D57</f>
        <v>4700</v>
      </c>
      <c r="E58" s="10">
        <f>E50-E57</f>
        <v>6240</v>
      </c>
      <c r="F58" s="10">
        <f>F50-F57</f>
        <v>7002</v>
      </c>
      <c r="G58" s="15">
        <f>G50-G57</f>
        <v>6813</v>
      </c>
      <c r="L58" s="10">
        <f>L50-L57</f>
        <v>0</v>
      </c>
      <c r="M58" s="10">
        <f>M50-M57</f>
        <v>0</v>
      </c>
      <c r="N58" s="10">
        <f>N50-N57</f>
        <v>0</v>
      </c>
      <c r="O58" s="10">
        <f>O50-O57</f>
        <v>6240</v>
      </c>
      <c r="P58" s="10">
        <f>P50-P57</f>
        <v>4652</v>
      </c>
      <c r="Q58" s="10">
        <f>Q50-Q57</f>
        <v>7410</v>
      </c>
      <c r="R58" s="10">
        <f>R50-R57</f>
        <v>6841</v>
      </c>
      <c r="S58" s="10">
        <f>S50-S57</f>
        <v>7002</v>
      </c>
      <c r="T58" s="10">
        <f>T50-T57</f>
        <v>6531</v>
      </c>
      <c r="U58" s="10">
        <f>U50-U57</f>
        <v>6407</v>
      </c>
      <c r="V58" s="10">
        <f>V50-V57</f>
        <v>6568</v>
      </c>
      <c r="W58" s="153">
        <f>W50-W57</f>
        <v>6813</v>
      </c>
      <c r="X58" s="15">
        <f>X50-X57</f>
        <v>7010</v>
      </c>
    </row>
    <row r="60" spans="2:25" s="1" customFormat="1" x14ac:dyDescent="0.25">
      <c r="B60" s="1" t="s">
        <v>86</v>
      </c>
      <c r="C60" s="53"/>
      <c r="D60" s="53"/>
      <c r="E60" s="53"/>
      <c r="F60" s="53"/>
      <c r="G60" s="54"/>
      <c r="W60" s="155"/>
      <c r="X60" s="16"/>
    </row>
    <row r="78" spans="7:24" s="9" customFormat="1" x14ac:dyDescent="0.25">
      <c r="G78" s="42"/>
      <c r="W78" s="156"/>
      <c r="X78" s="42"/>
    </row>
    <row r="79" spans="7:24" s="1" customFormat="1" x14ac:dyDescent="0.25">
      <c r="G79" s="16"/>
      <c r="W79" s="155"/>
      <c r="X7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6" workbookViewId="0">
      <selection activeCell="V16" sqref="V16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B13" workbookViewId="0">
      <selection activeCell="T44" sqref="T44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45411</v>
      </c>
      <c r="C2" s="18">
        <v>129.259995</v>
      </c>
      <c r="E2" t="s">
        <v>54</v>
      </c>
      <c r="F2" t="s">
        <v>56</v>
      </c>
      <c r="M2" t="s">
        <v>57</v>
      </c>
    </row>
    <row r="3" spans="1:13" x14ac:dyDescent="0.25">
      <c r="B3" s="12">
        <v>45404</v>
      </c>
      <c r="C3" s="18">
        <v>132.11000100000001</v>
      </c>
      <c r="E3" s="12">
        <v>45328</v>
      </c>
      <c r="F3" t="s">
        <v>59</v>
      </c>
      <c r="M3" s="12"/>
    </row>
    <row r="4" spans="1:13" x14ac:dyDescent="0.25">
      <c r="B4" s="12">
        <v>45397</v>
      </c>
      <c r="C4" s="18">
        <v>127.18</v>
      </c>
      <c r="E4" s="12">
        <v>45302</v>
      </c>
      <c r="F4" t="s">
        <v>59</v>
      </c>
      <c r="M4" s="12"/>
    </row>
    <row r="5" spans="1:13" x14ac:dyDescent="0.25">
      <c r="B5" s="12">
        <v>45390</v>
      </c>
      <c r="C5" s="18">
        <v>138.38000500000001</v>
      </c>
      <c r="M5" s="12"/>
    </row>
    <row r="6" spans="1:13" x14ac:dyDescent="0.25">
      <c r="B6" s="12">
        <v>45383</v>
      </c>
      <c r="C6" s="18">
        <v>139.55999800000001</v>
      </c>
      <c r="M6" s="12"/>
    </row>
    <row r="7" spans="1:13" x14ac:dyDescent="0.25">
      <c r="B7" s="12">
        <v>45376</v>
      </c>
      <c r="C7" s="18">
        <v>137.720001</v>
      </c>
      <c r="M7" s="12"/>
    </row>
    <row r="8" spans="1:13" x14ac:dyDescent="0.25">
      <c r="B8" s="12">
        <v>45369</v>
      </c>
      <c r="C8" s="18">
        <v>137.240005</v>
      </c>
      <c r="M8" s="12"/>
    </row>
    <row r="9" spans="1:13" x14ac:dyDescent="0.25">
      <c r="B9" s="12">
        <v>45362</v>
      </c>
      <c r="C9" s="18">
        <v>130.550003</v>
      </c>
      <c r="M9" s="12"/>
    </row>
    <row r="10" spans="1:13" x14ac:dyDescent="0.25">
      <c r="B10" s="12">
        <v>45355</v>
      </c>
      <c r="C10" s="18">
        <v>131.800003</v>
      </c>
      <c r="M10" s="12"/>
    </row>
    <row r="11" spans="1:13" x14ac:dyDescent="0.25">
      <c r="B11" s="12">
        <v>45348</v>
      </c>
      <c r="C11" s="18">
        <v>127.43</v>
      </c>
      <c r="M11" s="12"/>
    </row>
    <row r="12" spans="1:13" x14ac:dyDescent="0.25">
      <c r="B12" s="12">
        <v>45341</v>
      </c>
      <c r="C12" s="18">
        <v>121.760002</v>
      </c>
      <c r="M12" s="12"/>
    </row>
    <row r="13" spans="1:13" x14ac:dyDescent="0.25">
      <c r="B13" s="12">
        <v>45334</v>
      </c>
      <c r="C13" s="18">
        <v>116.010002</v>
      </c>
    </row>
    <row r="14" spans="1:13" x14ac:dyDescent="0.25">
      <c r="B14" s="12">
        <v>45327</v>
      </c>
      <c r="C14" s="18">
        <v>119.30999799999999</v>
      </c>
    </row>
    <row r="15" spans="1:13" x14ac:dyDescent="0.25">
      <c r="B15" s="12">
        <v>45320</v>
      </c>
      <c r="C15" s="18">
        <v>109.5</v>
      </c>
    </row>
    <row r="16" spans="1:13" x14ac:dyDescent="0.25">
      <c r="B16" s="12">
        <v>45313</v>
      </c>
      <c r="C16" s="18">
        <v>108.239998</v>
      </c>
    </row>
    <row r="17" spans="2:3" x14ac:dyDescent="0.25">
      <c r="B17" s="12">
        <v>45306</v>
      </c>
      <c r="C17" s="18">
        <v>106.33000199999999</v>
      </c>
    </row>
    <row r="18" spans="2:3" x14ac:dyDescent="0.25">
      <c r="B18" s="12">
        <v>45299</v>
      </c>
      <c r="C18" s="18">
        <v>104.129997</v>
      </c>
    </row>
    <row r="19" spans="2:3" x14ac:dyDescent="0.25">
      <c r="B19" s="12">
        <v>45292</v>
      </c>
      <c r="C19" s="18">
        <v>94.809997999999993</v>
      </c>
    </row>
    <row r="20" spans="2:3" x14ac:dyDescent="0.25">
      <c r="B20" s="12">
        <v>45285</v>
      </c>
      <c r="C20" s="18">
        <v>98.889999000000003</v>
      </c>
    </row>
    <row r="21" spans="2:3" x14ac:dyDescent="0.25">
      <c r="B21" s="12">
        <v>45278</v>
      </c>
      <c r="C21" s="18">
        <v>100.529999</v>
      </c>
    </row>
    <row r="22" spans="2:3" x14ac:dyDescent="0.25">
      <c r="B22" s="12">
        <v>45271</v>
      </c>
      <c r="C22" s="18">
        <v>101.57</v>
      </c>
    </row>
    <row r="23" spans="2:3" x14ac:dyDescent="0.25">
      <c r="B23" s="12">
        <v>45264</v>
      </c>
      <c r="C23" s="18">
        <v>100</v>
      </c>
    </row>
    <row r="24" spans="2:3" x14ac:dyDescent="0.25">
      <c r="B24" s="12">
        <v>45257</v>
      </c>
      <c r="C24" s="18">
        <v>96.580001999999993</v>
      </c>
    </row>
    <row r="25" spans="2:3" x14ac:dyDescent="0.25">
      <c r="B25" s="12">
        <v>45250</v>
      </c>
      <c r="C25" s="18">
        <v>93.809997999999993</v>
      </c>
    </row>
    <row r="26" spans="2:3" x14ac:dyDescent="0.25">
      <c r="B26" s="12">
        <v>45243</v>
      </c>
      <c r="C26" s="18">
        <v>95.230002999999996</v>
      </c>
    </row>
    <row r="27" spans="2:3" x14ac:dyDescent="0.25">
      <c r="B27" s="12">
        <v>45236</v>
      </c>
      <c r="C27" s="18">
        <v>87.470000999999996</v>
      </c>
    </row>
    <row r="28" spans="2:3" x14ac:dyDescent="0.25">
      <c r="B28" s="12">
        <v>45229</v>
      </c>
      <c r="C28" s="18">
        <v>92.489998</v>
      </c>
    </row>
    <row r="29" spans="2:3" x14ac:dyDescent="0.25">
      <c r="B29" s="12">
        <v>45222</v>
      </c>
      <c r="C29" s="18">
        <v>70.650002000000001</v>
      </c>
    </row>
    <row r="30" spans="2:3" x14ac:dyDescent="0.25">
      <c r="B30" s="12">
        <v>45215</v>
      </c>
      <c r="C30" s="18">
        <v>73.069999999999993</v>
      </c>
    </row>
    <row r="31" spans="2:3" x14ac:dyDescent="0.25">
      <c r="B31" s="12">
        <v>45208</v>
      </c>
      <c r="C31" s="18">
        <v>75.370002999999997</v>
      </c>
    </row>
    <row r="32" spans="2:3" x14ac:dyDescent="0.25">
      <c r="B32" s="12">
        <v>45201</v>
      </c>
      <c r="C32" s="18">
        <v>74.510002</v>
      </c>
    </row>
    <row r="33" spans="2:3" x14ac:dyDescent="0.25">
      <c r="B33" s="12">
        <v>45194</v>
      </c>
      <c r="C33" s="18">
        <v>79.470000999999996</v>
      </c>
    </row>
    <row r="34" spans="2:3" x14ac:dyDescent="0.25">
      <c r="B34" s="12">
        <v>45187</v>
      </c>
      <c r="C34" s="18">
        <v>76.180000000000007</v>
      </c>
    </row>
    <row r="35" spans="2:3" x14ac:dyDescent="0.25">
      <c r="B35" s="12">
        <v>45180</v>
      </c>
      <c r="C35" s="18">
        <v>80.930000000000007</v>
      </c>
    </row>
    <row r="36" spans="2:3" x14ac:dyDescent="0.25">
      <c r="B36" s="12">
        <v>45173</v>
      </c>
      <c r="C36" s="18">
        <v>82.169998000000007</v>
      </c>
    </row>
    <row r="37" spans="2:3" x14ac:dyDescent="0.25">
      <c r="B37" s="12">
        <v>45166</v>
      </c>
      <c r="C37" s="18">
        <v>84.040001000000004</v>
      </c>
    </row>
    <row r="38" spans="2:3" x14ac:dyDescent="0.25">
      <c r="B38" s="12">
        <v>45159</v>
      </c>
      <c r="C38" s="18">
        <v>78.019997000000004</v>
      </c>
    </row>
    <row r="39" spans="2:3" x14ac:dyDescent="0.25">
      <c r="B39" s="12">
        <v>45152</v>
      </c>
      <c r="C39" s="18">
        <v>77.819999999999993</v>
      </c>
    </row>
    <row r="40" spans="2:3" x14ac:dyDescent="0.25">
      <c r="B40" s="12">
        <v>45145</v>
      </c>
      <c r="C40" s="18">
        <v>79.190002000000007</v>
      </c>
    </row>
    <row r="41" spans="2:3" x14ac:dyDescent="0.25">
      <c r="B41" s="12">
        <v>45138</v>
      </c>
      <c r="C41" s="18">
        <v>83.599997999999999</v>
      </c>
    </row>
    <row r="42" spans="2:3" x14ac:dyDescent="0.25">
      <c r="B42" s="12">
        <v>45131</v>
      </c>
      <c r="C42" s="18">
        <v>89.650002000000001</v>
      </c>
    </row>
    <row r="43" spans="2:3" x14ac:dyDescent="0.25">
      <c r="B43" s="12">
        <v>45124</v>
      </c>
      <c r="C43" s="18">
        <v>84.5</v>
      </c>
    </row>
    <row r="44" spans="2:3" x14ac:dyDescent="0.25">
      <c r="B44" s="12">
        <v>45117</v>
      </c>
      <c r="C44" s="18">
        <v>83.959998999999996</v>
      </c>
    </row>
    <row r="45" spans="2:3" x14ac:dyDescent="0.25">
      <c r="B45" s="12">
        <v>45110</v>
      </c>
      <c r="C45" s="18">
        <v>77.949996999999996</v>
      </c>
    </row>
    <row r="46" spans="2:3" x14ac:dyDescent="0.25">
      <c r="B46" s="12">
        <v>45103</v>
      </c>
      <c r="C46" s="18">
        <v>76.419998000000007</v>
      </c>
    </row>
    <row r="47" spans="2:3" x14ac:dyDescent="0.25">
      <c r="B47" s="12">
        <v>45096</v>
      </c>
      <c r="C47" s="18">
        <v>72.639999000000003</v>
      </c>
    </row>
    <row r="48" spans="2:3" x14ac:dyDescent="0.25">
      <c r="B48" s="12">
        <v>45089</v>
      </c>
      <c r="C48" s="18">
        <v>73.260002</v>
      </c>
    </row>
    <row r="49" spans="2:3" x14ac:dyDescent="0.25">
      <c r="B49" s="12">
        <v>45082</v>
      </c>
      <c r="C49" s="18">
        <v>71.779999000000004</v>
      </c>
    </row>
    <row r="50" spans="2:3" x14ac:dyDescent="0.25">
      <c r="B50" s="12">
        <v>45075</v>
      </c>
      <c r="C50" s="18">
        <v>67.879997000000003</v>
      </c>
    </row>
    <row r="51" spans="2:3" x14ac:dyDescent="0.25">
      <c r="B51" s="12">
        <v>45068</v>
      </c>
      <c r="C51" s="18">
        <v>67.440002000000007</v>
      </c>
    </row>
    <row r="52" spans="2:3" x14ac:dyDescent="0.25">
      <c r="B52" s="12">
        <v>45061</v>
      </c>
      <c r="C52" s="18">
        <v>66.980002999999996</v>
      </c>
    </row>
    <row r="53" spans="2:3" x14ac:dyDescent="0.25">
      <c r="B53" s="12">
        <v>45054</v>
      </c>
      <c r="C53" s="18">
        <v>65.870002999999997</v>
      </c>
    </row>
    <row r="54" spans="2:3" x14ac:dyDescent="0.25">
      <c r="B54" s="12">
        <v>45047</v>
      </c>
      <c r="C54" s="18">
        <v>62.900002000000001</v>
      </c>
    </row>
    <row r="55" spans="2:3" x14ac:dyDescent="0.25">
      <c r="B55" s="12">
        <v>45040</v>
      </c>
      <c r="C55" s="18">
        <v>61.189999</v>
      </c>
    </row>
    <row r="56" spans="2:3" x14ac:dyDescent="0.25">
      <c r="B56" s="12">
        <v>45033</v>
      </c>
      <c r="C56" s="18">
        <v>61.290000999999997</v>
      </c>
    </row>
    <row r="57" spans="2:3" x14ac:dyDescent="0.25">
      <c r="B57" s="12">
        <v>45026</v>
      </c>
      <c r="C57" s="18">
        <v>61.720001000000003</v>
      </c>
    </row>
    <row r="58" spans="2:3" x14ac:dyDescent="0.25">
      <c r="B58" s="12">
        <v>45019</v>
      </c>
      <c r="C58" s="18">
        <v>60.68</v>
      </c>
    </row>
    <row r="59" spans="2:3" x14ac:dyDescent="0.25">
      <c r="B59" s="12">
        <v>45012</v>
      </c>
      <c r="C59" s="18">
        <v>63.560001</v>
      </c>
    </row>
    <row r="60" spans="2:3" x14ac:dyDescent="0.25">
      <c r="B60" s="12">
        <v>45005</v>
      </c>
      <c r="C60" s="18">
        <v>60.669998</v>
      </c>
    </row>
    <row r="61" spans="2:3" x14ac:dyDescent="0.25">
      <c r="B61" s="12">
        <v>44998</v>
      </c>
      <c r="C61" s="18">
        <v>59.639999000000003</v>
      </c>
    </row>
    <row r="62" spans="2:3" x14ac:dyDescent="0.25">
      <c r="B62" s="12">
        <v>44991</v>
      </c>
      <c r="C62" s="18">
        <v>53.23</v>
      </c>
    </row>
    <row r="63" spans="2:3" x14ac:dyDescent="0.25">
      <c r="B63" s="12">
        <v>44984</v>
      </c>
      <c r="C63" s="18">
        <v>57.34</v>
      </c>
    </row>
    <row r="64" spans="2:3" x14ac:dyDescent="0.25">
      <c r="B64" s="12">
        <v>44977</v>
      </c>
      <c r="C64" s="18">
        <v>55.09</v>
      </c>
    </row>
    <row r="65" spans="2:3" x14ac:dyDescent="0.25">
      <c r="B65" s="12">
        <v>44970</v>
      </c>
      <c r="C65" s="18">
        <v>61.810001</v>
      </c>
    </row>
    <row r="66" spans="2:3" x14ac:dyDescent="0.25">
      <c r="B66" s="12">
        <v>44963</v>
      </c>
      <c r="C66" s="18">
        <v>57.720001000000003</v>
      </c>
    </row>
    <row r="67" spans="2:3" x14ac:dyDescent="0.25">
      <c r="B67" s="12">
        <v>44956</v>
      </c>
      <c r="C67" s="18">
        <v>59.040000999999997</v>
      </c>
    </row>
    <row r="68" spans="2:3" x14ac:dyDescent="0.25">
      <c r="B68" s="12">
        <v>44949</v>
      </c>
      <c r="C68" s="18">
        <v>58.630001</v>
      </c>
    </row>
    <row r="69" spans="2:3" x14ac:dyDescent="0.25">
      <c r="B69" s="12">
        <v>44942</v>
      </c>
      <c r="C69" s="18">
        <v>58.02</v>
      </c>
    </row>
    <row r="70" spans="2:3" x14ac:dyDescent="0.25">
      <c r="B70" s="12">
        <v>44935</v>
      </c>
      <c r="C70" s="18">
        <v>52.34</v>
      </c>
    </row>
    <row r="71" spans="2:3" x14ac:dyDescent="0.25">
      <c r="B71" s="12">
        <v>44928</v>
      </c>
      <c r="C71" s="18">
        <v>48</v>
      </c>
    </row>
    <row r="72" spans="2:3" x14ac:dyDescent="0.25">
      <c r="B72" s="12">
        <v>44921</v>
      </c>
      <c r="C72" s="18">
        <v>48.82</v>
      </c>
    </row>
    <row r="73" spans="2:3" x14ac:dyDescent="0.25">
      <c r="B73" s="12">
        <v>44914</v>
      </c>
      <c r="C73" s="18">
        <v>50.689999</v>
      </c>
    </row>
    <row r="74" spans="2:3" x14ac:dyDescent="0.25">
      <c r="B74" s="12">
        <v>44907</v>
      </c>
      <c r="C74" s="18">
        <v>52.52</v>
      </c>
    </row>
    <row r="75" spans="2:3" x14ac:dyDescent="0.25">
      <c r="B75" s="12">
        <v>44900</v>
      </c>
      <c r="C75" s="18">
        <v>55.27</v>
      </c>
    </row>
    <row r="76" spans="2:3" x14ac:dyDescent="0.25">
      <c r="B76" s="12">
        <v>44893</v>
      </c>
      <c r="C76" s="18">
        <v>55.189999</v>
      </c>
    </row>
    <row r="77" spans="2:3" x14ac:dyDescent="0.25">
      <c r="B77" s="12">
        <v>44886</v>
      </c>
      <c r="C77" s="18">
        <v>55.470001000000003</v>
      </c>
    </row>
    <row r="78" spans="2:3" x14ac:dyDescent="0.25">
      <c r="B78" s="12">
        <v>44879</v>
      </c>
      <c r="C78" s="18">
        <v>58.290000999999997</v>
      </c>
    </row>
    <row r="79" spans="2:3" x14ac:dyDescent="0.25">
      <c r="B79" s="12">
        <v>44872</v>
      </c>
      <c r="C79" s="18">
        <v>62.990001999999997</v>
      </c>
    </row>
    <row r="80" spans="2:3" x14ac:dyDescent="0.25">
      <c r="B80" s="12">
        <v>44865</v>
      </c>
      <c r="C80" s="18">
        <v>51.57</v>
      </c>
    </row>
    <row r="81" spans="2:3" x14ac:dyDescent="0.25">
      <c r="B81" s="12">
        <v>44858</v>
      </c>
      <c r="C81" s="18">
        <v>47.060001</v>
      </c>
    </row>
    <row r="82" spans="2:3" x14ac:dyDescent="0.25">
      <c r="B82" s="12">
        <v>44851</v>
      </c>
      <c r="C82" s="18">
        <v>45.23</v>
      </c>
    </row>
    <row r="83" spans="2:3" x14ac:dyDescent="0.25">
      <c r="B83" s="12">
        <v>44844</v>
      </c>
      <c r="C83" s="18">
        <v>43.060001</v>
      </c>
    </row>
    <row r="84" spans="2:3" x14ac:dyDescent="0.25">
      <c r="B84" s="12">
        <v>44837</v>
      </c>
      <c r="C84" s="18">
        <v>49.389999000000003</v>
      </c>
    </row>
    <row r="85" spans="2:3" x14ac:dyDescent="0.25">
      <c r="B85" s="12">
        <v>44830</v>
      </c>
      <c r="C85" s="18">
        <v>49.450001</v>
      </c>
    </row>
    <row r="86" spans="2:3" x14ac:dyDescent="0.25">
      <c r="B86" s="12">
        <v>44823</v>
      </c>
      <c r="C86" s="18">
        <v>52.009998000000003</v>
      </c>
    </row>
    <row r="87" spans="2:3" x14ac:dyDescent="0.25">
      <c r="B87" s="12">
        <v>44816</v>
      </c>
      <c r="C87" s="18">
        <v>59.130001</v>
      </c>
    </row>
    <row r="88" spans="2:3" x14ac:dyDescent="0.25">
      <c r="B88" s="12">
        <v>44809</v>
      </c>
      <c r="C88" s="18">
        <v>64.309997999999993</v>
      </c>
    </row>
    <row r="89" spans="2:3" x14ac:dyDescent="0.25">
      <c r="B89" s="12">
        <v>44802</v>
      </c>
      <c r="C89" s="18">
        <v>58.23</v>
      </c>
    </row>
    <row r="90" spans="2:3" x14ac:dyDescent="0.25">
      <c r="B90" s="12">
        <v>44795</v>
      </c>
      <c r="C90" s="18">
        <v>61.66</v>
      </c>
    </row>
    <row r="91" spans="2:3" x14ac:dyDescent="0.25">
      <c r="B91" s="12">
        <v>44788</v>
      </c>
      <c r="C91" s="18">
        <v>64.989998</v>
      </c>
    </row>
    <row r="92" spans="2:3" x14ac:dyDescent="0.25">
      <c r="B92" s="12">
        <v>44781</v>
      </c>
      <c r="C92" s="18">
        <v>77.370002999999997</v>
      </c>
    </row>
    <row r="93" spans="2:3" x14ac:dyDescent="0.25">
      <c r="B93" s="12">
        <v>44774</v>
      </c>
      <c r="C93" s="18">
        <v>80.290001000000004</v>
      </c>
    </row>
    <row r="94" spans="2:3" x14ac:dyDescent="0.25">
      <c r="B94" s="12">
        <v>44767</v>
      </c>
      <c r="C94" s="18">
        <v>69.75</v>
      </c>
    </row>
    <row r="95" spans="2:3" x14ac:dyDescent="0.25">
      <c r="B95" s="12">
        <v>44760</v>
      </c>
      <c r="C95" s="18">
        <v>73.449996999999996</v>
      </c>
    </row>
    <row r="96" spans="2:3" x14ac:dyDescent="0.25">
      <c r="B96" s="12">
        <v>44753</v>
      </c>
      <c r="C96" s="18">
        <v>70.099997999999999</v>
      </c>
    </row>
    <row r="97" spans="2:3" x14ac:dyDescent="0.25">
      <c r="B97" s="12">
        <v>44746</v>
      </c>
      <c r="C97" s="18">
        <v>74.959998999999996</v>
      </c>
    </row>
    <row r="98" spans="2:3" x14ac:dyDescent="0.25">
      <c r="B98" s="12">
        <v>44739</v>
      </c>
      <c r="C98" s="18">
        <v>67.949996999999996</v>
      </c>
    </row>
    <row r="99" spans="2:3" x14ac:dyDescent="0.25">
      <c r="B99" s="12">
        <v>44732</v>
      </c>
      <c r="C99" s="18">
        <v>74.110000999999997</v>
      </c>
    </row>
    <row r="100" spans="2:3" x14ac:dyDescent="0.25">
      <c r="B100" s="12">
        <v>44725</v>
      </c>
      <c r="C100" s="18">
        <v>61.689999</v>
      </c>
    </row>
    <row r="101" spans="2:3" x14ac:dyDescent="0.25">
      <c r="B101" s="12">
        <v>44718</v>
      </c>
      <c r="C101" s="18">
        <v>62.18</v>
      </c>
    </row>
    <row r="102" spans="2:3" x14ac:dyDescent="0.25">
      <c r="B102" s="12">
        <v>44711</v>
      </c>
      <c r="C102" s="18">
        <v>68.040001000000004</v>
      </c>
    </row>
    <row r="103" spans="2:3" x14ac:dyDescent="0.25">
      <c r="B103" s="12">
        <v>44704</v>
      </c>
      <c r="C103" s="18">
        <v>78.089995999999999</v>
      </c>
    </row>
    <row r="104" spans="2:3" x14ac:dyDescent="0.25">
      <c r="B104" s="12">
        <v>44697</v>
      </c>
      <c r="C104" s="18">
        <v>66.230002999999996</v>
      </c>
    </row>
    <row r="105" spans="2:3" x14ac:dyDescent="0.25">
      <c r="B105" s="12">
        <v>44690</v>
      </c>
      <c r="C105" s="18">
        <v>73.709998999999996</v>
      </c>
    </row>
    <row r="106" spans="2:3" x14ac:dyDescent="0.25">
      <c r="B106" s="12">
        <v>44683</v>
      </c>
      <c r="C106" s="18">
        <v>72.110000999999997</v>
      </c>
    </row>
    <row r="107" spans="2:3" x14ac:dyDescent="0.25">
      <c r="B107" s="12">
        <v>44676</v>
      </c>
      <c r="C107" s="18">
        <v>81.430000000000007</v>
      </c>
    </row>
    <row r="108" spans="2:3" x14ac:dyDescent="0.25">
      <c r="B108" s="12">
        <v>44669</v>
      </c>
      <c r="C108" s="18">
        <v>89</v>
      </c>
    </row>
    <row r="109" spans="2:3" x14ac:dyDescent="0.25">
      <c r="B109" s="12">
        <v>44662</v>
      </c>
      <c r="C109" s="18">
        <v>109.30999799999999</v>
      </c>
    </row>
    <row r="110" spans="2:3" x14ac:dyDescent="0.25">
      <c r="B110" s="12">
        <v>44655</v>
      </c>
      <c r="C110" s="18">
        <v>106.41999800000001</v>
      </c>
    </row>
    <row r="111" spans="2:3" x14ac:dyDescent="0.25">
      <c r="B111" s="12">
        <v>44648</v>
      </c>
      <c r="C111" s="18">
        <v>120.900002</v>
      </c>
    </row>
    <row r="112" spans="2:3" x14ac:dyDescent="0.25">
      <c r="B112" s="12">
        <v>44641</v>
      </c>
      <c r="C112" s="18">
        <v>105.290001</v>
      </c>
    </row>
    <row r="113" spans="2:3" x14ac:dyDescent="0.25">
      <c r="B113" s="12">
        <v>44634</v>
      </c>
      <c r="C113" s="18">
        <v>107.290001</v>
      </c>
    </row>
    <row r="114" spans="2:3" x14ac:dyDescent="0.25">
      <c r="B114" s="12">
        <v>44627</v>
      </c>
      <c r="C114" s="18">
        <v>86.970000999999996</v>
      </c>
    </row>
    <row r="115" spans="2:3" x14ac:dyDescent="0.25">
      <c r="B115" s="12">
        <v>44620</v>
      </c>
      <c r="C115" s="18">
        <v>89.860000999999997</v>
      </c>
    </row>
    <row r="116" spans="2:3" x14ac:dyDescent="0.25">
      <c r="B116" s="12">
        <v>44613</v>
      </c>
      <c r="C116" s="18">
        <v>100.339996</v>
      </c>
    </row>
    <row r="117" spans="2:3" x14ac:dyDescent="0.25">
      <c r="B117" s="12">
        <v>44606</v>
      </c>
      <c r="C117" s="18">
        <v>96.209998999999996</v>
      </c>
    </row>
    <row r="118" spans="2:3" x14ac:dyDescent="0.25">
      <c r="B118" s="12">
        <v>44599</v>
      </c>
      <c r="C118" s="18">
        <v>95.010002</v>
      </c>
    </row>
    <row r="119" spans="2:3" x14ac:dyDescent="0.25">
      <c r="B119" s="12">
        <v>44592</v>
      </c>
      <c r="C119" s="18">
        <v>98.489998</v>
      </c>
    </row>
    <row r="120" spans="2:3" x14ac:dyDescent="0.25">
      <c r="B120" s="12">
        <v>44585</v>
      </c>
      <c r="C120" s="18">
        <v>103.66999800000001</v>
      </c>
    </row>
    <row r="121" spans="2:3" x14ac:dyDescent="0.25">
      <c r="B121" s="12">
        <v>44578</v>
      </c>
      <c r="C121" s="18">
        <v>116.949997</v>
      </c>
    </row>
    <row r="122" spans="2:3" x14ac:dyDescent="0.25">
      <c r="B122" s="12">
        <v>44571</v>
      </c>
      <c r="C122" s="18">
        <v>131.529999</v>
      </c>
    </row>
    <row r="123" spans="2:3" x14ac:dyDescent="0.25">
      <c r="B123" s="12">
        <v>44564</v>
      </c>
      <c r="C123" s="18">
        <v>132.270004</v>
      </c>
    </row>
    <row r="124" spans="2:3" x14ac:dyDescent="0.25">
      <c r="B124" s="12">
        <v>44557</v>
      </c>
      <c r="C124" s="18">
        <v>148.89999399999999</v>
      </c>
    </row>
    <row r="125" spans="2:3" x14ac:dyDescent="0.25">
      <c r="B125" s="12">
        <v>44550</v>
      </c>
      <c r="C125" s="18">
        <v>153.679993</v>
      </c>
    </row>
    <row r="126" spans="2:3" x14ac:dyDescent="0.25">
      <c r="B126" s="12">
        <v>44543</v>
      </c>
      <c r="C126" s="18">
        <v>148.80999800000001</v>
      </c>
    </row>
    <row r="127" spans="2:3" x14ac:dyDescent="0.25">
      <c r="B127" s="12">
        <v>44536</v>
      </c>
      <c r="C127" s="18">
        <v>158</v>
      </c>
    </row>
    <row r="128" spans="2:3" x14ac:dyDescent="0.25">
      <c r="B128" s="12">
        <v>44529</v>
      </c>
      <c r="C128" s="18">
        <v>157.71000699999999</v>
      </c>
    </row>
    <row r="129" spans="2:3" x14ac:dyDescent="0.25">
      <c r="B129" s="12">
        <v>44522</v>
      </c>
      <c r="C129" s="18">
        <v>187.91999799999999</v>
      </c>
    </row>
    <row r="130" spans="2:3" x14ac:dyDescent="0.25">
      <c r="B130" s="12">
        <v>44515</v>
      </c>
      <c r="C130" s="18">
        <v>215.25</v>
      </c>
    </row>
    <row r="131" spans="2:3" x14ac:dyDescent="0.25">
      <c r="B131" s="12">
        <v>44508</v>
      </c>
      <c r="C131" s="18">
        <v>245.970001</v>
      </c>
    </row>
    <row r="132" spans="2:3" x14ac:dyDescent="0.25">
      <c r="B132" s="12">
        <v>44501</v>
      </c>
      <c r="C132" s="18">
        <v>198.679993</v>
      </c>
    </row>
    <row r="133" spans="2:3" x14ac:dyDescent="0.25">
      <c r="B133" s="12">
        <v>44494</v>
      </c>
      <c r="C133" s="18">
        <v>194.800003</v>
      </c>
    </row>
    <row r="134" spans="2:3" x14ac:dyDescent="0.25">
      <c r="B134" s="12">
        <v>44487</v>
      </c>
      <c r="C134" s="18">
        <v>213.83000200000001</v>
      </c>
    </row>
    <row r="135" spans="2:3" x14ac:dyDescent="0.25">
      <c r="B135" s="12">
        <v>44480</v>
      </c>
      <c r="C135" s="18">
        <v>214.070007</v>
      </c>
    </row>
    <row r="136" spans="2:3" x14ac:dyDescent="0.25">
      <c r="B136" s="12">
        <v>44473</v>
      </c>
      <c r="C136" s="18">
        <v>204.41999799999999</v>
      </c>
    </row>
    <row r="137" spans="2:3" x14ac:dyDescent="0.25">
      <c r="B137" s="12">
        <v>44466</v>
      </c>
      <c r="C137" s="18">
        <v>203.990005</v>
      </c>
    </row>
    <row r="138" spans="2:3" x14ac:dyDescent="0.25">
      <c r="B138" s="12">
        <v>44459</v>
      </c>
      <c r="C138" s="18">
        <v>220.520004</v>
      </c>
    </row>
    <row r="139" spans="2:3" x14ac:dyDescent="0.25">
      <c r="B139" s="12">
        <v>44452</v>
      </c>
      <c r="C139" s="18">
        <v>222.91000399999999</v>
      </c>
    </row>
    <row r="140" spans="2:3" x14ac:dyDescent="0.25">
      <c r="B140" s="12">
        <v>44445</v>
      </c>
      <c r="C140" s="18">
        <v>210.36999499999999</v>
      </c>
    </row>
    <row r="141" spans="2:3" x14ac:dyDescent="0.25">
      <c r="B141" s="12">
        <v>44438</v>
      </c>
      <c r="C141" s="18">
        <v>193.46000699999999</v>
      </c>
    </row>
    <row r="142" spans="2:3" x14ac:dyDescent="0.25">
      <c r="B142" s="12">
        <v>44431</v>
      </c>
      <c r="C142" s="18">
        <v>187.94000199999999</v>
      </c>
    </row>
    <row r="143" spans="2:3" x14ac:dyDescent="0.25">
      <c r="B143" s="12">
        <v>44424</v>
      </c>
      <c r="C143" s="18">
        <v>184.08000200000001</v>
      </c>
    </row>
    <row r="144" spans="2:3" x14ac:dyDescent="0.25">
      <c r="B144" s="12">
        <v>44417</v>
      </c>
      <c r="C144" s="18">
        <v>194.78999300000001</v>
      </c>
    </row>
    <row r="145" spans="2:3" x14ac:dyDescent="0.25">
      <c r="B145" s="12">
        <v>44410</v>
      </c>
      <c r="C145" s="18">
        <v>181.55999800000001</v>
      </c>
    </row>
    <row r="146" spans="2:3" x14ac:dyDescent="0.25">
      <c r="B146" s="12">
        <v>44403</v>
      </c>
      <c r="C146" s="18">
        <v>174.28999300000001</v>
      </c>
    </row>
    <row r="147" spans="2:3" x14ac:dyDescent="0.25">
      <c r="B147" s="12">
        <v>44396</v>
      </c>
      <c r="C147" s="18">
        <v>188.60000600000001</v>
      </c>
    </row>
    <row r="148" spans="2:3" x14ac:dyDescent="0.25">
      <c r="B148" s="12">
        <v>44389</v>
      </c>
      <c r="C148" s="18">
        <v>167.36000100000001</v>
      </c>
    </row>
    <row r="149" spans="2:3" x14ac:dyDescent="0.25">
      <c r="B149" s="12">
        <v>44382</v>
      </c>
      <c r="C149" s="18">
        <v>180.229996</v>
      </c>
    </row>
    <row r="150" spans="2:3" x14ac:dyDescent="0.25">
      <c r="B150" s="12">
        <v>44375</v>
      </c>
      <c r="C150" s="18">
        <v>182.91000399999999</v>
      </c>
    </row>
    <row r="151" spans="2:3" x14ac:dyDescent="0.25">
      <c r="B151" s="12">
        <v>44368</v>
      </c>
      <c r="C151" s="18">
        <v>176.720001</v>
      </c>
    </row>
    <row r="152" spans="2:3" x14ac:dyDescent="0.25">
      <c r="B152" s="12">
        <v>44361</v>
      </c>
      <c r="C152" s="18">
        <v>167.33000200000001</v>
      </c>
    </row>
    <row r="153" spans="2:3" x14ac:dyDescent="0.25">
      <c r="B153" s="12">
        <v>44354</v>
      </c>
      <c r="C153" s="18">
        <v>154.16000399999999</v>
      </c>
    </row>
    <row r="154" spans="2:3" x14ac:dyDescent="0.25">
      <c r="B154" s="12">
        <v>44347</v>
      </c>
      <c r="C154" s="18">
        <v>143.800003</v>
      </c>
    </row>
    <row r="155" spans="2:3" x14ac:dyDescent="0.25">
      <c r="B155" s="12">
        <v>44340</v>
      </c>
      <c r="C155" s="18">
        <v>150.279999</v>
      </c>
    </row>
    <row r="156" spans="2:3" x14ac:dyDescent="0.25">
      <c r="B156" s="12">
        <v>44333</v>
      </c>
      <c r="C156" s="18">
        <v>137.570007</v>
      </c>
    </row>
    <row r="157" spans="2:3" x14ac:dyDescent="0.25">
      <c r="B157" s="12">
        <v>44326</v>
      </c>
      <c r="C157" s="18">
        <v>141.070007</v>
      </c>
    </row>
    <row r="158" spans="2:3" x14ac:dyDescent="0.25">
      <c r="B158" s="12">
        <v>44319</v>
      </c>
      <c r="C158" s="18">
        <v>124.889999</v>
      </c>
    </row>
    <row r="159" spans="2:3" x14ac:dyDescent="0.25">
      <c r="B159" s="12">
        <v>44312</v>
      </c>
      <c r="C159" s="18">
        <v>143.16999799999999</v>
      </c>
    </row>
    <row r="160" spans="2:3" x14ac:dyDescent="0.25">
      <c r="B160" s="12">
        <v>44305</v>
      </c>
      <c r="C160" s="18">
        <v>152.75</v>
      </c>
    </row>
    <row r="161" spans="2:3" x14ac:dyDescent="0.25">
      <c r="B161" s="12">
        <v>44298</v>
      </c>
      <c r="C161" s="18">
        <v>149.490005</v>
      </c>
    </row>
    <row r="162" spans="2:3" x14ac:dyDescent="0.25">
      <c r="B162" s="12">
        <v>44291</v>
      </c>
      <c r="C162" s="18">
        <v>140.5</v>
      </c>
    </row>
    <row r="163" spans="2:3" x14ac:dyDescent="0.25">
      <c r="B163" s="12">
        <v>44284</v>
      </c>
      <c r="C163" s="18">
        <v>133.13999899999999</v>
      </c>
    </row>
    <row r="164" spans="2:3" x14ac:dyDescent="0.25">
      <c r="B164" s="12">
        <v>44277</v>
      </c>
      <c r="C164" s="18">
        <v>134.009995</v>
      </c>
    </row>
    <row r="165" spans="2:3" x14ac:dyDescent="0.25">
      <c r="B165" s="12">
        <v>44270</v>
      </c>
      <c r="C165" s="18">
        <v>135.029999</v>
      </c>
    </row>
    <row r="166" spans="2:3" x14ac:dyDescent="0.25">
      <c r="B166" s="12">
        <v>44263</v>
      </c>
      <c r="C166" s="18">
        <v>142.029999</v>
      </c>
    </row>
    <row r="167" spans="2:3" x14ac:dyDescent="0.25">
      <c r="B167" s="12">
        <v>44256</v>
      </c>
      <c r="C167" s="18">
        <v>151.479996</v>
      </c>
    </row>
    <row r="168" spans="2:3" x14ac:dyDescent="0.25">
      <c r="B168" s="12">
        <v>44249</v>
      </c>
      <c r="C168" s="18">
        <v>169.490005</v>
      </c>
    </row>
    <row r="169" spans="2:3" x14ac:dyDescent="0.25">
      <c r="B169" s="12">
        <v>44242</v>
      </c>
      <c r="C169" s="18">
        <v>205.970001</v>
      </c>
    </row>
    <row r="170" spans="2:3" x14ac:dyDescent="0.25">
      <c r="B170" s="12">
        <v>44235</v>
      </c>
      <c r="C170" s="18">
        <v>202.970001</v>
      </c>
    </row>
    <row r="171" spans="2:3" x14ac:dyDescent="0.25">
      <c r="B171" s="12">
        <v>44228</v>
      </c>
      <c r="C171" s="18">
        <v>181.229996</v>
      </c>
    </row>
    <row r="172" spans="2:3" x14ac:dyDescent="0.25">
      <c r="B172" s="12">
        <v>44221</v>
      </c>
      <c r="C172" s="18">
        <v>193.270004</v>
      </c>
    </row>
    <row r="173" spans="2:3" x14ac:dyDescent="0.25">
      <c r="B173" s="12">
        <v>44214</v>
      </c>
      <c r="C173" s="18">
        <v>192</v>
      </c>
    </row>
    <row r="174" spans="2:3" x14ac:dyDescent="0.25">
      <c r="B174" s="12">
        <v>44207</v>
      </c>
      <c r="C174" s="18">
        <v>187.14999399999999</v>
      </c>
    </row>
    <row r="175" spans="2:3" x14ac:dyDescent="0.25">
      <c r="B175" s="12">
        <v>44200</v>
      </c>
      <c r="C175" s="18">
        <v>156.08999600000001</v>
      </c>
    </row>
    <row r="176" spans="2:3" x14ac:dyDescent="0.25">
      <c r="B176" s="12">
        <v>44193</v>
      </c>
      <c r="C176" s="18">
        <v>142.75</v>
      </c>
    </row>
    <row r="177" spans="2:3" x14ac:dyDescent="0.25">
      <c r="B177" s="12">
        <v>44186</v>
      </c>
      <c r="C177" s="18">
        <v>158.46000699999999</v>
      </c>
    </row>
    <row r="178" spans="2:3" x14ac:dyDescent="0.25">
      <c r="B178" s="12">
        <v>44179</v>
      </c>
      <c r="C178" s="18">
        <v>166.35000600000001</v>
      </c>
    </row>
    <row r="179" spans="2:3" x14ac:dyDescent="0.25">
      <c r="B179" s="12">
        <v>44172</v>
      </c>
      <c r="C179" s="18">
        <v>175</v>
      </c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79"/>
  <sheetViews>
    <sheetView workbookViewId="0">
      <selection activeCell="B2" sqref="B2:C179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99</v>
      </c>
      <c r="H1" s="134" t="s">
        <v>100</v>
      </c>
      <c r="I1" s="135"/>
      <c r="J1" s="135"/>
      <c r="K1" s="135"/>
      <c r="L1" s="135"/>
      <c r="M1" s="136"/>
    </row>
    <row r="2" spans="1:13" ht="15.75" thickBot="1" x14ac:dyDescent="0.3">
      <c r="B2" s="12">
        <v>45411</v>
      </c>
      <c r="C2" s="18">
        <v>129.259995</v>
      </c>
      <c r="D2" s="144">
        <f>C2/C3-1</f>
        <v>-2.1572976901271912E-2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45404</v>
      </c>
      <c r="C3" s="18">
        <v>132.11000100000001</v>
      </c>
      <c r="D3" s="144">
        <f t="shared" ref="D3:D66" si="0">C3/C4-1</f>
        <v>3.8763964459820777E-2</v>
      </c>
      <c r="H3" s="65" t="s">
        <v>101</v>
      </c>
      <c r="I3" s="66" t="s">
        <v>102</v>
      </c>
      <c r="J3" s="67" t="s">
        <v>103</v>
      </c>
      <c r="K3" s="68" t="s">
        <v>104</v>
      </c>
      <c r="L3" s="68" t="s">
        <v>105</v>
      </c>
      <c r="M3" s="69" t="s">
        <v>106</v>
      </c>
    </row>
    <row r="4" spans="1:13" x14ac:dyDescent="0.25">
      <c r="B4" s="12">
        <v>45397</v>
      </c>
      <c r="C4" s="18">
        <v>127.18</v>
      </c>
      <c r="D4" s="144">
        <f t="shared" si="0"/>
        <v>-8.0936584732743788E-2</v>
      </c>
      <c r="H4" s="70">
        <f>$I$19-3*$I$23</f>
        <v>-0.24248945315791978</v>
      </c>
      <c r="I4" s="71">
        <f>H4</f>
        <v>-0.24248945315791978</v>
      </c>
      <c r="J4" s="72">
        <f>COUNTIF(D:D,"&lt;="&amp;H4)</f>
        <v>0</v>
      </c>
      <c r="K4" s="72" t="str">
        <f>"Less than "&amp;TEXT(H4,"0,00%")</f>
        <v>Less than -24,25%</v>
      </c>
      <c r="L4" s="73">
        <f>J4/$I$31</f>
        <v>0</v>
      </c>
      <c r="M4" s="74">
        <f>L4</f>
        <v>0</v>
      </c>
    </row>
    <row r="5" spans="1:13" x14ac:dyDescent="0.25">
      <c r="B5" s="12">
        <v>45390</v>
      </c>
      <c r="C5" s="18">
        <v>138.38000500000001</v>
      </c>
      <c r="D5" s="144">
        <f t="shared" si="0"/>
        <v>-8.4550947041429625E-3</v>
      </c>
      <c r="H5" s="75">
        <f>$I$19-2.4*$I$23</f>
        <v>-0.1936914044910239</v>
      </c>
      <c r="I5" s="76">
        <f>H5</f>
        <v>-0.1936914044910239</v>
      </c>
      <c r="J5" s="77">
        <f>COUNTIFS(D:D,"&lt;="&amp;H5,D:D,"&gt;"&amp;H4)</f>
        <v>0</v>
      </c>
      <c r="K5" s="78" t="str">
        <f t="shared" ref="K5:K14" si="1">TEXT(H4,"0,00%")&amp;" to "&amp;TEXT(H5,"0,00%")</f>
        <v>-24,25% to -19,37%</v>
      </c>
      <c r="L5" s="79">
        <f>J5/$I$31</f>
        <v>0</v>
      </c>
      <c r="M5" s="80">
        <f>M4+L5</f>
        <v>0</v>
      </c>
    </row>
    <row r="6" spans="1:13" x14ac:dyDescent="0.25">
      <c r="B6" s="12">
        <v>45383</v>
      </c>
      <c r="C6" s="18">
        <v>139.55999800000001</v>
      </c>
      <c r="D6" s="144">
        <f t="shared" si="0"/>
        <v>1.3360419595117579E-2</v>
      </c>
      <c r="H6" s="75">
        <f>$I$19-1.8*$I$23</f>
        <v>-0.14489335582412805</v>
      </c>
      <c r="I6" s="76">
        <f t="shared" ref="I6:I14" si="2">H6</f>
        <v>-0.14489335582412805</v>
      </c>
      <c r="J6" s="77">
        <f t="shared" ref="J6:J14" si="3">COUNTIFS(D:D,"&lt;="&amp;H6,D:D,"&gt;"&amp;H5)</f>
        <v>4</v>
      </c>
      <c r="K6" s="78" t="str">
        <f t="shared" si="1"/>
        <v>-19,37% to -14,49%</v>
      </c>
      <c r="L6" s="79">
        <f t="shared" ref="L6:L15" si="4">J6/$I$31</f>
        <v>2.2598870056497175E-2</v>
      </c>
      <c r="M6" s="80">
        <f t="shared" ref="M6:M15" si="5">M5+L6</f>
        <v>2.2598870056497175E-2</v>
      </c>
    </row>
    <row r="7" spans="1:13" x14ac:dyDescent="0.25">
      <c r="B7" s="12">
        <v>45376</v>
      </c>
      <c r="C7" s="18">
        <v>137.720001</v>
      </c>
      <c r="D7" s="144">
        <f t="shared" si="0"/>
        <v>3.4974933147227105E-3</v>
      </c>
      <c r="H7" s="75">
        <f>$I$19-1.2*$I$23</f>
        <v>-9.6095307157232163E-2</v>
      </c>
      <c r="I7" s="76">
        <f t="shared" si="2"/>
        <v>-9.6095307157232163E-2</v>
      </c>
      <c r="J7" s="77">
        <f t="shared" si="3"/>
        <v>16</v>
      </c>
      <c r="K7" s="78" t="str">
        <f t="shared" si="1"/>
        <v>-14,49% to -9,61%</v>
      </c>
      <c r="L7" s="79">
        <f t="shared" si="4"/>
        <v>9.03954802259887E-2</v>
      </c>
      <c r="M7" s="80">
        <f t="shared" si="5"/>
        <v>0.11299435028248588</v>
      </c>
    </row>
    <row r="8" spans="1:13" x14ac:dyDescent="0.25">
      <c r="B8" s="12">
        <v>45369</v>
      </c>
      <c r="C8" s="18">
        <v>137.240005</v>
      </c>
      <c r="D8" s="144">
        <f t="shared" si="0"/>
        <v>5.1244747960672132E-2</v>
      </c>
      <c r="H8" s="75">
        <f>$I$19-0.6*$I$23</f>
        <v>-4.7297258490336301E-2</v>
      </c>
      <c r="I8" s="76">
        <f t="shared" si="2"/>
        <v>-4.7297258490336301E-2</v>
      </c>
      <c r="J8" s="77">
        <f t="shared" si="3"/>
        <v>32</v>
      </c>
      <c r="K8" s="78" t="str">
        <f t="shared" si="1"/>
        <v>-9,61% to -4,73%</v>
      </c>
      <c r="L8" s="79">
        <f t="shared" si="4"/>
        <v>0.1807909604519774</v>
      </c>
      <c r="M8" s="80">
        <f t="shared" si="5"/>
        <v>0.29378531073446329</v>
      </c>
    </row>
    <row r="9" spans="1:13" x14ac:dyDescent="0.25">
      <c r="B9" s="12">
        <v>45362</v>
      </c>
      <c r="C9" s="18">
        <v>130.550003</v>
      </c>
      <c r="D9" s="144">
        <f t="shared" si="0"/>
        <v>-9.4840665519559941E-3</v>
      </c>
      <c r="H9" s="75">
        <f>$I$19</f>
        <v>1.5007901765595588E-3</v>
      </c>
      <c r="I9" s="76">
        <f t="shared" si="2"/>
        <v>1.5007901765595588E-3</v>
      </c>
      <c r="J9" s="77">
        <f t="shared" si="3"/>
        <v>38</v>
      </c>
      <c r="K9" s="78" t="str">
        <f t="shared" si="1"/>
        <v>-4,73% to 0,15%</v>
      </c>
      <c r="L9" s="79">
        <f t="shared" si="4"/>
        <v>0.21468926553672316</v>
      </c>
      <c r="M9" s="80">
        <f t="shared" si="5"/>
        <v>0.50847457627118642</v>
      </c>
    </row>
    <row r="10" spans="1:13" x14ac:dyDescent="0.25">
      <c r="B10" s="12">
        <v>45355</v>
      </c>
      <c r="C10" s="18">
        <v>131.800003</v>
      </c>
      <c r="D10" s="144">
        <f t="shared" si="0"/>
        <v>3.4293361060974581E-2</v>
      </c>
      <c r="H10" s="75">
        <f>$I$19+0.6*$I$23</f>
        <v>5.0298838843455422E-2</v>
      </c>
      <c r="I10" s="76">
        <f t="shared" si="2"/>
        <v>5.0298838843455422E-2</v>
      </c>
      <c r="J10" s="77">
        <f t="shared" si="3"/>
        <v>48</v>
      </c>
      <c r="K10" s="78" t="str">
        <f t="shared" si="1"/>
        <v>0,15% to 5,03%</v>
      </c>
      <c r="L10" s="79">
        <f t="shared" si="4"/>
        <v>0.2711864406779661</v>
      </c>
      <c r="M10" s="80">
        <f t="shared" si="5"/>
        <v>0.77966101694915246</v>
      </c>
    </row>
    <row r="11" spans="1:13" x14ac:dyDescent="0.25">
      <c r="B11" s="12">
        <v>45348</v>
      </c>
      <c r="C11" s="18">
        <v>127.43</v>
      </c>
      <c r="D11" s="144">
        <f t="shared" si="0"/>
        <v>4.6566999892132088E-2</v>
      </c>
      <c r="H11" s="75">
        <f>$I$19+1.2*$I$23</f>
        <v>9.9096887510351284E-2</v>
      </c>
      <c r="I11" s="76">
        <f t="shared" si="2"/>
        <v>9.9096887510351284E-2</v>
      </c>
      <c r="J11" s="77">
        <f t="shared" si="3"/>
        <v>23</v>
      </c>
      <c r="K11" s="78" t="str">
        <f t="shared" si="1"/>
        <v>5,03% to 9,91%</v>
      </c>
      <c r="L11" s="79">
        <f t="shared" si="4"/>
        <v>0.12994350282485875</v>
      </c>
      <c r="M11" s="80">
        <f t="shared" si="5"/>
        <v>0.90960451977401124</v>
      </c>
    </row>
    <row r="12" spans="1:13" x14ac:dyDescent="0.25">
      <c r="B12" s="12">
        <v>45341</v>
      </c>
      <c r="C12" s="18">
        <v>121.760002</v>
      </c>
      <c r="D12" s="144">
        <f t="shared" si="0"/>
        <v>4.9564691844415254E-2</v>
      </c>
      <c r="H12" s="75">
        <f>$I$19+1.8*$I$23</f>
        <v>0.14789493617724714</v>
      </c>
      <c r="I12" s="76">
        <f t="shared" si="2"/>
        <v>0.14789493617724714</v>
      </c>
      <c r="J12" s="77">
        <f t="shared" si="3"/>
        <v>7</v>
      </c>
      <c r="K12" s="78" t="str">
        <f t="shared" si="1"/>
        <v>9,91% to 14,79%</v>
      </c>
      <c r="L12" s="79">
        <f t="shared" si="4"/>
        <v>3.954802259887006E-2</v>
      </c>
      <c r="M12" s="80">
        <f t="shared" si="5"/>
        <v>0.94915254237288127</v>
      </c>
    </row>
    <row r="13" spans="1:13" x14ac:dyDescent="0.25">
      <c r="B13" s="12">
        <v>45334</v>
      </c>
      <c r="C13" s="18">
        <v>116.010002</v>
      </c>
      <c r="D13" s="144">
        <f t="shared" si="0"/>
        <v>-2.7659006414533671E-2</v>
      </c>
      <c r="H13" s="75">
        <f>$I$19+2.4*$I$23</f>
        <v>0.19669298484414299</v>
      </c>
      <c r="I13" s="76">
        <f t="shared" si="2"/>
        <v>0.19669298484414299</v>
      </c>
      <c r="J13" s="77">
        <f t="shared" si="3"/>
        <v>3</v>
      </c>
      <c r="K13" s="78" t="str">
        <f t="shared" si="1"/>
        <v>14,79% to 19,67%</v>
      </c>
      <c r="L13" s="79">
        <f t="shared" si="4"/>
        <v>1.6949152542372881E-2</v>
      </c>
      <c r="M13" s="80">
        <f t="shared" si="5"/>
        <v>0.96610169491525411</v>
      </c>
    </row>
    <row r="14" spans="1:13" x14ac:dyDescent="0.25">
      <c r="B14" s="12">
        <v>45327</v>
      </c>
      <c r="C14" s="18">
        <v>119.30999799999999</v>
      </c>
      <c r="D14" s="144">
        <f t="shared" si="0"/>
        <v>8.958902283105008E-2</v>
      </c>
      <c r="H14" s="75">
        <f>$I$19+3*$I$23</f>
        <v>0.24549103351103888</v>
      </c>
      <c r="I14" s="76">
        <f t="shared" si="2"/>
        <v>0.24549103351103888</v>
      </c>
      <c r="J14" s="77">
        <f t="shared" si="3"/>
        <v>5</v>
      </c>
      <c r="K14" s="78" t="str">
        <f t="shared" si="1"/>
        <v>19,67% to 24,55%</v>
      </c>
      <c r="L14" s="79">
        <f t="shared" si="4"/>
        <v>2.8248587570621469E-2</v>
      </c>
      <c r="M14" s="80">
        <f t="shared" si="5"/>
        <v>0.99435028248587554</v>
      </c>
    </row>
    <row r="15" spans="1:13" ht="15.75" thickBot="1" x14ac:dyDescent="0.3">
      <c r="B15" s="12">
        <v>45320</v>
      </c>
      <c r="C15" s="18">
        <v>109.5</v>
      </c>
      <c r="D15" s="144">
        <f t="shared" si="0"/>
        <v>1.1640816918714325E-2</v>
      </c>
      <c r="H15" s="81"/>
      <c r="I15" s="82" t="s">
        <v>107</v>
      </c>
      <c r="J15" s="82">
        <f>COUNTIF(D:D,"&gt;"&amp;H14)</f>
        <v>1</v>
      </c>
      <c r="K15" s="82" t="str">
        <f>"Greater than "&amp;TEXT(H14,"0,00%")</f>
        <v>Greater than 24,55%</v>
      </c>
      <c r="L15" s="83">
        <f t="shared" si="4"/>
        <v>5.6497175141242938E-3</v>
      </c>
      <c r="M15" s="83">
        <f t="shared" si="5"/>
        <v>0.99999999999999978</v>
      </c>
    </row>
    <row r="16" spans="1:13" ht="15.75" thickBot="1" x14ac:dyDescent="0.3">
      <c r="B16" s="12">
        <v>45313</v>
      </c>
      <c r="C16" s="18">
        <v>108.239998</v>
      </c>
      <c r="D16" s="144">
        <f t="shared" si="0"/>
        <v>1.796290759027741E-2</v>
      </c>
      <c r="H16" s="84"/>
      <c r="M16" s="85"/>
    </row>
    <row r="17" spans="2:13" x14ac:dyDescent="0.25">
      <c r="B17" s="12">
        <v>45306</v>
      </c>
      <c r="C17" s="18">
        <v>106.33000199999999</v>
      </c>
      <c r="D17" s="144">
        <f t="shared" si="0"/>
        <v>2.112748548336163E-2</v>
      </c>
      <c r="H17" s="137" t="s">
        <v>138</v>
      </c>
      <c r="I17" s="138"/>
      <c r="M17" s="85"/>
    </row>
    <row r="18" spans="2:13" x14ac:dyDescent="0.25">
      <c r="B18" s="12">
        <v>45299</v>
      </c>
      <c r="C18" s="18">
        <v>104.129997</v>
      </c>
      <c r="D18" s="144">
        <f t="shared" si="0"/>
        <v>9.8301858417927823E-2</v>
      </c>
      <c r="H18" s="139"/>
      <c r="I18" s="140"/>
      <c r="M18" s="85"/>
    </row>
    <row r="19" spans="2:13" x14ac:dyDescent="0.25">
      <c r="B19" s="12">
        <v>45292</v>
      </c>
      <c r="C19" s="18">
        <v>94.809997999999993</v>
      </c>
      <c r="D19" s="144">
        <f t="shared" si="0"/>
        <v>-4.1257973923126579E-2</v>
      </c>
      <c r="H19" s="86" t="s">
        <v>108</v>
      </c>
      <c r="I19" s="123">
        <f>AVERAGE(D:D)</f>
        <v>1.5007901765595588E-3</v>
      </c>
      <c r="M19" s="85"/>
    </row>
    <row r="20" spans="2:13" x14ac:dyDescent="0.25">
      <c r="B20" s="12">
        <v>45285</v>
      </c>
      <c r="C20" s="18">
        <v>98.889999000000003</v>
      </c>
      <c r="D20" s="144">
        <f t="shared" si="0"/>
        <v>-1.6313538409564732E-2</v>
      </c>
      <c r="H20" s="86" t="s">
        <v>109</v>
      </c>
      <c r="I20" s="123">
        <f>_xlfn.STDEV.S(D:D)/SQRT(COUNT(D:D))</f>
        <v>6.1131432424601688E-3</v>
      </c>
      <c r="M20" s="85"/>
    </row>
    <row r="21" spans="2:13" x14ac:dyDescent="0.25">
      <c r="B21" s="12">
        <v>45278</v>
      </c>
      <c r="C21" s="18">
        <v>100.529999</v>
      </c>
      <c r="D21" s="144">
        <f t="shared" si="0"/>
        <v>-1.0239253716648467E-2</v>
      </c>
      <c r="H21" s="86" t="s">
        <v>110</v>
      </c>
      <c r="I21" s="123">
        <f>MEDIAN(D:D)</f>
        <v>-1.1211519229781253E-3</v>
      </c>
      <c r="M21" s="85"/>
    </row>
    <row r="22" spans="2:13" x14ac:dyDescent="0.25">
      <c r="B22" s="12">
        <v>45271</v>
      </c>
      <c r="C22" s="18">
        <v>101.57</v>
      </c>
      <c r="D22" s="144">
        <f t="shared" si="0"/>
        <v>1.5699999999999825E-2</v>
      </c>
      <c r="H22" s="86" t="s">
        <v>111</v>
      </c>
      <c r="I22" s="123" t="e">
        <f>MODE(D:D)</f>
        <v>#N/A</v>
      </c>
      <c r="M22" s="85"/>
    </row>
    <row r="23" spans="2:13" x14ac:dyDescent="0.25">
      <c r="B23" s="12">
        <v>45264</v>
      </c>
      <c r="C23" s="18">
        <v>100</v>
      </c>
      <c r="D23" s="144">
        <f t="shared" si="0"/>
        <v>3.5411036748580704E-2</v>
      </c>
      <c r="H23" s="86" t="s">
        <v>112</v>
      </c>
      <c r="I23" s="123">
        <f>_xlfn.STDEV.S(D:D)</f>
        <v>8.1330081111493105E-2</v>
      </c>
      <c r="M23" s="85"/>
    </row>
    <row r="24" spans="2:13" x14ac:dyDescent="0.25">
      <c r="B24" s="12">
        <v>45257</v>
      </c>
      <c r="C24" s="18">
        <v>96.580001999999993</v>
      </c>
      <c r="D24" s="144">
        <f t="shared" si="0"/>
        <v>2.9527812163475442E-2</v>
      </c>
      <c r="H24" s="86" t="s">
        <v>113</v>
      </c>
      <c r="I24" s="123">
        <f>_xlfn.VAR.S(D:D)</f>
        <v>6.6145820936020479E-3</v>
      </c>
      <c r="M24" s="85"/>
    </row>
    <row r="25" spans="2:13" x14ac:dyDescent="0.25">
      <c r="B25" s="12">
        <v>45250</v>
      </c>
      <c r="C25" s="18">
        <v>93.809997999999993</v>
      </c>
      <c r="D25" s="144">
        <f t="shared" si="0"/>
        <v>-1.4911319492450281E-2</v>
      </c>
      <c r="H25" s="86" t="s">
        <v>114</v>
      </c>
      <c r="I25" s="124">
        <f>KURT(D:D)</f>
        <v>1.2506453652852967</v>
      </c>
      <c r="M25" s="85"/>
    </row>
    <row r="26" spans="2:13" x14ac:dyDescent="0.25">
      <c r="B26" s="12">
        <v>45243</v>
      </c>
      <c r="C26" s="18">
        <v>95.230002999999996</v>
      </c>
      <c r="D26" s="144">
        <f t="shared" si="0"/>
        <v>8.8716153095733885E-2</v>
      </c>
      <c r="H26" s="86" t="s">
        <v>115</v>
      </c>
      <c r="I26" s="124">
        <f>SKEW(D:D)</f>
        <v>0.61742141346631896</v>
      </c>
      <c r="M26" s="85"/>
    </row>
    <row r="27" spans="2:13" x14ac:dyDescent="0.25">
      <c r="B27" s="12">
        <v>45236</v>
      </c>
      <c r="C27" s="18">
        <v>87.470000999999996</v>
      </c>
      <c r="D27" s="144">
        <f t="shared" si="0"/>
        <v>-5.4276106698585957E-2</v>
      </c>
      <c r="H27" s="86" t="s">
        <v>104</v>
      </c>
      <c r="I27" s="123">
        <f>I29-I28</f>
        <v>0.49493127936745329</v>
      </c>
      <c r="M27" s="85"/>
    </row>
    <row r="28" spans="2:13" x14ac:dyDescent="0.25">
      <c r="B28" s="12">
        <v>45229</v>
      </c>
      <c r="C28" s="18">
        <v>92.489998</v>
      </c>
      <c r="D28" s="144">
        <f t="shared" si="0"/>
        <v>0.30912944630914518</v>
      </c>
      <c r="H28" s="86" t="s">
        <v>116</v>
      </c>
      <c r="I28" s="123">
        <f>MIN(D:D)</f>
        <v>-0.18580183305830811</v>
      </c>
      <c r="M28" s="85"/>
    </row>
    <row r="29" spans="2:13" x14ac:dyDescent="0.25">
      <c r="B29" s="12">
        <v>45222</v>
      </c>
      <c r="C29" s="18">
        <v>70.650002000000001</v>
      </c>
      <c r="D29" s="144">
        <f t="shared" si="0"/>
        <v>-3.3118899685233294E-2</v>
      </c>
      <c r="H29" s="86" t="s">
        <v>117</v>
      </c>
      <c r="I29" s="123">
        <f>MAX(D:D)</f>
        <v>0.30912944630914518</v>
      </c>
      <c r="M29" s="85"/>
    </row>
    <row r="30" spans="2:13" x14ac:dyDescent="0.25">
      <c r="B30" s="12">
        <v>45215</v>
      </c>
      <c r="C30" s="18">
        <v>73.069999999999993</v>
      </c>
      <c r="D30" s="144">
        <f t="shared" si="0"/>
        <v>-3.0516159061317882E-2</v>
      </c>
      <c r="H30" s="86" t="s">
        <v>118</v>
      </c>
      <c r="I30" s="124">
        <f>SUM(D:D)</f>
        <v>0.26563986125104189</v>
      </c>
      <c r="M30" s="85"/>
    </row>
    <row r="31" spans="2:13" ht="15.75" thickBot="1" x14ac:dyDescent="0.3">
      <c r="B31" s="12">
        <v>45208</v>
      </c>
      <c r="C31" s="18">
        <v>75.370002999999997</v>
      </c>
      <c r="D31" s="144">
        <f t="shared" si="0"/>
        <v>1.1542088000480843E-2</v>
      </c>
      <c r="H31" s="87" t="s">
        <v>119</v>
      </c>
      <c r="I31" s="64">
        <f>COUNT(D:D)</f>
        <v>177</v>
      </c>
      <c r="M31" s="85"/>
    </row>
    <row r="32" spans="2:13" ht="15.75" thickBot="1" x14ac:dyDescent="0.3">
      <c r="B32" s="12">
        <v>45201</v>
      </c>
      <c r="C32" s="18">
        <v>74.510002</v>
      </c>
      <c r="D32" s="144">
        <f t="shared" si="0"/>
        <v>-6.2413475998320367E-2</v>
      </c>
      <c r="H32" s="89"/>
      <c r="M32" s="85"/>
    </row>
    <row r="33" spans="2:13" x14ac:dyDescent="0.25">
      <c r="B33" s="12">
        <v>45194</v>
      </c>
      <c r="C33" s="18">
        <v>79.470000999999996</v>
      </c>
      <c r="D33" s="144">
        <f t="shared" si="0"/>
        <v>4.31872013651875E-2</v>
      </c>
      <c r="H33" s="90"/>
      <c r="I33" s="91" t="s">
        <v>120</v>
      </c>
      <c r="J33" s="91" t="s">
        <v>119</v>
      </c>
      <c r="K33" s="91" t="s">
        <v>121</v>
      </c>
      <c r="L33" s="92" t="s">
        <v>122</v>
      </c>
      <c r="M33" s="85"/>
    </row>
    <row r="34" spans="2:13" x14ac:dyDescent="0.25">
      <c r="B34" s="12">
        <v>45187</v>
      </c>
      <c r="C34" s="18">
        <v>76.180000000000007</v>
      </c>
      <c r="D34" s="144">
        <f t="shared" si="0"/>
        <v>-5.8692697392808579E-2</v>
      </c>
      <c r="H34" s="93" t="s">
        <v>123</v>
      </c>
      <c r="I34" s="79">
        <f>AVERAGEIF(D:D,"&gt;0")</f>
        <v>6.3122330339438204E-2</v>
      </c>
      <c r="J34" s="77">
        <f>COUNTIF(D:D,"&gt;0")</f>
        <v>88</v>
      </c>
      <c r="K34" s="79">
        <f>J34/$I$31</f>
        <v>0.49717514124293788</v>
      </c>
      <c r="L34" s="80">
        <f>K34*I34</f>
        <v>3.138285350209357E-2</v>
      </c>
      <c r="M34" s="85"/>
    </row>
    <row r="35" spans="2:13" x14ac:dyDescent="0.25">
      <c r="B35" s="12">
        <v>45180</v>
      </c>
      <c r="C35" s="18">
        <v>80.930000000000007</v>
      </c>
      <c r="D35" s="144">
        <f t="shared" si="0"/>
        <v>-1.5090641720594933E-2</v>
      </c>
      <c r="H35" s="93" t="s">
        <v>124</v>
      </c>
      <c r="I35" s="79">
        <f>AVERAGEIF(D:D,"&lt;0")</f>
        <v>-5.9428373130556385E-2</v>
      </c>
      <c r="J35" s="77">
        <f>COUNTIF(D:D,"&lt;0")</f>
        <v>89</v>
      </c>
      <c r="K35" s="79">
        <f>J35/$I$31</f>
        <v>0.50282485875706218</v>
      </c>
      <c r="L35" s="80">
        <f t="shared" ref="L35:L36" si="6">K35*I35</f>
        <v>-2.9882063325534003E-2</v>
      </c>
      <c r="M35" s="85"/>
    </row>
    <row r="36" spans="2:13" ht="15.75" thickBot="1" x14ac:dyDescent="0.3">
      <c r="B36" s="12">
        <v>45173</v>
      </c>
      <c r="C36" s="18">
        <v>82.169998000000007</v>
      </c>
      <c r="D36" s="144">
        <f t="shared" si="0"/>
        <v>-2.2251344333039658E-2</v>
      </c>
      <c r="H36" s="94" t="s">
        <v>125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B37" s="12">
        <v>45166</v>
      </c>
      <c r="C37" s="18">
        <v>84.040001000000004</v>
      </c>
      <c r="D37" s="144">
        <f t="shared" si="0"/>
        <v>7.7159756876176155E-2</v>
      </c>
      <c r="H37" s="89"/>
      <c r="I37" s="96"/>
      <c r="J37" s="96"/>
      <c r="K37" s="96"/>
      <c r="L37" s="96"/>
      <c r="M37" s="85"/>
    </row>
    <row r="38" spans="2:13" x14ac:dyDescent="0.25">
      <c r="B38" s="12">
        <v>45159</v>
      </c>
      <c r="C38" s="18">
        <v>78.019997000000004</v>
      </c>
      <c r="D38" s="144">
        <f t="shared" si="0"/>
        <v>2.5699948599333666E-3</v>
      </c>
      <c r="H38" s="70" t="s">
        <v>126</v>
      </c>
      <c r="I38" s="91" t="s">
        <v>127</v>
      </c>
      <c r="J38" s="91" t="s">
        <v>128</v>
      </c>
      <c r="K38" s="91" t="s">
        <v>129</v>
      </c>
      <c r="L38" s="91" t="s">
        <v>130</v>
      </c>
      <c r="M38" s="92" t="s">
        <v>131</v>
      </c>
    </row>
    <row r="39" spans="2:13" x14ac:dyDescent="0.25">
      <c r="B39" s="12">
        <v>45152</v>
      </c>
      <c r="C39" s="18">
        <v>77.819999999999993</v>
      </c>
      <c r="D39" s="144">
        <f t="shared" si="0"/>
        <v>-1.7300188980927333E-2</v>
      </c>
      <c r="H39" s="97">
        <v>1</v>
      </c>
      <c r="I39" s="79">
        <f>$I$19+($H39*$I$23)</f>
        <v>8.2830871288052665E-2</v>
      </c>
      <c r="J39" s="79">
        <f>$I$19-($H39*$I$23)</f>
        <v>-7.9829290934933544E-2</v>
      </c>
      <c r="K39" s="77">
        <f>COUNTIFS(D:D,"&lt;"&amp;I39,D:D,"&gt;"&amp;J39)</f>
        <v>126</v>
      </c>
      <c r="L39" s="79">
        <f>K39/$I$31</f>
        <v>0.71186440677966101</v>
      </c>
      <c r="M39" s="80">
        <v>0.68269999999999997</v>
      </c>
    </row>
    <row r="40" spans="2:13" x14ac:dyDescent="0.25">
      <c r="B40" s="12">
        <v>45145</v>
      </c>
      <c r="C40" s="18">
        <v>79.190002000000007</v>
      </c>
      <c r="D40" s="144">
        <f t="shared" si="0"/>
        <v>-5.2751149587347945E-2</v>
      </c>
      <c r="H40" s="97">
        <v>2</v>
      </c>
      <c r="I40" s="79">
        <f>$I$19+($H40*$I$23)</f>
        <v>0.16416095239954576</v>
      </c>
      <c r="J40" s="79">
        <f>$I$19-($H40*$I$23)</f>
        <v>-0.16115937204642666</v>
      </c>
      <c r="K40" s="77">
        <f>COUNTIFS(D:D,"&lt;"&amp;I40,D:D,"&gt;"&amp;J40)</f>
        <v>168</v>
      </c>
      <c r="L40" s="79">
        <f>K40/$I$31</f>
        <v>0.94915254237288138</v>
      </c>
      <c r="M40" s="80">
        <v>0.95450000000000002</v>
      </c>
    </row>
    <row r="41" spans="2:13" x14ac:dyDescent="0.25">
      <c r="B41" s="12">
        <v>45138</v>
      </c>
      <c r="C41" s="18">
        <v>83.599997999999999</v>
      </c>
      <c r="D41" s="144">
        <f t="shared" si="0"/>
        <v>-6.7484705689130897E-2</v>
      </c>
      <c r="H41" s="97">
        <v>3</v>
      </c>
      <c r="I41" s="79">
        <f>$I$19+($H41*$I$23)</f>
        <v>0.24549103351103888</v>
      </c>
      <c r="J41" s="79">
        <f>$I$19-($H41*$I$23)</f>
        <v>-0.24248945315791978</v>
      </c>
      <c r="K41" s="77">
        <f>COUNTIFS(D:D,"&lt;"&amp;I41,D:D,"&gt;"&amp;J41)</f>
        <v>176</v>
      </c>
      <c r="L41" s="79">
        <f>K41/$I$31</f>
        <v>0.99435028248587576</v>
      </c>
      <c r="M41" s="98">
        <v>0.99729999999999996</v>
      </c>
    </row>
    <row r="42" spans="2:13" ht="15.75" thickBot="1" x14ac:dyDescent="0.3">
      <c r="B42" s="12">
        <v>45131</v>
      </c>
      <c r="C42" s="18">
        <v>89.650002000000001</v>
      </c>
      <c r="D42" s="144">
        <f t="shared" si="0"/>
        <v>6.0946769230769249E-2</v>
      </c>
      <c r="H42" s="75"/>
      <c r="M42" s="98"/>
    </row>
    <row r="43" spans="2:13" ht="15.75" thickBot="1" x14ac:dyDescent="0.3">
      <c r="B43" s="12">
        <v>45124</v>
      </c>
      <c r="C43" s="18">
        <v>84.5</v>
      </c>
      <c r="D43" s="144">
        <f t="shared" si="0"/>
        <v>6.4316460985189838E-3</v>
      </c>
      <c r="H43" s="141" t="s">
        <v>132</v>
      </c>
      <c r="I43" s="142"/>
      <c r="J43" s="142"/>
      <c r="K43" s="142"/>
      <c r="L43" s="142"/>
      <c r="M43" s="143"/>
    </row>
    <row r="44" spans="2:13" x14ac:dyDescent="0.25">
      <c r="B44" s="12">
        <v>45117</v>
      </c>
      <c r="C44" s="18">
        <v>83.959998999999996</v>
      </c>
      <c r="D44" s="144">
        <f t="shared" si="0"/>
        <v>7.7100734205288068E-2</v>
      </c>
      <c r="H44" s="99">
        <v>0.01</v>
      </c>
      <c r="I44" s="100">
        <f t="shared" ref="I44:I58" si="7">_xlfn.PERCENTILE.INC(D:D,H44)</f>
        <v>-0.16468464362160751</v>
      </c>
      <c r="J44" s="101">
        <v>0.2</v>
      </c>
      <c r="K44" s="100">
        <f t="shared" ref="K44:K56" si="8">_xlfn.PERCENTILE.INC(D:D,J44)</f>
        <v>-6.2366825946643778E-2</v>
      </c>
      <c r="L44" s="101">
        <v>0.85</v>
      </c>
      <c r="M44" s="102">
        <f t="shared" ref="M44:M58" si="9">_xlfn.PERCENTILE.INC(D:D,L44)</f>
        <v>7.5407819121403485E-2</v>
      </c>
    </row>
    <row r="45" spans="2:13" x14ac:dyDescent="0.25">
      <c r="B45" s="12">
        <v>45110</v>
      </c>
      <c r="C45" s="18">
        <v>77.949996999999996</v>
      </c>
      <c r="D45" s="144">
        <f t="shared" si="0"/>
        <v>2.0020924365896864E-2</v>
      </c>
      <c r="H45" s="103">
        <v>0.02</v>
      </c>
      <c r="I45" s="104">
        <f t="shared" si="7"/>
        <v>-0.1437277427448346</v>
      </c>
      <c r="J45" s="105">
        <v>0.25</v>
      </c>
      <c r="K45" s="104">
        <f t="shared" si="8"/>
        <v>-5.0374365570089785E-2</v>
      </c>
      <c r="L45" s="105">
        <v>0.86</v>
      </c>
      <c r="M45" s="106">
        <f t="shared" si="9"/>
        <v>8.0137298610533328E-2</v>
      </c>
    </row>
    <row r="46" spans="2:13" x14ac:dyDescent="0.25">
      <c r="B46" s="12">
        <v>45103</v>
      </c>
      <c r="C46" s="18">
        <v>76.419998000000007</v>
      </c>
      <c r="D46" s="144">
        <f t="shared" si="0"/>
        <v>5.2037431883775298E-2</v>
      </c>
      <c r="H46" s="103">
        <v>0.03</v>
      </c>
      <c r="I46" s="104">
        <f t="shared" si="7"/>
        <v>-0.12802826667346834</v>
      </c>
      <c r="J46" s="105">
        <v>0.3</v>
      </c>
      <c r="K46" s="104">
        <f t="shared" si="8"/>
        <v>-4.3557893473472525E-2</v>
      </c>
      <c r="L46" s="105">
        <v>0.87</v>
      </c>
      <c r="M46" s="106">
        <f t="shared" si="9"/>
        <v>8.7565140798685367E-2</v>
      </c>
    </row>
    <row r="47" spans="2:13" x14ac:dyDescent="0.25">
      <c r="B47" s="12">
        <v>45096</v>
      </c>
      <c r="C47" s="18">
        <v>72.639999000000003</v>
      </c>
      <c r="D47" s="144">
        <f t="shared" si="0"/>
        <v>-8.463049182007909E-3</v>
      </c>
      <c r="H47" s="103">
        <v>0.04</v>
      </c>
      <c r="I47" s="104">
        <f t="shared" si="7"/>
        <v>-0.12688563571928513</v>
      </c>
      <c r="J47" s="105">
        <v>0.35</v>
      </c>
      <c r="K47" s="104">
        <f t="shared" si="8"/>
        <v>-3.0751130152368859E-2</v>
      </c>
      <c r="L47" s="105">
        <v>0.88</v>
      </c>
      <c r="M47" s="106">
        <f t="shared" si="9"/>
        <v>8.9484278462812136E-2</v>
      </c>
    </row>
    <row r="48" spans="2:13" x14ac:dyDescent="0.25">
      <c r="B48" s="12">
        <v>45089</v>
      </c>
      <c r="C48" s="18">
        <v>73.260002</v>
      </c>
      <c r="D48" s="144">
        <f t="shared" si="0"/>
        <v>2.0618598782649711E-2</v>
      </c>
      <c r="H48" s="103">
        <v>0.05</v>
      </c>
      <c r="I48" s="104">
        <f t="shared" si="7"/>
        <v>-0.12130881567902715</v>
      </c>
      <c r="J48" s="105">
        <v>0.4</v>
      </c>
      <c r="K48" s="104">
        <f t="shared" si="8"/>
        <v>-1.6603252315894743E-2</v>
      </c>
      <c r="L48" s="105">
        <v>0.89</v>
      </c>
      <c r="M48" s="106">
        <f t="shared" si="9"/>
        <v>9.1679130377960952E-2</v>
      </c>
    </row>
    <row r="49" spans="2:13" x14ac:dyDescent="0.25">
      <c r="B49" s="12">
        <v>45082</v>
      </c>
      <c r="C49" s="18">
        <v>71.779999000000004</v>
      </c>
      <c r="D49" s="144">
        <f t="shared" si="0"/>
        <v>5.7454363175649448E-2</v>
      </c>
      <c r="H49" s="103">
        <v>0.06</v>
      </c>
      <c r="I49" s="104">
        <f t="shared" si="7"/>
        <v>-0.1167924185448127</v>
      </c>
      <c r="J49" s="105">
        <v>0.45</v>
      </c>
      <c r="K49" s="104">
        <f t="shared" si="8"/>
        <v>-8.3401484554983512E-3</v>
      </c>
      <c r="L49" s="105">
        <v>0.9</v>
      </c>
      <c r="M49" s="106">
        <f t="shared" si="9"/>
        <v>9.440406806138861E-2</v>
      </c>
    </row>
    <row r="50" spans="2:13" x14ac:dyDescent="0.25">
      <c r="B50" s="12">
        <v>45075</v>
      </c>
      <c r="C50" s="18">
        <v>67.879997000000003</v>
      </c>
      <c r="D50" s="144">
        <f t="shared" si="0"/>
        <v>6.5242435787591369E-3</v>
      </c>
      <c r="H50" s="103">
        <v>7.0000000000000007E-2</v>
      </c>
      <c r="I50" s="104">
        <f t="shared" si="7"/>
        <v>-0.11295530277923409</v>
      </c>
      <c r="J50" s="105">
        <v>0.5</v>
      </c>
      <c r="K50" s="104">
        <f t="shared" si="8"/>
        <v>-1.1211519229781253E-3</v>
      </c>
      <c r="L50" s="105">
        <v>0.91</v>
      </c>
      <c r="M50" s="106">
        <f t="shared" si="9"/>
        <v>9.9079821108127505E-2</v>
      </c>
    </row>
    <row r="51" spans="2:13" x14ac:dyDescent="0.25">
      <c r="B51" s="12">
        <v>45068</v>
      </c>
      <c r="C51" s="18">
        <v>67.440002000000007</v>
      </c>
      <c r="D51" s="144">
        <f t="shared" si="0"/>
        <v>6.8677064705418012E-3</v>
      </c>
      <c r="H51" s="103">
        <v>0.08</v>
      </c>
      <c r="I51" s="104">
        <f t="shared" si="7"/>
        <v>-0.11067893470467809</v>
      </c>
      <c r="J51" s="105">
        <v>0.55000000000000004</v>
      </c>
      <c r="K51" s="104">
        <f t="shared" si="8"/>
        <v>6.8170860097667629E-3</v>
      </c>
      <c r="L51" s="105">
        <v>0.92</v>
      </c>
      <c r="M51" s="106">
        <f t="shared" si="9"/>
        <v>0.10431354835959532</v>
      </c>
    </row>
    <row r="52" spans="2:13" x14ac:dyDescent="0.25">
      <c r="B52" s="12">
        <v>45061</v>
      </c>
      <c r="C52" s="18">
        <v>66.980002999999996</v>
      </c>
      <c r="D52" s="144">
        <f t="shared" si="0"/>
        <v>1.6851373150840843E-2</v>
      </c>
      <c r="H52" s="103">
        <v>0.09</v>
      </c>
      <c r="I52" s="104">
        <f t="shared" si="7"/>
        <v>-0.1066536510917804</v>
      </c>
      <c r="J52" s="105">
        <v>0.6</v>
      </c>
      <c r="K52" s="104">
        <f t="shared" si="8"/>
        <v>1.6390823890504429E-2</v>
      </c>
      <c r="L52" s="105">
        <v>0.93</v>
      </c>
      <c r="M52" s="106">
        <f t="shared" si="9"/>
        <v>0.11629829070765663</v>
      </c>
    </row>
    <row r="53" spans="2:13" x14ac:dyDescent="0.25">
      <c r="B53" s="12">
        <v>45054</v>
      </c>
      <c r="C53" s="18">
        <v>65.870002999999997</v>
      </c>
      <c r="D53" s="144">
        <f t="shared" si="0"/>
        <v>4.7217820438224978E-2</v>
      </c>
      <c r="H53" s="103">
        <v>0.1</v>
      </c>
      <c r="I53" s="104">
        <f t="shared" si="7"/>
        <v>-0.10266516583964969</v>
      </c>
      <c r="J53" s="105">
        <v>0.65</v>
      </c>
      <c r="K53" s="104">
        <f t="shared" si="8"/>
        <v>2.1399469123886176E-2</v>
      </c>
      <c r="L53" s="105">
        <v>0.94</v>
      </c>
      <c r="M53" s="106">
        <f t="shared" si="9"/>
        <v>0.1232769590671098</v>
      </c>
    </row>
    <row r="54" spans="2:13" x14ac:dyDescent="0.25">
      <c r="B54" s="12">
        <v>45047</v>
      </c>
      <c r="C54" s="18">
        <v>62.900002000000001</v>
      </c>
      <c r="D54" s="144">
        <f t="shared" si="0"/>
        <v>2.7945792252750401E-2</v>
      </c>
      <c r="H54" s="103">
        <v>0.11</v>
      </c>
      <c r="I54" s="104">
        <f t="shared" si="7"/>
        <v>-9.5489271884685992E-2</v>
      </c>
      <c r="J54" s="105">
        <v>0.7</v>
      </c>
      <c r="K54" s="104">
        <f t="shared" si="8"/>
        <v>3.4440124526657449E-2</v>
      </c>
      <c r="L54" s="105">
        <v>0.95</v>
      </c>
      <c r="M54" s="106">
        <f t="shared" si="9"/>
        <v>0.13329469859725421</v>
      </c>
    </row>
    <row r="55" spans="2:13" x14ac:dyDescent="0.25">
      <c r="B55" s="12">
        <v>45040</v>
      </c>
      <c r="C55" s="18">
        <v>61.189999</v>
      </c>
      <c r="D55" s="144">
        <f t="shared" si="0"/>
        <v>-1.6316201398005603E-3</v>
      </c>
      <c r="H55" s="103">
        <v>0.12</v>
      </c>
      <c r="I55" s="104">
        <f t="shared" si="7"/>
        <v>-8.5997464738954921E-2</v>
      </c>
      <c r="J55" s="105">
        <v>0.75</v>
      </c>
      <c r="K55" s="104">
        <f t="shared" si="8"/>
        <v>4.6566999892132088E-2</v>
      </c>
      <c r="L55" s="105">
        <v>0.96</v>
      </c>
      <c r="M55" s="106">
        <f t="shared" si="9"/>
        <v>0.15099696853030414</v>
      </c>
    </row>
    <row r="56" spans="2:13" x14ac:dyDescent="0.25">
      <c r="B56" s="12">
        <v>45033</v>
      </c>
      <c r="C56" s="18">
        <v>61.290000999999997</v>
      </c>
      <c r="D56" s="144">
        <f t="shared" si="0"/>
        <v>-6.9669473919808933E-3</v>
      </c>
      <c r="H56" s="103">
        <v>0.13</v>
      </c>
      <c r="I56" s="104">
        <f t="shared" si="7"/>
        <v>-8.3352112600622766E-2</v>
      </c>
      <c r="J56" s="105">
        <v>0.8</v>
      </c>
      <c r="K56" s="104">
        <f t="shared" si="8"/>
        <v>5.4631617698853177E-2</v>
      </c>
      <c r="L56" s="105">
        <v>0.97</v>
      </c>
      <c r="M56" s="106">
        <f t="shared" si="9"/>
        <v>0.1934115720286308</v>
      </c>
    </row>
    <row r="57" spans="2:13" x14ac:dyDescent="0.25">
      <c r="B57" s="12">
        <v>45026</v>
      </c>
      <c r="C57" s="18">
        <v>61.720001000000003</v>
      </c>
      <c r="D57" s="144">
        <f t="shared" si="0"/>
        <v>1.713910678971664E-2</v>
      </c>
      <c r="H57" s="103">
        <v>0.14000000000000001</v>
      </c>
      <c r="I57" s="104">
        <f t="shared" si="7"/>
        <v>-8.0687445470364424E-2</v>
      </c>
      <c r="J57" s="105"/>
      <c r="K57" s="104"/>
      <c r="L57" s="105">
        <v>0.98</v>
      </c>
      <c r="M57" s="106">
        <f t="shared" si="9"/>
        <v>0.21098559228053201</v>
      </c>
    </row>
    <row r="58" spans="2:13" ht="15.75" thickBot="1" x14ac:dyDescent="0.3">
      <c r="B58" s="12">
        <v>45019</v>
      </c>
      <c r="C58" s="18">
        <v>60.68</v>
      </c>
      <c r="D58" s="144">
        <f t="shared" si="0"/>
        <v>-4.5311531697427077E-2</v>
      </c>
      <c r="H58" s="107">
        <v>0.15</v>
      </c>
      <c r="I58" s="108">
        <f t="shared" si="7"/>
        <v>-7.5508632968015327E-2</v>
      </c>
      <c r="J58" s="109"/>
      <c r="K58" s="88"/>
      <c r="L58" s="110">
        <v>0.99</v>
      </c>
      <c r="M58" s="111">
        <f t="shared" si="9"/>
        <v>0.23469431156290882</v>
      </c>
    </row>
    <row r="59" spans="2:13" ht="15.75" thickBot="1" x14ac:dyDescent="0.3">
      <c r="B59" s="12">
        <v>45012</v>
      </c>
      <c r="C59" s="18">
        <v>63.560001</v>
      </c>
      <c r="D59" s="144">
        <f t="shared" si="0"/>
        <v>4.7634796361786691E-2</v>
      </c>
    </row>
    <row r="60" spans="2:13" x14ac:dyDescent="0.25">
      <c r="B60" s="12">
        <v>45005</v>
      </c>
      <c r="C60" s="18">
        <v>60.669998</v>
      </c>
      <c r="D60" s="144">
        <f t="shared" si="0"/>
        <v>1.7270271919354041E-2</v>
      </c>
      <c r="H60" s="112" t="s">
        <v>133</v>
      </c>
      <c r="I60" s="113"/>
    </row>
    <row r="61" spans="2:13" ht="15.75" thickBot="1" x14ac:dyDescent="0.3">
      <c r="B61" s="12">
        <v>44998</v>
      </c>
      <c r="C61" s="18">
        <v>59.639999000000003</v>
      </c>
      <c r="D61" s="144">
        <f t="shared" si="0"/>
        <v>0.12042079654330284</v>
      </c>
      <c r="H61" s="114" t="s">
        <v>134</v>
      </c>
      <c r="I61" s="115"/>
    </row>
    <row r="62" spans="2:13" ht="15.75" thickBot="1" x14ac:dyDescent="0.3">
      <c r="B62" s="12">
        <v>44991</v>
      </c>
      <c r="C62" s="18">
        <v>53.23</v>
      </c>
      <c r="D62" s="144">
        <f t="shared" si="0"/>
        <v>-7.1677711893965879E-2</v>
      </c>
      <c r="H62" s="116"/>
    </row>
    <row r="63" spans="2:13" x14ac:dyDescent="0.25">
      <c r="B63" s="12">
        <v>44984</v>
      </c>
      <c r="C63" s="18">
        <v>57.34</v>
      </c>
      <c r="D63" s="144">
        <f t="shared" si="0"/>
        <v>4.0842258123071407E-2</v>
      </c>
      <c r="H63" s="112" t="s">
        <v>135</v>
      </c>
      <c r="I63" s="117"/>
    </row>
    <row r="64" spans="2:13" x14ac:dyDescent="0.25">
      <c r="B64" s="12">
        <v>44977</v>
      </c>
      <c r="C64" s="18">
        <v>55.09</v>
      </c>
      <c r="D64" s="144">
        <f t="shared" si="0"/>
        <v>-0.10872028622034802</v>
      </c>
      <c r="H64" s="118" t="s">
        <v>136</v>
      </c>
      <c r="I64" s="119">
        <f>I63*(1-I60)</f>
        <v>0</v>
      </c>
    </row>
    <row r="65" spans="2:9" ht="15.75" thickBot="1" x14ac:dyDescent="0.3">
      <c r="B65" s="12">
        <v>44970</v>
      </c>
      <c r="C65" s="18">
        <v>61.810001</v>
      </c>
      <c r="D65" s="144">
        <f t="shared" si="0"/>
        <v>7.0859319631681794E-2</v>
      </c>
      <c r="H65" s="114" t="s">
        <v>137</v>
      </c>
      <c r="I65" s="120">
        <f>I63*(1+I61)</f>
        <v>0</v>
      </c>
    </row>
    <row r="66" spans="2:9" x14ac:dyDescent="0.25">
      <c r="B66" s="12">
        <v>44963</v>
      </c>
      <c r="C66" s="18">
        <v>57.720001000000003</v>
      </c>
      <c r="D66" s="144">
        <f t="shared" si="0"/>
        <v>-2.2357723198547896E-2</v>
      </c>
    </row>
    <row r="67" spans="2:9" x14ac:dyDescent="0.25">
      <c r="B67" s="12">
        <v>44956</v>
      </c>
      <c r="C67" s="18">
        <v>59.040000999999997</v>
      </c>
      <c r="D67" s="144">
        <f t="shared" ref="D67:D130" si="10">C67/C68-1</f>
        <v>6.9930068737333873E-3</v>
      </c>
    </row>
    <row r="68" spans="2:9" x14ac:dyDescent="0.25">
      <c r="B68" s="12">
        <v>44949</v>
      </c>
      <c r="C68" s="18">
        <v>58.630001</v>
      </c>
      <c r="D68" s="144">
        <f t="shared" si="10"/>
        <v>1.0513633229920716E-2</v>
      </c>
    </row>
    <row r="69" spans="2:9" x14ac:dyDescent="0.25">
      <c r="B69" s="12">
        <v>44942</v>
      </c>
      <c r="C69" s="18">
        <v>58.02</v>
      </c>
      <c r="D69" s="144">
        <f t="shared" si="10"/>
        <v>0.10852120748949168</v>
      </c>
    </row>
    <row r="70" spans="2:9" x14ac:dyDescent="0.25">
      <c r="B70" s="12">
        <v>44935</v>
      </c>
      <c r="C70" s="18">
        <v>52.34</v>
      </c>
      <c r="D70" s="144">
        <f t="shared" si="10"/>
        <v>9.0416666666666812E-2</v>
      </c>
    </row>
    <row r="71" spans="2:9" x14ac:dyDescent="0.25">
      <c r="B71" s="12">
        <v>44928</v>
      </c>
      <c r="C71" s="18">
        <v>48</v>
      </c>
      <c r="D71" s="144">
        <f t="shared" si="10"/>
        <v>-1.6796394920114754E-2</v>
      </c>
    </row>
    <row r="72" spans="2:9" x14ac:dyDescent="0.25">
      <c r="B72" s="12">
        <v>44921</v>
      </c>
      <c r="C72" s="18">
        <v>48.82</v>
      </c>
      <c r="D72" s="144">
        <f t="shared" si="10"/>
        <v>-3.6890886504061693E-2</v>
      </c>
    </row>
    <row r="73" spans="2:9" x14ac:dyDescent="0.25">
      <c r="B73" s="12">
        <v>44914</v>
      </c>
      <c r="C73" s="18">
        <v>50.689999</v>
      </c>
      <c r="D73" s="144">
        <f t="shared" si="10"/>
        <v>-3.4843888042650484E-2</v>
      </c>
    </row>
    <row r="74" spans="2:9" x14ac:dyDescent="0.25">
      <c r="B74" s="12">
        <v>44907</v>
      </c>
      <c r="C74" s="18">
        <v>52.52</v>
      </c>
      <c r="D74" s="144">
        <f t="shared" si="10"/>
        <v>-4.9755744526868151E-2</v>
      </c>
    </row>
    <row r="75" spans="2:9" x14ac:dyDescent="0.25">
      <c r="B75" s="12">
        <v>44900</v>
      </c>
      <c r="C75" s="18">
        <v>55.27</v>
      </c>
      <c r="D75" s="144">
        <f t="shared" si="10"/>
        <v>1.4495561052647599E-3</v>
      </c>
    </row>
    <row r="76" spans="2:9" x14ac:dyDescent="0.25">
      <c r="B76" s="12">
        <v>44893</v>
      </c>
      <c r="C76" s="18">
        <v>55.189999</v>
      </c>
      <c r="D76" s="144">
        <f t="shared" si="10"/>
        <v>-5.0478095358246211E-3</v>
      </c>
    </row>
    <row r="77" spans="2:9" x14ac:dyDescent="0.25">
      <c r="B77" s="12">
        <v>44886</v>
      </c>
      <c r="C77" s="18">
        <v>55.470001000000003</v>
      </c>
      <c r="D77" s="144">
        <f t="shared" si="10"/>
        <v>-4.837879484682106E-2</v>
      </c>
    </row>
    <row r="78" spans="2:9" x14ac:dyDescent="0.25">
      <c r="B78" s="12">
        <v>44879</v>
      </c>
      <c r="C78" s="18">
        <v>58.290000999999997</v>
      </c>
      <c r="D78" s="144">
        <f t="shared" si="10"/>
        <v>-7.4615031763294759E-2</v>
      </c>
    </row>
    <row r="79" spans="2:9" x14ac:dyDescent="0.25">
      <c r="B79" s="12">
        <v>44872</v>
      </c>
      <c r="C79" s="18">
        <v>62.990001999999997</v>
      </c>
      <c r="D79" s="144">
        <f t="shared" si="10"/>
        <v>0.22144661624975748</v>
      </c>
    </row>
    <row r="80" spans="2:9" x14ac:dyDescent="0.25">
      <c r="B80" s="12">
        <v>44865</v>
      </c>
      <c r="C80" s="18">
        <v>51.57</v>
      </c>
      <c r="D80" s="144">
        <f t="shared" si="10"/>
        <v>9.5835080836483622E-2</v>
      </c>
    </row>
    <row r="81" spans="2:4" x14ac:dyDescent="0.25">
      <c r="B81" s="12">
        <v>44858</v>
      </c>
      <c r="C81" s="18">
        <v>47.060001</v>
      </c>
      <c r="D81" s="144">
        <f t="shared" si="10"/>
        <v>4.0459893875746333E-2</v>
      </c>
    </row>
    <row r="82" spans="2:4" x14ac:dyDescent="0.25">
      <c r="B82" s="12">
        <v>44851</v>
      </c>
      <c r="C82" s="18">
        <v>45.23</v>
      </c>
      <c r="D82" s="144">
        <f t="shared" si="10"/>
        <v>5.0394773562592254E-2</v>
      </c>
    </row>
    <row r="83" spans="2:4" x14ac:dyDescent="0.25">
      <c r="B83" s="12">
        <v>44844</v>
      </c>
      <c r="C83" s="18">
        <v>43.060001</v>
      </c>
      <c r="D83" s="144">
        <f t="shared" si="10"/>
        <v>-0.12816355797051149</v>
      </c>
    </row>
    <row r="84" spans="2:4" x14ac:dyDescent="0.25">
      <c r="B84" s="12">
        <v>44837</v>
      </c>
      <c r="C84" s="18">
        <v>49.389999000000003</v>
      </c>
      <c r="D84" s="144">
        <f t="shared" si="10"/>
        <v>-1.2133872353207176E-3</v>
      </c>
    </row>
    <row r="85" spans="2:4" x14ac:dyDescent="0.25">
      <c r="B85" s="12">
        <v>44830</v>
      </c>
      <c r="C85" s="18">
        <v>49.450001</v>
      </c>
      <c r="D85" s="144">
        <f t="shared" si="10"/>
        <v>-4.9221247807008206E-2</v>
      </c>
    </row>
    <row r="86" spans="2:4" x14ac:dyDescent="0.25">
      <c r="B86" s="12">
        <v>44823</v>
      </c>
      <c r="C86" s="18">
        <v>52.009998000000003</v>
      </c>
      <c r="D86" s="144">
        <f t="shared" si="10"/>
        <v>-0.12041269879227634</v>
      </c>
    </row>
    <row r="87" spans="2:4" x14ac:dyDescent="0.25">
      <c r="B87" s="12">
        <v>44816</v>
      </c>
      <c r="C87" s="18">
        <v>59.130001</v>
      </c>
      <c r="D87" s="144">
        <f t="shared" si="10"/>
        <v>-8.054730463527604E-2</v>
      </c>
    </row>
    <row r="88" spans="2:4" x14ac:dyDescent="0.25">
      <c r="B88" s="12">
        <v>44809</v>
      </c>
      <c r="C88" s="18">
        <v>64.309997999999993</v>
      </c>
      <c r="D88" s="144">
        <f t="shared" si="10"/>
        <v>0.10441349819680568</v>
      </c>
    </row>
    <row r="89" spans="2:4" x14ac:dyDescent="0.25">
      <c r="B89" s="12">
        <v>44802</v>
      </c>
      <c r="C89" s="18">
        <v>58.23</v>
      </c>
      <c r="D89" s="144">
        <f t="shared" si="10"/>
        <v>-5.5627635420045451E-2</v>
      </c>
    </row>
    <row r="90" spans="2:4" x14ac:dyDescent="0.25">
      <c r="B90" s="12">
        <v>44795</v>
      </c>
      <c r="C90" s="18">
        <v>61.66</v>
      </c>
      <c r="D90" s="144">
        <f t="shared" si="10"/>
        <v>-5.1238622903173603E-2</v>
      </c>
    </row>
    <row r="91" spans="2:4" x14ac:dyDescent="0.25">
      <c r="B91" s="12">
        <v>44788</v>
      </c>
      <c r="C91" s="18">
        <v>64.989998</v>
      </c>
      <c r="D91" s="144">
        <f t="shared" si="10"/>
        <v>-0.1600103983452088</v>
      </c>
    </row>
    <row r="92" spans="2:4" x14ac:dyDescent="0.25">
      <c r="B92" s="12">
        <v>44781</v>
      </c>
      <c r="C92" s="18">
        <v>77.370002999999997</v>
      </c>
      <c r="D92" s="144">
        <f t="shared" si="10"/>
        <v>-3.6368140037761454E-2</v>
      </c>
    </row>
    <row r="93" spans="2:4" x14ac:dyDescent="0.25">
      <c r="B93" s="12">
        <v>44774</v>
      </c>
      <c r="C93" s="18">
        <v>80.290001000000004</v>
      </c>
      <c r="D93" s="144">
        <f t="shared" si="10"/>
        <v>0.15111112544802863</v>
      </c>
    </row>
    <row r="94" spans="2:4" x14ac:dyDescent="0.25">
      <c r="B94" s="12">
        <v>44767</v>
      </c>
      <c r="C94" s="18">
        <v>69.75</v>
      </c>
      <c r="D94" s="144">
        <f t="shared" si="10"/>
        <v>-5.0374365570089785E-2</v>
      </c>
    </row>
    <row r="95" spans="2:4" x14ac:dyDescent="0.25">
      <c r="B95" s="12">
        <v>44760</v>
      </c>
      <c r="C95" s="18">
        <v>73.449996999999996</v>
      </c>
      <c r="D95" s="144">
        <f t="shared" si="10"/>
        <v>4.7788860136629419E-2</v>
      </c>
    </row>
    <row r="96" spans="2:4" x14ac:dyDescent="0.25">
      <c r="B96" s="12">
        <v>44753</v>
      </c>
      <c r="C96" s="18">
        <v>70.099997999999999</v>
      </c>
      <c r="D96" s="144">
        <f t="shared" si="10"/>
        <v>-6.4834592647206368E-2</v>
      </c>
    </row>
    <row r="97" spans="2:4" x14ac:dyDescent="0.25">
      <c r="B97" s="12">
        <v>44746</v>
      </c>
      <c r="C97" s="18">
        <v>74.959998999999996</v>
      </c>
      <c r="D97" s="144">
        <f t="shared" si="10"/>
        <v>0.10316412523167595</v>
      </c>
    </row>
    <row r="98" spans="2:4" x14ac:dyDescent="0.25">
      <c r="B98" s="12">
        <v>44739</v>
      </c>
      <c r="C98" s="18">
        <v>67.949996999999996</v>
      </c>
      <c r="D98" s="144">
        <f t="shared" si="10"/>
        <v>-8.3119739804078496E-2</v>
      </c>
    </row>
    <row r="99" spans="2:4" x14ac:dyDescent="0.25">
      <c r="B99" s="12">
        <v>44732</v>
      </c>
      <c r="C99" s="18">
        <v>74.110000999999997</v>
      </c>
      <c r="D99" s="144">
        <f t="shared" si="10"/>
        <v>0.20132926246278582</v>
      </c>
    </row>
    <row r="100" spans="2:4" x14ac:dyDescent="0.25">
      <c r="B100" s="12">
        <v>44725</v>
      </c>
      <c r="C100" s="18">
        <v>61.689999</v>
      </c>
      <c r="D100" s="144">
        <f t="shared" si="10"/>
        <v>-7.8803634609199147E-3</v>
      </c>
    </row>
    <row r="101" spans="2:4" x14ac:dyDescent="0.25">
      <c r="B101" s="12">
        <v>44718</v>
      </c>
      <c r="C101" s="18">
        <v>62.18</v>
      </c>
      <c r="D101" s="144">
        <f t="shared" si="10"/>
        <v>-8.6125821779455936E-2</v>
      </c>
    </row>
    <row r="102" spans="2:4" x14ac:dyDescent="0.25">
      <c r="B102" s="12">
        <v>44711</v>
      </c>
      <c r="C102" s="18">
        <v>68.040001000000004</v>
      </c>
      <c r="D102" s="144">
        <f t="shared" si="10"/>
        <v>-0.12869759911371992</v>
      </c>
    </row>
    <row r="103" spans="2:4" x14ac:dyDescent="0.25">
      <c r="B103" s="12">
        <v>44704</v>
      </c>
      <c r="C103" s="18">
        <v>78.089995999999999</v>
      </c>
      <c r="D103" s="144">
        <f t="shared" si="10"/>
        <v>0.17907281387258878</v>
      </c>
    </row>
    <row r="104" spans="2:4" x14ac:dyDescent="0.25">
      <c r="B104" s="12">
        <v>44697</v>
      </c>
      <c r="C104" s="18">
        <v>66.230002999999996</v>
      </c>
      <c r="D104" s="144">
        <f t="shared" si="10"/>
        <v>-0.10147871525544316</v>
      </c>
    </row>
    <row r="105" spans="2:4" x14ac:dyDescent="0.25">
      <c r="B105" s="12">
        <v>44690</v>
      </c>
      <c r="C105" s="18">
        <v>73.709998999999996</v>
      </c>
      <c r="D105" s="144">
        <f t="shared" si="10"/>
        <v>2.218829535170852E-2</v>
      </c>
    </row>
    <row r="106" spans="2:4" x14ac:dyDescent="0.25">
      <c r="B106" s="12">
        <v>44683</v>
      </c>
      <c r="C106" s="18">
        <v>72.110000999999997</v>
      </c>
      <c r="D106" s="144">
        <f t="shared" si="10"/>
        <v>-0.11445412010315614</v>
      </c>
    </row>
    <row r="107" spans="2:4" x14ac:dyDescent="0.25">
      <c r="B107" s="12">
        <v>44676</v>
      </c>
      <c r="C107" s="18">
        <v>81.430000000000007</v>
      </c>
      <c r="D107" s="144">
        <f t="shared" si="10"/>
        <v>-8.5056179775280794E-2</v>
      </c>
    </row>
    <row r="108" spans="2:4" x14ac:dyDescent="0.25">
      <c r="B108" s="12">
        <v>44669</v>
      </c>
      <c r="C108" s="18">
        <v>89</v>
      </c>
      <c r="D108" s="144">
        <f t="shared" si="10"/>
        <v>-0.18580183305830811</v>
      </c>
    </row>
    <row r="109" spans="2:4" x14ac:dyDescent="0.25">
      <c r="B109" s="12">
        <v>44662</v>
      </c>
      <c r="C109" s="18">
        <v>109.30999799999999</v>
      </c>
      <c r="D109" s="144">
        <f t="shared" si="10"/>
        <v>2.7156550031132154E-2</v>
      </c>
    </row>
    <row r="110" spans="2:4" x14ac:dyDescent="0.25">
      <c r="B110" s="12">
        <v>44655</v>
      </c>
      <c r="C110" s="18">
        <v>106.41999800000001</v>
      </c>
      <c r="D110" s="144">
        <f t="shared" si="10"/>
        <v>-0.11976843474328469</v>
      </c>
    </row>
    <row r="111" spans="2:4" x14ac:dyDescent="0.25">
      <c r="B111" s="12">
        <v>44648</v>
      </c>
      <c r="C111" s="18">
        <v>120.900002</v>
      </c>
      <c r="D111" s="144">
        <f t="shared" si="10"/>
        <v>0.14825720250491781</v>
      </c>
    </row>
    <row r="112" spans="2:4" x14ac:dyDescent="0.25">
      <c r="B112" s="12">
        <v>44641</v>
      </c>
      <c r="C112" s="18">
        <v>105.290001</v>
      </c>
      <c r="D112" s="144">
        <f t="shared" si="10"/>
        <v>-1.8641066095245962E-2</v>
      </c>
    </row>
    <row r="113" spans="2:4" x14ac:dyDescent="0.25">
      <c r="B113" s="12">
        <v>44634</v>
      </c>
      <c r="C113" s="18">
        <v>107.290001</v>
      </c>
      <c r="D113" s="144">
        <f t="shared" si="10"/>
        <v>0.23364378252680496</v>
      </c>
    </row>
    <row r="114" spans="2:4" x14ac:dyDescent="0.25">
      <c r="B114" s="12">
        <v>44627</v>
      </c>
      <c r="C114" s="18">
        <v>86.970000999999996</v>
      </c>
      <c r="D114" s="144">
        <f t="shared" si="10"/>
        <v>-3.2161139192509069E-2</v>
      </c>
    </row>
    <row r="115" spans="2:4" x14ac:dyDescent="0.25">
      <c r="B115" s="12">
        <v>44620</v>
      </c>
      <c r="C115" s="18">
        <v>89.860000999999997</v>
      </c>
      <c r="D115" s="144">
        <f t="shared" si="10"/>
        <v>-0.10444484171595947</v>
      </c>
    </row>
    <row r="116" spans="2:4" x14ac:dyDescent="0.25">
      <c r="B116" s="12">
        <v>44613</v>
      </c>
      <c r="C116" s="18">
        <v>100.339996</v>
      </c>
      <c r="D116" s="144">
        <f t="shared" si="10"/>
        <v>4.2926899936876595E-2</v>
      </c>
    </row>
    <row r="117" spans="2:4" x14ac:dyDescent="0.25">
      <c r="B117" s="12">
        <v>44606</v>
      </c>
      <c r="C117" s="18">
        <v>96.209998999999996</v>
      </c>
      <c r="D117" s="144">
        <f t="shared" si="10"/>
        <v>1.2630217605931637E-2</v>
      </c>
    </row>
    <row r="118" spans="2:4" x14ac:dyDescent="0.25">
      <c r="B118" s="12">
        <v>44599</v>
      </c>
      <c r="C118" s="18">
        <v>95.010002</v>
      </c>
      <c r="D118" s="144">
        <f t="shared" si="10"/>
        <v>-3.5333496503878514E-2</v>
      </c>
    </row>
    <row r="119" spans="2:4" x14ac:dyDescent="0.25">
      <c r="B119" s="12">
        <v>44592</v>
      </c>
      <c r="C119" s="18">
        <v>98.489998</v>
      </c>
      <c r="D119" s="144">
        <f t="shared" si="10"/>
        <v>-4.9966239991631967E-2</v>
      </c>
    </row>
    <row r="120" spans="2:4" x14ac:dyDescent="0.25">
      <c r="B120" s="12">
        <v>44585</v>
      </c>
      <c r="C120" s="18">
        <v>103.66999800000001</v>
      </c>
      <c r="D120" s="144">
        <f t="shared" si="10"/>
        <v>-0.11355279470421864</v>
      </c>
    </row>
    <row r="121" spans="2:4" x14ac:dyDescent="0.25">
      <c r="B121" s="12">
        <v>44578</v>
      </c>
      <c r="C121" s="18">
        <v>116.949997</v>
      </c>
      <c r="D121" s="144">
        <f t="shared" si="10"/>
        <v>-0.11084925196418505</v>
      </c>
    </row>
    <row r="122" spans="2:4" x14ac:dyDescent="0.25">
      <c r="B122" s="12">
        <v>44571</v>
      </c>
      <c r="C122" s="18">
        <v>131.529999</v>
      </c>
      <c r="D122" s="144">
        <f t="shared" si="10"/>
        <v>-5.5946547034201322E-3</v>
      </c>
    </row>
    <row r="123" spans="2:4" x14ac:dyDescent="0.25">
      <c r="B123" s="12">
        <v>44564</v>
      </c>
      <c r="C123" s="18">
        <v>132.270004</v>
      </c>
      <c r="D123" s="144">
        <f t="shared" si="10"/>
        <v>-0.11168563243864194</v>
      </c>
    </row>
    <row r="124" spans="2:4" x14ac:dyDescent="0.25">
      <c r="B124" s="12">
        <v>44557</v>
      </c>
      <c r="C124" s="18">
        <v>148.89999399999999</v>
      </c>
      <c r="D124" s="144">
        <f t="shared" si="10"/>
        <v>-3.1103586788945314E-2</v>
      </c>
    </row>
    <row r="125" spans="2:4" x14ac:dyDescent="0.25">
      <c r="B125" s="12">
        <v>44550</v>
      </c>
      <c r="C125" s="18">
        <v>153.679993</v>
      </c>
      <c r="D125" s="144">
        <f t="shared" si="10"/>
        <v>3.2726262115802207E-2</v>
      </c>
    </row>
    <row r="126" spans="2:4" x14ac:dyDescent="0.25">
      <c r="B126" s="12">
        <v>44543</v>
      </c>
      <c r="C126" s="18">
        <v>148.80999800000001</v>
      </c>
      <c r="D126" s="144">
        <f t="shared" si="10"/>
        <v>-5.816456962025307E-2</v>
      </c>
    </row>
    <row r="127" spans="2:4" x14ac:dyDescent="0.25">
      <c r="B127" s="12">
        <v>44536</v>
      </c>
      <c r="C127" s="18">
        <v>158</v>
      </c>
      <c r="D127" s="144">
        <f t="shared" si="10"/>
        <v>1.8387736169462876E-3</v>
      </c>
    </row>
    <row r="128" spans="2:4" x14ac:dyDescent="0.25">
      <c r="B128" s="12">
        <v>44529</v>
      </c>
      <c r="C128" s="18">
        <v>157.71000699999999</v>
      </c>
      <c r="D128" s="144">
        <f t="shared" si="10"/>
        <v>-0.16075985164708229</v>
      </c>
    </row>
    <row r="129" spans="2:4" x14ac:dyDescent="0.25">
      <c r="B129" s="12">
        <v>44522</v>
      </c>
      <c r="C129" s="18">
        <v>187.91999799999999</v>
      </c>
      <c r="D129" s="144">
        <f t="shared" si="10"/>
        <v>-0.12696865040650407</v>
      </c>
    </row>
    <row r="130" spans="2:4" x14ac:dyDescent="0.25">
      <c r="B130" s="12">
        <v>44515</v>
      </c>
      <c r="C130" s="18">
        <v>215.25</v>
      </c>
      <c r="D130" s="144">
        <f t="shared" si="10"/>
        <v>-0.12489328322603044</v>
      </c>
    </row>
    <row r="131" spans="2:4" x14ac:dyDescent="0.25">
      <c r="B131" s="12">
        <v>44508</v>
      </c>
      <c r="C131" s="18">
        <v>245.970001</v>
      </c>
      <c r="D131" s="144">
        <f t="shared" ref="D131:D179" si="11">C131/C132-1</f>
        <v>0.23802098684390427</v>
      </c>
    </row>
    <row r="132" spans="2:4" x14ac:dyDescent="0.25">
      <c r="B132" s="12">
        <v>44501</v>
      </c>
      <c r="C132" s="18">
        <v>198.679993</v>
      </c>
      <c r="D132" s="144">
        <f t="shared" si="11"/>
        <v>1.9917812834941317E-2</v>
      </c>
    </row>
    <row r="133" spans="2:4" x14ac:dyDescent="0.25">
      <c r="B133" s="12">
        <v>44494</v>
      </c>
      <c r="C133" s="18">
        <v>194.800003</v>
      </c>
      <c r="D133" s="144">
        <f t="shared" si="11"/>
        <v>-8.8995925838320833E-2</v>
      </c>
    </row>
    <row r="134" spans="2:4" x14ac:dyDescent="0.25">
      <c r="B134" s="12">
        <v>44487</v>
      </c>
      <c r="C134" s="18">
        <v>213.83000200000001</v>
      </c>
      <c r="D134" s="144">
        <f t="shared" si="11"/>
        <v>-1.1211519229781253E-3</v>
      </c>
    </row>
    <row r="135" spans="2:4" x14ac:dyDescent="0.25">
      <c r="B135" s="12">
        <v>44480</v>
      </c>
      <c r="C135" s="18">
        <v>214.070007</v>
      </c>
      <c r="D135" s="144">
        <f t="shared" si="11"/>
        <v>4.7206775728468653E-2</v>
      </c>
    </row>
    <row r="136" spans="2:4" x14ac:dyDescent="0.25">
      <c r="B136" s="12">
        <v>44473</v>
      </c>
      <c r="C136" s="18">
        <v>204.41999799999999</v>
      </c>
      <c r="D136" s="144">
        <f t="shared" si="11"/>
        <v>2.107912100889342E-3</v>
      </c>
    </row>
    <row r="137" spans="2:4" x14ac:dyDescent="0.25">
      <c r="B137" s="12">
        <v>44466</v>
      </c>
      <c r="C137" s="18">
        <v>203.990005</v>
      </c>
      <c r="D137" s="144">
        <f t="shared" si="11"/>
        <v>-7.4959181480878323E-2</v>
      </c>
    </row>
    <row r="138" spans="2:4" x14ac:dyDescent="0.25">
      <c r="B138" s="12">
        <v>44459</v>
      </c>
      <c r="C138" s="18">
        <v>220.520004</v>
      </c>
      <c r="D138" s="144">
        <f t="shared" si="11"/>
        <v>-1.0721815787146038E-2</v>
      </c>
    </row>
    <row r="139" spans="2:4" x14ac:dyDescent="0.25">
      <c r="B139" s="12">
        <v>44452</v>
      </c>
      <c r="C139" s="18">
        <v>222.91000399999999</v>
      </c>
      <c r="D139" s="144">
        <f t="shared" si="11"/>
        <v>5.9609304073996006E-2</v>
      </c>
    </row>
    <row r="140" spans="2:4" x14ac:dyDescent="0.25">
      <c r="B140" s="12">
        <v>44445</v>
      </c>
      <c r="C140" s="18">
        <v>210.36999499999999</v>
      </c>
      <c r="D140" s="144">
        <f t="shared" si="11"/>
        <v>8.740818457636057E-2</v>
      </c>
    </row>
    <row r="141" spans="2:4" x14ac:dyDescent="0.25">
      <c r="B141" s="12">
        <v>44438</v>
      </c>
      <c r="C141" s="18">
        <v>193.46000699999999</v>
      </c>
      <c r="D141" s="144">
        <f t="shared" si="11"/>
        <v>2.9371102166956486E-2</v>
      </c>
    </row>
    <row r="142" spans="2:4" x14ac:dyDescent="0.25">
      <c r="B142" s="12">
        <v>44431</v>
      </c>
      <c r="C142" s="18">
        <v>187.94000199999999</v>
      </c>
      <c r="D142" s="144">
        <f t="shared" si="11"/>
        <v>2.0969143622673325E-2</v>
      </c>
    </row>
    <row r="143" spans="2:4" x14ac:dyDescent="0.25">
      <c r="B143" s="12">
        <v>44424</v>
      </c>
      <c r="C143" s="18">
        <v>184.08000200000001</v>
      </c>
      <c r="D143" s="144">
        <f t="shared" si="11"/>
        <v>-5.4982244390757828E-2</v>
      </c>
    </row>
    <row r="144" spans="2:4" x14ac:dyDescent="0.25">
      <c r="B144" s="12">
        <v>44417</v>
      </c>
      <c r="C144" s="18">
        <v>194.78999300000001</v>
      </c>
      <c r="D144" s="144">
        <f t="shared" si="11"/>
        <v>7.2868446495576666E-2</v>
      </c>
    </row>
    <row r="145" spans="2:4" x14ac:dyDescent="0.25">
      <c r="B145" s="12">
        <v>44410</v>
      </c>
      <c r="C145" s="18">
        <v>181.55999800000001</v>
      </c>
      <c r="D145" s="144">
        <f t="shared" si="11"/>
        <v>4.1712119410091342E-2</v>
      </c>
    </row>
    <row r="146" spans="2:4" x14ac:dyDescent="0.25">
      <c r="B146" s="12">
        <v>44403</v>
      </c>
      <c r="C146" s="18">
        <v>174.28999300000001</v>
      </c>
      <c r="D146" s="144">
        <f t="shared" si="11"/>
        <v>-7.5874933959440005E-2</v>
      </c>
    </row>
    <row r="147" spans="2:4" x14ac:dyDescent="0.25">
      <c r="B147" s="12">
        <v>44396</v>
      </c>
      <c r="C147" s="18">
        <v>188.60000600000001</v>
      </c>
      <c r="D147" s="144">
        <f t="shared" si="11"/>
        <v>0.12691207500650048</v>
      </c>
    </row>
    <row r="148" spans="2:4" x14ac:dyDescent="0.25">
      <c r="B148" s="12">
        <v>44389</v>
      </c>
      <c r="C148" s="18">
        <v>167.36000100000001</v>
      </c>
      <c r="D148" s="144">
        <f t="shared" si="11"/>
        <v>-7.1408729321616349E-2</v>
      </c>
    </row>
    <row r="149" spans="2:4" x14ac:dyDescent="0.25">
      <c r="B149" s="12">
        <v>44382</v>
      </c>
      <c r="C149" s="18">
        <v>180.229996</v>
      </c>
      <c r="D149" s="144">
        <f t="shared" si="11"/>
        <v>-1.4652058068950646E-2</v>
      </c>
    </row>
    <row r="150" spans="2:4" x14ac:dyDescent="0.25">
      <c r="B150" s="12">
        <v>44375</v>
      </c>
      <c r="C150" s="18">
        <v>182.91000399999999</v>
      </c>
      <c r="D150" s="144">
        <f t="shared" si="11"/>
        <v>3.5027178389388958E-2</v>
      </c>
    </row>
    <row r="151" spans="2:4" x14ac:dyDescent="0.25">
      <c r="B151" s="12">
        <v>44368</v>
      </c>
      <c r="C151" s="18">
        <v>176.720001</v>
      </c>
      <c r="D151" s="144">
        <f t="shared" si="11"/>
        <v>5.6116649063328028E-2</v>
      </c>
    </row>
    <row r="152" spans="2:4" x14ac:dyDescent="0.25">
      <c r="B152" s="12">
        <v>44361</v>
      </c>
      <c r="C152" s="18">
        <v>167.33000200000001</v>
      </c>
      <c r="D152" s="144">
        <f t="shared" si="11"/>
        <v>8.5430706138279744E-2</v>
      </c>
    </row>
    <row r="153" spans="2:4" x14ac:dyDescent="0.25">
      <c r="B153" s="12">
        <v>44354</v>
      </c>
      <c r="C153" s="18">
        <v>154.16000399999999</v>
      </c>
      <c r="D153" s="144">
        <f t="shared" si="11"/>
        <v>7.2044511709780545E-2</v>
      </c>
    </row>
    <row r="154" spans="2:4" x14ac:dyDescent="0.25">
      <c r="B154" s="12">
        <v>44347</v>
      </c>
      <c r="C154" s="18">
        <v>143.800003</v>
      </c>
      <c r="D154" s="144">
        <f t="shared" si="11"/>
        <v>-4.3119483917483881E-2</v>
      </c>
    </row>
    <row r="155" spans="2:4" x14ac:dyDescent="0.25">
      <c r="B155" s="12">
        <v>44340</v>
      </c>
      <c r="C155" s="18">
        <v>150.279999</v>
      </c>
      <c r="D155" s="144">
        <f t="shared" si="11"/>
        <v>9.238926621556387E-2</v>
      </c>
    </row>
    <row r="156" spans="2:4" x14ac:dyDescent="0.25">
      <c r="B156" s="12">
        <v>44333</v>
      </c>
      <c r="C156" s="18">
        <v>137.570007</v>
      </c>
      <c r="D156" s="144">
        <f t="shared" si="11"/>
        <v>-2.4810376595501227E-2</v>
      </c>
    </row>
    <row r="157" spans="2:4" x14ac:dyDescent="0.25">
      <c r="B157" s="12">
        <v>44326</v>
      </c>
      <c r="C157" s="18">
        <v>141.070007</v>
      </c>
      <c r="D157" s="144">
        <f t="shared" si="11"/>
        <v>0.12955407262033858</v>
      </c>
    </row>
    <row r="158" spans="2:4" x14ac:dyDescent="0.25">
      <c r="B158" s="12">
        <v>44319</v>
      </c>
      <c r="C158" s="18">
        <v>124.889999</v>
      </c>
      <c r="D158" s="144">
        <f t="shared" si="11"/>
        <v>-0.12768037476678595</v>
      </c>
    </row>
    <row r="159" spans="2:4" x14ac:dyDescent="0.25">
      <c r="B159" s="12">
        <v>44312</v>
      </c>
      <c r="C159" s="18">
        <v>143.16999799999999</v>
      </c>
      <c r="D159" s="144">
        <f t="shared" si="11"/>
        <v>-6.2716870703764416E-2</v>
      </c>
    </row>
    <row r="160" spans="2:4" x14ac:dyDescent="0.25">
      <c r="B160" s="12">
        <v>44305</v>
      </c>
      <c r="C160" s="18">
        <v>152.75</v>
      </c>
      <c r="D160" s="144">
        <f t="shared" si="11"/>
        <v>2.1807444584672986E-2</v>
      </c>
    </row>
    <row r="161" spans="2:4" x14ac:dyDescent="0.25">
      <c r="B161" s="12">
        <v>44298</v>
      </c>
      <c r="C161" s="18">
        <v>149.490005</v>
      </c>
      <c r="D161" s="144">
        <f t="shared" si="11"/>
        <v>6.3985800711743757E-2</v>
      </c>
    </row>
    <row r="162" spans="2:4" x14ac:dyDescent="0.25">
      <c r="B162" s="12">
        <v>44291</v>
      </c>
      <c r="C162" s="18">
        <v>140.5</v>
      </c>
      <c r="D162" s="144">
        <f t="shared" si="11"/>
        <v>5.5280164152622602E-2</v>
      </c>
    </row>
    <row r="163" spans="2:4" x14ac:dyDescent="0.25">
      <c r="B163" s="12">
        <v>44284</v>
      </c>
      <c r="C163" s="18">
        <v>133.13999899999999</v>
      </c>
      <c r="D163" s="144">
        <f t="shared" si="11"/>
        <v>-6.4920232255811783E-3</v>
      </c>
    </row>
    <row r="164" spans="2:4" x14ac:dyDescent="0.25">
      <c r="B164" s="12">
        <v>44277</v>
      </c>
      <c r="C164" s="18">
        <v>134.009995</v>
      </c>
      <c r="D164" s="144">
        <f t="shared" si="11"/>
        <v>-7.5539065952300311E-3</v>
      </c>
    </row>
    <row r="165" spans="2:4" x14ac:dyDescent="0.25">
      <c r="B165" s="12">
        <v>44270</v>
      </c>
      <c r="C165" s="18">
        <v>135.029999</v>
      </c>
      <c r="D165" s="144">
        <f t="shared" si="11"/>
        <v>-4.928536259441918E-2</v>
      </c>
    </row>
    <row r="166" spans="2:4" x14ac:dyDescent="0.25">
      <c r="B166" s="12">
        <v>44263</v>
      </c>
      <c r="C166" s="18">
        <v>142.029999</v>
      </c>
      <c r="D166" s="144">
        <f t="shared" si="11"/>
        <v>-6.2384455040519038E-2</v>
      </c>
    </row>
    <row r="167" spans="2:4" x14ac:dyDescent="0.25">
      <c r="B167" s="12">
        <v>44256</v>
      </c>
      <c r="C167" s="18">
        <v>151.479996</v>
      </c>
      <c r="D167" s="144">
        <f t="shared" si="11"/>
        <v>-0.10626000630538657</v>
      </c>
    </row>
    <row r="168" spans="2:4" x14ac:dyDescent="0.25">
      <c r="B168" s="12">
        <v>44249</v>
      </c>
      <c r="C168" s="18">
        <v>169.490005</v>
      </c>
      <c r="D168" s="144">
        <f t="shared" si="11"/>
        <v>-0.17711315154093732</v>
      </c>
    </row>
    <row r="169" spans="2:4" x14ac:dyDescent="0.25">
      <c r="B169" s="12">
        <v>44242</v>
      </c>
      <c r="C169" s="18">
        <v>205.970001</v>
      </c>
      <c r="D169" s="144">
        <f t="shared" si="11"/>
        <v>1.4780509362070759E-2</v>
      </c>
    </row>
    <row r="170" spans="2:4" x14ac:dyDescent="0.25">
      <c r="B170" s="12">
        <v>44235</v>
      </c>
      <c r="C170" s="18">
        <v>202.970001</v>
      </c>
      <c r="D170" s="144">
        <f t="shared" si="11"/>
        <v>0.11995809457502826</v>
      </c>
    </row>
    <row r="171" spans="2:4" x14ac:dyDescent="0.25">
      <c r="B171" s="12">
        <v>44228</v>
      </c>
      <c r="C171" s="18">
        <v>181.229996</v>
      </c>
      <c r="D171" s="144">
        <f t="shared" si="11"/>
        <v>-6.2296309571142738E-2</v>
      </c>
    </row>
    <row r="172" spans="2:4" x14ac:dyDescent="0.25">
      <c r="B172" s="12">
        <v>44221</v>
      </c>
      <c r="C172" s="18">
        <v>193.270004</v>
      </c>
      <c r="D172" s="144">
        <f t="shared" si="11"/>
        <v>6.6146041666665933E-3</v>
      </c>
    </row>
    <row r="173" spans="2:4" x14ac:dyDescent="0.25">
      <c r="B173" s="12">
        <v>44214</v>
      </c>
      <c r="C173" s="18">
        <v>192</v>
      </c>
      <c r="D173" s="144">
        <f t="shared" si="11"/>
        <v>2.5915074301311458E-2</v>
      </c>
    </row>
    <row r="174" spans="2:4" x14ac:dyDescent="0.25">
      <c r="B174" s="12">
        <v>44207</v>
      </c>
      <c r="C174" s="18">
        <v>187.14999399999999</v>
      </c>
      <c r="D174" s="144">
        <f t="shared" si="11"/>
        <v>0.19898775575598049</v>
      </c>
    </row>
    <row r="175" spans="2:4" x14ac:dyDescent="0.25">
      <c r="B175" s="12">
        <v>44200</v>
      </c>
      <c r="C175" s="18">
        <v>156.08999600000001</v>
      </c>
      <c r="D175" s="144">
        <f t="shared" si="11"/>
        <v>9.345005954465857E-2</v>
      </c>
    </row>
    <row r="176" spans="2:4" x14ac:dyDescent="0.25">
      <c r="B176" s="12">
        <v>44193</v>
      </c>
      <c r="C176" s="18">
        <v>142.75</v>
      </c>
      <c r="D176" s="144">
        <f t="shared" si="11"/>
        <v>-9.9141779035766375E-2</v>
      </c>
    </row>
    <row r="177" spans="2:4" x14ac:dyDescent="0.25">
      <c r="B177" s="12">
        <v>44186</v>
      </c>
      <c r="C177" s="18">
        <v>158.46000699999999</v>
      </c>
      <c r="D177" s="144">
        <f t="shared" si="11"/>
        <v>-4.7430109500567252E-2</v>
      </c>
    </row>
    <row r="178" spans="2:4" x14ac:dyDescent="0.25">
      <c r="B178" s="12">
        <v>44179</v>
      </c>
      <c r="C178" s="18">
        <v>166.35000600000001</v>
      </c>
      <c r="D178" s="144">
        <f t="shared" si="11"/>
        <v>-4.942853714285711E-2</v>
      </c>
    </row>
    <row r="179" spans="2:4" x14ac:dyDescent="0.25">
      <c r="B179" s="12">
        <v>44172</v>
      </c>
      <c r="C179" s="18">
        <v>175</v>
      </c>
      <c r="D179" s="144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2024-05-02T01:15:54Z</dcterms:modified>
</cp:coreProperties>
</file>