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409E6E8C-2B7A-493D-8226-5031EF88C714}" xr6:coauthVersionLast="47" xr6:coauthVersionMax="47" xr10:uidLastSave="{00000000-0000-0000-0000-000000000000}"/>
  <bookViews>
    <workbookView xWindow="-120" yWindow="-120" windowWidth="29040" windowHeight="15720" activeTab="1"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Model!$B$5</definedName>
    <definedName name="_xlchart.v1.1" hidden="1">Model!$B$6</definedName>
    <definedName name="_xlchart.v1.2" hidden="1">Model!$J$2:$Y$2</definedName>
    <definedName name="_xlchart.v1.3" hidden="1">Model!$J$5:$Y$5</definedName>
    <definedName name="_xlchart.v1.4" hidden="1">Model!$J$6:$Y$6</definedName>
    <definedName name="_xlchart.v1.5" hidden="1">Model!$B$24</definedName>
    <definedName name="_xlchart.v1.6" hidden="1">Model!$B$25</definedName>
    <definedName name="_xlchart.v1.7" hidden="1">Model!$J$24:$Y$24</definedName>
    <definedName name="_xlchart.v1.8" hidden="1">Model!$J$25:$Y$25</definedName>
    <definedName name="_xlchart.v1.9" hidden="1">Model!$J$2:$Y$2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J4" i="1"/>
  <c r="J5" i="1"/>
  <c r="J6" i="1"/>
  <c r="J7" i="1"/>
  <c r="J8" i="1"/>
  <c r="J9" i="1"/>
  <c r="J11" i="1"/>
  <c r="J12" i="1"/>
  <c r="J3" i="1"/>
  <c r="C35" i="1"/>
  <c r="C34" i="1"/>
  <c r="C33" i="1"/>
  <c r="C31" i="1"/>
  <c r="C30" i="1"/>
  <c r="C29" i="1"/>
  <c r="C25" i="1"/>
  <c r="C24" i="1"/>
  <c r="C21" i="1"/>
  <c r="C20" i="1"/>
  <c r="C17" i="1"/>
  <c r="C16" i="1"/>
  <c r="C15" i="1"/>
  <c r="C13" i="1"/>
  <c r="C10" i="1"/>
  <c r="C27" i="1" s="1"/>
  <c r="C9" i="1"/>
  <c r="Y35" i="2"/>
  <c r="X35" i="2"/>
  <c r="Q21" i="2"/>
  <c r="Q19" i="2"/>
  <c r="Q18" i="2"/>
  <c r="Q16" i="2"/>
  <c r="Q15" i="2"/>
  <c r="Q13" i="2"/>
  <c r="Q12" i="2"/>
  <c r="Q11" i="2"/>
  <c r="Q10" i="2"/>
  <c r="Q9" i="2"/>
  <c r="Q8" i="2"/>
  <c r="Q7" i="2"/>
  <c r="Q4" i="2"/>
  <c r="Q3" i="2"/>
  <c r="O16" i="2"/>
  <c r="Y32" i="2"/>
  <c r="X32" i="2"/>
  <c r="W32" i="2"/>
  <c r="V32" i="2"/>
  <c r="U32" i="2"/>
  <c r="T32" i="2"/>
  <c r="S32" i="2"/>
  <c r="R32" i="2"/>
  <c r="P32" i="2"/>
  <c r="M32" i="2"/>
  <c r="L32" i="2"/>
  <c r="K32" i="2"/>
  <c r="J32" i="2"/>
  <c r="Y31" i="2"/>
  <c r="X31" i="2"/>
  <c r="W31" i="2"/>
  <c r="V31" i="2"/>
  <c r="U31" i="2"/>
  <c r="T31" i="2"/>
  <c r="S31" i="2"/>
  <c r="R31" i="2"/>
  <c r="P31" i="2"/>
  <c r="M31" i="2"/>
  <c r="L31" i="2"/>
  <c r="K31" i="2"/>
  <c r="J31" i="2"/>
  <c r="Y30" i="2"/>
  <c r="X30" i="2"/>
  <c r="W30" i="2"/>
  <c r="V30" i="2"/>
  <c r="U30" i="2"/>
  <c r="T30" i="2"/>
  <c r="S30" i="2"/>
  <c r="R30" i="2"/>
  <c r="P30" i="2"/>
  <c r="M30" i="2"/>
  <c r="L30" i="2"/>
  <c r="K30" i="2"/>
  <c r="J30" i="2"/>
  <c r="Y29" i="2"/>
  <c r="X29" i="2"/>
  <c r="U21" i="2"/>
  <c r="U19" i="2"/>
  <c r="U18" i="2"/>
  <c r="U16" i="2"/>
  <c r="U15" i="2"/>
  <c r="U13" i="2"/>
  <c r="U12" i="2"/>
  <c r="U11" i="2"/>
  <c r="U10" i="2"/>
  <c r="U9" i="2"/>
  <c r="U8" i="2"/>
  <c r="U7" i="2"/>
  <c r="U4" i="2"/>
  <c r="U3" i="2"/>
  <c r="P16" i="2"/>
  <c r="S22" i="2"/>
  <c r="E22" i="2"/>
  <c r="E26" i="2"/>
  <c r="D22" i="2"/>
  <c r="C22" i="2"/>
  <c r="M22" i="2"/>
  <c r="M26" i="2" s="1"/>
  <c r="L22" i="2"/>
  <c r="L26" i="2" s="1"/>
  <c r="K22" i="2"/>
  <c r="K26" i="2" s="1"/>
  <c r="J22" i="2"/>
  <c r="W22" i="2"/>
  <c r="W26" i="2" s="1"/>
  <c r="V22" i="2"/>
  <c r="Y26" i="2"/>
  <c r="X26" i="2"/>
  <c r="J26" i="2"/>
  <c r="W5" i="2"/>
  <c r="Q60" i="2"/>
  <c r="Q59" i="2"/>
  <c r="Q58" i="2"/>
  <c r="Q56" i="2"/>
  <c r="Q55" i="2"/>
  <c r="Q54" i="2"/>
  <c r="Q53" i="2"/>
  <c r="Q52" i="2"/>
  <c r="Q50" i="2"/>
  <c r="Q49" i="2"/>
  <c r="Q48" i="2"/>
  <c r="Q47" i="2"/>
  <c r="Q46" i="2"/>
  <c r="Q45" i="2"/>
  <c r="Q44" i="2"/>
  <c r="Q42" i="2"/>
  <c r="Q41" i="2"/>
  <c r="Q40" i="2"/>
  <c r="Q39" i="2"/>
  <c r="W35" i="2" l="1"/>
  <c r="G35" i="2"/>
  <c r="C16" i="2"/>
  <c r="D16" i="2"/>
  <c r="U60" i="2"/>
  <c r="U59" i="2"/>
  <c r="U58" i="2"/>
  <c r="U56" i="2"/>
  <c r="U55" i="2"/>
  <c r="U54" i="2"/>
  <c r="U53" i="2"/>
  <c r="U52" i="2"/>
  <c r="U50" i="2"/>
  <c r="U49" i="2"/>
  <c r="U48" i="2"/>
  <c r="U47" i="2"/>
  <c r="U46" i="2"/>
  <c r="U45" i="2"/>
  <c r="U44" i="2"/>
  <c r="U42" i="2"/>
  <c r="U41" i="2"/>
  <c r="U40" i="2"/>
  <c r="U39" i="2"/>
  <c r="C7" i="1"/>
  <c r="Y38" i="2"/>
  <c r="X38" i="2"/>
  <c r="W38" i="2"/>
  <c r="V38" i="2"/>
  <c r="T38" i="2"/>
  <c r="S38" i="2"/>
  <c r="R38" i="2"/>
  <c r="Q38" i="2"/>
  <c r="P38" i="2"/>
  <c r="O38" i="2"/>
  <c r="N38" i="2"/>
  <c r="M38" i="2"/>
  <c r="L38" i="2"/>
  <c r="K38" i="2"/>
  <c r="J38" i="2"/>
  <c r="C38" i="2"/>
  <c r="G38" i="2"/>
  <c r="F38" i="2"/>
  <c r="D38" i="2"/>
  <c r="E38" i="2"/>
  <c r="Y57" i="2"/>
  <c r="Y61" i="2" s="1"/>
  <c r="X57" i="2"/>
  <c r="X61" i="2" s="1"/>
  <c r="W57" i="2"/>
  <c r="W61" i="2" s="1"/>
  <c r="V57" i="2"/>
  <c r="V61" i="2" s="1"/>
  <c r="Y43" i="2"/>
  <c r="Y51" i="2" s="1"/>
  <c r="X43" i="2"/>
  <c r="X51" i="2" s="1"/>
  <c r="W43" i="2"/>
  <c r="W51" i="2" s="1"/>
  <c r="V43" i="2"/>
  <c r="V51" i="2" s="1"/>
  <c r="Y5" i="2"/>
  <c r="X5" i="2"/>
  <c r="V5" i="2"/>
  <c r="U5" i="2"/>
  <c r="K5" i="2"/>
  <c r="L5" i="2"/>
  <c r="M5" i="2"/>
  <c r="N5" i="2"/>
  <c r="O5" i="2"/>
  <c r="P5" i="2"/>
  <c r="Q5" i="2"/>
  <c r="R5" i="2"/>
  <c r="S5" i="2"/>
  <c r="T5" i="2"/>
  <c r="J5"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F14" i="2"/>
  <c r="F17" i="2" s="1"/>
  <c r="G14" i="2"/>
  <c r="G17" i="2" s="1"/>
  <c r="Q32" i="2" l="1"/>
  <c r="Q30" i="2"/>
  <c r="Q31" i="2"/>
  <c r="N14" i="2"/>
  <c r="N17" i="2" s="1"/>
  <c r="N20" i="2" s="1"/>
  <c r="N32" i="2"/>
  <c r="N31" i="2"/>
  <c r="N30" i="2"/>
  <c r="O31" i="2"/>
  <c r="O32" i="2"/>
  <c r="O30" i="2"/>
  <c r="U57" i="2"/>
  <c r="U38" i="2"/>
  <c r="U43" i="2"/>
  <c r="U51" i="2" s="1"/>
  <c r="U61" i="2"/>
  <c r="U62" i="2" s="1"/>
  <c r="J14" i="2"/>
  <c r="X62" i="2"/>
  <c r="Q14" i="2"/>
  <c r="X27" i="2"/>
  <c r="Y62" i="2"/>
  <c r="R14" i="2"/>
  <c r="P14" i="2"/>
  <c r="O14" i="2"/>
  <c r="M14" i="2"/>
  <c r="U27" i="2"/>
  <c r="S14" i="2"/>
  <c r="K14" i="2"/>
  <c r="W27" i="2"/>
  <c r="Y27" i="2"/>
  <c r="W62" i="2"/>
  <c r="V62" i="2"/>
  <c r="U29" i="2"/>
  <c r="U14" i="2"/>
  <c r="W29" i="2"/>
  <c r="V14" i="2"/>
  <c r="V29" i="2"/>
  <c r="W14" i="2"/>
  <c r="X14" i="2"/>
  <c r="V27" i="2"/>
  <c r="Y14" i="2"/>
  <c r="T14" i="2"/>
  <c r="L14" i="2"/>
  <c r="C23" i="1"/>
  <c r="C8" i="1"/>
  <c r="I31" i="5"/>
  <c r="I30" i="5"/>
  <c r="I29" i="5"/>
  <c r="I28" i="5"/>
  <c r="I26" i="5"/>
  <c r="I25" i="5"/>
  <c r="I24" i="5"/>
  <c r="I23" i="5"/>
  <c r="I22" i="5"/>
  <c r="I21" i="5"/>
  <c r="I20" i="5"/>
  <c r="I19" i="5"/>
  <c r="I65" i="5"/>
  <c r="I64" i="5"/>
  <c r="N24" i="2" l="1"/>
  <c r="N22" i="2"/>
  <c r="N26" i="2" s="1"/>
  <c r="O17" i="2"/>
  <c r="O20" i="2" s="1"/>
  <c r="L17" i="2"/>
  <c r="L20" i="2" s="1"/>
  <c r="T17" i="2"/>
  <c r="T20" i="2" s="1"/>
  <c r="K17" i="2"/>
  <c r="K20" i="2" s="1"/>
  <c r="R17" i="2"/>
  <c r="R20" i="2" s="1"/>
  <c r="R22" i="2" s="1"/>
  <c r="W17" i="2"/>
  <c r="W20" i="2" s="1"/>
  <c r="P17" i="2"/>
  <c r="P20" i="2" s="1"/>
  <c r="J17" i="2"/>
  <c r="J20" i="2" s="1"/>
  <c r="J24" i="2" s="1"/>
  <c r="U17" i="2"/>
  <c r="U20" i="2" s="1"/>
  <c r="U22" i="2" s="1"/>
  <c r="U26" i="2" s="1"/>
  <c r="S17" i="2"/>
  <c r="S20" i="2" s="1"/>
  <c r="V17" i="2"/>
  <c r="V20" i="2" s="1"/>
  <c r="M17" i="2"/>
  <c r="M20" i="2" s="1"/>
  <c r="Q17" i="2"/>
  <c r="Q20" i="2" s="1"/>
  <c r="Y17" i="2"/>
  <c r="Y20" i="2" s="1"/>
  <c r="X17" i="2"/>
  <c r="X20"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D5" i="2"/>
  <c r="E5" i="2"/>
  <c r="J27" i="2"/>
  <c r="K27" i="2"/>
  <c r="L27" i="2"/>
  <c r="M27" i="2"/>
  <c r="N27" i="2"/>
  <c r="O27" i="2"/>
  <c r="P27" i="2"/>
  <c r="Q27" i="2"/>
  <c r="R27" i="2"/>
  <c r="S27" i="2"/>
  <c r="T27" i="2"/>
  <c r="N29" i="2"/>
  <c r="O29" i="2"/>
  <c r="P29" i="2"/>
  <c r="Q29" i="2"/>
  <c r="R29" i="2"/>
  <c r="S29" i="2"/>
  <c r="T29" i="2"/>
  <c r="J43" i="2"/>
  <c r="J51" i="2" s="1"/>
  <c r="K43" i="2"/>
  <c r="K51" i="2" s="1"/>
  <c r="L43" i="2"/>
  <c r="L51" i="2" s="1"/>
  <c r="M43" i="2"/>
  <c r="M51" i="2" s="1"/>
  <c r="N43" i="2"/>
  <c r="N51" i="2" s="1"/>
  <c r="O43" i="2"/>
  <c r="O51" i="2" s="1"/>
  <c r="P43" i="2"/>
  <c r="P51" i="2" s="1"/>
  <c r="Q43" i="2"/>
  <c r="Q51" i="2" s="1"/>
  <c r="R43" i="2"/>
  <c r="R51" i="2" s="1"/>
  <c r="S43" i="2"/>
  <c r="S51" i="2" s="1"/>
  <c r="T43" i="2"/>
  <c r="T51" i="2" s="1"/>
  <c r="J57" i="2"/>
  <c r="J61" i="2" s="1"/>
  <c r="K57" i="2"/>
  <c r="K61" i="2" s="1"/>
  <c r="L57" i="2"/>
  <c r="L61" i="2" s="1"/>
  <c r="M57" i="2"/>
  <c r="M61" i="2" s="1"/>
  <c r="N57" i="2"/>
  <c r="N61" i="2" s="1"/>
  <c r="O57" i="2"/>
  <c r="O61" i="2" s="1"/>
  <c r="P57" i="2"/>
  <c r="P61" i="2" s="1"/>
  <c r="Q57" i="2"/>
  <c r="Q61" i="2" s="1"/>
  <c r="R57" i="2"/>
  <c r="R61" i="2" s="1"/>
  <c r="S57" i="2"/>
  <c r="S61" i="2" s="1"/>
  <c r="T57" i="2"/>
  <c r="T61" i="2" s="1"/>
  <c r="C43" i="2"/>
  <c r="C51" i="2" s="1"/>
  <c r="G28" i="2"/>
  <c r="F28" i="2"/>
  <c r="G29" i="2"/>
  <c r="D34" i="2"/>
  <c r="E34" i="2"/>
  <c r="D33" i="2"/>
  <c r="E33" i="2"/>
  <c r="O24" i="2" l="1"/>
  <c r="O22" i="2"/>
  <c r="O26" i="2" s="1"/>
  <c r="Q24" i="2"/>
  <c r="Q22" i="2"/>
  <c r="Q26" i="2" s="1"/>
  <c r="P24" i="2"/>
  <c r="P22" i="2"/>
  <c r="P26" i="2" s="1"/>
  <c r="T24" i="2"/>
  <c r="T22" i="2"/>
  <c r="T26" i="2" s="1"/>
  <c r="R24" i="2"/>
  <c r="V26" i="2"/>
  <c r="S24" i="2"/>
  <c r="S26" i="2"/>
  <c r="Y28" i="2"/>
  <c r="Y24" i="2"/>
  <c r="W24" i="2"/>
  <c r="W28" i="2"/>
  <c r="U24" i="2"/>
  <c r="U28" i="2"/>
  <c r="X28" i="2"/>
  <c r="X24" i="2"/>
  <c r="M24" i="2"/>
  <c r="M28" i="2"/>
  <c r="K24" i="2"/>
  <c r="K28" i="2"/>
  <c r="V24" i="2"/>
  <c r="V28" i="2"/>
  <c r="L24" i="2"/>
  <c r="L28" i="2"/>
  <c r="E14" i="2"/>
  <c r="E32" i="2"/>
  <c r="E31" i="2"/>
  <c r="E30" i="2"/>
  <c r="D14" i="2"/>
  <c r="D32" i="2"/>
  <c r="D30" i="2"/>
  <c r="D31" i="2"/>
  <c r="C14" i="2"/>
  <c r="C32" i="2"/>
  <c r="C30" i="2"/>
  <c r="C31" i="2"/>
  <c r="N62" i="2"/>
  <c r="K62" i="2"/>
  <c r="S62" i="2"/>
  <c r="P62" i="2"/>
  <c r="M62" i="2"/>
  <c r="R62" i="2"/>
  <c r="J62" i="2"/>
  <c r="Q62" i="2"/>
  <c r="O62" i="2"/>
  <c r="T62" i="2"/>
  <c r="L62" i="2"/>
  <c r="K11" i="5"/>
  <c r="J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8" i="2"/>
  <c r="N28" i="2"/>
  <c r="Q28" i="2"/>
  <c r="T28" i="2"/>
  <c r="S28" i="2"/>
  <c r="P35" i="2"/>
  <c r="P28" i="2"/>
  <c r="O35" i="2"/>
  <c r="O28" i="2"/>
  <c r="F29" i="2"/>
  <c r="D27" i="2"/>
  <c r="C27" i="2"/>
  <c r="E27" i="2"/>
  <c r="E29" i="2"/>
  <c r="E57" i="2"/>
  <c r="E61" i="2" s="1"/>
  <c r="E43" i="2"/>
  <c r="E51" i="2" s="1"/>
  <c r="D29" i="2"/>
  <c r="C57" i="2"/>
  <c r="D43" i="2"/>
  <c r="D51" i="2" s="1"/>
  <c r="S35" i="2" l="1"/>
  <c r="Q35" i="2"/>
  <c r="U35" i="2"/>
  <c r="T35" i="2"/>
  <c r="R26" i="2"/>
  <c r="E17" i="2"/>
  <c r="E20" i="2" s="1"/>
  <c r="C17" i="2"/>
  <c r="C20" i="2" s="1"/>
  <c r="C26" i="2" s="1"/>
  <c r="D17" i="2"/>
  <c r="D20" i="2" s="1"/>
  <c r="D26" i="2" s="1"/>
  <c r="E62" i="2"/>
  <c r="N35" i="2"/>
  <c r="C14" i="1"/>
  <c r="C19" i="1"/>
  <c r="M5" i="5"/>
  <c r="M6" i="5" s="1"/>
  <c r="M7" i="5" s="1"/>
  <c r="M8" i="5" s="1"/>
  <c r="M9" i="5" s="1"/>
  <c r="M10" i="5" s="1"/>
  <c r="M11" i="5" s="1"/>
  <c r="M12" i="5" s="1"/>
  <c r="M13" i="5" s="1"/>
  <c r="M14" i="5" s="1"/>
  <c r="M15" i="5" s="1"/>
  <c r="D57" i="2"/>
  <c r="D61" i="2" s="1"/>
  <c r="D62" i="2" s="1"/>
  <c r="C61" i="2"/>
  <c r="C62" i="2" s="1"/>
  <c r="R35" i="2" l="1"/>
  <c r="V35" i="2"/>
  <c r="F35" i="2"/>
  <c r="E35" i="2"/>
  <c r="C18" i="1"/>
  <c r="C24" i="2"/>
  <c r="E24" i="2"/>
  <c r="E28" i="2"/>
  <c r="C28" i="2" l="1"/>
  <c r="D35" i="2"/>
  <c r="D24" i="2"/>
  <c r="D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<sst xmlns="http://schemas.openxmlformats.org/spreadsheetml/2006/main" count="262" uniqueCount="217">
  <si>
    <t>Price</t>
  </si>
  <si>
    <t>Shares</t>
  </si>
  <si>
    <t>MC</t>
  </si>
  <si>
    <t>CASH</t>
  </si>
  <si>
    <t>DEBT</t>
  </si>
  <si>
    <t>EV</t>
  </si>
  <si>
    <t>Q222</t>
  </si>
  <si>
    <t>Q322</t>
  </si>
  <si>
    <t>Q422</t>
  </si>
  <si>
    <t>Q123</t>
  </si>
  <si>
    <t>Q221</t>
  </si>
  <si>
    <t>Q321</t>
  </si>
  <si>
    <t>Q421</t>
  </si>
  <si>
    <t>Q122</t>
  </si>
  <si>
    <t>FY21</t>
  </si>
  <si>
    <t>FY22</t>
  </si>
  <si>
    <t>FY23</t>
  </si>
  <si>
    <t>Revenue</t>
  </si>
  <si>
    <t>EBITDA</t>
  </si>
  <si>
    <t>Income Tax</t>
  </si>
  <si>
    <t>Net Income</t>
  </si>
  <si>
    <t>EPS</t>
  </si>
  <si>
    <t>Operational Income</t>
  </si>
  <si>
    <t>D&amp;A</t>
  </si>
  <si>
    <t>Cash</t>
  </si>
  <si>
    <t>AR</t>
  </si>
  <si>
    <t>Other</t>
  </si>
  <si>
    <t>Goodwill</t>
  </si>
  <si>
    <t>Total Assets</t>
  </si>
  <si>
    <t>Total Liablities</t>
  </si>
  <si>
    <t>AP</t>
  </si>
  <si>
    <t>Gross Margin</t>
  </si>
  <si>
    <t>Net Margin</t>
  </si>
  <si>
    <t>Revenue y/y</t>
  </si>
  <si>
    <t>FY24</t>
  </si>
  <si>
    <t>Q121</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</si>
  <si>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</si>
  <si>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</si>
  <si>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</si>
  <si>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</si>
  <si>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</si>
  <si>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</si>
  <si>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</si>
  <si>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</si>
  <si>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</si>
  <si>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</si>
  <si>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</si>
  <si>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</si>
  <si>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</si>
  <si>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</si>
  <si>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</si>
  <si>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</si>
  <si>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</si>
  <si>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</si>
  <si>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</si>
  <si>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</si>
  <si>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</si>
  <si>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</si>
  <si>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</si>
  <si>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</si>
  <si>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</si>
  <si>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</si>
  <si>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</si>
  <si>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</si>
  <si>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Rev. Exp.</t>
  </si>
  <si>
    <t>Sales &amp; Marketing / REV</t>
  </si>
  <si>
    <t>Q224</t>
  </si>
  <si>
    <t>Interest Collect (exp)</t>
  </si>
  <si>
    <t>FY25</t>
  </si>
  <si>
    <t>PEG1</t>
  </si>
  <si>
    <t>PEG2</t>
  </si>
  <si>
    <t>EBIT</t>
  </si>
  <si>
    <t>EV/EBITDA</t>
  </si>
  <si>
    <t>R&amp;D</t>
  </si>
  <si>
    <t>Notes</t>
  </si>
  <si>
    <t>Prepaid Expense</t>
  </si>
  <si>
    <t>PP&amp;E</t>
  </si>
  <si>
    <t>Equity</t>
  </si>
  <si>
    <t>Rights of use</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</si>
  <si>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</si>
  <si>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</si>
  <si>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</si>
  <si>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</si>
  <si>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</si>
  <si>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</si>
  <si>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</si>
  <si>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</si>
  <si>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</si>
  <si>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</si>
  <si>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</si>
  <si>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</si>
  <si>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</si>
  <si>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</si>
  <si>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</si>
  <si>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</si>
  <si>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</si>
  <si>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</si>
  <si>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</si>
  <si>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</si>
  <si>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</si>
  <si>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</si>
  <si>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</si>
  <si>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</si>
  <si>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</si>
  <si>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</si>
  <si>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</si>
  <si>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</si>
  <si>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</si>
  <si>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</si>
  <si>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</si>
  <si>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</si>
  <si>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</si>
  <si>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</si>
  <si>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</si>
  <si>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</si>
  <si>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</si>
  <si>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</si>
  <si>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</si>
  <si>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</si>
  <si>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</si>
  <si>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</si>
  <si>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</si>
  <si>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</si>
  <si>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</si>
  <si>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</si>
  <si>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</si>
  <si>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</si>
  <si>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</si>
  <si>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</si>
  <si>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</si>
  <si>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</si>
  <si>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</si>
  <si>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</si>
  <si>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</si>
  <si>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</si>
  <si>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Net Income before Tax</t>
  </si>
  <si>
    <t>Q324</t>
  </si>
  <si>
    <t>Q424</t>
  </si>
  <si>
    <t>Other current</t>
  </si>
  <si>
    <t>Dev Cost</t>
  </si>
  <si>
    <t>Intangible Assets</t>
  </si>
  <si>
    <t>Deferred Tax</t>
  </si>
  <si>
    <t>Accrued Expense</t>
  </si>
  <si>
    <t>Aquisition related</t>
  </si>
  <si>
    <t>Deferred revenue</t>
  </si>
  <si>
    <t>Long-term borrowings</t>
  </si>
  <si>
    <t>US</t>
  </si>
  <si>
    <t>International</t>
  </si>
  <si>
    <t>S&amp;M</t>
  </si>
  <si>
    <t>Restructuring</t>
  </si>
  <si>
    <t>US y/y</t>
  </si>
  <si>
    <t>International y/y</t>
  </si>
  <si>
    <t>Other expense</t>
  </si>
  <si>
    <t>Currency adj</t>
  </si>
  <si>
    <t>SBC</t>
  </si>
  <si>
    <t>Non GAAP Net Income</t>
  </si>
  <si>
    <t>NON GAAP EPS</t>
  </si>
  <si>
    <t>EPS exp. (non gaap)</t>
  </si>
  <si>
    <t>NON GAAP EPS Growth</t>
  </si>
  <si>
    <t>Mr. David A. Steinberg</t>
  </si>
  <si>
    <t>Co-Founder, Chairman of the Board &amp; CEO</t>
  </si>
  <si>
    <t>--</t>
  </si>
  <si>
    <t>Dr. John Sculley III, Ph.D.</t>
  </si>
  <si>
    <t>Co-Founder &amp; Independent Vice Chairman of the Board</t>
  </si>
  <si>
    <t>Mr. Steven H. Gerber</t>
  </si>
  <si>
    <t>President &amp; COO</t>
  </si>
  <si>
    <t>Mr. Christopher E. Greiner</t>
  </si>
  <si>
    <t>Chief Financial Officer</t>
  </si>
  <si>
    <t>Mr. Satish Ravella</t>
  </si>
  <si>
    <t>Principal Accounting Officer</t>
  </si>
  <si>
    <t>Mr. Christian Monberg</t>
  </si>
  <si>
    <t>CTO &amp; Head of Product</t>
  </si>
  <si>
    <t>Dr. Jeffry Nimeroff</t>
  </si>
  <si>
    <t>Chief Information Officer</t>
  </si>
  <si>
    <t>Mr. Scott Schmitz</t>
  </si>
  <si>
    <t>Senior Vice President of Investor Relations</t>
  </si>
  <si>
    <t>Mr. Steven Vine</t>
  </si>
  <si>
    <t>Executive VP of Mergers &amp; Acquisitions and General Counsel</t>
  </si>
  <si>
    <t>Ms. Megan Rose</t>
  </si>
  <si>
    <t>Head of Marketing Communications and GVP of Marketing &amp; Communications</t>
  </si>
  <si>
    <t>Zeta Global Holdings Corp. operates an omnichannel data-driven cloud platform that provides enterprises with consumer intelligence and marketing automation software in the United States and internationally. The company's Zeta Marketing Platform analyzes billions of structured and unstructured data points to predict consumer intent by leveraging sophisticated machine learning algorithms and the industry's opted-in data set for omnichannel marketing; and Consumer Data platform ingests, analyzes, and distills disparate data points to generate a single view of a consumer, encompassing identity, profile characteristics, behaviors, and purchase intent. It also offers various types of product suites, such as agile intelligence suite, which synthesizes Zeta's data and data generated by its customers to uncover consumer insights that are translated into marketing programs; and CDP, which helps in consolidating multiple databases and internal and external data feeds and organize data based on needs and performance metrics. Zeta Global Holdings Corp. was incorporated in 2007 and is headquartered in New York, New York.</t>
  </si>
  <si>
    <t>Vanguard Group Inc</t>
  </si>
  <si>
    <t>9.87%</t>
  </si>
  <si>
    <t>Blackrock Inc.</t>
  </si>
  <si>
    <t>7.38%</t>
  </si>
  <si>
    <t>GPI Capital, LP</t>
  </si>
  <si>
    <t>5.31%</t>
  </si>
  <si>
    <t>Granahan Investment Management LLC</t>
  </si>
  <si>
    <t>2.96%</t>
  </si>
  <si>
    <t>State Street Corporation</t>
  </si>
  <si>
    <t>1.94%</t>
  </si>
  <si>
    <t>Geode Capital Management, LLC</t>
  </si>
  <si>
    <t>1.86%</t>
  </si>
  <si>
    <t>Price (T.Rowe) Associates Inc</t>
  </si>
  <si>
    <t>1.71%</t>
  </si>
  <si>
    <t>Lord, Abbett &amp; Co. LLC</t>
  </si>
  <si>
    <t>1.60%</t>
  </si>
  <si>
    <t>ClearBridge Investments, LLC</t>
  </si>
  <si>
    <t>1.56%</t>
  </si>
  <si>
    <t>Praesidium Investment Management Company LLC</t>
  </si>
  <si>
    <t>1.39%</t>
  </si>
  <si>
    <t>ELZIE JENEDirector</t>
  </si>
  <si>
    <t>Stock Award(Grant)</t>
  </si>
  <si>
    <t>Jul 1, 2024</t>
  </si>
  <si>
    <t>GERBER STEVEN HPresident</t>
  </si>
  <si>
    <t>Stock Gift</t>
  </si>
  <si>
    <t>Aug 9, 2024</t>
  </si>
  <si>
    <t>GREINER CHRISTOPHER EChief Financial Officer</t>
  </si>
  <si>
    <t>1,451,160</t>
  </si>
  <si>
    <t>KHAN IMRANDirector</t>
  </si>
  <si>
    <t>LANDMAN WILLIAM ADirector</t>
  </si>
  <si>
    <t>NIEHAUS ROBERT HDirector</t>
  </si>
  <si>
    <t>RAVELLA SATISHOfficer</t>
  </si>
  <si>
    <t>SCULLEY JOHNDirector</t>
  </si>
  <si>
    <t>2,162,890</t>
  </si>
  <si>
    <t>SILBERBLATT JEANINEDirector</t>
  </si>
  <si>
    <t>STEINBERG DAVID A.Chief Executive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</si>
</sst>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11"/>
      <color rgb="FF232A3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4" xfId="0" applyNumberFormat="1" applyFont="1" applyFill="1" applyBorder="1"/>
    <xf numFmtId="166" fontId="12" fillId="10" borderId="13" xfId="0" applyNumberFormat="1" applyFont="1" applyFill="1" applyBorder="1"/>
    <xf numFmtId="0" fontId="0" fillId="10" borderId="35" xfId="0" applyFill="1" applyBorder="1"/>
    <xf numFmtId="166" fontId="12" fillId="10" borderId="36" xfId="0" applyNumberFormat="1" applyFont="1" applyFill="1" applyBorder="1"/>
    <xf numFmtId="166" fontId="12" fillId="10" borderId="37"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8" xfId="0" applyNumberFormat="1" applyFont="1" applyFill="1" applyBorder="1"/>
    <xf numFmtId="9" fontId="14" fillId="10" borderId="39" xfId="0" applyNumberFormat="1" applyFont="1" applyFill="1" applyBorder="1"/>
    <xf numFmtId="10" fontId="0" fillId="10" borderId="41" xfId="0" applyNumberFormat="1" applyFill="1" applyBorder="1" applyAlignment="1">
      <alignment horizontal="centerContinuous"/>
    </xf>
    <xf numFmtId="9" fontId="14" fillId="10" borderId="42" xfId="0" applyNumberFormat="1" applyFont="1" applyFill="1" applyBorder="1"/>
    <xf numFmtId="10" fontId="0" fillId="10" borderId="40" xfId="0" applyNumberFormat="1" applyFill="1" applyBorder="1" applyAlignment="1">
      <alignment horizontal="centerContinuous"/>
    </xf>
    <xf numFmtId="9" fontId="14" fillId="10" borderId="34"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5" xfId="0" applyNumberFormat="1" applyFill="1" applyBorder="1" applyAlignment="1">
      <alignment horizontal="centerContinuous"/>
    </xf>
    <xf numFmtId="0" fontId="12" fillId="10" borderId="43" xfId="0" applyFont="1" applyFill="1" applyBorder="1"/>
    <xf numFmtId="9" fontId="14" fillId="10" borderId="43"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0" borderId="31" xfId="0" applyNumberFormat="1" applyFont="1" applyFill="1" applyBorder="1"/>
    <xf numFmtId="2" fontId="12" fillId="10" borderId="31" xfId="0" applyNumberFormat="1" applyFont="1" applyFill="1" applyBorder="1"/>
    <xf numFmtId="3" fontId="5" fillId="0" borderId="2" xfId="0" applyNumberFormat="1" applyFont="1" applyBorder="1"/>
    <xf numFmtId="2" fontId="5" fillId="0" borderId="2" xfId="0" applyNumberFormat="1" applyFont="1" applyBorder="1"/>
    <xf numFmtId="1" fontId="0" fillId="0" borderId="0" xfId="0" applyNumberFormat="1"/>
    <xf numFmtId="1" fontId="0" fillId="0" borderId="2" xfId="0" applyNumberFormat="1" applyBorder="1"/>
    <xf numFmtId="9" fontId="0" fillId="11" borderId="0" xfId="0" applyNumberFormat="1" applyFill="1"/>
    <xf numFmtId="9" fontId="0" fillId="11" borderId="2" xfId="0" applyNumberFormat="1" applyFill="1" applyBorder="1"/>
    <xf numFmtId="9" fontId="0" fillId="3" borderId="0" xfId="0" applyNumberFormat="1" applyFill="1"/>
    <xf numFmtId="0" fontId="15" fillId="12" borderId="0" xfId="0" applyFont="1" applyFill="1" applyAlignment="1">
      <alignment horizontal="right" vertical="center"/>
    </xf>
    <xf numFmtId="0" fontId="4" fillId="12" borderId="0" xfId="2" applyFill="1" applyAlignment="1">
      <alignment horizontal="left" vertical="center"/>
    </xf>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44"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Model!$J$5:$V$5</c:f>
              <c:numCache>
                <c:formatCode>#,##0</c:formatCode>
                <c:ptCount val="13"/>
                <c:pt idx="0">
                  <c:v>0</c:v>
                </c:pt>
                <c:pt idx="1">
                  <c:v>0</c:v>
                </c:pt>
                <c:pt idx="2">
                  <c:v>0</c:v>
                </c:pt>
                <c:pt idx="3">
                  <c:v>0</c:v>
                </c:pt>
                <c:pt idx="4">
                  <c:v>126.268</c:v>
                </c:pt>
                <c:pt idx="5">
                  <c:v>137.30100000000002</c:v>
                </c:pt>
                <c:pt idx="6">
                  <c:v>152.25200000000001</c:v>
                </c:pt>
                <c:pt idx="7">
                  <c:v>175.13999999999996</c:v>
                </c:pt>
                <c:pt idx="8">
                  <c:v>157.602</c:v>
                </c:pt>
                <c:pt idx="9">
                  <c:v>171.81699999999998</c:v>
                </c:pt>
                <c:pt idx="10">
                  <c:v>188.98399999999998</c:v>
                </c:pt>
                <c:pt idx="11">
                  <c:v>210.31999999999996</c:v>
                </c:pt>
                <c:pt idx="12">
                  <c:v>194.947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Model!$J$29:$Y$29</c:f>
              <c:numCache>
                <c:formatCode>0%</c:formatCode>
                <c:ptCount val="16"/>
                <c:pt idx="4">
                  <c:v>0</c:v>
                </c:pt>
                <c:pt idx="5">
                  <c:v>0</c:v>
                </c:pt>
                <c:pt idx="6">
                  <c:v>0</c:v>
                </c:pt>
                <c:pt idx="7">
                  <c:v>0</c:v>
                </c:pt>
                <c:pt idx="8">
                  <c:v>0.24815471853517912</c:v>
                </c:pt>
                <c:pt idx="9">
                  <c:v>0.2513892833992466</c:v>
                </c:pt>
                <c:pt idx="10">
                  <c:v>0.2412579145101541</c:v>
                </c:pt>
                <c:pt idx="11">
                  <c:v>0.20086787712686993</c:v>
                </c:pt>
                <c:pt idx="12">
                  <c:v>0.23695765282166459</c:v>
                </c:pt>
                <c:pt idx="13">
                  <c:v>0.32605621096864712</c:v>
                </c:pt>
                <c:pt idx="14">
                  <c:v>0.30910553274351282</c:v>
                </c:pt>
                <c:pt idx="15">
                  <c:v>0.25908139977177647</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1FCB-48F6-A71C-1DD765A3A244}"/>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3-1FCB-48F6-A71C-1DD765A3A244}"/>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Model!$C$5:$G$5</c:f>
              <c:numCache>
                <c:formatCode>#,##0</c:formatCode>
                <c:ptCount val="5"/>
                <c:pt idx="0">
                  <c:v>458.33799999999997</c:v>
                </c:pt>
                <c:pt idx="1">
                  <c:v>590.96100000000001</c:v>
                </c:pt>
                <c:pt idx="2">
                  <c:v>728.72299999999996</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Model!$C$29:$G$29</c:f>
              <c:numCache>
                <c:formatCode>0%</c:formatCode>
                <c:ptCount val="5"/>
                <c:pt idx="1">
                  <c:v>0.2893563265537662</c:v>
                </c:pt>
                <c:pt idx="2">
                  <c:v>0.23311521403273638</c:v>
                </c:pt>
                <c:pt idx="3">
                  <c:v>0.28247633188468058</c:v>
                </c:pt>
                <c:pt idx="4">
                  <c:v>0.16631177974897549</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Model!$J$24:$Y$24</c:f>
              <c:numCache>
                <c:formatCode>0.00</c:formatCode>
                <c:ptCount val="16"/>
                <c:pt idx="0">
                  <c:v>0</c:v>
                </c:pt>
                <c:pt idx="1">
                  <c:v>0</c:v>
                </c:pt>
                <c:pt idx="2">
                  <c:v>0</c:v>
                </c:pt>
                <c:pt idx="3">
                  <c:v>0</c:v>
                </c:pt>
                <c:pt idx="4">
                  <c:v>-0.53906969537009752</c:v>
                </c:pt>
                <c:pt idx="5">
                  <c:v>-0.63583308379369374</c:v>
                </c:pt>
                <c:pt idx="6">
                  <c:v>-0.49940919296430347</c:v>
                </c:pt>
                <c:pt idx="7">
                  <c:v>-0.34673103448275933</c:v>
                </c:pt>
                <c:pt idx="8">
                  <c:v>-0.37860429852637029</c:v>
                </c:pt>
                <c:pt idx="9">
                  <c:v>-0.33701061128372922</c:v>
                </c:pt>
                <c:pt idx="10">
                  <c:v>-0.27523825780275618</c:v>
                </c:pt>
                <c:pt idx="11">
                  <c:v>-0.21625925925925957</c:v>
                </c:pt>
                <c:pt idx="12">
                  <c:v>-0.23135544536440047</c:v>
                </c:pt>
                <c:pt idx="13">
                  <c:v>-0.15750245974259039</c:v>
                </c:pt>
                <c:pt idx="14">
                  <c:v>0</c:v>
                </c:pt>
                <c:pt idx="15">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Model!$J$35:$Y$35</c:f>
              <c:numCache>
                <c:formatCode>0%</c:formatCode>
                <c:ptCount val="16"/>
                <c:pt idx="4">
                  <c:v>0</c:v>
                </c:pt>
                <c:pt idx="5">
                  <c:v>0</c:v>
                </c:pt>
                <c:pt idx="6">
                  <c:v>0</c:v>
                </c:pt>
                <c:pt idx="7">
                  <c:v>0</c:v>
                </c:pt>
                <c:pt idx="8">
                  <c:v>0.13936517187503417</c:v>
                </c:pt>
                <c:pt idx="9">
                  <c:v>0.13291102220310091</c:v>
                </c:pt>
                <c:pt idx="10">
                  <c:v>0.38673620076558857</c:v>
                </c:pt>
                <c:pt idx="11">
                  <c:v>0.19209373307734157</c:v>
                </c:pt>
                <c:pt idx="12">
                  <c:v>0.13208857526124196</c:v>
                </c:pt>
                <c:pt idx="13">
                  <c:v>0.69521031335278138</c:v>
                </c:pt>
                <c:pt idx="14">
                  <c:v>-0.12082049178718557</c:v>
                </c:pt>
                <c:pt idx="15">
                  <c:v>-0.19161676646706505</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Model!$C$24:$G$24</c:f>
              <c:numCache>
                <c:formatCode>0.00</c:formatCode>
                <c:ptCount val="5"/>
                <c:pt idx="0">
                  <c:v>-2.8715139596562111</c:v>
                </c:pt>
                <c:pt idx="1">
                  <c:v>-2.008723730533593</c:v>
                </c:pt>
                <c:pt idx="2">
                  <c:v>-1.1962298675864949</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Model!$C$35:$G$35</c:f>
              <c:numCache>
                <c:formatCode>0%</c:formatCode>
                <c:ptCount val="5"/>
                <c:pt idx="1">
                  <c:v>0.11840065377543274</c:v>
                </c:pt>
                <c:pt idx="2">
                  <c:v>0.21046827980722593</c:v>
                </c:pt>
                <c:pt idx="3">
                  <c:v>-0.22629338311345071</c:v>
                </c:pt>
                <c:pt idx="4">
                  <c:v>0.2807017543859649</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Model!$J$30:$Y$30</c:f>
              <c:numCache>
                <c:formatCode>0%</c:formatCode>
                <c:ptCount val="16"/>
                <c:pt idx="0">
                  <c:v>0</c:v>
                </c:pt>
                <c:pt idx="1">
                  <c:v>0</c:v>
                </c:pt>
                <c:pt idx="2">
                  <c:v>0</c:v>
                </c:pt>
                <c:pt idx="3">
                  <c:v>0</c:v>
                </c:pt>
                <c:pt idx="4">
                  <c:v>0.5458073304400165</c:v>
                </c:pt>
                <c:pt idx="5">
                  <c:v>0.56182402167500589</c:v>
                </c:pt>
                <c:pt idx="6">
                  <c:v>0.50565509812678977</c:v>
                </c:pt>
                <c:pt idx="7">
                  <c:v>0.43504624871531367</c:v>
                </c:pt>
                <c:pt idx="8">
                  <c:v>0.46033045265923023</c:v>
                </c:pt>
                <c:pt idx="9">
                  <c:v>0.42193729374858135</c:v>
                </c:pt>
                <c:pt idx="10">
                  <c:v>0.3739417093510562</c:v>
                </c:pt>
                <c:pt idx="11">
                  <c:v>0.34579212628375816</c:v>
                </c:pt>
                <c:pt idx="12">
                  <c:v>0.36633033593745995</c:v>
                </c:pt>
                <c:pt idx="13">
                  <c:v>0.33183081035292467</c:v>
                </c:pt>
                <c:pt idx="14">
                  <c:v>0</c:v>
                </c:pt>
                <c:pt idx="15">
                  <c:v>0</c:v>
                </c:pt>
              </c:numCache>
            </c:numRef>
          </c:val>
          <c:smooth val="0"/>
          <c:extLst>
            <c:ext xmlns:c16="http://schemas.microsoft.com/office/drawing/2014/chart" uri="{C3380CC4-5D6E-409C-BE32-E72D297353CC}">
              <c16:uniqueId val="{00000001-35FE-4BEB-944F-3D772460C6A2}"/>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Model!$J$31:$Y$31</c:f>
              <c:numCache>
                <c:formatCode>0%</c:formatCode>
                <c:ptCount val="16"/>
                <c:pt idx="0">
                  <c:v>0</c:v>
                </c:pt>
                <c:pt idx="1">
                  <c:v>0</c:v>
                </c:pt>
                <c:pt idx="2">
                  <c:v>0</c:v>
                </c:pt>
                <c:pt idx="3">
                  <c:v>0</c:v>
                </c:pt>
                <c:pt idx="4">
                  <c:v>0.13646371210441285</c:v>
                </c:pt>
                <c:pt idx="5">
                  <c:v>0.13137559085512851</c:v>
                </c:pt>
                <c:pt idx="6">
                  <c:v>0.11135485904947061</c:v>
                </c:pt>
                <c:pt idx="7">
                  <c:v>9.8384149822998701E-2</c:v>
                </c:pt>
                <c:pt idx="8">
                  <c:v>0.11750485399931472</c:v>
                </c:pt>
                <c:pt idx="9">
                  <c:v>0.10093878952606554</c:v>
                </c:pt>
                <c:pt idx="10">
                  <c:v>9.5574228506116937E-2</c:v>
                </c:pt>
                <c:pt idx="11">
                  <c:v>9.483168505135034E-2</c:v>
                </c:pt>
                <c:pt idx="12">
                  <c:v>0.10252017214935341</c:v>
                </c:pt>
                <c:pt idx="13">
                  <c:v>0.10364336219874561</c:v>
                </c:pt>
                <c:pt idx="14">
                  <c:v>0</c:v>
                </c:pt>
                <c:pt idx="15">
                  <c:v>0</c:v>
                </c:pt>
              </c:numCache>
            </c:numRef>
          </c:val>
          <c:smooth val="0"/>
          <c:extLst>
            <c:ext xmlns:c16="http://schemas.microsoft.com/office/drawing/2014/chart" uri="{C3380CC4-5D6E-409C-BE32-E72D297353CC}">
              <c16:uniqueId val="{00000000-1CAA-4791-8C2B-1B9112E1C867}"/>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Model!$J$32:$Y$32</c:f>
              <c:numCache>
                <c:formatCode>0%</c:formatCode>
                <c:ptCount val="16"/>
                <c:pt idx="0">
                  <c:v>0</c:v>
                </c:pt>
                <c:pt idx="1">
                  <c:v>0</c:v>
                </c:pt>
                <c:pt idx="2">
                  <c:v>0</c:v>
                </c:pt>
                <c:pt idx="3">
                  <c:v>0</c:v>
                </c:pt>
                <c:pt idx="4">
                  <c:v>0.42250609814046314</c:v>
                </c:pt>
                <c:pt idx="5">
                  <c:v>0.40542312146306286</c:v>
                </c:pt>
                <c:pt idx="6">
                  <c:v>0.3519428316212595</c:v>
                </c:pt>
                <c:pt idx="7">
                  <c:v>0.29129268014160115</c:v>
                </c:pt>
                <c:pt idx="8">
                  <c:v>0.33375845484194361</c:v>
                </c:pt>
                <c:pt idx="9">
                  <c:v>0.29516869692754505</c:v>
                </c:pt>
                <c:pt idx="10">
                  <c:v>0.26830842822672823</c:v>
                </c:pt>
                <c:pt idx="11">
                  <c:v>0.24437523773297845</c:v>
                </c:pt>
                <c:pt idx="12">
                  <c:v>0.2503552247533945</c:v>
                </c:pt>
                <c:pt idx="13">
                  <c:v>0.22454013579764659</c:v>
                </c:pt>
                <c:pt idx="14">
                  <c:v>0</c:v>
                </c:pt>
                <c:pt idx="15">
                  <c:v>0</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Model!$C$30:$G$30</c:f>
              <c:numCache>
                <c:formatCode>0%</c:formatCode>
                <c:ptCount val="5"/>
                <c:pt idx="0">
                  <c:v>0.50037963249828732</c:v>
                </c:pt>
                <c:pt idx="1">
                  <c:v>0.50635828760273516</c:v>
                </c:pt>
                <c:pt idx="2">
                  <c:v>0.3958170662926791</c:v>
                </c:pt>
              </c:numCache>
            </c:numRef>
          </c:val>
          <c:smooth val="0"/>
          <c:extLst>
            <c:ext xmlns:c16="http://schemas.microsoft.com/office/drawing/2014/chart" uri="{C3380CC4-5D6E-409C-BE32-E72D297353CC}">
              <c16:uniqueId val="{00000000-E79C-46D7-BBD0-0EABFCB1E143}"/>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Model!$C$31:$G$31</c:f>
              <c:numCache>
                <c:formatCode>0%</c:formatCode>
                <c:ptCount val="5"/>
                <c:pt idx="0">
                  <c:v>0.1406691131872112</c:v>
                </c:pt>
                <c:pt idx="1">
                  <c:v>0.11752721414780332</c:v>
                </c:pt>
                <c:pt idx="2">
                  <c:v>0.10136773506531289</c:v>
                </c:pt>
              </c:numCache>
            </c:numRef>
          </c:val>
          <c:smooth val="0"/>
          <c:extLst>
            <c:ext xmlns:c16="http://schemas.microsoft.com/office/drawing/2014/chart" uri="{C3380CC4-5D6E-409C-BE32-E72D297353CC}">
              <c16:uniqueId val="{00000001-E79C-46D7-BBD0-0EABFCB1E143}"/>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Model!$C$32:$G$32</c:f>
              <c:numCache>
                <c:formatCode>0%</c:formatCode>
                <c:ptCount val="5"/>
                <c:pt idx="0">
                  <c:v>0.4136816061509192</c:v>
                </c:pt>
                <c:pt idx="1">
                  <c:v>0.36147055389441946</c:v>
                </c:pt>
                <c:pt idx="2">
                  <c:v>0.28188900309170978</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 (non gaap)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nce.yahoo.com/screener/insider/SCULLEY%20JOHN" TargetMode="External"/><Relationship Id="rId3" Type="http://schemas.openxmlformats.org/officeDocument/2006/relationships/hyperlink" Target="https://finance.yahoo.com/screener/insider/GREINER%20CHRISTOPHER%20E" TargetMode="External"/><Relationship Id="rId7" Type="http://schemas.openxmlformats.org/officeDocument/2006/relationships/hyperlink" Target="https://finance.yahoo.com/screener/insider/RAVELLA%20SATISH" TargetMode="External"/><Relationship Id="rId12" Type="http://schemas.openxmlformats.org/officeDocument/2006/relationships/comments" Target="../comments1.xml"/><Relationship Id="rId2" Type="http://schemas.openxmlformats.org/officeDocument/2006/relationships/hyperlink" Target="https://finance.yahoo.com/screener/insider/GERBER%20STEVEN%20H" TargetMode="External"/><Relationship Id="rId1" Type="http://schemas.openxmlformats.org/officeDocument/2006/relationships/hyperlink" Target="https://finance.yahoo.com/screener/insider/ELZIE%20JENE" TargetMode="External"/><Relationship Id="rId6" Type="http://schemas.openxmlformats.org/officeDocument/2006/relationships/hyperlink" Target="https://finance.yahoo.com/screener/insider/NIEHAUS%20ROBERT%20H" TargetMode="External"/><Relationship Id="rId11" Type="http://schemas.openxmlformats.org/officeDocument/2006/relationships/vmlDrawing" Target="../drawings/vmlDrawing1.vml"/><Relationship Id="rId5" Type="http://schemas.openxmlformats.org/officeDocument/2006/relationships/hyperlink" Target="https://finance.yahoo.com/screener/insider/LANDMAN%20WILLIAM%20A" TargetMode="External"/><Relationship Id="rId10" Type="http://schemas.openxmlformats.org/officeDocument/2006/relationships/hyperlink" Target="https://finance.yahoo.com/screener/insider/STEINBERG%20DAVID%20A." TargetMode="External"/><Relationship Id="rId4" Type="http://schemas.openxmlformats.org/officeDocument/2006/relationships/hyperlink" Target="https://finance.yahoo.com/screener/insider/KHAN%20IMRAN" TargetMode="External"/><Relationship Id="rId9" Type="http://schemas.openxmlformats.org/officeDocument/2006/relationships/hyperlink" Target="https://finance.yahoo.com/screener/insider/SILBERBLATT%20JEAN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3"/>
  <sheetViews>
    <sheetView workbookViewId="0">
      <selection activeCell="H17" sqref="H17"/>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49</v>
      </c>
      <c r="F2" s="60" t="s">
        <v>50</v>
      </c>
      <c r="G2" s="25"/>
      <c r="H2" s="26" t="s">
        <v>57</v>
      </c>
      <c r="I2" s="26" t="s">
        <v>1</v>
      </c>
      <c r="J2" s="27" t="s">
        <v>50</v>
      </c>
      <c r="L2" s="30" t="s">
        <v>43</v>
      </c>
      <c r="M2" s="31" t="s">
        <v>59</v>
      </c>
      <c r="N2" s="32" t="s">
        <v>58</v>
      </c>
    </row>
    <row r="3" spans="2:14" x14ac:dyDescent="0.25">
      <c r="B3" s="5" t="s">
        <v>42</v>
      </c>
      <c r="C3" s="20">
        <v>45561</v>
      </c>
      <c r="E3" s="5" t="s">
        <v>181</v>
      </c>
      <c r="F3" s="28" t="s">
        <v>182</v>
      </c>
      <c r="H3" t="s">
        <v>201</v>
      </c>
      <c r="I3" s="10">
        <v>63.508000000000003</v>
      </c>
      <c r="J3" s="38">
        <f>I3/($C$7*1000)</f>
        <v>4.0529094475573257E-4</v>
      </c>
      <c r="L3" s="5" t="s">
        <v>159</v>
      </c>
      <c r="M3" t="s">
        <v>160</v>
      </c>
      <c r="N3" s="37"/>
    </row>
    <row r="4" spans="2:14" x14ac:dyDescent="0.25">
      <c r="B4" s="5"/>
      <c r="C4" s="21">
        <v>0.49791666666666667</v>
      </c>
      <c r="E4" s="5" t="s">
        <v>183</v>
      </c>
      <c r="F4" s="28" t="s">
        <v>184</v>
      </c>
      <c r="H4" t="s">
        <v>204</v>
      </c>
      <c r="I4" s="10">
        <v>0</v>
      </c>
      <c r="J4" s="38">
        <f t="shared" ref="J4:J12" si="0">I4/($C$7*1000)</f>
        <v>0</v>
      </c>
      <c r="L4" s="5" t="s">
        <v>162</v>
      </c>
      <c r="M4" t="s">
        <v>163</v>
      </c>
      <c r="N4" s="13"/>
    </row>
    <row r="5" spans="2:14" x14ac:dyDescent="0.25">
      <c r="B5" s="5"/>
      <c r="C5" s="13"/>
      <c r="E5" s="5" t="s">
        <v>185</v>
      </c>
      <c r="F5" s="28" t="s">
        <v>186</v>
      </c>
      <c r="H5" t="s">
        <v>207</v>
      </c>
      <c r="I5" s="10">
        <v>1451.16</v>
      </c>
      <c r="J5" s="38">
        <f t="shared" si="0"/>
        <v>9.2609121274757327E-3</v>
      </c>
      <c r="L5" s="5" t="s">
        <v>164</v>
      </c>
      <c r="M5" t="s">
        <v>165</v>
      </c>
      <c r="N5" s="13"/>
    </row>
    <row r="6" spans="2:14" x14ac:dyDescent="0.25">
      <c r="B6" s="5" t="s">
        <v>0</v>
      </c>
      <c r="C6" s="13">
        <v>31.38</v>
      </c>
      <c r="E6" s="5" t="s">
        <v>187</v>
      </c>
      <c r="F6" s="28" t="s">
        <v>188</v>
      </c>
      <c r="H6" t="s">
        <v>209</v>
      </c>
      <c r="I6" s="10">
        <v>21.241</v>
      </c>
      <c r="J6" s="38">
        <f t="shared" si="0"/>
        <v>1.3555433894244054E-4</v>
      </c>
      <c r="L6" s="5" t="s">
        <v>166</v>
      </c>
      <c r="M6" t="s">
        <v>167</v>
      </c>
      <c r="N6" s="13"/>
    </row>
    <row r="7" spans="2:14" x14ac:dyDescent="0.25">
      <c r="B7" s="5" t="s">
        <v>1</v>
      </c>
      <c r="C7" s="15">
        <f>Model!E23</f>
        <v>156.69730799999999</v>
      </c>
      <c r="E7" s="5" t="s">
        <v>189</v>
      </c>
      <c r="F7" s="28" t="s">
        <v>190</v>
      </c>
      <c r="H7" t="s">
        <v>210</v>
      </c>
      <c r="I7" s="10">
        <v>921.92100000000005</v>
      </c>
      <c r="J7" s="38">
        <f t="shared" si="0"/>
        <v>5.8834514247047571E-3</v>
      </c>
      <c r="L7" s="5" t="s">
        <v>168</v>
      </c>
      <c r="M7" t="s">
        <v>169</v>
      </c>
      <c r="N7" s="13"/>
    </row>
    <row r="8" spans="2:14" x14ac:dyDescent="0.25">
      <c r="B8" s="5" t="s">
        <v>2</v>
      </c>
      <c r="C8" s="15">
        <f>C6*C7</f>
        <v>4917.16152504</v>
      </c>
      <c r="E8" s="5" t="s">
        <v>191</v>
      </c>
      <c r="F8" s="28" t="s">
        <v>192</v>
      </c>
      <c r="H8" t="s">
        <v>211</v>
      </c>
      <c r="I8" s="10">
        <v>60.933</v>
      </c>
      <c r="J8" s="38">
        <f t="shared" si="0"/>
        <v>3.8885798854949063E-4</v>
      </c>
      <c r="L8" s="5" t="s">
        <v>170</v>
      </c>
      <c r="M8" t="s">
        <v>171</v>
      </c>
      <c r="N8" s="13"/>
    </row>
    <row r="9" spans="2:14" x14ac:dyDescent="0.25">
      <c r="B9" s="5" t="s">
        <v>3</v>
      </c>
      <c r="C9" s="15">
        <f>Model!W39</f>
        <v>154.70400000000001</v>
      </c>
      <c r="E9" s="5" t="s">
        <v>193</v>
      </c>
      <c r="F9" s="28" t="s">
        <v>194</v>
      </c>
      <c r="H9" t="s">
        <v>212</v>
      </c>
      <c r="I9" s="10">
        <v>168.178</v>
      </c>
      <c r="J9" s="38">
        <f t="shared" si="0"/>
        <v>1.0732666830498454E-3</v>
      </c>
      <c r="L9" s="5" t="s">
        <v>172</v>
      </c>
      <c r="M9" t="s">
        <v>173</v>
      </c>
      <c r="N9" s="13"/>
    </row>
    <row r="10" spans="2:14" x14ac:dyDescent="0.25">
      <c r="B10" s="5" t="s">
        <v>4</v>
      </c>
      <c r="C10" s="15">
        <f>Model!W58</f>
        <v>184.351</v>
      </c>
      <c r="E10" s="5" t="s">
        <v>195</v>
      </c>
      <c r="F10" s="28" t="s">
        <v>196</v>
      </c>
      <c r="H10" t="s">
        <v>213</v>
      </c>
      <c r="I10" s="10">
        <v>2162.89</v>
      </c>
      <c r="J10" s="38">
        <f>I10/($C$7*1000)</f>
        <v>1.3802981222880996E-2</v>
      </c>
      <c r="L10" s="5" t="s">
        <v>174</v>
      </c>
      <c r="M10" t="s">
        <v>175</v>
      </c>
      <c r="N10" s="13"/>
    </row>
    <row r="11" spans="2:14" x14ac:dyDescent="0.25">
      <c r="B11" s="5" t="s">
        <v>37</v>
      </c>
      <c r="C11" s="15">
        <f>C9-C10</f>
        <v>-29.646999999999991</v>
      </c>
      <c r="E11" s="5" t="s">
        <v>197</v>
      </c>
      <c r="F11" s="28" t="s">
        <v>198</v>
      </c>
      <c r="H11" t="s">
        <v>215</v>
      </c>
      <c r="I11" s="10">
        <v>60.933</v>
      </c>
      <c r="J11" s="38">
        <f t="shared" si="0"/>
        <v>3.8885798854949063E-4</v>
      </c>
      <c r="L11" s="5" t="s">
        <v>176</v>
      </c>
      <c r="M11" t="s">
        <v>177</v>
      </c>
      <c r="N11" s="13"/>
    </row>
    <row r="12" spans="2:14" x14ac:dyDescent="0.25">
      <c r="B12" s="5" t="s">
        <v>5</v>
      </c>
      <c r="C12" s="15">
        <f>C8-C9+C10</f>
        <v>4946.8085250399999</v>
      </c>
      <c r="E12" s="5" t="s">
        <v>199</v>
      </c>
      <c r="F12" s="28" t="s">
        <v>200</v>
      </c>
      <c r="H12" t="s">
        <v>216</v>
      </c>
      <c r="I12" s="10">
        <v>0</v>
      </c>
      <c r="J12" s="38">
        <f t="shared" si="0"/>
        <v>0</v>
      </c>
      <c r="L12" s="5" t="s">
        <v>178</v>
      </c>
      <c r="M12" t="s">
        <v>179</v>
      </c>
      <c r="N12" s="13"/>
    </row>
    <row r="13" spans="2:14" x14ac:dyDescent="0.25">
      <c r="B13" s="5" t="s">
        <v>48</v>
      </c>
      <c r="C13" s="36">
        <f>C6/Model!E24</f>
        <v>-26.232416402803977</v>
      </c>
      <c r="E13" s="5"/>
      <c r="J13" s="13"/>
      <c r="L13" s="5"/>
      <c r="N13" s="13"/>
    </row>
    <row r="14" spans="2:14" x14ac:dyDescent="0.25">
      <c r="B14" s="5" t="s">
        <v>46</v>
      </c>
      <c r="C14" s="36">
        <f>C6/Model!E14</f>
        <v>-0.18713659540209301</v>
      </c>
      <c r="E14" s="22"/>
      <c r="F14" s="29"/>
      <c r="G14" s="29"/>
      <c r="H14" s="29"/>
      <c r="I14" s="29"/>
      <c r="J14" s="23"/>
      <c r="L14" s="22"/>
      <c r="M14" s="29"/>
      <c r="N14" s="23"/>
    </row>
    <row r="15" spans="2:14" x14ac:dyDescent="0.25">
      <c r="B15" s="5" t="s">
        <v>47</v>
      </c>
      <c r="C15" s="36">
        <f>C6/Model!F25</f>
        <v>55.05263157894737</v>
      </c>
    </row>
    <row r="16" spans="2:14" x14ac:dyDescent="0.25">
      <c r="B16" s="5" t="s">
        <v>44</v>
      </c>
      <c r="C16" s="6">
        <f>Model!F25/Model!E24-1</f>
        <v>-1.4764970474696706</v>
      </c>
    </row>
    <row r="17" spans="2:14" x14ac:dyDescent="0.25">
      <c r="B17" s="5" t="s">
        <v>45</v>
      </c>
      <c r="C17" s="6">
        <f>Model!G25/Model!F25-1</f>
        <v>0.2807017543859649</v>
      </c>
      <c r="E17" s="33" t="s">
        <v>55</v>
      </c>
      <c r="L17" s="133" t="s">
        <v>180</v>
      </c>
      <c r="M17" s="134"/>
      <c r="N17" s="135"/>
    </row>
    <row r="18" spans="2:14" x14ac:dyDescent="0.25">
      <c r="B18" s="5" t="s">
        <v>69</v>
      </c>
      <c r="C18" s="50">
        <f>C14/(C16*100)</f>
        <v>1.2674362994683679E-3</v>
      </c>
      <c r="L18" s="136"/>
      <c r="M18" s="137"/>
      <c r="N18" s="138"/>
    </row>
    <row r="19" spans="2:14" x14ac:dyDescent="0.25">
      <c r="B19" s="5" t="s">
        <v>70</v>
      </c>
      <c r="C19" s="50">
        <f>C15/(C17*100)</f>
        <v>1.9612500000000002</v>
      </c>
      <c r="L19" s="136"/>
      <c r="M19" s="137"/>
      <c r="N19" s="138"/>
    </row>
    <row r="20" spans="2:14" x14ac:dyDescent="0.25">
      <c r="B20" s="5" t="s">
        <v>80</v>
      </c>
      <c r="C20" s="6">
        <f>Model!F6/Model!E5-1</f>
        <v>0.28247633188468058</v>
      </c>
      <c r="L20" s="136"/>
      <c r="M20" s="137"/>
      <c r="N20" s="138"/>
    </row>
    <row r="21" spans="2:14" x14ac:dyDescent="0.25">
      <c r="B21" s="5" t="s">
        <v>81</v>
      </c>
      <c r="C21" s="6">
        <f>Model!G6/Model!F6-1</f>
        <v>0.16631177974897549</v>
      </c>
      <c r="L21" s="136"/>
      <c r="M21" s="137"/>
      <c r="N21" s="138"/>
    </row>
    <row r="22" spans="2:14" x14ac:dyDescent="0.25">
      <c r="B22" s="5" t="s">
        <v>71</v>
      </c>
      <c r="C22" s="15"/>
      <c r="L22" s="136"/>
      <c r="M22" s="137"/>
      <c r="N22" s="138"/>
    </row>
    <row r="23" spans="2:14" x14ac:dyDescent="0.25">
      <c r="B23" s="5" t="s">
        <v>18</v>
      </c>
      <c r="C23" s="15">
        <f>Model!D8</f>
        <v>213.61500000000001</v>
      </c>
      <c r="L23" s="136"/>
      <c r="M23" s="137"/>
      <c r="N23" s="138"/>
    </row>
    <row r="24" spans="2:14" x14ac:dyDescent="0.25">
      <c r="B24" s="5" t="s">
        <v>31</v>
      </c>
      <c r="C24" s="7">
        <f>Model!E27</f>
        <v>0.62333836039208301</v>
      </c>
      <c r="L24" s="136"/>
      <c r="M24" s="137"/>
      <c r="N24" s="138"/>
    </row>
    <row r="25" spans="2:14" x14ac:dyDescent="0.25">
      <c r="B25" s="5" t="s">
        <v>32</v>
      </c>
      <c r="C25" s="7">
        <f>Model!E28</f>
        <v>-0.25722531057754483</v>
      </c>
      <c r="L25" s="136"/>
      <c r="M25" s="137"/>
      <c r="N25" s="138"/>
    </row>
    <row r="26" spans="2:14" x14ac:dyDescent="0.25">
      <c r="B26" s="5" t="s">
        <v>72</v>
      </c>
      <c r="C26" s="36">
        <f>C12/C23</f>
        <v>23.157589705966341</v>
      </c>
      <c r="L26" s="136"/>
      <c r="M26" s="137"/>
      <c r="N26" s="138"/>
    </row>
    <row r="27" spans="2:14" x14ac:dyDescent="0.25">
      <c r="B27" s="5" t="s">
        <v>82</v>
      </c>
      <c r="C27" s="120">
        <f>Main!C10/Model!W62</f>
        <v>0.84936372934769633</v>
      </c>
      <c r="E27" t="s">
        <v>74</v>
      </c>
      <c r="L27" s="136"/>
      <c r="M27" s="137"/>
      <c r="N27" s="138"/>
    </row>
    <row r="28" spans="2:14" x14ac:dyDescent="0.25">
      <c r="B28" s="5" t="s">
        <v>83</v>
      </c>
      <c r="C28" s="36">
        <v>0</v>
      </c>
      <c r="L28" s="139"/>
      <c r="M28" s="140"/>
      <c r="N28" s="141"/>
    </row>
    <row r="29" spans="2:14" x14ac:dyDescent="0.25">
      <c r="B29" s="5" t="s">
        <v>84</v>
      </c>
      <c r="C29" s="36">
        <f>Model!W43/Model!W57</f>
        <v>1.9753738256673734</v>
      </c>
    </row>
    <row r="30" spans="2:14" x14ac:dyDescent="0.25">
      <c r="B30" s="5" t="s">
        <v>85</v>
      </c>
      <c r="C30" s="36">
        <f>(Model!W39+Model!W40)/Model!W57</f>
        <v>1.9181760831140489</v>
      </c>
    </row>
    <row r="31" spans="2:14" x14ac:dyDescent="0.25">
      <c r="B31" s="5" t="s">
        <v>86</v>
      </c>
      <c r="C31" s="6">
        <f>(Model!W43-Model!W57)/Model!W51</f>
        <v>0.29393488894674108</v>
      </c>
    </row>
    <row r="32" spans="2:14" x14ac:dyDescent="0.25">
      <c r="B32" s="5" t="s">
        <v>87</v>
      </c>
      <c r="C32" s="36"/>
    </row>
    <row r="33" spans="2:9" x14ac:dyDescent="0.25">
      <c r="B33" s="5" t="s">
        <v>88</v>
      </c>
      <c r="C33" s="36">
        <f>Model!E5/Model!E51</f>
        <v>1.3232331119237934</v>
      </c>
    </row>
    <row r="34" spans="2:9" x14ac:dyDescent="0.25">
      <c r="B34" s="5" t="s">
        <v>89</v>
      </c>
      <c r="C34" s="38">
        <f>Model!E22/Model!E51</f>
        <v>0.20962060161898882</v>
      </c>
    </row>
    <row r="35" spans="2:9" x14ac:dyDescent="0.25">
      <c r="B35" s="5" t="s">
        <v>90</v>
      </c>
      <c r="C35" s="38">
        <f>Model!E22/Model!E62</f>
        <v>0.63949146908929655</v>
      </c>
    </row>
    <row r="36" spans="2:9" x14ac:dyDescent="0.25">
      <c r="B36" s="22" t="s">
        <v>91</v>
      </c>
      <c r="C36" s="23"/>
    </row>
    <row r="41" spans="2:9" x14ac:dyDescent="0.25">
      <c r="E41" s="58"/>
      <c r="F41" s="58"/>
      <c r="G41" s="59"/>
      <c r="H41" s="59"/>
      <c r="I41" s="59"/>
    </row>
    <row r="44" spans="2:9" x14ac:dyDescent="0.25">
      <c r="E44" s="132" t="s">
        <v>201</v>
      </c>
      <c r="F44" s="131" t="s">
        <v>202</v>
      </c>
      <c r="G44" s="131" t="s">
        <v>203</v>
      </c>
      <c r="H44" s="131">
        <v>63.508000000000003</v>
      </c>
    </row>
    <row r="45" spans="2:9" x14ac:dyDescent="0.25">
      <c r="E45" s="132" t="s">
        <v>204</v>
      </c>
      <c r="F45" s="131" t="s">
        <v>205</v>
      </c>
      <c r="G45" s="131" t="s">
        <v>206</v>
      </c>
      <c r="H45" s="131" t="s">
        <v>161</v>
      </c>
    </row>
    <row r="46" spans="2:9" x14ac:dyDescent="0.25">
      <c r="E46" s="132" t="s">
        <v>207</v>
      </c>
      <c r="F46" s="131" t="s">
        <v>205</v>
      </c>
      <c r="G46" s="131" t="s">
        <v>206</v>
      </c>
      <c r="H46" s="131" t="s">
        <v>208</v>
      </c>
    </row>
    <row r="47" spans="2:9" x14ac:dyDescent="0.25">
      <c r="E47" s="132" t="s">
        <v>209</v>
      </c>
      <c r="F47" s="131" t="s">
        <v>202</v>
      </c>
      <c r="G47" s="131" t="s">
        <v>203</v>
      </c>
      <c r="H47" s="131">
        <v>21.241</v>
      </c>
    </row>
    <row r="48" spans="2:9" x14ac:dyDescent="0.25">
      <c r="E48" s="132" t="s">
        <v>210</v>
      </c>
      <c r="F48" s="131" t="s">
        <v>202</v>
      </c>
      <c r="G48" s="131" t="s">
        <v>203</v>
      </c>
      <c r="H48" s="131">
        <v>921.92100000000005</v>
      </c>
    </row>
    <row r="49" spans="5:8" x14ac:dyDescent="0.25">
      <c r="E49" s="132" t="s">
        <v>211</v>
      </c>
      <c r="F49" s="131" t="s">
        <v>202</v>
      </c>
      <c r="G49" s="131" t="s">
        <v>203</v>
      </c>
      <c r="H49" s="131">
        <v>60.933</v>
      </c>
    </row>
    <row r="50" spans="5:8" x14ac:dyDescent="0.25">
      <c r="E50" s="132" t="s">
        <v>212</v>
      </c>
      <c r="F50" s="131" t="s">
        <v>205</v>
      </c>
      <c r="G50" s="131" t="s">
        <v>206</v>
      </c>
      <c r="H50" s="131">
        <v>168.178</v>
      </c>
    </row>
    <row r="51" spans="5:8" x14ac:dyDescent="0.25">
      <c r="E51" s="132" t="s">
        <v>213</v>
      </c>
      <c r="F51" s="131" t="s">
        <v>202</v>
      </c>
      <c r="G51" s="131" t="s">
        <v>203</v>
      </c>
      <c r="H51" s="131" t="s">
        <v>214</v>
      </c>
    </row>
    <row r="52" spans="5:8" x14ac:dyDescent="0.25">
      <c r="E52" s="132" t="s">
        <v>215</v>
      </c>
      <c r="F52" s="131" t="s">
        <v>202</v>
      </c>
      <c r="G52" s="131" t="s">
        <v>203</v>
      </c>
      <c r="H52" s="131">
        <v>60.933</v>
      </c>
    </row>
    <row r="53" spans="5:8" x14ac:dyDescent="0.25">
      <c r="E53" s="132" t="s">
        <v>216</v>
      </c>
      <c r="F53" s="131" t="s">
        <v>205</v>
      </c>
      <c r="G53" s="131" t="s">
        <v>206</v>
      </c>
      <c r="H53" s="131" t="s">
        <v>161</v>
      </c>
    </row>
  </sheetData>
  <mergeCells count="1">
    <mergeCell ref="L17:N28"/>
  </mergeCells>
  <hyperlinks>
    <hyperlink ref="E44" r:id="rId1" display="https://finance.yahoo.com/screener/insider/ELZIE JENE" xr:uid="{9B47CD66-AD70-4F96-B3DD-97FC45487DBD}"/>
    <hyperlink ref="E45" r:id="rId2" display="https://finance.yahoo.com/screener/insider/GERBER STEVEN H" xr:uid="{49BF9ECB-0C7E-42DA-AC6B-969DE5842042}"/>
    <hyperlink ref="E46" r:id="rId3" display="https://finance.yahoo.com/screener/insider/GREINER CHRISTOPHER E" xr:uid="{02B2CEB2-5721-440B-820C-D23A7BBDDFB3}"/>
    <hyperlink ref="E47" r:id="rId4" display="https://finance.yahoo.com/screener/insider/KHAN IMRAN" xr:uid="{40FC4412-ADEC-4036-8F03-FEC6212E4DE6}"/>
    <hyperlink ref="E48" r:id="rId5" display="https://finance.yahoo.com/screener/insider/LANDMAN WILLIAM A" xr:uid="{1DF980D0-A10E-4513-AF31-67879CAAF15E}"/>
    <hyperlink ref="E49" r:id="rId6" display="https://finance.yahoo.com/screener/insider/NIEHAUS ROBERT H" xr:uid="{7ACE5A63-7C7B-4D0C-9944-4083E0CB76CA}"/>
    <hyperlink ref="E50" r:id="rId7" display="https://finance.yahoo.com/screener/insider/RAVELLA SATISH" xr:uid="{2E986C49-CAB7-4A3B-B28F-761D5E493C0C}"/>
    <hyperlink ref="E51" r:id="rId8" display="https://finance.yahoo.com/screener/insider/SCULLEY JOHN" xr:uid="{7D451E68-3B6A-4724-9A7A-6408EF2CFA20}"/>
    <hyperlink ref="E52" r:id="rId9" display="https://finance.yahoo.com/screener/insider/SILBERBLATT JEANINE" xr:uid="{87F63579-4D43-45AE-AEBA-6B828E0AA58D}"/>
    <hyperlink ref="E53" r:id="rId10" display="https://finance.yahoo.com/screener/insider/STEINBERG DAVID A." xr:uid="{E203ADA6-5574-4312-8212-F83E18DC0265}"/>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3"/>
  <sheetViews>
    <sheetView tabSelected="1" zoomScaleNormal="100" workbookViewId="0">
      <pane xSplit="2" ySplit="2" topLeftCell="F3" activePane="bottomRight" state="frozen"/>
      <selection pane="topRight" activeCell="B1" sqref="B1"/>
      <selection pane="bottomLeft" activeCell="A3" sqref="A3"/>
      <selection pane="bottomRight" activeCell="W11" sqref="W11"/>
    </sheetView>
  </sheetViews>
  <sheetFormatPr defaultColWidth="11.42578125" defaultRowHeight="15" x14ac:dyDescent="0.25"/>
  <cols>
    <col min="1" max="1" width="4.7109375" customWidth="1"/>
    <col min="2" max="2" width="27.28515625" customWidth="1"/>
    <col min="5" max="5" width="11.42578125" style="13"/>
    <col min="23" max="23" width="11.42578125" style="13"/>
  </cols>
  <sheetData>
    <row r="1" spans="1:25" x14ac:dyDescent="0.25">
      <c r="A1" s="8" t="s">
        <v>38</v>
      </c>
    </row>
    <row r="2" spans="1:25" x14ac:dyDescent="0.25">
      <c r="C2" t="s">
        <v>14</v>
      </c>
      <c r="D2" t="s">
        <v>15</v>
      </c>
      <c r="E2" s="13" t="s">
        <v>16</v>
      </c>
      <c r="F2" t="s">
        <v>34</v>
      </c>
      <c r="G2" t="s">
        <v>68</v>
      </c>
      <c r="J2" t="s">
        <v>35</v>
      </c>
      <c r="K2" t="s">
        <v>10</v>
      </c>
      <c r="L2" t="s">
        <v>11</v>
      </c>
      <c r="M2" t="s">
        <v>12</v>
      </c>
      <c r="N2" t="s">
        <v>13</v>
      </c>
      <c r="O2" t="s">
        <v>6</v>
      </c>
      <c r="P2" t="s">
        <v>7</v>
      </c>
      <c r="Q2" t="s">
        <v>8</v>
      </c>
      <c r="R2" t="s">
        <v>9</v>
      </c>
      <c r="S2" t="s">
        <v>36</v>
      </c>
      <c r="T2" t="s">
        <v>40</v>
      </c>
      <c r="U2" t="s">
        <v>41</v>
      </c>
      <c r="V2" t="s">
        <v>63</v>
      </c>
      <c r="W2" s="13" t="s">
        <v>66</v>
      </c>
      <c r="X2" t="s">
        <v>136</v>
      </c>
      <c r="Y2" t="s">
        <v>137</v>
      </c>
    </row>
    <row r="3" spans="1:25" x14ac:dyDescent="0.25">
      <c r="B3" s="9" t="s">
        <v>146</v>
      </c>
      <c r="C3" s="126">
        <v>428.94099999999997</v>
      </c>
      <c r="D3" s="126">
        <v>566.69399999999996</v>
      </c>
      <c r="E3" s="127">
        <v>700.06</v>
      </c>
      <c r="N3" s="126">
        <v>119.988</v>
      </c>
      <c r="O3" s="126">
        <v>131.94200000000001</v>
      </c>
      <c r="P3" s="126">
        <v>146.488</v>
      </c>
      <c r="Q3" s="126">
        <f>D3-P3-O3-N3</f>
        <v>168.27599999999995</v>
      </c>
      <c r="R3" s="126">
        <v>150.40600000000001</v>
      </c>
      <c r="S3" s="126">
        <v>163.91399999999999</v>
      </c>
      <c r="T3" s="126">
        <v>182.23099999999999</v>
      </c>
      <c r="U3" s="126">
        <f>E3-T3-S3-R3</f>
        <v>203.50899999999996</v>
      </c>
      <c r="V3" s="126">
        <v>188.178</v>
      </c>
      <c r="W3" s="127">
        <v>222.15600000000001</v>
      </c>
    </row>
    <row r="4" spans="1:25" x14ac:dyDescent="0.25">
      <c r="B4" s="9" t="s">
        <v>147</v>
      </c>
      <c r="C4" s="126">
        <v>29.396999999999998</v>
      </c>
      <c r="D4" s="126">
        <v>24.266999999999999</v>
      </c>
      <c r="E4" s="127">
        <v>28.663</v>
      </c>
      <c r="N4" s="126">
        <v>6.28</v>
      </c>
      <c r="O4" s="126">
        <v>5.359</v>
      </c>
      <c r="P4" s="126">
        <v>5.7640000000000002</v>
      </c>
      <c r="Q4" s="126">
        <f>D4-P4-O4-N4</f>
        <v>6.8639999999999999</v>
      </c>
      <c r="R4" s="126">
        <v>7.1959999999999997</v>
      </c>
      <c r="S4" s="126">
        <v>7.9029999999999996</v>
      </c>
      <c r="T4" s="126">
        <v>6.7530000000000001</v>
      </c>
      <c r="U4" s="126">
        <f>E4-T4-S4-R4</f>
        <v>6.8110000000000017</v>
      </c>
      <c r="V4" s="126">
        <v>6.7690000000000001</v>
      </c>
      <c r="W4" s="127">
        <v>5.6829999999999998</v>
      </c>
    </row>
    <row r="5" spans="1:25" s="1" customFormat="1" x14ac:dyDescent="0.25">
      <c r="B5" s="1" t="s">
        <v>17</v>
      </c>
      <c r="C5" s="11">
        <f>SUM(C3:C4)</f>
        <v>458.33799999999997</v>
      </c>
      <c r="D5" s="11">
        <f>SUM(D3:D4)</f>
        <v>590.96100000000001</v>
      </c>
      <c r="E5" s="14">
        <f>SUM(E3:E4)</f>
        <v>728.72299999999996</v>
      </c>
      <c r="F5" s="43"/>
      <c r="G5" s="43"/>
      <c r="J5" s="11">
        <f t="shared" ref="J5:Y5" si="0">SUM(J3:J4)</f>
        <v>0</v>
      </c>
      <c r="K5" s="11">
        <f t="shared" si="0"/>
        <v>0</v>
      </c>
      <c r="L5" s="11">
        <f t="shared" si="0"/>
        <v>0</v>
      </c>
      <c r="M5" s="11">
        <f t="shared" si="0"/>
        <v>0</v>
      </c>
      <c r="N5" s="11">
        <f t="shared" si="0"/>
        <v>126.268</v>
      </c>
      <c r="O5" s="11">
        <f t="shared" si="0"/>
        <v>137.30100000000002</v>
      </c>
      <c r="P5" s="11">
        <f t="shared" si="0"/>
        <v>152.25200000000001</v>
      </c>
      <c r="Q5" s="11">
        <f t="shared" si="0"/>
        <v>175.13999999999996</v>
      </c>
      <c r="R5" s="11">
        <f t="shared" si="0"/>
        <v>157.602</v>
      </c>
      <c r="S5" s="11">
        <f t="shared" si="0"/>
        <v>171.81699999999998</v>
      </c>
      <c r="T5" s="11">
        <f t="shared" si="0"/>
        <v>188.98399999999998</v>
      </c>
      <c r="U5" s="11">
        <f t="shared" si="0"/>
        <v>210.31999999999996</v>
      </c>
      <c r="V5" s="11">
        <f t="shared" si="0"/>
        <v>194.947</v>
      </c>
      <c r="W5" s="14">
        <f t="shared" si="0"/>
        <v>227.839</v>
      </c>
      <c r="X5" s="11">
        <f t="shared" si="0"/>
        <v>0</v>
      </c>
      <c r="Y5" s="11">
        <f t="shared" si="0"/>
        <v>0</v>
      </c>
    </row>
    <row r="6" spans="1:25" x14ac:dyDescent="0.25">
      <c r="B6" s="9" t="s">
        <v>64</v>
      </c>
      <c r="C6" s="10"/>
      <c r="D6" s="10"/>
      <c r="E6" s="15"/>
      <c r="F6" s="42">
        <v>934.57</v>
      </c>
      <c r="G6" s="42">
        <v>1090</v>
      </c>
      <c r="J6" s="40"/>
      <c r="K6" s="40"/>
      <c r="L6" s="40"/>
      <c r="M6" s="40"/>
      <c r="N6" s="40"/>
      <c r="O6" s="40"/>
      <c r="P6" s="40"/>
      <c r="Q6" s="40"/>
      <c r="R6" s="40"/>
      <c r="S6" s="40"/>
      <c r="T6" s="40"/>
      <c r="U6" s="40"/>
      <c r="V6" s="40"/>
      <c r="W6" s="124"/>
      <c r="X6" s="40">
        <v>247.4</v>
      </c>
      <c r="Y6" s="40">
        <v>264.81</v>
      </c>
    </row>
    <row r="7" spans="1:25" s="1" customFormat="1" x14ac:dyDescent="0.25">
      <c r="B7" s="1" t="s">
        <v>60</v>
      </c>
      <c r="C7" s="11">
        <v>174.72</v>
      </c>
      <c r="D7" s="11">
        <v>215.46600000000001</v>
      </c>
      <c r="E7" s="14">
        <v>274.48200000000003</v>
      </c>
      <c r="F7" s="11"/>
      <c r="G7" s="11"/>
      <c r="J7" s="11"/>
      <c r="K7" s="11"/>
      <c r="L7" s="11"/>
      <c r="M7" s="11"/>
      <c r="N7" s="11">
        <v>41.725000000000001</v>
      </c>
      <c r="O7" s="11">
        <v>50.232999999999997</v>
      </c>
      <c r="P7" s="11">
        <v>57.529000000000003</v>
      </c>
      <c r="Q7" s="126">
        <f t="shared" ref="Q7:Q13" si="1">D7-P7-O7-N7</f>
        <v>65.979000000000013</v>
      </c>
      <c r="R7" s="11">
        <v>54.35</v>
      </c>
      <c r="S7" s="11">
        <v>62.036999999999999</v>
      </c>
      <c r="T7" s="11">
        <v>73.48</v>
      </c>
      <c r="U7" s="126">
        <f t="shared" ref="U7:U13" si="2">E7-T7-S7-R7</f>
        <v>84.615000000000009</v>
      </c>
      <c r="V7" s="11">
        <v>76.873000000000005</v>
      </c>
      <c r="W7" s="14">
        <v>91.081999999999994</v>
      </c>
      <c r="X7" s="11"/>
      <c r="Y7" s="11"/>
    </row>
    <row r="8" spans="1:25" x14ac:dyDescent="0.25">
      <c r="B8" t="s">
        <v>134</v>
      </c>
      <c r="C8" s="10">
        <v>189.60599999999999</v>
      </c>
      <c r="D8" s="10">
        <v>213.61500000000001</v>
      </c>
      <c r="E8" s="15">
        <v>205.41900000000001</v>
      </c>
      <c r="F8" s="40"/>
      <c r="G8" s="40"/>
      <c r="J8" s="10"/>
      <c r="K8" s="10"/>
      <c r="L8" s="10"/>
      <c r="M8" s="10"/>
      <c r="N8" s="10">
        <v>53.348999999999997</v>
      </c>
      <c r="O8" s="10">
        <v>55.664999999999999</v>
      </c>
      <c r="P8" s="10">
        <v>53.584000000000003</v>
      </c>
      <c r="Q8" s="126">
        <f t="shared" si="1"/>
        <v>51.017000000000017</v>
      </c>
      <c r="R8" s="10">
        <v>52.600999999999999</v>
      </c>
      <c r="S8" s="10">
        <v>50.715000000000003</v>
      </c>
      <c r="T8" s="10">
        <v>50.706000000000003</v>
      </c>
      <c r="U8" s="126">
        <f t="shared" si="2"/>
        <v>51.39700000000002</v>
      </c>
      <c r="V8" s="10">
        <v>48.805999999999997</v>
      </c>
      <c r="W8" s="15">
        <v>51.158999999999999</v>
      </c>
      <c r="X8" s="10"/>
      <c r="Y8" s="10"/>
    </row>
    <row r="9" spans="1:25" x14ac:dyDescent="0.25">
      <c r="B9" t="s">
        <v>148</v>
      </c>
      <c r="C9" s="10">
        <v>229.34299999999999</v>
      </c>
      <c r="D9" s="10">
        <v>299.238</v>
      </c>
      <c r="E9" s="15">
        <v>288.44099999999997</v>
      </c>
      <c r="F9" s="40"/>
      <c r="G9" s="40"/>
      <c r="J9" s="10"/>
      <c r="K9" s="10"/>
      <c r="L9" s="10"/>
      <c r="M9" s="10"/>
      <c r="N9" s="10">
        <v>68.918000000000006</v>
      </c>
      <c r="O9" s="10">
        <v>77.138999999999996</v>
      </c>
      <c r="P9" s="10">
        <v>76.986999999999995</v>
      </c>
      <c r="Q9" s="126">
        <f t="shared" si="1"/>
        <v>76.194000000000017</v>
      </c>
      <c r="R9" s="10">
        <v>72.549000000000007</v>
      </c>
      <c r="S9" s="10">
        <v>72.495999999999995</v>
      </c>
      <c r="T9" s="10">
        <v>70.668999999999997</v>
      </c>
      <c r="U9" s="126">
        <f t="shared" si="2"/>
        <v>72.727000000000004</v>
      </c>
      <c r="V9" s="10">
        <v>71.415000000000006</v>
      </c>
      <c r="W9" s="15">
        <v>75.603999999999999</v>
      </c>
      <c r="X9" s="10"/>
      <c r="Y9" s="10"/>
    </row>
    <row r="10" spans="1:25" x14ac:dyDescent="0.25">
      <c r="B10" t="s">
        <v>73</v>
      </c>
      <c r="C10" s="10">
        <v>64.474000000000004</v>
      </c>
      <c r="D10" s="10">
        <v>69.453999999999994</v>
      </c>
      <c r="E10" s="15">
        <v>73.869</v>
      </c>
      <c r="F10" s="10"/>
      <c r="G10" s="10"/>
      <c r="J10" s="10"/>
      <c r="K10" s="10"/>
      <c r="L10" s="10"/>
      <c r="M10" s="10"/>
      <c r="N10" s="10">
        <v>17.231000000000002</v>
      </c>
      <c r="O10" s="10">
        <v>18.038</v>
      </c>
      <c r="P10" s="10">
        <v>16.954000000000001</v>
      </c>
      <c r="Q10" s="126">
        <f t="shared" si="1"/>
        <v>17.230999999999987</v>
      </c>
      <c r="R10" s="10">
        <v>18.518999999999998</v>
      </c>
      <c r="S10" s="10">
        <v>17.343</v>
      </c>
      <c r="T10" s="10">
        <v>18.062000000000001</v>
      </c>
      <c r="U10" s="126">
        <f t="shared" si="2"/>
        <v>19.945</v>
      </c>
      <c r="V10" s="10">
        <v>19.986000000000001</v>
      </c>
      <c r="W10" s="15">
        <v>23.614000000000001</v>
      </c>
      <c r="X10" s="10"/>
      <c r="Y10" s="10"/>
    </row>
    <row r="11" spans="1:25" x14ac:dyDescent="0.25">
      <c r="B11" t="s">
        <v>23</v>
      </c>
      <c r="C11" s="10">
        <v>45.921999999999997</v>
      </c>
      <c r="D11" s="10">
        <v>51.878</v>
      </c>
      <c r="E11" s="15">
        <v>51.149000000000001</v>
      </c>
      <c r="F11" s="10"/>
      <c r="G11" s="10"/>
      <c r="J11" s="10"/>
      <c r="K11" s="10"/>
      <c r="L11" s="10"/>
      <c r="M11" s="10"/>
      <c r="N11" s="10">
        <v>12.766</v>
      </c>
      <c r="O11" s="10">
        <v>13.315</v>
      </c>
      <c r="P11" s="10">
        <v>13.367000000000001</v>
      </c>
      <c r="Q11" s="126">
        <f t="shared" si="1"/>
        <v>12.429999999999998</v>
      </c>
      <c r="R11" s="10">
        <v>11.824999999999999</v>
      </c>
      <c r="S11" s="10">
        <v>12.596</v>
      </c>
      <c r="T11" s="10">
        <v>13.367000000000001</v>
      </c>
      <c r="U11" s="126">
        <f t="shared" si="2"/>
        <v>13.360999999999997</v>
      </c>
      <c r="V11" s="10">
        <v>13.741</v>
      </c>
      <c r="W11" s="15">
        <v>12.964</v>
      </c>
      <c r="X11" s="10"/>
      <c r="Y11" s="10"/>
    </row>
    <row r="12" spans="1:25" x14ac:dyDescent="0.25">
      <c r="B12" t="s">
        <v>143</v>
      </c>
      <c r="C12" s="10">
        <v>1.9530000000000001</v>
      </c>
      <c r="D12" s="10">
        <v>0.34399999999999997</v>
      </c>
      <c r="E12" s="15">
        <v>0.20300000000000001</v>
      </c>
      <c r="F12" s="10"/>
      <c r="G12" s="10"/>
      <c r="J12" s="10"/>
      <c r="K12" s="10"/>
      <c r="L12" s="10"/>
      <c r="M12" s="10"/>
      <c r="N12" s="10">
        <v>0.34399999999999997</v>
      </c>
      <c r="O12" s="10"/>
      <c r="P12" s="10"/>
      <c r="Q12" s="126">
        <f t="shared" si="1"/>
        <v>0</v>
      </c>
      <c r="R12" s="10">
        <v>0.20300000000000001</v>
      </c>
      <c r="S12" s="10"/>
      <c r="T12" s="10"/>
      <c r="U12" s="126">
        <f t="shared" si="2"/>
        <v>0</v>
      </c>
      <c r="V12" s="10"/>
      <c r="W12" s="15"/>
      <c r="X12" s="10"/>
      <c r="Y12" s="10"/>
    </row>
    <row r="13" spans="1:25" x14ac:dyDescent="0.25">
      <c r="B13" t="s">
        <v>149</v>
      </c>
      <c r="C13" s="10">
        <v>0.72699999999999998</v>
      </c>
      <c r="D13" s="10">
        <v>0</v>
      </c>
      <c r="E13" s="15">
        <v>2.8450000000000002</v>
      </c>
      <c r="F13" s="40"/>
      <c r="G13" s="40"/>
      <c r="J13" s="10"/>
      <c r="K13" s="10"/>
      <c r="L13" s="10"/>
      <c r="M13" s="10"/>
      <c r="N13" s="10"/>
      <c r="O13" s="10"/>
      <c r="P13" s="10"/>
      <c r="Q13" s="126">
        <f t="shared" si="1"/>
        <v>0</v>
      </c>
      <c r="R13" s="10"/>
      <c r="S13" s="10">
        <v>2.8450000000000002</v>
      </c>
      <c r="T13" s="10"/>
      <c r="U13" s="126">
        <f t="shared" si="2"/>
        <v>0</v>
      </c>
      <c r="V13" s="10"/>
      <c r="W13" s="15"/>
      <c r="X13" s="10"/>
      <c r="Y13" s="10"/>
    </row>
    <row r="14" spans="1:25" s="1" customFormat="1" x14ac:dyDescent="0.25">
      <c r="B14" s="1" t="s">
        <v>22</v>
      </c>
      <c r="C14" s="11">
        <f>C5-SUM(C7:C13)</f>
        <v>-248.40700000000004</v>
      </c>
      <c r="D14" s="11">
        <f>D5-SUM(D7:D13)</f>
        <v>-259.03399999999999</v>
      </c>
      <c r="E14" s="14">
        <f>E5-SUM(E7:E13)</f>
        <v>-167.68500000000017</v>
      </c>
      <c r="F14" s="11">
        <f>F5-SUM(F7:F13)</f>
        <v>0</v>
      </c>
      <c r="G14" s="11">
        <f>G5-SUM(G7:G13)</f>
        <v>0</v>
      </c>
      <c r="H14" s="11"/>
      <c r="I14" s="11"/>
      <c r="J14" s="11">
        <f t="shared" ref="J14:Y14" si="3">J5-SUM(J7:J13)</f>
        <v>0</v>
      </c>
      <c r="K14" s="11">
        <f t="shared" si="3"/>
        <v>0</v>
      </c>
      <c r="L14" s="11">
        <f t="shared" si="3"/>
        <v>0</v>
      </c>
      <c r="M14" s="11">
        <f t="shared" si="3"/>
        <v>0</v>
      </c>
      <c r="N14" s="11">
        <f t="shared" si="3"/>
        <v>-68.064999999999998</v>
      </c>
      <c r="O14" s="11">
        <f t="shared" si="3"/>
        <v>-77.08899999999997</v>
      </c>
      <c r="P14" s="11">
        <f t="shared" si="3"/>
        <v>-66.168999999999983</v>
      </c>
      <c r="Q14" s="11">
        <f t="shared" si="3"/>
        <v>-47.711000000000098</v>
      </c>
      <c r="R14" s="11">
        <f t="shared" si="3"/>
        <v>-52.444999999999993</v>
      </c>
      <c r="S14" s="11">
        <f t="shared" si="3"/>
        <v>-46.215000000000003</v>
      </c>
      <c r="T14" s="11">
        <f t="shared" si="3"/>
        <v>-37.30000000000004</v>
      </c>
      <c r="U14" s="11">
        <f t="shared" si="3"/>
        <v>-31.725000000000051</v>
      </c>
      <c r="V14" s="11">
        <f t="shared" si="3"/>
        <v>-35.873999999999967</v>
      </c>
      <c r="W14" s="14">
        <f t="shared" si="3"/>
        <v>-26.583999999999975</v>
      </c>
      <c r="X14" s="11">
        <f t="shared" si="3"/>
        <v>0</v>
      </c>
      <c r="Y14" s="11">
        <f t="shared" si="3"/>
        <v>0</v>
      </c>
    </row>
    <row r="15" spans="1:25" x14ac:dyDescent="0.25">
      <c r="B15" t="s">
        <v>67</v>
      </c>
      <c r="C15" s="10">
        <v>7.0330000000000004</v>
      </c>
      <c r="D15" s="10">
        <v>7.3029999999999999</v>
      </c>
      <c r="E15" s="15">
        <v>10.939</v>
      </c>
      <c r="F15" s="40"/>
      <c r="G15" s="40"/>
      <c r="J15" s="10"/>
      <c r="K15" s="10"/>
      <c r="L15" s="10"/>
      <c r="M15" s="10"/>
      <c r="N15" s="10">
        <v>1.298</v>
      </c>
      <c r="O15" s="10">
        <v>1.6659999999999999</v>
      </c>
      <c r="P15" s="10">
        <v>2.0379999999999998</v>
      </c>
      <c r="Q15" s="126">
        <f t="shared" ref="Q15:Q16" si="4">D15-P15-O15-N15</f>
        <v>2.3010000000000006</v>
      </c>
      <c r="R15" s="10">
        <v>2.448</v>
      </c>
      <c r="S15" s="10">
        <v>2.7970000000000002</v>
      </c>
      <c r="T15" s="10">
        <v>2.8940000000000001</v>
      </c>
      <c r="U15" s="126">
        <f t="shared" ref="U15:U16" si="5">E15-T15-S15-R15</f>
        <v>2.7999999999999994</v>
      </c>
      <c r="V15" s="10">
        <v>2.625</v>
      </c>
      <c r="W15" s="15">
        <v>2.56</v>
      </c>
      <c r="X15" s="10"/>
      <c r="Y15" s="10"/>
    </row>
    <row r="16" spans="1:25" x14ac:dyDescent="0.25">
      <c r="B16" t="s">
        <v>152</v>
      </c>
      <c r="C16" s="10">
        <f>-0.279-10+5</f>
        <v>-5.2789999999999999</v>
      </c>
      <c r="D16" s="10">
        <f>13.983+0.41</f>
        <v>14.393000000000001</v>
      </c>
      <c r="E16" s="15">
        <v>7.82</v>
      </c>
      <c r="F16" s="40"/>
      <c r="G16" s="40"/>
      <c r="J16" s="10"/>
      <c r="K16" s="10"/>
      <c r="L16" s="10"/>
      <c r="M16" s="10"/>
      <c r="N16" s="10">
        <v>5.2729999999999997</v>
      </c>
      <c r="O16" s="10">
        <f>5.696+1.215</f>
        <v>6.9109999999999996</v>
      </c>
      <c r="P16" s="10">
        <f>1.142-0.805</f>
        <v>0.33699999999999986</v>
      </c>
      <c r="Q16" s="126">
        <f t="shared" si="4"/>
        <v>1.8720000000000017</v>
      </c>
      <c r="R16" s="10">
        <v>1.8640000000000001</v>
      </c>
      <c r="S16" s="10">
        <v>2.8380000000000001</v>
      </c>
      <c r="T16" s="10">
        <v>2.4359999999999999</v>
      </c>
      <c r="U16" s="126">
        <f t="shared" si="5"/>
        <v>0.68200000000000016</v>
      </c>
      <c r="V16" s="10">
        <v>0.67100000000000004</v>
      </c>
      <c r="W16" s="15">
        <v>-1.5640000000000001</v>
      </c>
      <c r="X16" s="10"/>
      <c r="Y16" s="10"/>
    </row>
    <row r="17" spans="2:25" s="1" customFormat="1" x14ac:dyDescent="0.25">
      <c r="B17" s="1" t="s">
        <v>135</v>
      </c>
      <c r="C17" s="11">
        <f t="shared" ref="C17:D17" si="6">C14-SUM(C15:C16)</f>
        <v>-250.16100000000003</v>
      </c>
      <c r="D17" s="11">
        <f t="shared" si="6"/>
        <v>-280.73</v>
      </c>
      <c r="E17" s="14">
        <f>E14-SUM(E15:E16)</f>
        <v>-186.44400000000019</v>
      </c>
      <c r="F17" s="11">
        <f t="shared" ref="F17:G17" si="7">F14-SUM(F15:F16)</f>
        <v>0</v>
      </c>
      <c r="G17" s="11">
        <f t="shared" si="7"/>
        <v>0</v>
      </c>
      <c r="J17" s="11">
        <f t="shared" ref="J17" si="8">J14-SUM(J15:J16)</f>
        <v>0</v>
      </c>
      <c r="K17" s="11">
        <f t="shared" ref="K17" si="9">K14-SUM(K15:K16)</f>
        <v>0</v>
      </c>
      <c r="L17" s="11">
        <f t="shared" ref="L17" si="10">L14-SUM(L15:L16)</f>
        <v>0</v>
      </c>
      <c r="M17" s="11">
        <f t="shared" ref="M17" si="11">M14-SUM(M15:M16)</f>
        <v>0</v>
      </c>
      <c r="N17" s="11">
        <f t="shared" ref="N17" si="12">N14-SUM(N15:N16)</f>
        <v>-74.635999999999996</v>
      </c>
      <c r="O17" s="11">
        <f t="shared" ref="O17" si="13">O14-SUM(O15:O16)</f>
        <v>-85.665999999999968</v>
      </c>
      <c r="P17" s="11">
        <f t="shared" ref="P17" si="14">P14-SUM(P15:P16)</f>
        <v>-68.543999999999983</v>
      </c>
      <c r="Q17" s="11">
        <f t="shared" ref="Q17" si="15">Q14-SUM(Q15:Q16)</f>
        <v>-51.8840000000001</v>
      </c>
      <c r="R17" s="11">
        <f t="shared" ref="R17" si="16">R14-SUM(R15:R16)</f>
        <v>-56.756999999999991</v>
      </c>
      <c r="S17" s="11">
        <f t="shared" ref="S17" si="17">S14-SUM(S15:S16)</f>
        <v>-51.85</v>
      </c>
      <c r="T17" s="11">
        <f t="shared" ref="T17" si="18">T14-SUM(T15:T16)</f>
        <v>-42.630000000000038</v>
      </c>
      <c r="U17" s="11">
        <f t="shared" ref="U17" si="19">U14-SUM(U15:U16)</f>
        <v>-35.20700000000005</v>
      </c>
      <c r="V17" s="11">
        <f t="shared" ref="V17" si="20">V14-SUM(V15:V16)</f>
        <v>-39.169999999999966</v>
      </c>
      <c r="W17" s="11">
        <f t="shared" ref="W17" si="21">W14-SUM(W15:W16)</f>
        <v>-27.579999999999973</v>
      </c>
      <c r="X17" s="11">
        <f t="shared" ref="X17" si="22">X14-SUM(X15:X16)</f>
        <v>0</v>
      </c>
      <c r="Y17" s="11">
        <f t="shared" ref="Y17" si="23">Y14-SUM(Y15:Y16)</f>
        <v>0</v>
      </c>
    </row>
    <row r="18" spans="2:25" x14ac:dyDescent="0.25">
      <c r="B18" t="s">
        <v>19</v>
      </c>
      <c r="C18" s="10">
        <v>-0.59799999999999998</v>
      </c>
      <c r="D18" s="10">
        <v>-1.4910000000000001</v>
      </c>
      <c r="E18" s="15">
        <v>1.0369999999999999</v>
      </c>
      <c r="F18" s="40"/>
      <c r="G18" s="40"/>
      <c r="J18" s="10"/>
      <c r="K18" s="10"/>
      <c r="L18" s="10"/>
      <c r="M18" s="10"/>
      <c r="N18" s="10">
        <v>-2.5990000000000002</v>
      </c>
      <c r="O18" s="10">
        <v>0.34300000000000003</v>
      </c>
      <c r="P18" s="10">
        <v>0.89600000000000002</v>
      </c>
      <c r="Q18" s="126">
        <f>D18-P18-O18-N18</f>
        <v>-0.13099999999999978</v>
      </c>
      <c r="R18" s="10">
        <v>0.19800000000000001</v>
      </c>
      <c r="S18" s="10">
        <v>0.309</v>
      </c>
      <c r="T18" s="10">
        <v>0.59</v>
      </c>
      <c r="U18" s="126">
        <f t="shared" ref="U18:U19" si="24">E18-T18-S18-R18</f>
        <v>-6.0000000000000053E-2</v>
      </c>
      <c r="V18" s="10">
        <v>0.39600000000000002</v>
      </c>
      <c r="W18" s="15">
        <v>0.48599999999999999</v>
      </c>
      <c r="X18" s="10"/>
      <c r="Y18" s="10"/>
    </row>
    <row r="19" spans="2:25" x14ac:dyDescent="0.25">
      <c r="B19" t="s">
        <v>153</v>
      </c>
      <c r="C19" s="10">
        <v>6.4000000000000001E-2</v>
      </c>
      <c r="D19" s="10">
        <v>-5.6000000000000001E-2</v>
      </c>
      <c r="E19" s="15">
        <v>-3.5000000000000003E-2</v>
      </c>
      <c r="F19" s="40"/>
      <c r="G19" s="40"/>
      <c r="J19" s="10"/>
      <c r="K19" s="10"/>
      <c r="L19" s="10"/>
      <c r="M19" s="10"/>
      <c r="N19" s="10">
        <v>0.24399999999999999</v>
      </c>
      <c r="O19" s="10">
        <v>0.40300000000000002</v>
      </c>
      <c r="P19" s="10">
        <v>0.77400000000000002</v>
      </c>
      <c r="Q19" s="126">
        <f>D19-P19-O19-N19</f>
        <v>-1.4770000000000001</v>
      </c>
      <c r="R19" s="10">
        <v>-0.14699999999999999</v>
      </c>
      <c r="S19" s="10">
        <v>-5.8000000000000003E-2</v>
      </c>
      <c r="T19" s="10">
        <v>0.28299999999999997</v>
      </c>
      <c r="U19" s="126">
        <f t="shared" si="24"/>
        <v>-0.11299999999999996</v>
      </c>
      <c r="V19" s="10">
        <v>0.05</v>
      </c>
      <c r="W19" s="15">
        <v>-5.0999999999999997E-2</v>
      </c>
      <c r="X19" s="10"/>
      <c r="Y19" s="10"/>
    </row>
    <row r="20" spans="2:25" s="1" customFormat="1" x14ac:dyDescent="0.25">
      <c r="B20" s="1" t="s">
        <v>20</v>
      </c>
      <c r="C20" s="11">
        <f t="shared" ref="C20:E20" si="25">C17-SUM(C18:C19)</f>
        <v>-249.62700000000004</v>
      </c>
      <c r="D20" s="11">
        <f t="shared" si="25"/>
        <v>-279.18299999999999</v>
      </c>
      <c r="E20" s="14">
        <f t="shared" si="25"/>
        <v>-187.4460000000002</v>
      </c>
      <c r="F20" s="57"/>
      <c r="G20" s="57"/>
      <c r="J20" s="11">
        <f t="shared" ref="J20" si="26">J17-SUM(J18:J19)</f>
        <v>0</v>
      </c>
      <c r="K20" s="11">
        <f t="shared" ref="K20" si="27">K17-SUM(K18:K19)</f>
        <v>0</v>
      </c>
      <c r="L20" s="11">
        <f t="shared" ref="L20" si="28">L17-SUM(L18:L19)</f>
        <v>0</v>
      </c>
      <c r="M20" s="11">
        <f t="shared" ref="M20" si="29">M17-SUM(M18:M19)</f>
        <v>0</v>
      </c>
      <c r="N20" s="11">
        <f t="shared" ref="N20" si="30">N17-SUM(N18:N19)</f>
        <v>-72.280999999999992</v>
      </c>
      <c r="O20" s="11">
        <f t="shared" ref="O20" si="31">O17-SUM(O18:O19)</f>
        <v>-86.411999999999964</v>
      </c>
      <c r="P20" s="11">
        <f t="shared" ref="P20" si="32">P17-SUM(P18:P19)</f>
        <v>-70.213999999999984</v>
      </c>
      <c r="Q20" s="11">
        <f t="shared" ref="Q20" si="33">Q17-SUM(Q18:Q19)</f>
        <v>-50.276000000000103</v>
      </c>
      <c r="R20" s="11">
        <f t="shared" ref="R20" si="34">R17-SUM(R18:R19)</f>
        <v>-56.807999999999993</v>
      </c>
      <c r="S20" s="11">
        <f t="shared" ref="S20" si="35">S17-SUM(S18:S19)</f>
        <v>-52.100999999999999</v>
      </c>
      <c r="T20" s="11">
        <f t="shared" ref="T20:Y20" si="36">T17-SUM(T18:T19)</f>
        <v>-43.503000000000036</v>
      </c>
      <c r="U20" s="11">
        <f t="shared" si="36"/>
        <v>-35.034000000000049</v>
      </c>
      <c r="V20" s="11">
        <f t="shared" si="36"/>
        <v>-39.615999999999964</v>
      </c>
      <c r="W20" s="14">
        <f t="shared" si="36"/>
        <v>-28.014999999999972</v>
      </c>
      <c r="X20" s="11">
        <f t="shared" si="36"/>
        <v>0</v>
      </c>
      <c r="Y20" s="11">
        <f t="shared" si="36"/>
        <v>0</v>
      </c>
    </row>
    <row r="21" spans="2:25" x14ac:dyDescent="0.25">
      <c r="B21" t="s">
        <v>154</v>
      </c>
      <c r="C21" s="10">
        <v>26.832999999999998</v>
      </c>
      <c r="D21" s="10">
        <v>298.99200000000002</v>
      </c>
      <c r="E21" s="15">
        <v>242.881</v>
      </c>
      <c r="F21" s="40"/>
      <c r="G21" s="40"/>
      <c r="J21" s="10"/>
      <c r="K21" s="10"/>
      <c r="L21" s="10"/>
      <c r="M21" s="10"/>
      <c r="N21" s="10">
        <v>73.736000000000004</v>
      </c>
      <c r="O21" s="10">
        <v>82.334999999999994</v>
      </c>
      <c r="P21" s="10">
        <v>75.218000000000004</v>
      </c>
      <c r="Q21" s="126">
        <f>D21-P21-O21-N21</f>
        <v>67.703000000000017</v>
      </c>
      <c r="R21" s="10">
        <v>64.462000000000003</v>
      </c>
      <c r="S21" s="10">
        <v>57.612000000000002</v>
      </c>
      <c r="T21" s="10">
        <v>57.671999999999997</v>
      </c>
      <c r="U21" s="126">
        <f>E21-T21-S21-R21</f>
        <v>63.135000000000005</v>
      </c>
      <c r="V21" s="10">
        <v>52.637999999999998</v>
      </c>
      <c r="W21" s="15">
        <v>52.158999999999999</v>
      </c>
      <c r="X21" s="10"/>
      <c r="Y21" s="10"/>
    </row>
    <row r="22" spans="2:25" s="1" customFormat="1" x14ac:dyDescent="0.25">
      <c r="B22" s="1" t="s">
        <v>155</v>
      </c>
      <c r="C22" s="11">
        <f t="shared" ref="C22:D22" si="37">C20+C21+C11+C16+C18</f>
        <v>-182.74900000000005</v>
      </c>
      <c r="D22" s="11">
        <f t="shared" si="37"/>
        <v>84.589000000000027</v>
      </c>
      <c r="E22" s="14">
        <f>E20+E21+E11+E16+E18</f>
        <v>115.4409999999998</v>
      </c>
      <c r="F22" s="43"/>
      <c r="G22" s="43"/>
      <c r="J22" s="11">
        <f t="shared" ref="J22:U22" si="38">J20+J21+J11+J16+J18</f>
        <v>0</v>
      </c>
      <c r="K22" s="11">
        <f t="shared" si="38"/>
        <v>0</v>
      </c>
      <c r="L22" s="11">
        <f t="shared" si="38"/>
        <v>0</v>
      </c>
      <c r="M22" s="11">
        <f t="shared" si="38"/>
        <v>0</v>
      </c>
      <c r="N22" s="11">
        <f t="shared" si="38"/>
        <v>16.895000000000014</v>
      </c>
      <c r="O22" s="11">
        <f t="shared" si="38"/>
        <v>16.492000000000029</v>
      </c>
      <c r="P22" s="11">
        <f t="shared" si="38"/>
        <v>19.604000000000021</v>
      </c>
      <c r="Q22" s="11">
        <f t="shared" si="38"/>
        <v>31.597999999999914</v>
      </c>
      <c r="R22" s="11">
        <f t="shared" si="38"/>
        <v>21.541000000000011</v>
      </c>
      <c r="S22" s="11">
        <f>S20+S21+S11+S16+S18</f>
        <v>21.254000000000005</v>
      </c>
      <c r="T22" s="11">
        <f t="shared" si="38"/>
        <v>30.561999999999962</v>
      </c>
      <c r="U22" s="11">
        <f t="shared" si="38"/>
        <v>42.083999999999953</v>
      </c>
      <c r="V22" s="11">
        <f>V20+V21+V11+V16+V18</f>
        <v>27.830000000000034</v>
      </c>
      <c r="W22" s="11">
        <f>W20+W21+W11+W16+W18</f>
        <v>36.030000000000022</v>
      </c>
      <c r="X22" s="11"/>
      <c r="Y22" s="11"/>
    </row>
    <row r="23" spans="2:25" x14ac:dyDescent="0.25">
      <c r="B23" t="s">
        <v>1</v>
      </c>
      <c r="C23" s="10">
        <v>86.932191000000003</v>
      </c>
      <c r="D23" s="10">
        <v>138.985265</v>
      </c>
      <c r="E23" s="15">
        <v>156.69730799999999</v>
      </c>
      <c r="F23" s="40"/>
      <c r="G23" s="40"/>
      <c r="J23" s="10"/>
      <c r="K23" s="10"/>
      <c r="L23" s="10"/>
      <c r="M23" s="10"/>
      <c r="N23" s="10">
        <v>134.08470299999999</v>
      </c>
      <c r="O23" s="10">
        <v>135.903592</v>
      </c>
      <c r="P23" s="10">
        <v>140.59412800000001</v>
      </c>
      <c r="Q23" s="10">
        <v>145</v>
      </c>
      <c r="R23" s="10">
        <v>150.04584</v>
      </c>
      <c r="S23" s="10">
        <v>154.59750600000001</v>
      </c>
      <c r="T23" s="10">
        <v>158.055789</v>
      </c>
      <c r="U23" s="126">
        <v>162</v>
      </c>
      <c r="V23" s="10">
        <v>171.234353</v>
      </c>
      <c r="W23" s="15">
        <v>177.870238</v>
      </c>
      <c r="X23" s="10"/>
      <c r="Y23" s="10"/>
    </row>
    <row r="24" spans="2:25" s="1" customFormat="1" x14ac:dyDescent="0.25">
      <c r="B24" s="1" t="s">
        <v>21</v>
      </c>
      <c r="C24" s="2">
        <f>C20/C23</f>
        <v>-2.8715139596562111</v>
      </c>
      <c r="D24" s="2">
        <f>D20/D23</f>
        <v>-2.008723730533593</v>
      </c>
      <c r="E24" s="53">
        <f>E20/E23</f>
        <v>-1.1962298675864949</v>
      </c>
      <c r="F24" s="54"/>
      <c r="G24" s="55"/>
      <c r="J24" s="2" t="e">
        <f t="shared" ref="J24:Y24" si="39">J20/J23</f>
        <v>#DIV/0!</v>
      </c>
      <c r="K24" s="2" t="e">
        <f t="shared" si="39"/>
        <v>#DIV/0!</v>
      </c>
      <c r="L24" s="2" t="e">
        <f t="shared" si="39"/>
        <v>#DIV/0!</v>
      </c>
      <c r="M24" s="2" t="e">
        <f t="shared" si="39"/>
        <v>#DIV/0!</v>
      </c>
      <c r="N24" s="2">
        <f t="shared" si="39"/>
        <v>-0.53906969537009752</v>
      </c>
      <c r="O24" s="2">
        <f t="shared" si="39"/>
        <v>-0.63583308379369374</v>
      </c>
      <c r="P24" s="2">
        <f t="shared" si="39"/>
        <v>-0.49940919296430347</v>
      </c>
      <c r="Q24" s="2">
        <f t="shared" si="39"/>
        <v>-0.34673103448275933</v>
      </c>
      <c r="R24" s="2">
        <f t="shared" si="39"/>
        <v>-0.37860429852637029</v>
      </c>
      <c r="S24" s="2">
        <f t="shared" si="39"/>
        <v>-0.33701061128372922</v>
      </c>
      <c r="T24" s="2">
        <f t="shared" si="39"/>
        <v>-0.27523825780275618</v>
      </c>
      <c r="U24" s="2">
        <f t="shared" si="39"/>
        <v>-0.21625925925925957</v>
      </c>
      <c r="V24" s="2">
        <f t="shared" si="39"/>
        <v>-0.23135544536440047</v>
      </c>
      <c r="W24" s="35">
        <f t="shared" si="39"/>
        <v>-0.15750245974259039</v>
      </c>
      <c r="X24" s="2" t="e">
        <f t="shared" si="39"/>
        <v>#DIV/0!</v>
      </c>
      <c r="Y24" s="2" t="e">
        <f t="shared" si="39"/>
        <v>#DIV/0!</v>
      </c>
    </row>
    <row r="25" spans="2:25" s="1" customFormat="1" x14ac:dyDescent="0.25">
      <c r="B25" s="9" t="s">
        <v>157</v>
      </c>
      <c r="C25" s="2"/>
      <c r="D25" s="2"/>
      <c r="E25" s="35"/>
      <c r="F25" s="44">
        <v>0.56999999999999995</v>
      </c>
      <c r="G25" s="45">
        <v>0.73</v>
      </c>
      <c r="J25" s="49"/>
      <c r="K25" s="49"/>
      <c r="L25" s="49"/>
      <c r="M25" s="49"/>
      <c r="N25" s="49"/>
      <c r="O25" s="49"/>
      <c r="P25" s="49"/>
      <c r="Q25" s="49"/>
      <c r="R25" s="49"/>
      <c r="S25" s="49"/>
      <c r="T25" s="49">
        <v>0.09</v>
      </c>
      <c r="U25" s="49">
        <v>7.0000000000000007E-2</v>
      </c>
      <c r="V25" s="49">
        <v>0.14000000000000001</v>
      </c>
      <c r="W25" s="125">
        <v>0.1</v>
      </c>
      <c r="X25" s="49">
        <v>0.17</v>
      </c>
      <c r="Y25" s="49">
        <v>0.21</v>
      </c>
    </row>
    <row r="26" spans="2:25" s="1" customFormat="1" x14ac:dyDescent="0.25">
      <c r="B26" s="9" t="s">
        <v>156</v>
      </c>
      <c r="C26" s="2">
        <f t="shared" ref="C26:D26" si="40">C22/C23</f>
        <v>-2.1022017033943161</v>
      </c>
      <c r="D26" s="2">
        <f t="shared" si="40"/>
        <v>0.60861847477140851</v>
      </c>
      <c r="E26" s="35">
        <f>E22/E23</f>
        <v>0.73671335821544437</v>
      </c>
      <c r="F26" s="44"/>
      <c r="G26" s="45"/>
      <c r="J26" s="2" t="e">
        <f t="shared" ref="J26:Y26" si="41">J22/J23</f>
        <v>#DIV/0!</v>
      </c>
      <c r="K26" s="2" t="e">
        <f t="shared" si="41"/>
        <v>#DIV/0!</v>
      </c>
      <c r="L26" s="2" t="e">
        <f t="shared" si="41"/>
        <v>#DIV/0!</v>
      </c>
      <c r="M26" s="2" t="e">
        <f t="shared" si="41"/>
        <v>#DIV/0!</v>
      </c>
      <c r="N26" s="2">
        <f t="shared" si="41"/>
        <v>0.12600244190420451</v>
      </c>
      <c r="O26" s="2">
        <f t="shared" si="41"/>
        <v>0.12135072927285122</v>
      </c>
      <c r="P26" s="2">
        <f t="shared" si="41"/>
        <v>0.13943683337898735</v>
      </c>
      <c r="Q26" s="2">
        <f t="shared" si="41"/>
        <v>0.21791724137930976</v>
      </c>
      <c r="R26" s="2">
        <f t="shared" si="41"/>
        <v>0.14356279387685797</v>
      </c>
      <c r="S26" s="2">
        <f t="shared" si="41"/>
        <v>0.13747957874559763</v>
      </c>
      <c r="T26" s="2">
        <f t="shared" si="41"/>
        <v>0.19336210456676131</v>
      </c>
      <c r="U26" s="2">
        <f t="shared" si="41"/>
        <v>0.2597777777777775</v>
      </c>
      <c r="V26" s="2">
        <f t="shared" si="41"/>
        <v>0.16252579878057549</v>
      </c>
      <c r="W26" s="2">
        <f t="shared" si="41"/>
        <v>0.20256339905498985</v>
      </c>
      <c r="X26" s="2" t="e">
        <f t="shared" si="41"/>
        <v>#DIV/0!</v>
      </c>
      <c r="Y26" s="2" t="e">
        <f t="shared" si="41"/>
        <v>#DIV/0!</v>
      </c>
    </row>
    <row r="27" spans="2:25" s="1" customFormat="1" x14ac:dyDescent="0.25">
      <c r="B27" t="s">
        <v>31</v>
      </c>
      <c r="C27" s="3">
        <f>1-C7/C5</f>
        <v>0.61879660861634855</v>
      </c>
      <c r="D27" s="3">
        <f>1-D7/D5</f>
        <v>0.63539725971764627</v>
      </c>
      <c r="E27" s="6">
        <f>1-E7/E5</f>
        <v>0.62333836039208301</v>
      </c>
      <c r="F27" s="46"/>
      <c r="G27" s="46"/>
      <c r="J27" s="3" t="e">
        <f t="shared" ref="J27:Y27" si="42">1-J7/J5</f>
        <v>#DIV/0!</v>
      </c>
      <c r="K27" s="3" t="e">
        <f t="shared" si="42"/>
        <v>#DIV/0!</v>
      </c>
      <c r="L27" s="3" t="e">
        <f t="shared" si="42"/>
        <v>#DIV/0!</v>
      </c>
      <c r="M27" s="3" t="e">
        <f t="shared" si="42"/>
        <v>#DIV/0!</v>
      </c>
      <c r="N27" s="3">
        <f t="shared" si="42"/>
        <v>0.66955206386416188</v>
      </c>
      <c r="O27" s="3">
        <f t="shared" si="42"/>
        <v>0.63413959111732621</v>
      </c>
      <c r="P27" s="3">
        <f t="shared" si="42"/>
        <v>0.62214617870372801</v>
      </c>
      <c r="Q27" s="3">
        <f t="shared" si="42"/>
        <v>0.62327852004110973</v>
      </c>
      <c r="R27" s="3">
        <f t="shared" si="42"/>
        <v>0.65514397025418458</v>
      </c>
      <c r="S27" s="3">
        <f t="shared" si="42"/>
        <v>0.63893561172642976</v>
      </c>
      <c r="T27" s="3">
        <f t="shared" si="42"/>
        <v>0.61118401557803836</v>
      </c>
      <c r="U27" s="3">
        <f t="shared" si="42"/>
        <v>0.5976844807911752</v>
      </c>
      <c r="V27" s="3">
        <f t="shared" si="42"/>
        <v>0.60567231093579277</v>
      </c>
      <c r="W27" s="6">
        <f t="shared" si="42"/>
        <v>0.60023525384152854</v>
      </c>
      <c r="X27" s="3" t="e">
        <f t="shared" si="42"/>
        <v>#DIV/0!</v>
      </c>
      <c r="Y27" s="3" t="e">
        <f t="shared" si="42"/>
        <v>#DIV/0!</v>
      </c>
    </row>
    <row r="28" spans="2:25" x14ac:dyDescent="0.25">
      <c r="B28" t="s">
        <v>32</v>
      </c>
      <c r="C28" s="4">
        <f>C20/C5</f>
        <v>-0.54463518189632987</v>
      </c>
      <c r="D28" s="4">
        <f>D20/D5</f>
        <v>-0.47242203800250776</v>
      </c>
      <c r="E28" s="7">
        <f>E20/E5</f>
        <v>-0.25722531057754483</v>
      </c>
      <c r="F28" s="47">
        <f>F20/F6</f>
        <v>0</v>
      </c>
      <c r="G28" s="47">
        <f>G20/G6</f>
        <v>0</v>
      </c>
      <c r="J28" s="4" t="e">
        <f t="shared" ref="J28:Y28" si="43">J20/J5</f>
        <v>#DIV/0!</v>
      </c>
      <c r="K28" s="4" t="e">
        <f t="shared" si="43"/>
        <v>#DIV/0!</v>
      </c>
      <c r="L28" s="4" t="e">
        <f t="shared" si="43"/>
        <v>#DIV/0!</v>
      </c>
      <c r="M28" s="4" t="e">
        <f t="shared" si="43"/>
        <v>#DIV/0!</v>
      </c>
      <c r="N28" s="4">
        <f t="shared" si="43"/>
        <v>-0.57244115690436204</v>
      </c>
      <c r="O28" s="4">
        <f t="shared" si="43"/>
        <v>-0.62936176721218307</v>
      </c>
      <c r="P28" s="4">
        <f t="shared" si="43"/>
        <v>-0.4611696398076871</v>
      </c>
      <c r="Q28" s="4">
        <f t="shared" si="43"/>
        <v>-0.28706177914811076</v>
      </c>
      <c r="R28" s="4">
        <f t="shared" si="43"/>
        <v>-0.36045227852438416</v>
      </c>
      <c r="S28" s="4">
        <f t="shared" si="43"/>
        <v>-0.30323541907960216</v>
      </c>
      <c r="T28" s="4">
        <f t="shared" si="43"/>
        <v>-0.23019409050501652</v>
      </c>
      <c r="U28" s="4">
        <f t="shared" si="43"/>
        <v>-0.16657474324838367</v>
      </c>
      <c r="V28" s="4">
        <f t="shared" si="43"/>
        <v>-0.20321420693829587</v>
      </c>
      <c r="W28" s="7">
        <f t="shared" si="43"/>
        <v>-0.12295963377648239</v>
      </c>
      <c r="X28" s="4" t="e">
        <f t="shared" si="43"/>
        <v>#DIV/0!</v>
      </c>
      <c r="Y28" s="4" t="e">
        <f t="shared" si="43"/>
        <v>#DIV/0!</v>
      </c>
    </row>
    <row r="29" spans="2:25" x14ac:dyDescent="0.25">
      <c r="B29" t="s">
        <v>33</v>
      </c>
      <c r="C29" s="3"/>
      <c r="D29" s="39">
        <f>D5/C5-1</f>
        <v>0.2893563265537662</v>
      </c>
      <c r="E29" s="6">
        <f>E5/D5-1</f>
        <v>0.23311521403273638</v>
      </c>
      <c r="F29" s="48">
        <f>F6/E5-1</f>
        <v>0.28247633188468058</v>
      </c>
      <c r="G29" s="48">
        <f>G6/F6-1</f>
        <v>0.16631177974897549</v>
      </c>
      <c r="J29" s="4"/>
      <c r="K29" s="4"/>
      <c r="L29" s="4"/>
      <c r="M29" s="4"/>
      <c r="N29" s="4" t="e">
        <f t="shared" ref="N29:W29" si="44">N5/J5-1</f>
        <v>#DIV/0!</v>
      </c>
      <c r="O29" s="4" t="e">
        <f t="shared" si="44"/>
        <v>#DIV/0!</v>
      </c>
      <c r="P29" s="4" t="e">
        <f t="shared" si="44"/>
        <v>#DIV/0!</v>
      </c>
      <c r="Q29" s="4" t="e">
        <f t="shared" si="44"/>
        <v>#DIV/0!</v>
      </c>
      <c r="R29" s="4">
        <f t="shared" si="44"/>
        <v>0.24815471853517912</v>
      </c>
      <c r="S29" s="4">
        <f t="shared" si="44"/>
        <v>0.2513892833992466</v>
      </c>
      <c r="T29" s="4">
        <f t="shared" si="44"/>
        <v>0.2412579145101541</v>
      </c>
      <c r="U29" s="4">
        <f t="shared" si="44"/>
        <v>0.20086787712686993</v>
      </c>
      <c r="V29" s="128">
        <f t="shared" si="44"/>
        <v>0.23695765282166459</v>
      </c>
      <c r="W29" s="129">
        <f t="shared" si="44"/>
        <v>0.32605621096864712</v>
      </c>
      <c r="X29" s="4">
        <f>X6/T5-1</f>
        <v>0.30910553274351282</v>
      </c>
      <c r="Y29" s="4">
        <f>Y6/U5-1</f>
        <v>0.25908139977177647</v>
      </c>
    </row>
    <row r="30" spans="2:25" x14ac:dyDescent="0.25">
      <c r="B30" t="s">
        <v>65</v>
      </c>
      <c r="C30" s="4">
        <f>C9/C5</f>
        <v>0.50037963249828732</v>
      </c>
      <c r="D30" s="4">
        <f>D9/D5</f>
        <v>0.50635828760273516</v>
      </c>
      <c r="E30" s="7">
        <f>E9/E5</f>
        <v>0.3958170662926791</v>
      </c>
      <c r="F30" s="121"/>
      <c r="G30" s="121"/>
      <c r="J30" s="4" t="e">
        <f t="shared" ref="J30:Y30" si="45">J9/J5</f>
        <v>#DIV/0!</v>
      </c>
      <c r="K30" s="4" t="e">
        <f t="shared" si="45"/>
        <v>#DIV/0!</v>
      </c>
      <c r="L30" s="4" t="e">
        <f t="shared" si="45"/>
        <v>#DIV/0!</v>
      </c>
      <c r="M30" s="4" t="e">
        <f t="shared" si="45"/>
        <v>#DIV/0!</v>
      </c>
      <c r="N30" s="4">
        <f t="shared" si="45"/>
        <v>0.5458073304400165</v>
      </c>
      <c r="O30" s="4">
        <f t="shared" si="45"/>
        <v>0.56182402167500589</v>
      </c>
      <c r="P30" s="4">
        <f t="shared" si="45"/>
        <v>0.50565509812678977</v>
      </c>
      <c r="Q30" s="4">
        <f t="shared" si="45"/>
        <v>0.43504624871531367</v>
      </c>
      <c r="R30" s="4">
        <f t="shared" si="45"/>
        <v>0.46033045265923023</v>
      </c>
      <c r="S30" s="4">
        <f t="shared" si="45"/>
        <v>0.42193729374858135</v>
      </c>
      <c r="T30" s="4">
        <f t="shared" si="45"/>
        <v>0.3739417093510562</v>
      </c>
      <c r="U30" s="4">
        <f t="shared" si="45"/>
        <v>0.34579212628375816</v>
      </c>
      <c r="V30" s="4">
        <f t="shared" si="45"/>
        <v>0.36633033593745995</v>
      </c>
      <c r="W30" s="7">
        <f t="shared" si="45"/>
        <v>0.33183081035292467</v>
      </c>
      <c r="X30" s="4" t="e">
        <f t="shared" si="45"/>
        <v>#DIV/0!</v>
      </c>
      <c r="Y30" s="4" t="e">
        <f t="shared" si="45"/>
        <v>#DIV/0!</v>
      </c>
    </row>
    <row r="31" spans="2:25" x14ac:dyDescent="0.25">
      <c r="B31" t="s">
        <v>132</v>
      </c>
      <c r="C31" s="4">
        <f>C10/C5</f>
        <v>0.1406691131872112</v>
      </c>
      <c r="D31" s="4">
        <f>D10/D5</f>
        <v>0.11752721414780332</v>
      </c>
      <c r="E31" s="7">
        <f>E10/E5</f>
        <v>0.10136773506531289</v>
      </c>
      <c r="F31" s="121"/>
      <c r="G31" s="121"/>
      <c r="J31" s="4" t="e">
        <f t="shared" ref="J31:Y31" si="46">J10/J5</f>
        <v>#DIV/0!</v>
      </c>
      <c r="K31" s="4" t="e">
        <f t="shared" si="46"/>
        <v>#DIV/0!</v>
      </c>
      <c r="L31" s="4" t="e">
        <f t="shared" si="46"/>
        <v>#DIV/0!</v>
      </c>
      <c r="M31" s="4" t="e">
        <f t="shared" si="46"/>
        <v>#DIV/0!</v>
      </c>
      <c r="N31" s="4">
        <f t="shared" si="46"/>
        <v>0.13646371210441285</v>
      </c>
      <c r="O31" s="4">
        <f t="shared" si="46"/>
        <v>0.13137559085512851</v>
      </c>
      <c r="P31" s="4">
        <f t="shared" si="46"/>
        <v>0.11135485904947061</v>
      </c>
      <c r="Q31" s="4">
        <f t="shared" si="46"/>
        <v>9.8384149822998701E-2</v>
      </c>
      <c r="R31" s="4">
        <f t="shared" si="46"/>
        <v>0.11750485399931472</v>
      </c>
      <c r="S31" s="4">
        <f t="shared" si="46"/>
        <v>0.10093878952606554</v>
      </c>
      <c r="T31" s="4">
        <f t="shared" si="46"/>
        <v>9.5574228506116937E-2</v>
      </c>
      <c r="U31" s="4">
        <f t="shared" si="46"/>
        <v>9.483168505135034E-2</v>
      </c>
      <c r="V31" s="4">
        <f t="shared" si="46"/>
        <v>0.10252017214935341</v>
      </c>
      <c r="W31" s="7">
        <f t="shared" si="46"/>
        <v>0.10364336219874561</v>
      </c>
      <c r="X31" s="4" t="e">
        <f t="shared" si="46"/>
        <v>#DIV/0!</v>
      </c>
      <c r="Y31" s="4" t="e">
        <f t="shared" si="46"/>
        <v>#DIV/0!</v>
      </c>
    </row>
    <row r="32" spans="2:25" x14ac:dyDescent="0.25">
      <c r="B32" t="s">
        <v>133</v>
      </c>
      <c r="C32" s="4">
        <f>C8/C5</f>
        <v>0.4136816061509192</v>
      </c>
      <c r="D32" s="4">
        <f>D8/D5</f>
        <v>0.36147055389441946</v>
      </c>
      <c r="E32" s="7">
        <f>E8/E5</f>
        <v>0.28188900309170978</v>
      </c>
      <c r="F32" s="121"/>
      <c r="G32" s="121"/>
      <c r="J32" s="4" t="e">
        <f t="shared" ref="J32:Y32" si="47">J8/J5</f>
        <v>#DIV/0!</v>
      </c>
      <c r="K32" s="4" t="e">
        <f t="shared" si="47"/>
        <v>#DIV/0!</v>
      </c>
      <c r="L32" s="4" t="e">
        <f t="shared" si="47"/>
        <v>#DIV/0!</v>
      </c>
      <c r="M32" s="4" t="e">
        <f t="shared" si="47"/>
        <v>#DIV/0!</v>
      </c>
      <c r="N32" s="4">
        <f t="shared" si="47"/>
        <v>0.42250609814046314</v>
      </c>
      <c r="O32" s="4">
        <f t="shared" si="47"/>
        <v>0.40542312146306286</v>
      </c>
      <c r="P32" s="4">
        <f t="shared" si="47"/>
        <v>0.3519428316212595</v>
      </c>
      <c r="Q32" s="4">
        <f t="shared" si="47"/>
        <v>0.29129268014160115</v>
      </c>
      <c r="R32" s="4">
        <f t="shared" si="47"/>
        <v>0.33375845484194361</v>
      </c>
      <c r="S32" s="4">
        <f t="shared" si="47"/>
        <v>0.29516869692754505</v>
      </c>
      <c r="T32" s="4">
        <f t="shared" si="47"/>
        <v>0.26830842822672823</v>
      </c>
      <c r="U32" s="4">
        <f t="shared" si="47"/>
        <v>0.24437523773297845</v>
      </c>
      <c r="V32" s="4">
        <f t="shared" si="47"/>
        <v>0.2503552247533945</v>
      </c>
      <c r="W32" s="7">
        <f t="shared" si="47"/>
        <v>0.22454013579764659</v>
      </c>
      <c r="X32" s="4" t="e">
        <f t="shared" si="47"/>
        <v>#DIV/0!</v>
      </c>
      <c r="Y32" s="4" t="e">
        <f t="shared" si="47"/>
        <v>#DIV/0!</v>
      </c>
    </row>
    <row r="33" spans="2:25" x14ac:dyDescent="0.25">
      <c r="B33" t="s">
        <v>150</v>
      </c>
      <c r="C33" s="4"/>
      <c r="D33" s="4">
        <f>D3/C3-1</f>
        <v>0.32114673113551739</v>
      </c>
      <c r="E33" s="7">
        <f>E3/D3-1</f>
        <v>0.23534041299184394</v>
      </c>
      <c r="F33" s="121"/>
      <c r="G33" s="121"/>
      <c r="J33" s="4"/>
      <c r="K33" s="4"/>
      <c r="L33" s="4"/>
      <c r="M33" s="4"/>
      <c r="N33" s="4"/>
      <c r="O33" s="4"/>
      <c r="P33" s="4"/>
      <c r="Q33" s="4"/>
      <c r="R33" s="4"/>
      <c r="S33" s="4"/>
      <c r="T33" s="4"/>
      <c r="U33" s="4"/>
      <c r="V33" s="4"/>
      <c r="W33" s="7"/>
      <c r="X33" s="4"/>
      <c r="Y33" s="4"/>
    </row>
    <row r="34" spans="2:25" x14ac:dyDescent="0.25">
      <c r="B34" t="s">
        <v>151</v>
      </c>
      <c r="C34" s="4"/>
      <c r="D34" s="4">
        <f>D4/C4-1</f>
        <v>-0.17450760281661393</v>
      </c>
      <c r="E34" s="7">
        <f>E4/D4-1</f>
        <v>0.1811513578110191</v>
      </c>
      <c r="F34" s="121"/>
      <c r="G34" s="121"/>
      <c r="J34" s="4"/>
      <c r="K34" s="4"/>
      <c r="L34" s="4"/>
      <c r="M34" s="4"/>
      <c r="N34" s="4"/>
      <c r="O34" s="4"/>
      <c r="P34" s="4"/>
      <c r="Q34" s="4"/>
      <c r="R34" s="4"/>
      <c r="S34" s="4"/>
      <c r="T34" s="4"/>
      <c r="U34" s="4"/>
      <c r="V34" s="4"/>
      <c r="W34" s="7"/>
      <c r="X34" s="4"/>
      <c r="Y34" s="4"/>
    </row>
    <row r="35" spans="2:25" x14ac:dyDescent="0.25">
      <c r="B35" t="s">
        <v>158</v>
      </c>
      <c r="C35" s="3"/>
      <c r="D35" s="39">
        <f>D20/C20-1</f>
        <v>0.11840065377543274</v>
      </c>
      <c r="E35" s="6">
        <f>E26/D26-1</f>
        <v>0.21046827980722593</v>
      </c>
      <c r="F35" s="56">
        <f>F25/E26-1</f>
        <v>-0.22629338311345071</v>
      </c>
      <c r="G35" s="56">
        <f>G25/F25-1</f>
        <v>0.2807017543859649</v>
      </c>
      <c r="J35" s="4"/>
      <c r="K35" s="4"/>
      <c r="L35" s="4"/>
      <c r="M35" s="4"/>
      <c r="N35" s="4" t="e">
        <f>N20/J20-1</f>
        <v>#DIV/0!</v>
      </c>
      <c r="O35" s="4" t="e">
        <f>O20/K20-1</f>
        <v>#DIV/0!</v>
      </c>
      <c r="P35" s="4" t="e">
        <f>P20/L20-1</f>
        <v>#DIV/0!</v>
      </c>
      <c r="Q35" s="4" t="e">
        <f t="shared" ref="Q35:U35" si="48">Q26/M26-1</f>
        <v>#DIV/0!</v>
      </c>
      <c r="R35" s="130">
        <f t="shared" si="48"/>
        <v>0.13936517187503417</v>
      </c>
      <c r="S35" s="130">
        <f t="shared" si="48"/>
        <v>0.13291102220310091</v>
      </c>
      <c r="T35" s="130">
        <f t="shared" si="48"/>
        <v>0.38673620076558857</v>
      </c>
      <c r="U35" s="130">
        <f t="shared" si="48"/>
        <v>0.19209373307734157</v>
      </c>
      <c r="V35" s="128">
        <f>V26/R26-1</f>
        <v>0.13208857526124196</v>
      </c>
      <c r="W35" s="129">
        <f>W22/S22-1</f>
        <v>0.69521031335278138</v>
      </c>
      <c r="X35" s="4">
        <f>X25/T26-1</f>
        <v>-0.12082049178718557</v>
      </c>
      <c r="Y35" s="4">
        <f>Y25/U26-1</f>
        <v>-0.19161676646706505</v>
      </c>
    </row>
    <row r="38" spans="2:25" s="1" customFormat="1" x14ac:dyDescent="0.25">
      <c r="B38" s="1" t="s">
        <v>39</v>
      </c>
      <c r="C38" s="11">
        <f t="shared" ref="C38" si="49">C39-C58</f>
        <v>0</v>
      </c>
      <c r="D38" s="11">
        <f>D39-D58</f>
        <v>-62.843000000000004</v>
      </c>
      <c r="E38" s="14">
        <f>E39-E58</f>
        <v>-52.414999999999992</v>
      </c>
      <c r="F38" s="11">
        <f t="shared" ref="F38:G38" si="50">F39-F58</f>
        <v>0</v>
      </c>
      <c r="G38" s="11">
        <f t="shared" si="50"/>
        <v>0</v>
      </c>
      <c r="J38" s="11">
        <f t="shared" ref="J38:Y38" si="51">J39-J58</f>
        <v>0</v>
      </c>
      <c r="K38" s="11">
        <f t="shared" si="51"/>
        <v>0</v>
      </c>
      <c r="L38" s="11">
        <f t="shared" si="51"/>
        <v>0</v>
      </c>
      <c r="M38" s="11">
        <f t="shared" si="51"/>
        <v>0</v>
      </c>
      <c r="N38" s="11">
        <f t="shared" si="51"/>
        <v>0</v>
      </c>
      <c r="O38" s="11">
        <f t="shared" si="51"/>
        <v>0</v>
      </c>
      <c r="P38" s="11">
        <f t="shared" si="51"/>
        <v>0</v>
      </c>
      <c r="Q38" s="11">
        <f t="shared" si="51"/>
        <v>-62.843000000000004</v>
      </c>
      <c r="R38" s="11">
        <f t="shared" si="51"/>
        <v>-76.046000000000006</v>
      </c>
      <c r="S38" s="11">
        <f t="shared" si="51"/>
        <v>-66.876000000000005</v>
      </c>
      <c r="T38" s="11">
        <f t="shared" si="51"/>
        <v>-63.248000000000005</v>
      </c>
      <c r="U38" s="11">
        <f t="shared" si="51"/>
        <v>-52.414999999999992</v>
      </c>
      <c r="V38" s="11">
        <f t="shared" si="51"/>
        <v>-42.599999999999994</v>
      </c>
      <c r="W38" s="14">
        <f t="shared" si="51"/>
        <v>-29.646999999999991</v>
      </c>
      <c r="X38" s="11">
        <f t="shared" si="51"/>
        <v>0</v>
      </c>
      <c r="Y38" s="11">
        <f t="shared" si="51"/>
        <v>0</v>
      </c>
    </row>
    <row r="39" spans="2:25" x14ac:dyDescent="0.25">
      <c r="B39" t="s">
        <v>24</v>
      </c>
      <c r="C39" s="10"/>
      <c r="D39" s="10">
        <v>121.11</v>
      </c>
      <c r="E39" s="15">
        <v>131.732</v>
      </c>
      <c r="J39" s="10"/>
      <c r="K39" s="10"/>
      <c r="L39" s="10"/>
      <c r="M39" s="10"/>
      <c r="N39" s="10"/>
      <c r="O39" s="10"/>
      <c r="P39" s="10"/>
      <c r="Q39" s="10">
        <f>D39</f>
        <v>121.11</v>
      </c>
      <c r="R39" s="10">
        <v>107.794</v>
      </c>
      <c r="S39" s="10">
        <v>117.066</v>
      </c>
      <c r="T39" s="10">
        <v>120.79600000000001</v>
      </c>
      <c r="U39" s="10">
        <f>E39</f>
        <v>131.732</v>
      </c>
      <c r="V39" s="10">
        <v>141.649</v>
      </c>
      <c r="W39" s="15">
        <v>154.70400000000001</v>
      </c>
      <c r="X39" s="10"/>
      <c r="Y39" s="10"/>
    </row>
    <row r="40" spans="2:25" x14ac:dyDescent="0.25">
      <c r="B40" t="s">
        <v>25</v>
      </c>
      <c r="C40" s="10"/>
      <c r="D40" s="10">
        <v>106.322</v>
      </c>
      <c r="E40" s="15">
        <v>170.131</v>
      </c>
      <c r="J40" s="10"/>
      <c r="K40" s="10"/>
      <c r="L40" s="10"/>
      <c r="M40" s="10"/>
      <c r="N40" s="10"/>
      <c r="O40" s="10"/>
      <c r="P40" s="10"/>
      <c r="Q40" s="10">
        <f t="shared" ref="Q40:Q42" si="52">D40</f>
        <v>106.322</v>
      </c>
      <c r="R40" s="10">
        <v>109.405</v>
      </c>
      <c r="S40" s="10">
        <v>122.023</v>
      </c>
      <c r="T40" s="10">
        <v>140.40799999999999</v>
      </c>
      <c r="U40" s="10">
        <f t="shared" ref="U40:U42" si="53">E40</f>
        <v>170.131</v>
      </c>
      <c r="V40" s="10">
        <v>160.59100000000001</v>
      </c>
      <c r="W40" s="15">
        <v>182.80099999999999</v>
      </c>
      <c r="X40" s="10"/>
      <c r="Y40" s="10"/>
    </row>
    <row r="41" spans="2:25" x14ac:dyDescent="0.25">
      <c r="B41" t="s">
        <v>75</v>
      </c>
      <c r="C41" s="10"/>
      <c r="D41" s="10">
        <v>7.15</v>
      </c>
      <c r="E41" s="15">
        <v>6.2690000000000001</v>
      </c>
      <c r="J41" s="10"/>
      <c r="K41" s="10"/>
      <c r="L41" s="10"/>
      <c r="M41" s="10"/>
      <c r="N41" s="10"/>
      <c r="O41" s="10"/>
      <c r="P41" s="10"/>
      <c r="Q41" s="10">
        <f t="shared" si="52"/>
        <v>7.15</v>
      </c>
      <c r="R41" s="10">
        <v>6.6059999999999999</v>
      </c>
      <c r="S41" s="10">
        <v>5.3929999999999998</v>
      </c>
      <c r="T41" s="10">
        <v>6.4930000000000003</v>
      </c>
      <c r="U41" s="10">
        <f t="shared" si="53"/>
        <v>6.2690000000000001</v>
      </c>
      <c r="V41" s="10">
        <v>7.3940000000000001</v>
      </c>
      <c r="W41" s="15">
        <v>8.6029999999999998</v>
      </c>
      <c r="X41" s="10"/>
      <c r="Y41" s="10"/>
    </row>
    <row r="42" spans="2:25" x14ac:dyDescent="0.25">
      <c r="B42" t="s">
        <v>138</v>
      </c>
      <c r="C42" s="10"/>
      <c r="D42" s="10">
        <v>1.8660000000000001</v>
      </c>
      <c r="E42" s="15">
        <v>1.6220000000000001</v>
      </c>
      <c r="J42" s="10"/>
      <c r="K42" s="10"/>
      <c r="L42" s="10"/>
      <c r="M42" s="10"/>
      <c r="N42" s="10"/>
      <c r="O42" s="10"/>
      <c r="P42" s="10"/>
      <c r="Q42" s="10">
        <f t="shared" si="52"/>
        <v>1.8660000000000001</v>
      </c>
      <c r="R42" s="10">
        <v>2.2320000000000002</v>
      </c>
      <c r="S42" s="10">
        <v>2.0619999999999998</v>
      </c>
      <c r="T42" s="10">
        <v>1.835</v>
      </c>
      <c r="U42" s="10">
        <f t="shared" si="53"/>
        <v>1.6220000000000001</v>
      </c>
      <c r="V42" s="10">
        <v>1.2829999999999999</v>
      </c>
      <c r="W42" s="15">
        <v>1.4610000000000001</v>
      </c>
      <c r="X42" s="10"/>
      <c r="Y42" s="10"/>
    </row>
    <row r="43" spans="2:25" s="1" customFormat="1" x14ac:dyDescent="0.25">
      <c r="B43" s="1" t="s">
        <v>61</v>
      </c>
      <c r="C43" s="11">
        <f>SUM(C39:C42)</f>
        <v>0</v>
      </c>
      <c r="D43" s="11">
        <f>SUM(D39:D42)</f>
        <v>236.44800000000004</v>
      </c>
      <c r="E43" s="14">
        <f>SUM(E39:E42)</f>
        <v>309.75400000000002</v>
      </c>
      <c r="J43" s="11">
        <f t="shared" ref="J43:Y43" si="54">SUM(J39:J42)</f>
        <v>0</v>
      </c>
      <c r="K43" s="11">
        <f t="shared" si="54"/>
        <v>0</v>
      </c>
      <c r="L43" s="11">
        <f t="shared" si="54"/>
        <v>0</v>
      </c>
      <c r="M43" s="11">
        <f t="shared" si="54"/>
        <v>0</v>
      </c>
      <c r="N43" s="11">
        <f t="shared" si="54"/>
        <v>0</v>
      </c>
      <c r="O43" s="11">
        <f t="shared" si="54"/>
        <v>0</v>
      </c>
      <c r="P43" s="11">
        <f t="shared" si="54"/>
        <v>0</v>
      </c>
      <c r="Q43" s="11">
        <f t="shared" si="54"/>
        <v>236.44800000000004</v>
      </c>
      <c r="R43" s="11">
        <f t="shared" si="54"/>
        <v>226.03700000000001</v>
      </c>
      <c r="S43" s="11">
        <f t="shared" si="54"/>
        <v>246.54400000000001</v>
      </c>
      <c r="T43" s="11">
        <f t="shared" si="54"/>
        <v>269.53199999999998</v>
      </c>
      <c r="U43" s="11">
        <f t="shared" si="54"/>
        <v>309.75400000000002</v>
      </c>
      <c r="V43" s="11">
        <f t="shared" si="54"/>
        <v>310.91700000000003</v>
      </c>
      <c r="W43" s="14">
        <f t="shared" si="54"/>
        <v>347.56900000000002</v>
      </c>
      <c r="X43" s="11">
        <f t="shared" si="54"/>
        <v>0</v>
      </c>
      <c r="Y43" s="11">
        <f t="shared" si="54"/>
        <v>0</v>
      </c>
    </row>
    <row r="44" spans="2:25" x14ac:dyDescent="0.25">
      <c r="B44" t="s">
        <v>76</v>
      </c>
      <c r="C44" s="10"/>
      <c r="D44" s="10">
        <v>5.9809999999999999</v>
      </c>
      <c r="E44" s="15">
        <v>7.452</v>
      </c>
      <c r="J44" s="10"/>
      <c r="K44" s="10"/>
      <c r="L44" s="10"/>
      <c r="M44" s="10"/>
      <c r="N44" s="10"/>
      <c r="O44" s="10"/>
      <c r="P44" s="10"/>
      <c r="Q44" s="10">
        <f t="shared" ref="Q44:Q50" si="55">D44</f>
        <v>5.9809999999999999</v>
      </c>
      <c r="R44" s="10">
        <v>5.99</v>
      </c>
      <c r="S44" s="10">
        <v>6.673</v>
      </c>
      <c r="T44" s="10">
        <v>7.4560000000000004</v>
      </c>
      <c r="U44" s="10">
        <f t="shared" ref="U44:U50" si="56">E44</f>
        <v>7.452</v>
      </c>
      <c r="V44" s="10">
        <v>8.1170000000000009</v>
      </c>
      <c r="W44" s="15">
        <v>7.5289999999999999</v>
      </c>
      <c r="X44" s="10"/>
      <c r="Y44" s="10"/>
    </row>
    <row r="45" spans="2:25" x14ac:dyDescent="0.25">
      <c r="B45" t="s">
        <v>139</v>
      </c>
      <c r="C45" s="10"/>
      <c r="D45" s="10">
        <v>36.713000000000001</v>
      </c>
      <c r="E45" s="15">
        <v>32.124000000000002</v>
      </c>
      <c r="J45" s="10"/>
      <c r="K45" s="10"/>
      <c r="L45" s="10"/>
      <c r="M45" s="10"/>
      <c r="N45" s="10"/>
      <c r="O45" s="10"/>
      <c r="P45" s="10"/>
      <c r="Q45" s="10">
        <f t="shared" si="55"/>
        <v>36.713000000000001</v>
      </c>
      <c r="R45" s="10">
        <v>35.371000000000002</v>
      </c>
      <c r="S45" s="10">
        <v>34.481999999999999</v>
      </c>
      <c r="T45" s="10">
        <v>33.183</v>
      </c>
      <c r="U45" s="10">
        <f t="shared" si="56"/>
        <v>32.124000000000002</v>
      </c>
      <c r="V45" s="10">
        <v>31.119</v>
      </c>
      <c r="W45" s="15">
        <v>29.936</v>
      </c>
      <c r="X45" s="10"/>
      <c r="Y45" s="10"/>
    </row>
    <row r="46" spans="2:25" x14ac:dyDescent="0.25">
      <c r="B46" t="s">
        <v>78</v>
      </c>
      <c r="C46" s="10"/>
      <c r="D46" s="10">
        <v>7.3879999999999999</v>
      </c>
      <c r="E46" s="15">
        <v>6.6029999999999998</v>
      </c>
      <c r="J46" s="10"/>
      <c r="K46" s="10"/>
      <c r="L46" s="10"/>
      <c r="M46" s="10"/>
      <c r="N46" s="10"/>
      <c r="O46" s="10"/>
      <c r="P46" s="10"/>
      <c r="Q46" s="10">
        <f t="shared" si="55"/>
        <v>7.3879999999999999</v>
      </c>
      <c r="R46" s="10">
        <v>6.931</v>
      </c>
      <c r="S46" s="10">
        <v>6.4580000000000002</v>
      </c>
      <c r="T46" s="10">
        <v>5.9429999999999996</v>
      </c>
      <c r="U46" s="10">
        <f t="shared" si="56"/>
        <v>6.6029999999999998</v>
      </c>
      <c r="V46" s="10">
        <v>7.2080000000000002</v>
      </c>
      <c r="W46" s="15">
        <v>6.77</v>
      </c>
      <c r="X46" s="10"/>
      <c r="Y46" s="10"/>
    </row>
    <row r="47" spans="2:25" x14ac:dyDescent="0.25">
      <c r="B47" t="s">
        <v>140</v>
      </c>
      <c r="C47" s="10"/>
      <c r="D47" s="10">
        <v>44.357999999999997</v>
      </c>
      <c r="E47" s="15">
        <v>48.780999999999999</v>
      </c>
      <c r="J47" s="10"/>
      <c r="K47" s="10"/>
      <c r="L47" s="10"/>
      <c r="M47" s="10"/>
      <c r="N47" s="10"/>
      <c r="O47" s="10"/>
      <c r="P47" s="10"/>
      <c r="Q47" s="10">
        <f t="shared" si="55"/>
        <v>44.357999999999997</v>
      </c>
      <c r="R47" s="10">
        <v>50.826999999999998</v>
      </c>
      <c r="S47" s="10">
        <v>52.029000000000003</v>
      </c>
      <c r="T47" s="10">
        <v>50.098999999999997</v>
      </c>
      <c r="U47" s="10">
        <f t="shared" si="56"/>
        <v>48.780999999999999</v>
      </c>
      <c r="V47" s="10">
        <v>46.497</v>
      </c>
      <c r="W47" s="15">
        <v>44.838000000000001</v>
      </c>
      <c r="X47" s="10"/>
      <c r="Y47" s="10"/>
    </row>
    <row r="48" spans="2:25" s="1" customFormat="1" x14ac:dyDescent="0.25">
      <c r="B48" t="s">
        <v>27</v>
      </c>
      <c r="C48" s="10"/>
      <c r="D48" s="10">
        <v>133.06899999999999</v>
      </c>
      <c r="E48" s="15">
        <v>140.905</v>
      </c>
      <c r="J48" s="10"/>
      <c r="K48" s="10"/>
      <c r="L48" s="10"/>
      <c r="M48" s="10"/>
      <c r="N48" s="10"/>
      <c r="O48" s="10"/>
      <c r="P48" s="10"/>
      <c r="Q48" s="10">
        <f t="shared" si="55"/>
        <v>133.06899999999999</v>
      </c>
      <c r="R48" s="10">
        <v>141.018</v>
      </c>
      <c r="S48" s="10">
        <v>140.90299999999999</v>
      </c>
      <c r="T48" s="10">
        <v>140.89400000000001</v>
      </c>
      <c r="U48" s="10">
        <f t="shared" si="56"/>
        <v>140.905</v>
      </c>
      <c r="V48" s="10">
        <v>140.90299999999999</v>
      </c>
      <c r="W48" s="15">
        <v>140.90299999999999</v>
      </c>
      <c r="X48" s="10"/>
      <c r="Y48" s="10"/>
    </row>
    <row r="49" spans="2:25" s="1" customFormat="1" x14ac:dyDescent="0.25">
      <c r="B49" t="s">
        <v>141</v>
      </c>
      <c r="C49" s="10"/>
      <c r="D49" s="10">
        <v>0.745</v>
      </c>
      <c r="E49" s="15">
        <v>0.72799999999999998</v>
      </c>
      <c r="J49" s="10"/>
      <c r="K49" s="10"/>
      <c r="L49" s="10"/>
      <c r="M49" s="10"/>
      <c r="N49" s="10"/>
      <c r="O49" s="10"/>
      <c r="P49" s="10"/>
      <c r="Q49" s="10">
        <f t="shared" si="55"/>
        <v>0.745</v>
      </c>
      <c r="R49" s="10">
        <v>0.76</v>
      </c>
      <c r="S49" s="10">
        <v>0.77100000000000002</v>
      </c>
      <c r="T49" s="10">
        <v>0.83499999999999996</v>
      </c>
      <c r="U49" s="10">
        <f t="shared" si="56"/>
        <v>0.72799999999999998</v>
      </c>
      <c r="V49" s="10">
        <v>0.748</v>
      </c>
      <c r="W49" s="15">
        <v>0.79400000000000004</v>
      </c>
      <c r="X49" s="10"/>
      <c r="Y49" s="10"/>
    </row>
    <row r="50" spans="2:25" s="1" customFormat="1" x14ac:dyDescent="0.25">
      <c r="B50" t="s">
        <v>26</v>
      </c>
      <c r="C50" s="10"/>
      <c r="D50" s="10">
        <v>1.8</v>
      </c>
      <c r="E50" s="15">
        <v>4.367</v>
      </c>
      <c r="J50" s="10"/>
      <c r="K50" s="10"/>
      <c r="L50" s="10"/>
      <c r="M50" s="10"/>
      <c r="N50" s="10"/>
      <c r="O50" s="10"/>
      <c r="P50" s="10"/>
      <c r="Q50" s="10">
        <f t="shared" si="55"/>
        <v>1.8</v>
      </c>
      <c r="R50" s="10">
        <v>2.9169999999999998</v>
      </c>
      <c r="S50" s="10">
        <v>3.3460000000000001</v>
      </c>
      <c r="T50" s="10">
        <v>3.403</v>
      </c>
      <c r="U50" s="10">
        <f t="shared" si="56"/>
        <v>4.367</v>
      </c>
      <c r="V50" s="10">
        <v>4.7830000000000004</v>
      </c>
      <c r="W50" s="15">
        <v>5.5250000000000004</v>
      </c>
      <c r="X50" s="10"/>
      <c r="Y50" s="10"/>
    </row>
    <row r="51" spans="2:25" x14ac:dyDescent="0.25">
      <c r="B51" s="1" t="s">
        <v>28</v>
      </c>
      <c r="C51" s="11">
        <f>SUM(C43:C50)</f>
        <v>0</v>
      </c>
      <c r="D51" s="11">
        <f>SUM(D43:D50)</f>
        <v>466.50200000000001</v>
      </c>
      <c r="E51" s="14">
        <f>SUM(E43:E50)</f>
        <v>550.71399999999994</v>
      </c>
      <c r="J51" s="11">
        <f t="shared" ref="J51:T51" si="57">SUM(J43:J50)</f>
        <v>0</v>
      </c>
      <c r="K51" s="11">
        <f t="shared" si="57"/>
        <v>0</v>
      </c>
      <c r="L51" s="11">
        <f t="shared" si="57"/>
        <v>0</v>
      </c>
      <c r="M51" s="11">
        <f t="shared" si="57"/>
        <v>0</v>
      </c>
      <c r="N51" s="11">
        <f t="shared" si="57"/>
        <v>0</v>
      </c>
      <c r="O51" s="11">
        <f t="shared" si="57"/>
        <v>0</v>
      </c>
      <c r="P51" s="11">
        <f t="shared" si="57"/>
        <v>0</v>
      </c>
      <c r="Q51" s="11">
        <f t="shared" si="57"/>
        <v>466.50200000000001</v>
      </c>
      <c r="R51" s="11">
        <f t="shared" si="57"/>
        <v>469.85099999999994</v>
      </c>
      <c r="S51" s="11">
        <f t="shared" si="57"/>
        <v>491.20600000000007</v>
      </c>
      <c r="T51" s="11">
        <f t="shared" si="57"/>
        <v>511.34499999999997</v>
      </c>
      <c r="U51" s="11">
        <f t="shared" ref="U51:Y51" si="58">SUM(U43:U50)</f>
        <v>550.71399999999994</v>
      </c>
      <c r="V51" s="11">
        <f t="shared" si="58"/>
        <v>550.29200000000014</v>
      </c>
      <c r="W51" s="14">
        <f t="shared" si="58"/>
        <v>583.86399999999992</v>
      </c>
      <c r="X51" s="11">
        <f t="shared" si="58"/>
        <v>0</v>
      </c>
      <c r="Y51" s="11">
        <f t="shared" si="58"/>
        <v>0</v>
      </c>
    </row>
    <row r="52" spans="2:25" x14ac:dyDescent="0.25">
      <c r="B52" t="s">
        <v>30</v>
      </c>
      <c r="C52" s="10"/>
      <c r="D52" s="10">
        <v>33.667999999999999</v>
      </c>
      <c r="E52" s="15">
        <v>63.572000000000003</v>
      </c>
      <c r="J52" s="10"/>
      <c r="K52" s="10"/>
      <c r="L52" s="10"/>
      <c r="M52" s="10"/>
      <c r="N52" s="10"/>
      <c r="O52" s="10"/>
      <c r="P52" s="10"/>
      <c r="Q52" s="10">
        <f t="shared" ref="Q52:Q56" si="59">D52</f>
        <v>33.667999999999999</v>
      </c>
      <c r="R52" s="10">
        <v>38.484999999999999</v>
      </c>
      <c r="S52" s="10">
        <v>55.924999999999997</v>
      </c>
      <c r="T52" s="10">
        <v>59.173000000000002</v>
      </c>
      <c r="U52" s="10">
        <f t="shared" ref="U52:U56" si="60">E52</f>
        <v>63.572000000000003</v>
      </c>
      <c r="V52" s="10">
        <v>53.36</v>
      </c>
      <c r="W52" s="15">
        <v>46.533000000000001</v>
      </c>
      <c r="X52" s="10"/>
      <c r="Y52" s="10"/>
    </row>
    <row r="53" spans="2:25" x14ac:dyDescent="0.25">
      <c r="B53" t="s">
        <v>142</v>
      </c>
      <c r="C53" s="10"/>
      <c r="D53" s="10">
        <v>72.364000000000004</v>
      </c>
      <c r="E53" s="15">
        <v>85.454999999999998</v>
      </c>
      <c r="J53" s="10"/>
      <c r="K53" s="10"/>
      <c r="L53" s="10"/>
      <c r="M53" s="10"/>
      <c r="N53" s="10"/>
      <c r="O53" s="10"/>
      <c r="P53" s="10"/>
      <c r="Q53" s="10">
        <f t="shared" si="59"/>
        <v>72.364000000000004</v>
      </c>
      <c r="R53" s="10">
        <v>65.569999999999993</v>
      </c>
      <c r="S53" s="10">
        <v>64.462999999999994</v>
      </c>
      <c r="T53" s="10">
        <v>73.135000000000005</v>
      </c>
      <c r="U53" s="10">
        <f t="shared" si="60"/>
        <v>85.454999999999998</v>
      </c>
      <c r="V53" s="10">
        <v>83.533000000000001</v>
      </c>
      <c r="W53" s="15">
        <v>108.16800000000001</v>
      </c>
      <c r="X53" s="10"/>
      <c r="Y53" s="10"/>
    </row>
    <row r="54" spans="2:25" x14ac:dyDescent="0.25">
      <c r="B54" t="s">
        <v>143</v>
      </c>
      <c r="C54" s="10"/>
      <c r="D54" s="10">
        <v>14.743</v>
      </c>
      <c r="E54" s="15">
        <v>17.234000000000002</v>
      </c>
      <c r="J54" s="10"/>
      <c r="K54" s="10"/>
      <c r="L54" s="10"/>
      <c r="M54" s="10"/>
      <c r="N54" s="10"/>
      <c r="O54" s="10"/>
      <c r="P54" s="10"/>
      <c r="Q54" s="10">
        <f t="shared" si="59"/>
        <v>14.743</v>
      </c>
      <c r="R54" s="10">
        <v>15.91</v>
      </c>
      <c r="S54" s="10">
        <v>19.164999999999999</v>
      </c>
      <c r="T54" s="10">
        <v>21.812000000000001</v>
      </c>
      <c r="U54" s="10">
        <f t="shared" si="60"/>
        <v>17.234000000000002</v>
      </c>
      <c r="V54" s="10">
        <v>15.515000000000001</v>
      </c>
      <c r="W54" s="15">
        <v>11.414</v>
      </c>
      <c r="X54" s="10"/>
      <c r="Y54" s="10"/>
    </row>
    <row r="55" spans="2:25" x14ac:dyDescent="0.25">
      <c r="B55" t="s">
        <v>144</v>
      </c>
      <c r="C55" s="10"/>
      <c r="D55" s="10">
        <v>2.2280000000000002</v>
      </c>
      <c r="E55" s="15">
        <v>3.3010000000000002</v>
      </c>
      <c r="J55" s="10"/>
      <c r="K55" s="10"/>
      <c r="L55" s="10"/>
      <c r="M55" s="10"/>
      <c r="N55" s="10"/>
      <c r="O55" s="10"/>
      <c r="P55" s="10"/>
      <c r="Q55" s="10">
        <f t="shared" si="59"/>
        <v>2.2280000000000002</v>
      </c>
      <c r="R55" s="10">
        <v>3.7080000000000002</v>
      </c>
      <c r="S55" s="10">
        <v>3.3809999999999998</v>
      </c>
      <c r="T55" s="10">
        <v>2.3319999999999999</v>
      </c>
      <c r="U55" s="10">
        <f t="shared" si="60"/>
        <v>3.3010000000000002</v>
      </c>
      <c r="V55" s="10">
        <v>4.4550000000000001</v>
      </c>
      <c r="W55" s="15">
        <v>3.6829999999999998</v>
      </c>
      <c r="X55" s="10"/>
      <c r="Y55" s="10"/>
    </row>
    <row r="56" spans="2:25" x14ac:dyDescent="0.25">
      <c r="B56" t="s">
        <v>26</v>
      </c>
      <c r="C56" s="10"/>
      <c r="D56" s="10">
        <v>5.7069999999999999</v>
      </c>
      <c r="E56" s="15">
        <v>6.8230000000000004</v>
      </c>
      <c r="J56" s="10"/>
      <c r="K56" s="10"/>
      <c r="L56" s="10"/>
      <c r="M56" s="10"/>
      <c r="N56" s="10"/>
      <c r="O56" s="10"/>
      <c r="P56" s="10"/>
      <c r="Q56" s="10">
        <f t="shared" si="59"/>
        <v>5.7069999999999999</v>
      </c>
      <c r="R56" s="10">
        <v>6.3719999999999999</v>
      </c>
      <c r="S56" s="10">
        <v>4.3559999999999999</v>
      </c>
      <c r="T56" s="10">
        <v>6.0860000000000003</v>
      </c>
      <c r="U56" s="10">
        <f t="shared" si="60"/>
        <v>6.8230000000000004</v>
      </c>
      <c r="V56" s="10">
        <v>7.5640000000000001</v>
      </c>
      <c r="W56" s="15">
        <v>6.1529999999999996</v>
      </c>
      <c r="X56" s="10"/>
      <c r="Y56" s="10"/>
    </row>
    <row r="57" spans="2:25" s="1" customFormat="1" x14ac:dyDescent="0.25">
      <c r="B57" s="1" t="s">
        <v>62</v>
      </c>
      <c r="C57" s="11">
        <f>SUM(C52:C56)</f>
        <v>0</v>
      </c>
      <c r="D57" s="11">
        <f>SUM(D52:D56)</f>
        <v>128.71</v>
      </c>
      <c r="E57" s="14">
        <f>SUM(E52:E56)</f>
        <v>176.38499999999999</v>
      </c>
      <c r="J57" s="11">
        <f t="shared" ref="J57:T57" si="61">SUM(J52:J56)</f>
        <v>0</v>
      </c>
      <c r="K57" s="11">
        <f t="shared" si="61"/>
        <v>0</v>
      </c>
      <c r="L57" s="11">
        <f t="shared" si="61"/>
        <v>0</v>
      </c>
      <c r="M57" s="11">
        <f t="shared" si="61"/>
        <v>0</v>
      </c>
      <c r="N57" s="11">
        <f t="shared" si="61"/>
        <v>0</v>
      </c>
      <c r="O57" s="11">
        <f t="shared" si="61"/>
        <v>0</v>
      </c>
      <c r="P57" s="11">
        <f t="shared" si="61"/>
        <v>0</v>
      </c>
      <c r="Q57" s="11">
        <f t="shared" si="61"/>
        <v>128.71</v>
      </c>
      <c r="R57" s="11">
        <f t="shared" si="61"/>
        <v>130.04499999999999</v>
      </c>
      <c r="S57" s="11">
        <f t="shared" si="61"/>
        <v>147.29</v>
      </c>
      <c r="T57" s="11">
        <f t="shared" si="61"/>
        <v>162.53800000000001</v>
      </c>
      <c r="U57" s="11">
        <f t="shared" ref="U57:Y57" si="62">SUM(U52:U56)</f>
        <v>176.38499999999999</v>
      </c>
      <c r="V57" s="11">
        <f t="shared" si="62"/>
        <v>164.42700000000002</v>
      </c>
      <c r="W57" s="14">
        <f t="shared" si="62"/>
        <v>175.95099999999999</v>
      </c>
      <c r="X57" s="11">
        <f t="shared" si="62"/>
        <v>0</v>
      </c>
      <c r="Y57" s="11">
        <f t="shared" si="62"/>
        <v>0</v>
      </c>
    </row>
    <row r="58" spans="2:25" x14ac:dyDescent="0.25">
      <c r="B58" t="s">
        <v>145</v>
      </c>
      <c r="C58" s="10"/>
      <c r="D58" s="10">
        <v>183.953</v>
      </c>
      <c r="E58" s="15">
        <v>184.14699999999999</v>
      </c>
      <c r="J58" s="10"/>
      <c r="K58" s="10"/>
      <c r="L58" s="10"/>
      <c r="M58" s="10"/>
      <c r="N58" s="10"/>
      <c r="O58" s="10"/>
      <c r="P58" s="10"/>
      <c r="Q58" s="10">
        <f t="shared" ref="Q58:Q60" si="63">D58</f>
        <v>183.953</v>
      </c>
      <c r="R58" s="10">
        <v>183.84</v>
      </c>
      <c r="S58" s="10">
        <v>183.94200000000001</v>
      </c>
      <c r="T58" s="10">
        <v>184.04400000000001</v>
      </c>
      <c r="U58" s="10">
        <f t="shared" ref="U58:U60" si="64">E58</f>
        <v>184.14699999999999</v>
      </c>
      <c r="V58" s="10">
        <v>184.249</v>
      </c>
      <c r="W58" s="15">
        <v>184.351</v>
      </c>
      <c r="X58" s="10"/>
      <c r="Y58" s="10"/>
    </row>
    <row r="59" spans="2:25" x14ac:dyDescent="0.25">
      <c r="B59" t="s">
        <v>143</v>
      </c>
      <c r="C59" s="10"/>
      <c r="D59" s="10">
        <v>17.931999999999999</v>
      </c>
      <c r="E59" s="15">
        <v>3.06</v>
      </c>
      <c r="J59" s="10"/>
      <c r="K59" s="10"/>
      <c r="L59" s="10"/>
      <c r="M59" s="10"/>
      <c r="N59" s="10"/>
      <c r="O59" s="10"/>
      <c r="P59" s="10"/>
      <c r="Q59" s="10">
        <f t="shared" si="63"/>
        <v>17.931999999999999</v>
      </c>
      <c r="R59" s="10">
        <v>18.576000000000001</v>
      </c>
      <c r="S59" s="10">
        <v>15.583</v>
      </c>
      <c r="T59" s="10">
        <v>8.4809999999999999</v>
      </c>
      <c r="U59" s="10">
        <f t="shared" si="64"/>
        <v>3.06</v>
      </c>
      <c r="V59" s="10">
        <v>3.11</v>
      </c>
      <c r="W59" s="15">
        <v>0</v>
      </c>
      <c r="X59" s="10"/>
      <c r="Y59" s="10"/>
    </row>
    <row r="60" spans="2:25" x14ac:dyDescent="0.25">
      <c r="B60" t="s">
        <v>26</v>
      </c>
      <c r="C60" s="10"/>
      <c r="D60" s="10">
        <v>7.8769999999999998</v>
      </c>
      <c r="E60" s="15">
        <v>6.6020000000000003</v>
      </c>
      <c r="J60" s="10"/>
      <c r="K60" s="10"/>
      <c r="L60" s="10"/>
      <c r="M60" s="10"/>
      <c r="N60" s="10"/>
      <c r="O60" s="10"/>
      <c r="P60" s="10"/>
      <c r="Q60" s="10">
        <f t="shared" si="63"/>
        <v>7.8769999999999998</v>
      </c>
      <c r="R60" s="10">
        <v>7.4640000000000004</v>
      </c>
      <c r="S60" s="10">
        <v>7.0430000000000001</v>
      </c>
      <c r="T60" s="10">
        <v>6.5039999999999996</v>
      </c>
      <c r="U60" s="10">
        <f t="shared" si="64"/>
        <v>6.6020000000000003</v>
      </c>
      <c r="V60" s="10">
        <v>6.9050000000000002</v>
      </c>
      <c r="W60" s="15">
        <v>6.516</v>
      </c>
      <c r="X60" s="10"/>
      <c r="Y60" s="10"/>
    </row>
    <row r="61" spans="2:25" x14ac:dyDescent="0.25">
      <c r="B61" s="1" t="s">
        <v>29</v>
      </c>
      <c r="C61" s="11">
        <f>SUM(C57:C60)</f>
        <v>0</v>
      </c>
      <c r="D61" s="11">
        <f>SUM(D57:D60)</f>
        <v>338.47200000000004</v>
      </c>
      <c r="E61" s="14">
        <f>SUM(E57:E60)</f>
        <v>370.19399999999996</v>
      </c>
      <c r="J61" s="11">
        <f t="shared" ref="J61:Y61" si="65">SUM(J57:J60)</f>
        <v>0</v>
      </c>
      <c r="K61" s="11">
        <f t="shared" si="65"/>
        <v>0</v>
      </c>
      <c r="L61" s="11">
        <f t="shared" si="65"/>
        <v>0</v>
      </c>
      <c r="M61" s="11">
        <f t="shared" si="65"/>
        <v>0</v>
      </c>
      <c r="N61" s="11">
        <f t="shared" si="65"/>
        <v>0</v>
      </c>
      <c r="O61" s="11">
        <f t="shared" si="65"/>
        <v>0</v>
      </c>
      <c r="P61" s="11">
        <f t="shared" si="65"/>
        <v>0</v>
      </c>
      <c r="Q61" s="11">
        <f t="shared" si="65"/>
        <v>338.47200000000004</v>
      </c>
      <c r="R61" s="11">
        <f t="shared" si="65"/>
        <v>339.92500000000001</v>
      </c>
      <c r="S61" s="11">
        <f t="shared" si="65"/>
        <v>353.858</v>
      </c>
      <c r="T61" s="11">
        <f t="shared" si="65"/>
        <v>361.56700000000001</v>
      </c>
      <c r="U61" s="11">
        <f t="shared" si="65"/>
        <v>370.19399999999996</v>
      </c>
      <c r="V61" s="11">
        <f t="shared" si="65"/>
        <v>358.69100000000003</v>
      </c>
      <c r="W61" s="14">
        <f t="shared" si="65"/>
        <v>366.81800000000004</v>
      </c>
      <c r="X61" s="11">
        <f t="shared" si="65"/>
        <v>0</v>
      </c>
      <c r="Y61" s="11">
        <f t="shared" si="65"/>
        <v>0</v>
      </c>
    </row>
    <row r="62" spans="2:25" x14ac:dyDescent="0.25">
      <c r="B62" t="s">
        <v>77</v>
      </c>
      <c r="C62" s="10">
        <f>C51-C61</f>
        <v>0</v>
      </c>
      <c r="D62" s="10">
        <f>D51-D61</f>
        <v>128.02999999999997</v>
      </c>
      <c r="E62" s="15">
        <f>E51-E61</f>
        <v>180.51999999999998</v>
      </c>
      <c r="J62" s="10">
        <f t="shared" ref="J62:Y62" si="66">J51-J61</f>
        <v>0</v>
      </c>
      <c r="K62" s="10">
        <f t="shared" si="66"/>
        <v>0</v>
      </c>
      <c r="L62" s="10">
        <f t="shared" si="66"/>
        <v>0</v>
      </c>
      <c r="M62" s="10">
        <f t="shared" si="66"/>
        <v>0</v>
      </c>
      <c r="N62" s="10">
        <f t="shared" si="66"/>
        <v>0</v>
      </c>
      <c r="O62" s="10">
        <f t="shared" si="66"/>
        <v>0</v>
      </c>
      <c r="P62" s="10">
        <f t="shared" si="66"/>
        <v>0</v>
      </c>
      <c r="Q62" s="10">
        <f t="shared" si="66"/>
        <v>128.02999999999997</v>
      </c>
      <c r="R62" s="10">
        <f t="shared" si="66"/>
        <v>129.92599999999993</v>
      </c>
      <c r="S62" s="10">
        <f t="shared" si="66"/>
        <v>137.34800000000007</v>
      </c>
      <c r="T62" s="10">
        <f t="shared" si="66"/>
        <v>149.77799999999996</v>
      </c>
      <c r="U62" s="10">
        <f t="shared" si="66"/>
        <v>180.51999999999998</v>
      </c>
      <c r="V62" s="10">
        <f t="shared" si="66"/>
        <v>191.60100000000011</v>
      </c>
      <c r="W62" s="15">
        <f t="shared" si="66"/>
        <v>217.04599999999988</v>
      </c>
      <c r="X62" s="10">
        <f t="shared" si="66"/>
        <v>0</v>
      </c>
      <c r="Y62" s="10">
        <f t="shared" si="66"/>
        <v>0</v>
      </c>
    </row>
    <row r="64" spans="2:25" s="1" customFormat="1" x14ac:dyDescent="0.25">
      <c r="B64" s="1" t="s">
        <v>79</v>
      </c>
      <c r="C64" s="51"/>
      <c r="D64" s="51"/>
      <c r="E64" s="52"/>
      <c r="W64" s="16"/>
    </row>
    <row r="82" spans="5:23" s="9" customFormat="1" x14ac:dyDescent="0.25">
      <c r="E82" s="41"/>
      <c r="W82" s="41"/>
    </row>
    <row r="83" spans="5:23" s="1" customFormat="1" x14ac:dyDescent="0.25">
      <c r="E83" s="16"/>
      <c r="W83"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9" sqref="W49"/>
    </sheetView>
  </sheetViews>
  <sheetFormatPr defaultRowHeight="15" x14ac:dyDescent="0.25"/>
  <sheetData>
    <row r="1" spans="1:1" x14ac:dyDescent="0.25">
      <c r="A1" s="8" t="s">
        <v>38</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38</v>
      </c>
      <c r="B1" t="s">
        <v>51</v>
      </c>
      <c r="C1" s="17" t="s">
        <v>52</v>
      </c>
    </row>
    <row r="2" spans="1:13" x14ac:dyDescent="0.25">
      <c r="B2" s="12"/>
      <c r="C2" s="18"/>
      <c r="E2" t="s">
        <v>51</v>
      </c>
      <c r="F2" t="s">
        <v>53</v>
      </c>
      <c r="M2" t="s">
        <v>54</v>
      </c>
    </row>
    <row r="3" spans="1:13" x14ac:dyDescent="0.25">
      <c r="B3" s="12"/>
      <c r="C3" s="18"/>
      <c r="E3" s="12">
        <v>45328</v>
      </c>
      <c r="F3" t="s">
        <v>56</v>
      </c>
      <c r="M3" s="12"/>
    </row>
    <row r="4" spans="1:13" x14ac:dyDescent="0.25">
      <c r="B4" s="12"/>
      <c r="C4" s="18"/>
      <c r="E4" s="12">
        <v>45302</v>
      </c>
      <c r="F4" t="s">
        <v>56</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38</v>
      </c>
      <c r="B1" s="1" t="s">
        <v>51</v>
      </c>
      <c r="C1" s="1" t="s">
        <v>0</v>
      </c>
      <c r="D1" s="1" t="s">
        <v>92</v>
      </c>
      <c r="H1" s="142" t="s">
        <v>93</v>
      </c>
      <c r="I1" s="143"/>
      <c r="J1" s="143"/>
      <c r="K1" s="143"/>
      <c r="L1" s="143"/>
      <c r="M1" s="144"/>
    </row>
    <row r="2" spans="1:13" ht="15.75" thickBot="1" x14ac:dyDescent="0.3">
      <c r="D2" t="e">
        <f>C2/C3-1</f>
        <v>#DIV/0!</v>
      </c>
      <c r="H2" s="61"/>
      <c r="I2" s="62"/>
      <c r="J2" s="62"/>
      <c r="K2" s="62"/>
      <c r="L2" s="62"/>
      <c r="M2" s="63"/>
    </row>
    <row r="3" spans="1:13" ht="15.75" thickBot="1" x14ac:dyDescent="0.3">
      <c r="D3" t="e">
        <f t="shared" ref="D3:D66" si="0">C3/C4-1</f>
        <v>#DIV/0!</v>
      </c>
      <c r="H3" s="64" t="s">
        <v>94</v>
      </c>
      <c r="I3" s="65" t="s">
        <v>95</v>
      </c>
      <c r="J3" s="66" t="s">
        <v>96</v>
      </c>
      <c r="K3" s="67" t="s">
        <v>97</v>
      </c>
      <c r="L3" s="67" t="s">
        <v>98</v>
      </c>
      <c r="M3" s="68" t="s">
        <v>99</v>
      </c>
    </row>
    <row r="4" spans="1:13" x14ac:dyDescent="0.25">
      <c r="D4" t="e">
        <f t="shared" si="0"/>
        <v>#DIV/0!</v>
      </c>
      <c r="H4" s="69" t="e">
        <f>$I$19-3*$I$23</f>
        <v>#DIV/0!</v>
      </c>
      <c r="I4" s="70" t="e">
        <f>H4</f>
        <v>#DIV/0!</v>
      </c>
      <c r="J4" s="71">
        <f>COUNTIF(D:D,"&lt;="&amp;H4)</f>
        <v>67</v>
      </c>
      <c r="K4" s="71" t="e">
        <f>"Less than "&amp;TEXT(H4,"0,00%")</f>
        <v>#DIV/0!</v>
      </c>
      <c r="L4" s="72" t="e">
        <f>J4/$I$31</f>
        <v>#DIV/0!</v>
      </c>
      <c r="M4" s="73" t="e">
        <f>L4</f>
        <v>#DIV/0!</v>
      </c>
    </row>
    <row r="5" spans="1:13" x14ac:dyDescent="0.25">
      <c r="D5" t="e">
        <f t="shared" si="0"/>
        <v>#DIV/0!</v>
      </c>
      <c r="H5" s="74" t="e">
        <f>$I$19-2.4*$I$23</f>
        <v>#DIV/0!</v>
      </c>
      <c r="I5" s="75" t="e">
        <f>H5</f>
        <v>#DIV/0!</v>
      </c>
      <c r="J5" s="76">
        <f>COUNTIFS(D:D,"&lt;="&amp;H5,D:D,"&gt;"&amp;H4)</f>
        <v>67</v>
      </c>
      <c r="K5" s="77" t="e">
        <f t="shared" ref="K5:K14" si="1">TEXT(H4,"0,00%")&amp;" to "&amp;TEXT(H5,"0,00%")</f>
        <v>#DIV/0!</v>
      </c>
      <c r="L5" s="78" t="e">
        <f>J5/$I$31</f>
        <v>#DIV/0!</v>
      </c>
      <c r="M5" s="79" t="e">
        <f>M4+L5</f>
        <v>#DIV/0!</v>
      </c>
    </row>
    <row r="6" spans="1:13" x14ac:dyDescent="0.25">
      <c r="D6" t="e">
        <f t="shared" si="0"/>
        <v>#DIV/0!</v>
      </c>
      <c r="H6" s="74" t="e">
        <f>$I$19-1.8*$I$23</f>
        <v>#DIV/0!</v>
      </c>
      <c r="I6" s="75" t="e">
        <f t="shared" ref="I6:I14" si="2">H6</f>
        <v>#DIV/0!</v>
      </c>
      <c r="J6" s="76">
        <f t="shared" ref="J6:J14" si="3">COUNTIFS(D:D,"&lt;="&amp;H6,D:D,"&gt;"&amp;H5)</f>
        <v>67</v>
      </c>
      <c r="K6" s="77" t="e">
        <f t="shared" si="1"/>
        <v>#DIV/0!</v>
      </c>
      <c r="L6" s="78" t="e">
        <f t="shared" ref="L6:L15" si="4">J6/$I$31</f>
        <v>#DIV/0!</v>
      </c>
      <c r="M6" s="79" t="e">
        <f t="shared" ref="M6:M15" si="5">M5+L6</f>
        <v>#DIV/0!</v>
      </c>
    </row>
    <row r="7" spans="1:13" x14ac:dyDescent="0.25">
      <c r="D7" t="e">
        <f t="shared" si="0"/>
        <v>#DIV/0!</v>
      </c>
      <c r="H7" s="74" t="e">
        <f>$I$19-1.2*$I$23</f>
        <v>#DIV/0!</v>
      </c>
      <c r="I7" s="75" t="e">
        <f t="shared" si="2"/>
        <v>#DIV/0!</v>
      </c>
      <c r="J7" s="76">
        <f t="shared" si="3"/>
        <v>67</v>
      </c>
      <c r="K7" s="77" t="e">
        <f t="shared" si="1"/>
        <v>#DIV/0!</v>
      </c>
      <c r="L7" s="78" t="e">
        <f t="shared" si="4"/>
        <v>#DIV/0!</v>
      </c>
      <c r="M7" s="79" t="e">
        <f t="shared" si="5"/>
        <v>#DIV/0!</v>
      </c>
    </row>
    <row r="8" spans="1:13" x14ac:dyDescent="0.25">
      <c r="D8" t="e">
        <f t="shared" si="0"/>
        <v>#DIV/0!</v>
      </c>
      <c r="H8" s="74" t="e">
        <f>$I$19-0.6*$I$23</f>
        <v>#DIV/0!</v>
      </c>
      <c r="I8" s="75" t="e">
        <f t="shared" si="2"/>
        <v>#DIV/0!</v>
      </c>
      <c r="J8" s="76">
        <f t="shared" si="3"/>
        <v>67</v>
      </c>
      <c r="K8" s="77" t="e">
        <f t="shared" si="1"/>
        <v>#DIV/0!</v>
      </c>
      <c r="L8" s="78" t="e">
        <f t="shared" si="4"/>
        <v>#DIV/0!</v>
      </c>
      <c r="M8" s="79" t="e">
        <f t="shared" si="5"/>
        <v>#DIV/0!</v>
      </c>
    </row>
    <row r="9" spans="1:13" x14ac:dyDescent="0.25">
      <c r="D9" t="e">
        <f t="shared" si="0"/>
        <v>#DIV/0!</v>
      </c>
      <c r="H9" s="74" t="e">
        <f>$I$19</f>
        <v>#DIV/0!</v>
      </c>
      <c r="I9" s="75" t="e">
        <f t="shared" si="2"/>
        <v>#DIV/0!</v>
      </c>
      <c r="J9" s="76">
        <f t="shared" si="3"/>
        <v>67</v>
      </c>
      <c r="K9" s="77" t="e">
        <f t="shared" si="1"/>
        <v>#DIV/0!</v>
      </c>
      <c r="L9" s="78" t="e">
        <f t="shared" si="4"/>
        <v>#DIV/0!</v>
      </c>
      <c r="M9" s="79" t="e">
        <f t="shared" si="5"/>
        <v>#DIV/0!</v>
      </c>
    </row>
    <row r="10" spans="1:13" x14ac:dyDescent="0.25">
      <c r="D10" t="e">
        <f t="shared" si="0"/>
        <v>#DIV/0!</v>
      </c>
      <c r="H10" s="74" t="e">
        <f>$I$19+0.6*$I$23</f>
        <v>#DIV/0!</v>
      </c>
      <c r="I10" s="75" t="e">
        <f t="shared" si="2"/>
        <v>#DIV/0!</v>
      </c>
      <c r="J10" s="76">
        <f t="shared" si="3"/>
        <v>67</v>
      </c>
      <c r="K10" s="77" t="e">
        <f t="shared" si="1"/>
        <v>#DIV/0!</v>
      </c>
      <c r="L10" s="78" t="e">
        <f t="shared" si="4"/>
        <v>#DIV/0!</v>
      </c>
      <c r="M10" s="79" t="e">
        <f t="shared" si="5"/>
        <v>#DIV/0!</v>
      </c>
    </row>
    <row r="11" spans="1:13" x14ac:dyDescent="0.25">
      <c r="D11" t="e">
        <f t="shared" si="0"/>
        <v>#DIV/0!</v>
      </c>
      <c r="H11" s="74" t="e">
        <f>$I$19+1.2*$I$23</f>
        <v>#DIV/0!</v>
      </c>
      <c r="I11" s="75" t="e">
        <f t="shared" si="2"/>
        <v>#DIV/0!</v>
      </c>
      <c r="J11" s="76">
        <f t="shared" si="3"/>
        <v>67</v>
      </c>
      <c r="K11" s="77" t="e">
        <f t="shared" si="1"/>
        <v>#DIV/0!</v>
      </c>
      <c r="L11" s="78" t="e">
        <f t="shared" si="4"/>
        <v>#DIV/0!</v>
      </c>
      <c r="M11" s="79" t="e">
        <f t="shared" si="5"/>
        <v>#DIV/0!</v>
      </c>
    </row>
    <row r="12" spans="1:13" x14ac:dyDescent="0.25">
      <c r="D12" t="e">
        <f t="shared" si="0"/>
        <v>#DIV/0!</v>
      </c>
      <c r="H12" s="74" t="e">
        <f>$I$19+1.8*$I$23</f>
        <v>#DIV/0!</v>
      </c>
      <c r="I12" s="75" t="e">
        <f t="shared" si="2"/>
        <v>#DIV/0!</v>
      </c>
      <c r="J12" s="76">
        <f t="shared" si="3"/>
        <v>67</v>
      </c>
      <c r="K12" s="77" t="e">
        <f t="shared" si="1"/>
        <v>#DIV/0!</v>
      </c>
      <c r="L12" s="78" t="e">
        <f t="shared" si="4"/>
        <v>#DIV/0!</v>
      </c>
      <c r="M12" s="79" t="e">
        <f t="shared" si="5"/>
        <v>#DIV/0!</v>
      </c>
    </row>
    <row r="13" spans="1:13" x14ac:dyDescent="0.25">
      <c r="D13" t="e">
        <f t="shared" si="0"/>
        <v>#DIV/0!</v>
      </c>
      <c r="H13" s="74" t="e">
        <f>$I$19+2.4*$I$23</f>
        <v>#DIV/0!</v>
      </c>
      <c r="I13" s="75" t="e">
        <f t="shared" si="2"/>
        <v>#DIV/0!</v>
      </c>
      <c r="J13" s="76">
        <f t="shared" si="3"/>
        <v>67</v>
      </c>
      <c r="K13" s="77" t="e">
        <f t="shared" si="1"/>
        <v>#DIV/0!</v>
      </c>
      <c r="L13" s="78" t="e">
        <f t="shared" si="4"/>
        <v>#DIV/0!</v>
      </c>
      <c r="M13" s="79" t="e">
        <f t="shared" si="5"/>
        <v>#DIV/0!</v>
      </c>
    </row>
    <row r="14" spans="1:13" x14ac:dyDescent="0.25">
      <c r="D14" t="e">
        <f t="shared" si="0"/>
        <v>#DIV/0!</v>
      </c>
      <c r="H14" s="74" t="e">
        <f>$I$19+3*$I$23</f>
        <v>#DIV/0!</v>
      </c>
      <c r="I14" s="75" t="e">
        <f t="shared" si="2"/>
        <v>#DIV/0!</v>
      </c>
      <c r="J14" s="76">
        <f t="shared" si="3"/>
        <v>67</v>
      </c>
      <c r="K14" s="77" t="e">
        <f t="shared" si="1"/>
        <v>#DIV/0!</v>
      </c>
      <c r="L14" s="78" t="e">
        <f t="shared" si="4"/>
        <v>#DIV/0!</v>
      </c>
      <c r="M14" s="79" t="e">
        <f t="shared" si="5"/>
        <v>#DIV/0!</v>
      </c>
    </row>
    <row r="15" spans="1:13" ht="15.75" thickBot="1" x14ac:dyDescent="0.3">
      <c r="D15" t="e">
        <f t="shared" si="0"/>
        <v>#DIV/0!</v>
      </c>
      <c r="H15" s="80"/>
      <c r="I15" s="81" t="s">
        <v>100</v>
      </c>
      <c r="J15" s="81">
        <f>COUNTIF(D:D,"&gt;"&amp;H14)</f>
        <v>67</v>
      </c>
      <c r="K15" s="81" t="e">
        <f>"Greater than "&amp;TEXT(H14,"0,00%")</f>
        <v>#DIV/0!</v>
      </c>
      <c r="L15" s="82" t="e">
        <f t="shared" si="4"/>
        <v>#DIV/0!</v>
      </c>
      <c r="M15" s="82" t="e">
        <f t="shared" si="5"/>
        <v>#DIV/0!</v>
      </c>
    </row>
    <row r="16" spans="1:13" ht="15.75" thickBot="1" x14ac:dyDescent="0.3">
      <c r="D16" t="e">
        <f t="shared" si="0"/>
        <v>#DIV/0!</v>
      </c>
      <c r="H16" s="83"/>
      <c r="M16" s="84"/>
    </row>
    <row r="17" spans="4:13" x14ac:dyDescent="0.25">
      <c r="D17" t="e">
        <f t="shared" si="0"/>
        <v>#DIV/0!</v>
      </c>
      <c r="H17" s="145" t="s">
        <v>131</v>
      </c>
      <c r="I17" s="146"/>
      <c r="M17" s="84"/>
    </row>
    <row r="18" spans="4:13" x14ac:dyDescent="0.25">
      <c r="D18" t="e">
        <f t="shared" si="0"/>
        <v>#DIV/0!</v>
      </c>
      <c r="H18" s="147"/>
      <c r="I18" s="148"/>
      <c r="M18" s="84"/>
    </row>
    <row r="19" spans="4:13" x14ac:dyDescent="0.25">
      <c r="D19" t="e">
        <f t="shared" si="0"/>
        <v>#DIV/0!</v>
      </c>
      <c r="H19" s="85" t="s">
        <v>101</v>
      </c>
      <c r="I19" s="122" t="e">
        <f>AVERAGE(D:D)</f>
        <v>#DIV/0!</v>
      </c>
      <c r="M19" s="84"/>
    </row>
    <row r="20" spans="4:13" x14ac:dyDescent="0.25">
      <c r="D20" t="e">
        <f t="shared" si="0"/>
        <v>#DIV/0!</v>
      </c>
      <c r="H20" s="85" t="s">
        <v>102</v>
      </c>
      <c r="I20" s="122" t="e">
        <f>_xlfn.STDEV.S(D:D)/SQRT(COUNT(D:D))</f>
        <v>#DIV/0!</v>
      </c>
      <c r="M20" s="84"/>
    </row>
    <row r="21" spans="4:13" x14ac:dyDescent="0.25">
      <c r="D21" t="e">
        <f t="shared" si="0"/>
        <v>#DIV/0!</v>
      </c>
      <c r="H21" s="85" t="s">
        <v>103</v>
      </c>
      <c r="I21" s="122" t="e">
        <f>MEDIAN(D:D)</f>
        <v>#DIV/0!</v>
      </c>
      <c r="M21" s="84"/>
    </row>
    <row r="22" spans="4:13" x14ac:dyDescent="0.25">
      <c r="D22" t="e">
        <f t="shared" si="0"/>
        <v>#DIV/0!</v>
      </c>
      <c r="H22" s="85" t="s">
        <v>104</v>
      </c>
      <c r="I22" s="122" t="e">
        <f>MODE(D:D)</f>
        <v>#DIV/0!</v>
      </c>
      <c r="M22" s="84"/>
    </row>
    <row r="23" spans="4:13" x14ac:dyDescent="0.25">
      <c r="D23" t="e">
        <f t="shared" si="0"/>
        <v>#DIV/0!</v>
      </c>
      <c r="H23" s="85" t="s">
        <v>105</v>
      </c>
      <c r="I23" s="122" t="e">
        <f>_xlfn.STDEV.S(D:D)</f>
        <v>#DIV/0!</v>
      </c>
      <c r="M23" s="84"/>
    </row>
    <row r="24" spans="4:13" x14ac:dyDescent="0.25">
      <c r="D24" t="e">
        <f t="shared" si="0"/>
        <v>#DIV/0!</v>
      </c>
      <c r="H24" s="85" t="s">
        <v>106</v>
      </c>
      <c r="I24" s="122" t="e">
        <f>_xlfn.VAR.S(D:D)</f>
        <v>#DIV/0!</v>
      </c>
      <c r="M24" s="84"/>
    </row>
    <row r="25" spans="4:13" x14ac:dyDescent="0.25">
      <c r="D25" t="e">
        <f t="shared" si="0"/>
        <v>#DIV/0!</v>
      </c>
      <c r="H25" s="85" t="s">
        <v>107</v>
      </c>
      <c r="I25" s="123" t="e">
        <f>KURT(D:D)</f>
        <v>#DIV/0!</v>
      </c>
      <c r="M25" s="84"/>
    </row>
    <row r="26" spans="4:13" x14ac:dyDescent="0.25">
      <c r="D26" t="e">
        <f t="shared" si="0"/>
        <v>#DIV/0!</v>
      </c>
      <c r="H26" s="85" t="s">
        <v>108</v>
      </c>
      <c r="I26" s="123" t="e">
        <f>SKEW(D:D)</f>
        <v>#DIV/0!</v>
      </c>
      <c r="M26" s="84"/>
    </row>
    <row r="27" spans="4:13" x14ac:dyDescent="0.25">
      <c r="D27" t="e">
        <f t="shared" si="0"/>
        <v>#DIV/0!</v>
      </c>
      <c r="H27" s="85" t="s">
        <v>97</v>
      </c>
      <c r="I27" s="122" t="e">
        <f>I29-I28</f>
        <v>#DIV/0!</v>
      </c>
      <c r="M27" s="84"/>
    </row>
    <row r="28" spans="4:13" x14ac:dyDescent="0.25">
      <c r="D28" t="e">
        <f t="shared" si="0"/>
        <v>#DIV/0!</v>
      </c>
      <c r="H28" s="85" t="s">
        <v>109</v>
      </c>
      <c r="I28" s="122" t="e">
        <f>MIN(D:D)</f>
        <v>#DIV/0!</v>
      </c>
      <c r="M28" s="84"/>
    </row>
    <row r="29" spans="4:13" x14ac:dyDescent="0.25">
      <c r="D29" t="e">
        <f t="shared" si="0"/>
        <v>#DIV/0!</v>
      </c>
      <c r="H29" s="85" t="s">
        <v>110</v>
      </c>
      <c r="I29" s="122" t="e">
        <f>MAX(D:D)</f>
        <v>#DIV/0!</v>
      </c>
      <c r="M29" s="84"/>
    </row>
    <row r="30" spans="4:13" x14ac:dyDescent="0.25">
      <c r="D30" t="e">
        <f t="shared" si="0"/>
        <v>#DIV/0!</v>
      </c>
      <c r="H30" s="85" t="s">
        <v>111</v>
      </c>
      <c r="I30" s="123" t="e">
        <f>SUM(D:D)</f>
        <v>#DIV/0!</v>
      </c>
      <c r="M30" s="84"/>
    </row>
    <row r="31" spans="4:13" ht="15.75" thickBot="1" x14ac:dyDescent="0.3">
      <c r="D31" t="e">
        <f t="shared" si="0"/>
        <v>#DIV/0!</v>
      </c>
      <c r="H31" s="86" t="s">
        <v>112</v>
      </c>
      <c r="I31" s="63">
        <f>COUNT(D:D)</f>
        <v>0</v>
      </c>
      <c r="M31" s="84"/>
    </row>
    <row r="32" spans="4:13" ht="15.75" thickBot="1" x14ac:dyDescent="0.3">
      <c r="D32" t="e">
        <f t="shared" si="0"/>
        <v>#DIV/0!</v>
      </c>
      <c r="H32" s="88"/>
      <c r="M32" s="84"/>
    </row>
    <row r="33" spans="4:13" x14ac:dyDescent="0.25">
      <c r="D33" t="e">
        <f t="shared" si="0"/>
        <v>#DIV/0!</v>
      </c>
      <c r="H33" s="89"/>
      <c r="I33" s="90" t="s">
        <v>113</v>
      </c>
      <c r="J33" s="90" t="s">
        <v>112</v>
      </c>
      <c r="K33" s="90" t="s">
        <v>114</v>
      </c>
      <c r="L33" s="91" t="s">
        <v>115</v>
      </c>
      <c r="M33" s="84"/>
    </row>
    <row r="34" spans="4:13" x14ac:dyDescent="0.25">
      <c r="D34" t="e">
        <f t="shared" si="0"/>
        <v>#DIV/0!</v>
      </c>
      <c r="H34" s="92" t="s">
        <v>116</v>
      </c>
      <c r="I34" s="78" t="e">
        <f>AVERAGEIF(D:D,"&gt;0")</f>
        <v>#DIV/0!</v>
      </c>
      <c r="J34" s="76">
        <f>COUNTIF(D:D,"&gt;0")</f>
        <v>0</v>
      </c>
      <c r="K34" s="78" t="e">
        <f>J34/$I$31</f>
        <v>#DIV/0!</v>
      </c>
      <c r="L34" s="79" t="e">
        <f>K34*I34</f>
        <v>#DIV/0!</v>
      </c>
      <c r="M34" s="84"/>
    </row>
    <row r="35" spans="4:13" x14ac:dyDescent="0.25">
      <c r="D35" t="e">
        <f t="shared" si="0"/>
        <v>#DIV/0!</v>
      </c>
      <c r="H35" s="92" t="s">
        <v>117</v>
      </c>
      <c r="I35" s="78" t="e">
        <f>AVERAGEIF(D:D,"&lt;0")</f>
        <v>#DIV/0!</v>
      </c>
      <c r="J35" s="76">
        <f>COUNTIF(D:D,"&lt;0")</f>
        <v>0</v>
      </c>
      <c r="K35" s="78" t="e">
        <f>J35/$I$31</f>
        <v>#DIV/0!</v>
      </c>
      <c r="L35" s="79" t="e">
        <f t="shared" ref="L35:L36" si="6">K35*I35</f>
        <v>#DIV/0!</v>
      </c>
      <c r="M35" s="84"/>
    </row>
    <row r="36" spans="4:13" ht="15.75" thickBot="1" x14ac:dyDescent="0.3">
      <c r="D36" t="e">
        <f t="shared" si="0"/>
        <v>#DIV/0!</v>
      </c>
      <c r="H36" s="93" t="s">
        <v>118</v>
      </c>
      <c r="I36" s="81">
        <v>0</v>
      </c>
      <c r="J36" s="81">
        <f>COUNTIF(D:D,"0")</f>
        <v>0</v>
      </c>
      <c r="K36" s="94" t="e">
        <f>J36/$I$31</f>
        <v>#DIV/0!</v>
      </c>
      <c r="L36" s="82" t="e">
        <f t="shared" si="6"/>
        <v>#DIV/0!</v>
      </c>
      <c r="M36" s="84"/>
    </row>
    <row r="37" spans="4:13" ht="15.75" thickBot="1" x14ac:dyDescent="0.3">
      <c r="D37" t="e">
        <f t="shared" si="0"/>
        <v>#DIV/0!</v>
      </c>
      <c r="H37" s="88"/>
      <c r="I37" s="95"/>
      <c r="J37" s="95"/>
      <c r="K37" s="95"/>
      <c r="L37" s="95"/>
      <c r="M37" s="84"/>
    </row>
    <row r="38" spans="4:13" x14ac:dyDescent="0.25">
      <c r="D38" t="e">
        <f t="shared" si="0"/>
        <v>#DIV/0!</v>
      </c>
      <c r="H38" s="69" t="s">
        <v>119</v>
      </c>
      <c r="I38" s="90" t="s">
        <v>120</v>
      </c>
      <c r="J38" s="90" t="s">
        <v>121</v>
      </c>
      <c r="K38" s="90" t="s">
        <v>122</v>
      </c>
      <c r="L38" s="90" t="s">
        <v>123</v>
      </c>
      <c r="M38" s="91" t="s">
        <v>124</v>
      </c>
    </row>
    <row r="39" spans="4:13" x14ac:dyDescent="0.25">
      <c r="D39" t="e">
        <f t="shared" si="0"/>
        <v>#DIV/0!</v>
      </c>
      <c r="H39" s="96">
        <v>1</v>
      </c>
      <c r="I39" s="78" t="e">
        <f>$I$19+($H39*$I$23)</f>
        <v>#DIV/0!</v>
      </c>
      <c r="J39" s="78" t="e">
        <f>$I$19-($H39*$I$23)</f>
        <v>#DIV/0!</v>
      </c>
      <c r="K39" s="76">
        <f>COUNTIFS(D:D,"&lt;"&amp;I39,D:D,"&gt;"&amp;J39)</f>
        <v>67</v>
      </c>
      <c r="L39" s="78" t="e">
        <f>K39/$I$31</f>
        <v>#DIV/0!</v>
      </c>
      <c r="M39" s="79">
        <v>0.68269999999999997</v>
      </c>
    </row>
    <row r="40" spans="4:13" x14ac:dyDescent="0.25">
      <c r="D40" t="e">
        <f t="shared" si="0"/>
        <v>#DIV/0!</v>
      </c>
      <c r="H40" s="96">
        <v>2</v>
      </c>
      <c r="I40" s="78" t="e">
        <f>$I$19+($H40*$I$23)</f>
        <v>#DIV/0!</v>
      </c>
      <c r="J40" s="78" t="e">
        <f>$I$19-($H40*$I$23)</f>
        <v>#DIV/0!</v>
      </c>
      <c r="K40" s="76">
        <f>COUNTIFS(D:D,"&lt;"&amp;I40,D:D,"&gt;"&amp;J40)</f>
        <v>67</v>
      </c>
      <c r="L40" s="78" t="e">
        <f>K40/$I$31</f>
        <v>#DIV/0!</v>
      </c>
      <c r="M40" s="79">
        <v>0.95450000000000002</v>
      </c>
    </row>
    <row r="41" spans="4:13" x14ac:dyDescent="0.25">
      <c r="D41" t="e">
        <f t="shared" si="0"/>
        <v>#DIV/0!</v>
      </c>
      <c r="H41" s="96">
        <v>3</v>
      </c>
      <c r="I41" s="78" t="e">
        <f>$I$19+($H41*$I$23)</f>
        <v>#DIV/0!</v>
      </c>
      <c r="J41" s="78" t="e">
        <f>$I$19-($H41*$I$23)</f>
        <v>#DIV/0!</v>
      </c>
      <c r="K41" s="76">
        <f>COUNTIFS(D:D,"&lt;"&amp;I41,D:D,"&gt;"&amp;J41)</f>
        <v>67</v>
      </c>
      <c r="L41" s="78" t="e">
        <f>K41/$I$31</f>
        <v>#DIV/0!</v>
      </c>
      <c r="M41" s="97">
        <v>0.99729999999999996</v>
      </c>
    </row>
    <row r="42" spans="4:13" ht="15.75" thickBot="1" x14ac:dyDescent="0.3">
      <c r="D42" t="e">
        <f t="shared" si="0"/>
        <v>#DIV/0!</v>
      </c>
      <c r="H42" s="74"/>
      <c r="M42" s="97"/>
    </row>
    <row r="43" spans="4:13" ht="15.75" thickBot="1" x14ac:dyDescent="0.3">
      <c r="D43" t="e">
        <f t="shared" si="0"/>
        <v>#DIV/0!</v>
      </c>
      <c r="H43" s="149" t="s">
        <v>125</v>
      </c>
      <c r="I43" s="150"/>
      <c r="J43" s="150"/>
      <c r="K43" s="150"/>
      <c r="L43" s="150"/>
      <c r="M43" s="151"/>
    </row>
    <row r="44" spans="4:13" x14ac:dyDescent="0.25">
      <c r="D44" t="e">
        <f t="shared" si="0"/>
        <v>#DIV/0!</v>
      </c>
      <c r="H44" s="98">
        <v>0.01</v>
      </c>
      <c r="I44" s="99" t="e">
        <f t="shared" ref="I44:I58" si="7">_xlfn.PERCENTILE.INC(D:D,H44)</f>
        <v>#DIV/0!</v>
      </c>
      <c r="J44" s="100">
        <v>0.2</v>
      </c>
      <c r="K44" s="99" t="e">
        <f t="shared" ref="K44:K56" si="8">_xlfn.PERCENTILE.INC(D:D,J44)</f>
        <v>#DIV/0!</v>
      </c>
      <c r="L44" s="100">
        <v>0.85</v>
      </c>
      <c r="M44" s="101" t="e">
        <f t="shared" ref="M44:M58" si="9">_xlfn.PERCENTILE.INC(D:D,L44)</f>
        <v>#DIV/0!</v>
      </c>
    </row>
    <row r="45" spans="4:13" x14ac:dyDescent="0.25">
      <c r="D45" t="e">
        <f t="shared" si="0"/>
        <v>#DIV/0!</v>
      </c>
      <c r="H45" s="102">
        <v>0.02</v>
      </c>
      <c r="I45" s="103" t="e">
        <f t="shared" si="7"/>
        <v>#DIV/0!</v>
      </c>
      <c r="J45" s="104">
        <v>0.25</v>
      </c>
      <c r="K45" s="103" t="e">
        <f t="shared" si="8"/>
        <v>#DIV/0!</v>
      </c>
      <c r="L45" s="104">
        <v>0.86</v>
      </c>
      <c r="M45" s="105" t="e">
        <f t="shared" si="9"/>
        <v>#DIV/0!</v>
      </c>
    </row>
    <row r="46" spans="4:13" x14ac:dyDescent="0.25">
      <c r="D46" t="e">
        <f t="shared" si="0"/>
        <v>#DIV/0!</v>
      </c>
      <c r="H46" s="102">
        <v>0.03</v>
      </c>
      <c r="I46" s="103" t="e">
        <f t="shared" si="7"/>
        <v>#DIV/0!</v>
      </c>
      <c r="J46" s="104">
        <v>0.3</v>
      </c>
      <c r="K46" s="103" t="e">
        <f t="shared" si="8"/>
        <v>#DIV/0!</v>
      </c>
      <c r="L46" s="104">
        <v>0.87</v>
      </c>
      <c r="M46" s="105" t="e">
        <f t="shared" si="9"/>
        <v>#DIV/0!</v>
      </c>
    </row>
    <row r="47" spans="4:13" x14ac:dyDescent="0.25">
      <c r="D47" t="e">
        <f t="shared" si="0"/>
        <v>#DIV/0!</v>
      </c>
      <c r="H47" s="102">
        <v>0.04</v>
      </c>
      <c r="I47" s="103" t="e">
        <f t="shared" si="7"/>
        <v>#DIV/0!</v>
      </c>
      <c r="J47" s="104">
        <v>0.35</v>
      </c>
      <c r="K47" s="103" t="e">
        <f t="shared" si="8"/>
        <v>#DIV/0!</v>
      </c>
      <c r="L47" s="104">
        <v>0.88</v>
      </c>
      <c r="M47" s="105" t="e">
        <f t="shared" si="9"/>
        <v>#DIV/0!</v>
      </c>
    </row>
    <row r="48" spans="4:13" x14ac:dyDescent="0.25">
      <c r="D48" t="e">
        <f t="shared" si="0"/>
        <v>#DIV/0!</v>
      </c>
      <c r="H48" s="102">
        <v>0.05</v>
      </c>
      <c r="I48" s="103" t="e">
        <f t="shared" si="7"/>
        <v>#DIV/0!</v>
      </c>
      <c r="J48" s="104">
        <v>0.4</v>
      </c>
      <c r="K48" s="103" t="e">
        <f t="shared" si="8"/>
        <v>#DIV/0!</v>
      </c>
      <c r="L48" s="104">
        <v>0.89</v>
      </c>
      <c r="M48" s="105" t="e">
        <f t="shared" si="9"/>
        <v>#DIV/0!</v>
      </c>
    </row>
    <row r="49" spans="4:13" x14ac:dyDescent="0.25">
      <c r="D49" t="e">
        <f t="shared" si="0"/>
        <v>#DIV/0!</v>
      </c>
      <c r="H49" s="102">
        <v>0.06</v>
      </c>
      <c r="I49" s="103" t="e">
        <f t="shared" si="7"/>
        <v>#DIV/0!</v>
      </c>
      <c r="J49" s="104">
        <v>0.45</v>
      </c>
      <c r="K49" s="103" t="e">
        <f t="shared" si="8"/>
        <v>#DIV/0!</v>
      </c>
      <c r="L49" s="104">
        <v>0.9</v>
      </c>
      <c r="M49" s="105" t="e">
        <f t="shared" si="9"/>
        <v>#DIV/0!</v>
      </c>
    </row>
    <row r="50" spans="4:13" x14ac:dyDescent="0.25">
      <c r="D50" t="e">
        <f t="shared" si="0"/>
        <v>#DIV/0!</v>
      </c>
      <c r="H50" s="102">
        <v>7.0000000000000007E-2</v>
      </c>
      <c r="I50" s="103" t="e">
        <f t="shared" si="7"/>
        <v>#DIV/0!</v>
      </c>
      <c r="J50" s="104">
        <v>0.5</v>
      </c>
      <c r="K50" s="103" t="e">
        <f t="shared" si="8"/>
        <v>#DIV/0!</v>
      </c>
      <c r="L50" s="104">
        <v>0.91</v>
      </c>
      <c r="M50" s="105" t="e">
        <f t="shared" si="9"/>
        <v>#DIV/0!</v>
      </c>
    </row>
    <row r="51" spans="4:13" x14ac:dyDescent="0.25">
      <c r="D51" t="e">
        <f t="shared" si="0"/>
        <v>#DIV/0!</v>
      </c>
      <c r="H51" s="102">
        <v>0.08</v>
      </c>
      <c r="I51" s="103" t="e">
        <f t="shared" si="7"/>
        <v>#DIV/0!</v>
      </c>
      <c r="J51" s="104">
        <v>0.55000000000000004</v>
      </c>
      <c r="K51" s="103" t="e">
        <f t="shared" si="8"/>
        <v>#DIV/0!</v>
      </c>
      <c r="L51" s="104">
        <v>0.92</v>
      </c>
      <c r="M51" s="105" t="e">
        <f t="shared" si="9"/>
        <v>#DIV/0!</v>
      </c>
    </row>
    <row r="52" spans="4:13" x14ac:dyDescent="0.25">
      <c r="D52" t="e">
        <f t="shared" si="0"/>
        <v>#DIV/0!</v>
      </c>
      <c r="H52" s="102">
        <v>0.09</v>
      </c>
      <c r="I52" s="103" t="e">
        <f t="shared" si="7"/>
        <v>#DIV/0!</v>
      </c>
      <c r="J52" s="104">
        <v>0.6</v>
      </c>
      <c r="K52" s="103" t="e">
        <f t="shared" si="8"/>
        <v>#DIV/0!</v>
      </c>
      <c r="L52" s="104">
        <v>0.93</v>
      </c>
      <c r="M52" s="105" t="e">
        <f t="shared" si="9"/>
        <v>#DIV/0!</v>
      </c>
    </row>
    <row r="53" spans="4:13" x14ac:dyDescent="0.25">
      <c r="D53" t="e">
        <f t="shared" si="0"/>
        <v>#DIV/0!</v>
      </c>
      <c r="H53" s="102">
        <v>0.1</v>
      </c>
      <c r="I53" s="103" t="e">
        <f t="shared" si="7"/>
        <v>#DIV/0!</v>
      </c>
      <c r="J53" s="104">
        <v>0.65</v>
      </c>
      <c r="K53" s="103" t="e">
        <f t="shared" si="8"/>
        <v>#DIV/0!</v>
      </c>
      <c r="L53" s="104">
        <v>0.94</v>
      </c>
      <c r="M53" s="105" t="e">
        <f t="shared" si="9"/>
        <v>#DIV/0!</v>
      </c>
    </row>
    <row r="54" spans="4:13" x14ac:dyDescent="0.25">
      <c r="D54" t="e">
        <f t="shared" si="0"/>
        <v>#DIV/0!</v>
      </c>
      <c r="H54" s="102">
        <v>0.11</v>
      </c>
      <c r="I54" s="103" t="e">
        <f t="shared" si="7"/>
        <v>#DIV/0!</v>
      </c>
      <c r="J54" s="104">
        <v>0.7</v>
      </c>
      <c r="K54" s="103" t="e">
        <f t="shared" si="8"/>
        <v>#DIV/0!</v>
      </c>
      <c r="L54" s="104">
        <v>0.95</v>
      </c>
      <c r="M54" s="105" t="e">
        <f t="shared" si="9"/>
        <v>#DIV/0!</v>
      </c>
    </row>
    <row r="55" spans="4:13" x14ac:dyDescent="0.25">
      <c r="D55" t="e">
        <f t="shared" si="0"/>
        <v>#DIV/0!</v>
      </c>
      <c r="H55" s="102">
        <v>0.12</v>
      </c>
      <c r="I55" s="103" t="e">
        <f t="shared" si="7"/>
        <v>#DIV/0!</v>
      </c>
      <c r="J55" s="104">
        <v>0.75</v>
      </c>
      <c r="K55" s="103" t="e">
        <f t="shared" si="8"/>
        <v>#DIV/0!</v>
      </c>
      <c r="L55" s="104">
        <v>0.96</v>
      </c>
      <c r="M55" s="105" t="e">
        <f t="shared" si="9"/>
        <v>#DIV/0!</v>
      </c>
    </row>
    <row r="56" spans="4:13" x14ac:dyDescent="0.25">
      <c r="D56" t="e">
        <f t="shared" si="0"/>
        <v>#DIV/0!</v>
      </c>
      <c r="H56" s="102">
        <v>0.13</v>
      </c>
      <c r="I56" s="103" t="e">
        <f t="shared" si="7"/>
        <v>#DIV/0!</v>
      </c>
      <c r="J56" s="104">
        <v>0.8</v>
      </c>
      <c r="K56" s="103" t="e">
        <f t="shared" si="8"/>
        <v>#DIV/0!</v>
      </c>
      <c r="L56" s="104">
        <v>0.97</v>
      </c>
      <c r="M56" s="105" t="e">
        <f t="shared" si="9"/>
        <v>#DIV/0!</v>
      </c>
    </row>
    <row r="57" spans="4:13" x14ac:dyDescent="0.25">
      <c r="D57" t="e">
        <f t="shared" si="0"/>
        <v>#DIV/0!</v>
      </c>
      <c r="H57" s="102">
        <v>0.14000000000000001</v>
      </c>
      <c r="I57" s="103" t="e">
        <f t="shared" si="7"/>
        <v>#DIV/0!</v>
      </c>
      <c r="J57" s="104"/>
      <c r="K57" s="103"/>
      <c r="L57" s="104">
        <v>0.98</v>
      </c>
      <c r="M57" s="105" t="e">
        <f t="shared" si="9"/>
        <v>#DIV/0!</v>
      </c>
    </row>
    <row r="58" spans="4:13" ht="15.75" thickBot="1" x14ac:dyDescent="0.3">
      <c r="D58" t="e">
        <f t="shared" si="0"/>
        <v>#DIV/0!</v>
      </c>
      <c r="H58" s="106">
        <v>0.15</v>
      </c>
      <c r="I58" s="107" t="e">
        <f t="shared" si="7"/>
        <v>#DIV/0!</v>
      </c>
      <c r="J58" s="108"/>
      <c r="K58" s="87"/>
      <c r="L58" s="109">
        <v>0.99</v>
      </c>
      <c r="M58" s="110" t="e">
        <f t="shared" si="9"/>
        <v>#DIV/0!</v>
      </c>
    </row>
    <row r="59" spans="4:13" ht="15.75" thickBot="1" x14ac:dyDescent="0.3">
      <c r="D59" t="e">
        <f t="shared" si="0"/>
        <v>#DIV/0!</v>
      </c>
    </row>
    <row r="60" spans="4:13" x14ac:dyDescent="0.25">
      <c r="D60" t="e">
        <f t="shared" si="0"/>
        <v>#DIV/0!</v>
      </c>
      <c r="H60" s="111" t="s">
        <v>126</v>
      </c>
      <c r="I60" s="112"/>
    </row>
    <row r="61" spans="4:13" ht="15.75" thickBot="1" x14ac:dyDescent="0.3">
      <c r="D61" t="e">
        <f t="shared" si="0"/>
        <v>#DIV/0!</v>
      </c>
      <c r="H61" s="113" t="s">
        <v>127</v>
      </c>
      <c r="I61" s="114"/>
    </row>
    <row r="62" spans="4:13" ht="15.75" thickBot="1" x14ac:dyDescent="0.3">
      <c r="D62" t="e">
        <f t="shared" si="0"/>
        <v>#DIV/0!</v>
      </c>
      <c r="H62" s="115"/>
    </row>
    <row r="63" spans="4:13" x14ac:dyDescent="0.25">
      <c r="D63" t="e">
        <f t="shared" si="0"/>
        <v>#DIV/0!</v>
      </c>
      <c r="H63" s="111" t="s">
        <v>128</v>
      </c>
      <c r="I63" s="116"/>
    </row>
    <row r="64" spans="4:13" x14ac:dyDescent="0.25">
      <c r="D64" t="e">
        <f t="shared" si="0"/>
        <v>#DIV/0!</v>
      </c>
      <c r="H64" s="117" t="s">
        <v>129</v>
      </c>
      <c r="I64" s="118">
        <f>I63*(1-I60)</f>
        <v>0</v>
      </c>
    </row>
    <row r="65" spans="4:9" ht="15.75" thickBot="1" x14ac:dyDescent="0.3">
      <c r="D65" t="e">
        <f t="shared" si="0"/>
        <v>#DIV/0!</v>
      </c>
      <c r="H65" s="113" t="s">
        <v>130</v>
      </c>
      <c r="I65" s="119">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2024-10-06T15:25:18Z</dcterms:modified>
</cp:coreProperties>
</file>