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ECC1E9F4-6BC5-44F6-A1F4-5B83F90BD3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Model!$B$5</definedName>
    <definedName name="_xlchart.v1.1" hidden="1">Model!$B$6</definedName>
    <definedName name="_xlchart.v1.10" hidden="1">Model!$L$19:$AA$19</definedName>
    <definedName name="_xlchart.v1.11" hidden="1">Model!$L$20:$AA$20</definedName>
    <definedName name="_xlchart.v1.12" hidden="1">Model!$L$2:$AA$2</definedName>
    <definedName name="_xlchart.v1.13" hidden="1">Model!$P$19:$AA$19</definedName>
    <definedName name="_xlchart.v1.14" hidden="1">Model!$P$20:$AA$20</definedName>
    <definedName name="_xlchart.v1.15" hidden="1">Model!$B$5</definedName>
    <definedName name="_xlchart.v1.16" hidden="1">Model!$B$6</definedName>
    <definedName name="_xlchart.v1.17" hidden="1">Model!$L$2:$AA$2</definedName>
    <definedName name="_xlchart.v1.18" hidden="1">Model!$L$5:$AA$5</definedName>
    <definedName name="_xlchart.v1.19" hidden="1">Model!$L$6:$AA$6</definedName>
    <definedName name="_xlchart.v1.2" hidden="1">Model!$L$2:$AA$2</definedName>
    <definedName name="_xlchart.v1.20" hidden="1">Model!$P$2:$AA$2</definedName>
    <definedName name="_xlchart.v1.21" hidden="1">Model!$P$5:$AA$5</definedName>
    <definedName name="_xlchart.v1.22" hidden="1">Model!$P$6:$AA$6</definedName>
    <definedName name="_xlchart.v1.3" hidden="1">Model!$L$5:$AA$5</definedName>
    <definedName name="_xlchart.v1.4" hidden="1">Model!$L$6:$AA$6</definedName>
    <definedName name="_xlchart.v1.5" hidden="1">Model!$P$2:$AA$2</definedName>
    <definedName name="_xlchart.v1.6" hidden="1">Model!$P$5:$AA$5</definedName>
    <definedName name="_xlchart.v1.7" hidden="1">Model!$P$6:$AA$6</definedName>
    <definedName name="_xlchart.v1.8" hidden="1">Model!$B$19</definedName>
    <definedName name="_xlchart.v1.9" hidden="1">Model!$B$20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7" i="1"/>
  <c r="C25" i="1"/>
  <c r="C24" i="1"/>
  <c r="C21" i="1"/>
  <c r="C20" i="1"/>
  <c r="C17" i="1"/>
  <c r="C16" i="1"/>
  <c r="C15" i="1"/>
  <c r="C14" i="1"/>
  <c r="C13" i="1"/>
  <c r="C10" i="1"/>
  <c r="C9" i="1"/>
  <c r="Y26" i="2"/>
  <c r="U27" i="2"/>
  <c r="T27" i="2"/>
  <c r="U26" i="2"/>
  <c r="T26" i="2"/>
  <c r="X27" i="2"/>
  <c r="W27" i="2"/>
  <c r="V27" i="2"/>
  <c r="X26" i="2"/>
  <c r="W26" i="2"/>
  <c r="V26" i="2"/>
  <c r="Y27" i="2"/>
  <c r="S16" i="2"/>
  <c r="S15" i="2"/>
  <c r="S13" i="2"/>
  <c r="S12" i="2"/>
  <c r="S11" i="2"/>
  <c r="S9" i="2"/>
  <c r="S8" i="2"/>
  <c r="S7" i="2"/>
  <c r="S4" i="2"/>
  <c r="S3" i="2"/>
  <c r="W7" i="2"/>
  <c r="W16" i="2"/>
  <c r="W15" i="2"/>
  <c r="W13" i="2"/>
  <c r="W12" i="2"/>
  <c r="W11" i="2"/>
  <c r="W9" i="2"/>
  <c r="W8" i="2"/>
  <c r="W4" i="2"/>
  <c r="W3" i="2"/>
  <c r="C7" i="1"/>
  <c r="X5" i="2"/>
  <c r="X24" i="2" s="1"/>
  <c r="V5" i="2"/>
  <c r="V25" i="2" s="1"/>
  <c r="U5" i="2"/>
  <c r="U25" i="2" s="1"/>
  <c r="T5" i="2"/>
  <c r="T25" i="2" s="1"/>
  <c r="R5" i="2"/>
  <c r="R25" i="2" s="1"/>
  <c r="Q5" i="2"/>
  <c r="P5" i="2"/>
  <c r="O5" i="2"/>
  <c r="O25" i="2" s="1"/>
  <c r="N5" i="2"/>
  <c r="N25" i="2" s="1"/>
  <c r="M5" i="2"/>
  <c r="L5" i="2"/>
  <c r="L25" i="2" s="1"/>
  <c r="Y5" i="2"/>
  <c r="W37" i="2"/>
  <c r="S37" i="2"/>
  <c r="S53" i="2"/>
  <c r="S52" i="2"/>
  <c r="S51" i="2"/>
  <c r="S49" i="2"/>
  <c r="S48" i="2"/>
  <c r="S47" i="2"/>
  <c r="S46" i="2"/>
  <c r="S45" i="2"/>
  <c r="S43" i="2"/>
  <c r="S42" i="2"/>
  <c r="S41" i="2"/>
  <c r="S40" i="2"/>
  <c r="S38" i="2"/>
  <c r="S36" i="2"/>
  <c r="S35" i="2"/>
  <c r="S34" i="2"/>
  <c r="S33" i="2"/>
  <c r="W53" i="2"/>
  <c r="W52" i="2"/>
  <c r="W51" i="2"/>
  <c r="W49" i="2"/>
  <c r="W48" i="2"/>
  <c r="W47" i="2"/>
  <c r="W46" i="2"/>
  <c r="W50" i="2" s="1"/>
  <c r="W45" i="2"/>
  <c r="W43" i="2"/>
  <c r="W42" i="2"/>
  <c r="W41" i="2"/>
  <c r="W40" i="2"/>
  <c r="W38" i="2"/>
  <c r="W36" i="2"/>
  <c r="W35" i="2"/>
  <c r="W34" i="2"/>
  <c r="W33" i="2"/>
  <c r="I28" i="2"/>
  <c r="G5" i="2"/>
  <c r="F5" i="2"/>
  <c r="F21" i="2" s="1"/>
  <c r="E5" i="2"/>
  <c r="E24" i="2" s="1"/>
  <c r="D5" i="2"/>
  <c r="G27" i="2"/>
  <c r="G26" i="2"/>
  <c r="E27" i="2"/>
  <c r="E26" i="2"/>
  <c r="F27" i="2"/>
  <c r="F26" i="2"/>
  <c r="F10" i="2"/>
  <c r="M32" i="2"/>
  <c r="N32" i="2"/>
  <c r="O32" i="2"/>
  <c r="P32" i="2"/>
  <c r="Q32" i="2"/>
  <c r="R32" i="2"/>
  <c r="T32" i="2"/>
  <c r="U32" i="2"/>
  <c r="V32" i="2"/>
  <c r="X32" i="2"/>
  <c r="Y32" i="2"/>
  <c r="Z32" i="2"/>
  <c r="AA32" i="2"/>
  <c r="L32" i="2"/>
  <c r="C32" i="2"/>
  <c r="I32" i="2"/>
  <c r="H32" i="2"/>
  <c r="G32" i="2"/>
  <c r="F32" i="2"/>
  <c r="E32" i="2"/>
  <c r="D32" i="2"/>
  <c r="AA50" i="2"/>
  <c r="AA54" i="2" s="1"/>
  <c r="Z50" i="2"/>
  <c r="Z54" i="2" s="1"/>
  <c r="Y50" i="2"/>
  <c r="Y54" i="2" s="1"/>
  <c r="X50" i="2"/>
  <c r="X54" i="2" s="1"/>
  <c r="AA39" i="2"/>
  <c r="AA44" i="2" s="1"/>
  <c r="Z39" i="2"/>
  <c r="Z44" i="2" s="1"/>
  <c r="Y39" i="2"/>
  <c r="Y44" i="2" s="1"/>
  <c r="X39" i="2"/>
  <c r="X44" i="2" s="1"/>
  <c r="AA25" i="2"/>
  <c r="Z25" i="2"/>
  <c r="Y25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H10" i="2"/>
  <c r="H14" i="2" s="1"/>
  <c r="I10" i="2"/>
  <c r="I14" i="2" s="1"/>
  <c r="M25" i="2"/>
  <c r="S5" i="2" l="1"/>
  <c r="S25" i="2" s="1"/>
  <c r="W5" i="2"/>
  <c r="W24" i="2" s="1"/>
  <c r="T10" i="2"/>
  <c r="T14" i="2" s="1"/>
  <c r="T17" i="2" s="1"/>
  <c r="T19" i="2" s="1"/>
  <c r="W39" i="2"/>
  <c r="W44" i="2" s="1"/>
  <c r="W55" i="2" s="1"/>
  <c r="W32" i="2"/>
  <c r="S32" i="2"/>
  <c r="W54" i="2"/>
  <c r="F23" i="2"/>
  <c r="Z55" i="2"/>
  <c r="L10" i="2"/>
  <c r="L14" i="2" s="1"/>
  <c r="L17" i="2" s="1"/>
  <c r="L19" i="2" s="1"/>
  <c r="R10" i="2"/>
  <c r="R14" i="2" s="1"/>
  <c r="R17" i="2" s="1"/>
  <c r="R19" i="2" s="1"/>
  <c r="AA55" i="2"/>
  <c r="Q25" i="2"/>
  <c r="Y24" i="2"/>
  <c r="Q10" i="2"/>
  <c r="Q14" i="2" s="1"/>
  <c r="Q17" i="2" s="1"/>
  <c r="Q19" i="2" s="1"/>
  <c r="U10" i="2"/>
  <c r="U14" i="2" s="1"/>
  <c r="U17" i="2" s="1"/>
  <c r="U19" i="2" s="1"/>
  <c r="M10" i="2"/>
  <c r="M14" i="2" s="1"/>
  <c r="M17" i="2" s="1"/>
  <c r="M19" i="2" s="1"/>
  <c r="Y21" i="2"/>
  <c r="P10" i="2"/>
  <c r="P14" i="2" s="1"/>
  <c r="P17" i="2" s="1"/>
  <c r="P19" i="2" s="1"/>
  <c r="AA21" i="2"/>
  <c r="Y55" i="2"/>
  <c r="Z21" i="2"/>
  <c r="AA24" i="2"/>
  <c r="P25" i="2"/>
  <c r="O10" i="2"/>
  <c r="O14" i="2" s="1"/>
  <c r="O17" i="2" s="1"/>
  <c r="O19" i="2" s="1"/>
  <c r="W21" i="2"/>
  <c r="X55" i="2"/>
  <c r="Z24" i="2"/>
  <c r="W10" i="2"/>
  <c r="W14" i="2" s="1"/>
  <c r="W17" i="2" s="1"/>
  <c r="Y23" i="2"/>
  <c r="X10" i="2"/>
  <c r="X14" i="2" s="1"/>
  <c r="X17" i="2" s="1"/>
  <c r="Z23" i="2"/>
  <c r="X25" i="2"/>
  <c r="X23" i="2"/>
  <c r="Y10" i="2"/>
  <c r="Y14" i="2" s="1"/>
  <c r="Y17" i="2" s="1"/>
  <c r="AA23" i="2"/>
  <c r="Z10" i="2"/>
  <c r="Z14" i="2" s="1"/>
  <c r="Z17" i="2" s="1"/>
  <c r="X21" i="2"/>
  <c r="AA10" i="2"/>
  <c r="AA14" i="2" s="1"/>
  <c r="AA17" i="2" s="1"/>
  <c r="V10" i="2"/>
  <c r="V14" i="2" s="1"/>
  <c r="V17" i="2" s="1"/>
  <c r="V19" i="2" s="1"/>
  <c r="N10" i="2"/>
  <c r="N14" i="2" s="1"/>
  <c r="N17" i="2" s="1"/>
  <c r="N19" i="2" s="1"/>
  <c r="C23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S10" i="2" l="1"/>
  <c r="S14" i="2" s="1"/>
  <c r="S17" i="2" s="1"/>
  <c r="S19" i="2" s="1"/>
  <c r="W25" i="2"/>
  <c r="W23" i="2"/>
  <c r="Y28" i="2"/>
  <c r="Y22" i="2"/>
  <c r="Y19" i="2"/>
  <c r="W19" i="2"/>
  <c r="W22" i="2"/>
  <c r="Z22" i="2"/>
  <c r="Z28" i="2"/>
  <c r="AA22" i="2"/>
  <c r="AA28" i="2"/>
  <c r="X28" i="2"/>
  <c r="X22" i="2"/>
  <c r="X19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0" i="2"/>
  <c r="C14" i="2" s="1"/>
  <c r="C17" i="2" s="1"/>
  <c r="D10" i="2"/>
  <c r="D14" i="2" s="1"/>
  <c r="D17" i="2" s="1"/>
  <c r="E10" i="2"/>
  <c r="E14" i="2" s="1"/>
  <c r="E17" i="2" s="1"/>
  <c r="F14" i="2"/>
  <c r="F17" i="2" s="1"/>
  <c r="G10" i="2"/>
  <c r="G14" i="2" s="1"/>
  <c r="G17" i="2" s="1"/>
  <c r="M22" i="2"/>
  <c r="N22" i="2"/>
  <c r="O22" i="2"/>
  <c r="L21" i="2"/>
  <c r="M21" i="2"/>
  <c r="N21" i="2"/>
  <c r="O21" i="2"/>
  <c r="P21" i="2"/>
  <c r="Q21" i="2"/>
  <c r="R21" i="2"/>
  <c r="S21" i="2"/>
  <c r="T21" i="2"/>
  <c r="U21" i="2"/>
  <c r="V21" i="2"/>
  <c r="T23" i="2"/>
  <c r="U23" i="2"/>
  <c r="V23" i="2"/>
  <c r="L24" i="2"/>
  <c r="M24" i="2"/>
  <c r="N24" i="2"/>
  <c r="O24" i="2"/>
  <c r="P24" i="2"/>
  <c r="Q24" i="2"/>
  <c r="R24" i="2"/>
  <c r="S24" i="2"/>
  <c r="T24" i="2"/>
  <c r="U24" i="2"/>
  <c r="V24" i="2"/>
  <c r="L39" i="2"/>
  <c r="L44" i="2" s="1"/>
  <c r="M39" i="2"/>
  <c r="M44" i="2" s="1"/>
  <c r="N39" i="2"/>
  <c r="N44" i="2" s="1"/>
  <c r="O39" i="2"/>
  <c r="O44" i="2" s="1"/>
  <c r="P39" i="2"/>
  <c r="P44" i="2" s="1"/>
  <c r="Q39" i="2"/>
  <c r="Q44" i="2" s="1"/>
  <c r="R39" i="2"/>
  <c r="R44" i="2" s="1"/>
  <c r="S39" i="2"/>
  <c r="S44" i="2" s="1"/>
  <c r="T39" i="2"/>
  <c r="T44" i="2" s="1"/>
  <c r="U39" i="2"/>
  <c r="U44" i="2" s="1"/>
  <c r="V39" i="2"/>
  <c r="V44" i="2" s="1"/>
  <c r="L50" i="2"/>
  <c r="L54" i="2" s="1"/>
  <c r="M50" i="2"/>
  <c r="M54" i="2" s="1"/>
  <c r="N50" i="2"/>
  <c r="N54" i="2" s="1"/>
  <c r="O50" i="2"/>
  <c r="O54" i="2" s="1"/>
  <c r="P50" i="2"/>
  <c r="P54" i="2" s="1"/>
  <c r="Q50" i="2"/>
  <c r="Q54" i="2" s="1"/>
  <c r="R50" i="2"/>
  <c r="R54" i="2" s="1"/>
  <c r="S50" i="2"/>
  <c r="S54" i="2" s="1"/>
  <c r="T50" i="2"/>
  <c r="T54" i="2" s="1"/>
  <c r="U50" i="2"/>
  <c r="U54" i="2" s="1"/>
  <c r="V50" i="2"/>
  <c r="V54" i="2" s="1"/>
  <c r="C39" i="2"/>
  <c r="C44" i="2" s="1"/>
  <c r="D39" i="2"/>
  <c r="D44" i="2" s="1"/>
  <c r="E39" i="2"/>
  <c r="E44" i="2" s="1"/>
  <c r="I22" i="2"/>
  <c r="H22" i="2"/>
  <c r="I23" i="2"/>
  <c r="W28" i="2" l="1"/>
  <c r="P55" i="2"/>
  <c r="V55" i="2"/>
  <c r="N55" i="2"/>
  <c r="M55" i="2"/>
  <c r="U55" i="2"/>
  <c r="O55" i="2"/>
  <c r="T55" i="2"/>
  <c r="L55" i="2"/>
  <c r="S55" i="2"/>
  <c r="R55" i="2"/>
  <c r="Q55" i="2"/>
  <c r="K11" i="5"/>
  <c r="L22" i="2"/>
  <c r="G24" i="2"/>
  <c r="G25" i="2"/>
  <c r="F25" i="2"/>
  <c r="E25" i="2"/>
  <c r="D24" i="2"/>
  <c r="D25" i="2"/>
  <c r="C24" i="2"/>
  <c r="C25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2" i="2"/>
  <c r="T28" i="2"/>
  <c r="P22" i="2"/>
  <c r="S22" i="2"/>
  <c r="S28" i="2"/>
  <c r="V28" i="2"/>
  <c r="V22" i="2"/>
  <c r="U22" i="2"/>
  <c r="U28" i="2"/>
  <c r="R28" i="2"/>
  <c r="R22" i="2"/>
  <c r="Q28" i="2"/>
  <c r="Q22" i="2"/>
  <c r="C21" i="2"/>
  <c r="H23" i="2"/>
  <c r="F24" i="2"/>
  <c r="E21" i="2"/>
  <c r="D21" i="2"/>
  <c r="G21" i="2"/>
  <c r="G23" i="2"/>
  <c r="G50" i="2"/>
  <c r="G54" i="2" s="1"/>
  <c r="G39" i="2"/>
  <c r="G44" i="2" s="1"/>
  <c r="E23" i="2"/>
  <c r="D23" i="2"/>
  <c r="D50" i="2"/>
  <c r="D54" i="2" s="1"/>
  <c r="D55" i="2" s="1"/>
  <c r="E50" i="2"/>
  <c r="F39" i="2"/>
  <c r="F44" i="2" s="1"/>
  <c r="G55" i="2" l="1"/>
  <c r="P28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0" i="2"/>
  <c r="F54" i="2" s="1"/>
  <c r="F55" i="2" s="1"/>
  <c r="E54" i="2"/>
  <c r="E55" i="2" s="1"/>
  <c r="C50" i="2"/>
  <c r="C54" i="2" s="1"/>
  <c r="C55" i="2" s="1"/>
  <c r="C18" i="1" l="1"/>
  <c r="C19" i="2"/>
  <c r="E19" i="2"/>
  <c r="D22" i="2"/>
  <c r="G19" i="2"/>
  <c r="H28" i="2" s="1"/>
  <c r="G22" i="2"/>
  <c r="C22" i="2" l="1"/>
  <c r="D28" i="2"/>
  <c r="E22" i="2"/>
  <c r="F19" i="2"/>
  <c r="F28" i="2" s="1"/>
  <c r="E28" i="2"/>
  <c r="D19" i="2"/>
  <c r="F22" i="2"/>
  <c r="C11" i="1" s="1"/>
  <c r="G28" i="2" l="1"/>
  <c r="C12" i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<sst xmlns="http://schemas.openxmlformats.org/spreadsheetml/2006/main" count="227" uniqueCount="212">
  <si>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</si>
  <si>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</si>
  <si>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</si>
  <si>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</si>
  <si>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</si>
  <si>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</si>
  <si>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</si>
  <si>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</si>
  <si>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</si>
  <si>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</si>
  <si>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</si>
  <si>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</si>
  <si>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</si>
  <si>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</si>
  <si>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</si>
  <si>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</si>
  <si>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</si>
  <si>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</si>
  <si>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</si>
  <si>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</si>
  <si>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</si>
  <si>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</si>
  <si>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</si>
  <si>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</si>
  <si>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</si>
  <si>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</si>
  <si>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Goodwill</t>
  </si>
  <si>
    <t>Total Assets</t>
  </si>
  <si>
    <t>Total Liablities</t>
  </si>
  <si>
    <t>AP</t>
  </si>
  <si>
    <t>Gross Margin</t>
  </si>
  <si>
    <t>Net Margin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</si>
  <si>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</si>
  <si>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</si>
  <si>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</si>
  <si>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</si>
  <si>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</si>
  <si>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</si>
  <si>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</si>
  <si>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</si>
  <si>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</si>
  <si>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</si>
  <si>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</si>
  <si>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</si>
  <si>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</si>
  <si>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</si>
  <si>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</si>
  <si>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</si>
  <si>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</si>
  <si>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</si>
  <si>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</si>
  <si>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</si>
  <si>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</si>
  <si>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</si>
  <si>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</si>
  <si>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</si>
  <si>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</si>
  <si>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</si>
  <si>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</si>
  <si>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</si>
  <si>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</si>
  <si>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</si>
  <si>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</si>
  <si>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</si>
  <si>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</si>
  <si>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</si>
  <si>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</si>
  <si>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</si>
  <si>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</si>
  <si>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</si>
  <si>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</si>
  <si>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</si>
  <si>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NI Noncontrolling Interest</t>
  </si>
  <si>
    <t>Notes</t>
  </si>
  <si>
    <t>Prepaid Expense</t>
  </si>
  <si>
    <t>PP&amp;E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</si>
  <si>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</si>
  <si>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</si>
  <si>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</si>
  <si>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</si>
  <si>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</si>
  <si>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</si>
  <si>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</si>
  <si>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</si>
  <si>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</si>
  <si>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</si>
  <si>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</si>
  <si>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</si>
  <si>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</si>
  <si>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</si>
  <si>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</si>
  <si>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</si>
  <si>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</si>
  <si>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</si>
  <si>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</si>
  <si>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</si>
  <si>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</si>
  <si>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</si>
  <si>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</si>
  <si>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</si>
  <si>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</si>
  <si>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</si>
  <si>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</si>
  <si>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</si>
  <si>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</si>
  <si>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</si>
  <si>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</si>
  <si>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</si>
  <si>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</si>
  <si>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</si>
  <si>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</si>
  <si>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</si>
  <si>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</si>
  <si>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</si>
  <si>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</si>
  <si>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</si>
  <si>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</si>
  <si>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</si>
  <si>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</si>
  <si>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</si>
  <si>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</si>
  <si>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</si>
  <si>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</si>
  <si>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</si>
  <si>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</si>
  <si>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</si>
  <si>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</si>
  <si>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</si>
  <si>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</si>
  <si>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</si>
  <si>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</si>
  <si>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Net Income before Tax</t>
  </si>
  <si>
    <t>Q324</t>
  </si>
  <si>
    <t>Q424</t>
  </si>
  <si>
    <t>EPS Growth</t>
  </si>
  <si>
    <t>Revenue Growth</t>
  </si>
  <si>
    <t>VITL</t>
  </si>
  <si>
    <t>Blackrock Inc.</t>
  </si>
  <si>
    <t>8.66%</t>
  </si>
  <si>
    <t>Vanguard Group Inc</t>
  </si>
  <si>
    <t>4.88%</t>
  </si>
  <si>
    <t>Amazon.com, Inc.</t>
  </si>
  <si>
    <t>3.55%</t>
  </si>
  <si>
    <t>William Blair Investment Management, LLC</t>
  </si>
  <si>
    <t>2.50%</t>
  </si>
  <si>
    <t>Fuller &amp; Thaler Asset Management Inc.</t>
  </si>
  <si>
    <t>2.22%</t>
  </si>
  <si>
    <t>Marshall Wace LLP</t>
  </si>
  <si>
    <t>2.18%</t>
  </si>
  <si>
    <t>Morgan Stanley</t>
  </si>
  <si>
    <t>1.90%</t>
  </si>
  <si>
    <t>Dimensional Fund Advisors LP</t>
  </si>
  <si>
    <t>1.88%</t>
  </si>
  <si>
    <t>Renaissance Technologies, LLC</t>
  </si>
  <si>
    <t>1.82%</t>
  </si>
  <si>
    <t>Lord, Abbett &amp; Co. LLC</t>
  </si>
  <si>
    <t>1.79%</t>
  </si>
  <si>
    <t>AMOO-GOTTFRIED KOFI OWUSU</t>
  </si>
  <si>
    <t>DIEZ-CANSECO RUSSELL</t>
  </si>
  <si>
    <t>FLANAGAN GLENDA J</t>
  </si>
  <si>
    <t>HOLLAND JOSEPH MICHAEL</t>
  </si>
  <si>
    <t>KENNEDY KELLY J</t>
  </si>
  <si>
    <t>KHOURY KARL</t>
  </si>
  <si>
    <t>O'HAYER MATTHEW</t>
  </si>
  <si>
    <t>POST DENNY MARIE</t>
  </si>
  <si>
    <t>RUIZ GISEL</t>
  </si>
  <si>
    <t>VAN HOVEN REENA CHAUHAN</t>
  </si>
  <si>
    <t>Mr. Matthew O'Hayer</t>
  </si>
  <si>
    <t>Founder &amp; Executive Chairman</t>
  </si>
  <si>
    <t>Mr. Russell Diez-Canseco</t>
  </si>
  <si>
    <t>President, CEO &amp; Director</t>
  </si>
  <si>
    <t>Mr. Thilo Wrede</t>
  </si>
  <si>
    <t>CFO, Chief Accounting Officer &amp; principal accounting officer</t>
  </si>
  <si>
    <t>Mr. Jason Dale</t>
  </si>
  <si>
    <t>Advisor</t>
  </si>
  <si>
    <t>Ms. Joanne Bal Esq.</t>
  </si>
  <si>
    <t>General Counsel, Corporate Secretary &amp; Head of Impact</t>
  </si>
  <si>
    <t>Mr. Peter Nicholas Pappas</t>
  </si>
  <si>
    <t>Chief Sales Officer</t>
  </si>
  <si>
    <t>Ms. Kathryn McKeon</t>
  </si>
  <si>
    <t>Chief Marketing Officer</t>
  </si>
  <si>
    <t>Ms. Reena Van Hoven</t>
  </si>
  <si>
    <t>Chief People Officer</t>
  </si>
  <si>
    <t>Ms. Stephanie Coon</t>
  </si>
  <si>
    <t>Senior Vice President of Strategy</t>
  </si>
  <si>
    <t>Mr. Joe Holland</t>
  </si>
  <si>
    <t>Chief Supply Chain Officer</t>
  </si>
  <si>
    <t>Founder, Serial Entrepreneur</t>
  </si>
  <si>
    <t>McKinsey, Harvard, Ex CIA</t>
  </si>
  <si>
    <t>PepsiCo, CS, Roland Berger</t>
  </si>
  <si>
    <t>Vital Farms is a Certified B Corporation that offers a range of ethically produced foods nationwide. Started on a single farm in Austin, Texas in 2007, Vital Farms has become a national consumer brand that works with over 300 family farms and is the leading U.S. brand of pasture-raised eggs by retail dollar sales. Vital Farms' ethics are exemplified by its focus on the humane treatment of farm animals and sustainable farming practices. In addition, as a Delaware public benefit corporation, Vital Farms prioritizes the long-term benefits of each of its stakeholders, including farmers and suppliers, customers and consumers, communities and the environment, crew members, and stockholders. Vital Farms' products, including shell eggs, butter, hard-boiled eggs, and liquid whole eggs, are sold in over 24,000 stores nationwide. Vital Farms pasture-raised eggs can also be found on menus at hundreds of foodservice operators across the country. For more information, please visit www.vitalfarms.com.</t>
  </si>
  <si>
    <t>Households</t>
  </si>
  <si>
    <t>Investments Securities</t>
  </si>
  <si>
    <t>Other assets</t>
  </si>
  <si>
    <t>Accrued Liab</t>
  </si>
  <si>
    <t>Finance lease</t>
  </si>
  <si>
    <t>Income Taxes payable</t>
  </si>
  <si>
    <t>Finance Lease Liab</t>
  </si>
  <si>
    <t>Other liab</t>
  </si>
  <si>
    <t>SG&amp;A</t>
  </si>
  <si>
    <t>Shipping &amp; Distribution</t>
  </si>
  <si>
    <t>Interest expense</t>
  </si>
  <si>
    <t>Interest income</t>
  </si>
  <si>
    <t>Other income</t>
  </si>
  <si>
    <t>Shares (Diluted)</t>
  </si>
  <si>
    <t>SG&amp;A / REV</t>
  </si>
  <si>
    <t>Shipping&amp;Distribution / REV</t>
  </si>
  <si>
    <t>Eggs</t>
  </si>
  <si>
    <t>Butter</t>
  </si>
  <si>
    <t>Eggs Growth</t>
  </si>
  <si>
    <t>Butter Growth</t>
  </si>
  <si>
    <t>Income Tax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</si>
</sst>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4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3" fontId="2" fillId="0" borderId="0" xfId="0" applyNumberFormat="1" applyFont="1" applyBorder="1"/>
    <xf numFmtId="9" fontId="0" fillId="3" borderId="0" xfId="1" applyFont="1" applyFill="1"/>
    <xf numFmtId="9" fontId="0" fillId="3" borderId="2" xfId="1" applyFont="1" applyFill="1" applyBorder="1"/>
    <xf numFmtId="9" fontId="0" fillId="3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6C-45D2-A654-F6AA9D305AF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6C-45D2-A654-F6AA9D305A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Model!$L$2:$AA$2</c15:sqref>
                  </c15:fullRef>
                </c:ext>
              </c:extLst>
              <c:f>Model!$P$2:$AA$2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Model!$L$5:$AA$5</c15:sqref>
                  </c15:fullRef>
                </c:ext>
              </c:extLst>
              <c:f>Model!$P$5:$AA$5</c:f>
              <c:numCache>
                <c:formatCode>#,##0</c:formatCode>
                <c:ptCount val="12"/>
                <c:pt idx="0">
                  <c:v>77.057999999999993</c:v>
                </c:pt>
                <c:pt idx="1">
                  <c:v>82.87</c:v>
                </c:pt>
                <c:pt idx="2">
                  <c:v>92.04</c:v>
                </c:pt>
                <c:pt idx="3">
                  <c:v>110.08199999999999</c:v>
                </c:pt>
                <c:pt idx="4">
                  <c:v>119.17200000000001</c:v>
                </c:pt>
                <c:pt idx="5">
                  <c:v>106.44499999999999</c:v>
                </c:pt>
                <c:pt idx="6">
                  <c:v>110.429</c:v>
                </c:pt>
                <c:pt idx="7">
                  <c:v>135.81100000000004</c:v>
                </c:pt>
                <c:pt idx="8">
                  <c:v>147.929</c:v>
                </c:pt>
                <c:pt idx="9">
                  <c:v>147.38800000000001</c:v>
                </c:pt>
                <c:pt idx="10">
                  <c:v>144.71</c:v>
                </c:pt>
                <c:pt idx="11">
                  <c:v>156.75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500%</c:v>
              </c:pt>
              <c:pt idx="1">
                <c:v>600%</c:v>
              </c:pt>
              <c:pt idx="2">
                <c:v>700%</c:v>
              </c:pt>
              <c:pt idx="3">
                <c:v>800%</c:v>
              </c:pt>
              <c:pt idx="4">
                <c:v>900%</c:v>
              </c:pt>
              <c:pt idx="5">
                <c:v>1000%</c:v>
              </c:pt>
              <c:pt idx="6">
                <c:v>1100%</c:v>
              </c:pt>
              <c:pt idx="7">
                <c:v>1200%</c:v>
              </c:pt>
              <c:pt idx="8">
                <c:v>1300%</c:v>
              </c:pt>
              <c:pt idx="9">
                <c:v>1400%</c:v>
              </c:pt>
              <c:pt idx="10">
                <c:v>1500%</c:v>
              </c:pt>
              <c:pt idx="11">
                <c:v>1600%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Model!$L$23:$AA$23</c15:sqref>
                  </c15:fullRef>
                </c:ext>
              </c:extLst>
              <c:f>Model!$P$23:$AA$23</c:f>
              <c:numCache>
                <c:formatCode>0%</c:formatCode>
                <c:ptCount val="12"/>
                <c:pt idx="4">
                  <c:v>0.5465233979599784</c:v>
                </c:pt>
                <c:pt idx="5">
                  <c:v>0.28448171835404845</c:v>
                </c:pt>
                <c:pt idx="6">
                  <c:v>0.19979356801390691</c:v>
                </c:pt>
                <c:pt idx="7">
                  <c:v>0.2337257680638074</c:v>
                </c:pt>
                <c:pt idx="8">
                  <c:v>0.24130668277783363</c:v>
                </c:pt>
                <c:pt idx="9">
                  <c:v>0.38463995490628977</c:v>
                </c:pt>
                <c:pt idx="10">
                  <c:v>0.31043475898541151</c:v>
                </c:pt>
                <c:pt idx="11">
                  <c:v>0.15417749666816349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F0-4D6B-81F3-48E81104ED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Model!$C$5:$I$5</c:f>
              <c:numCache>
                <c:formatCode>#,##0</c:formatCode>
                <c:ptCount val="7"/>
                <c:pt idx="1">
                  <c:v>214.28</c:v>
                </c:pt>
                <c:pt idx="2">
                  <c:v>260.90100000000001</c:v>
                </c:pt>
                <c:pt idx="3">
                  <c:v>362.05</c:v>
                </c:pt>
                <c:pt idx="4">
                  <c:v>471.85700000000003</c:v>
                </c:pt>
                <c:pt idx="5">
                  <c:v>596.79</c:v>
                </c:pt>
                <c:pt idx="6">
                  <c:v>707.48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Model!$C$23:$I$23</c:f>
              <c:numCache>
                <c:formatCode>0%</c:formatCode>
                <c:ptCount val="7"/>
                <c:pt idx="1">
                  <c:v>0</c:v>
                </c:pt>
                <c:pt idx="2">
                  <c:v>0.21757046854582796</c:v>
                </c:pt>
                <c:pt idx="3">
                  <c:v>0.38769111655378863</c:v>
                </c:pt>
                <c:pt idx="4">
                  <c:v>0.30329236293329664</c:v>
                </c:pt>
                <c:pt idx="5">
                  <c:v>0.26476877528573262</c:v>
                </c:pt>
                <c:pt idx="6">
                  <c:v>0.18547562794282757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Model!$L$2:$AA$2</c15:sqref>
                  </c15:fullRef>
                </c:ext>
              </c:extLst>
              <c:f>Model!$P$2:$AA$2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Model!$L$19:$AA$19</c15:sqref>
                  </c15:fullRef>
                </c:ext>
              </c:extLst>
              <c:f>Model!$P$19:$AA$19</c:f>
              <c:numCache>
                <c:formatCode>0.00</c:formatCode>
                <c:ptCount val="12"/>
                <c:pt idx="0">
                  <c:v>-3.7895255097115679E-2</c:v>
                </c:pt>
                <c:pt idx="1">
                  <c:v>4.6609927628836487E-3</c:v>
                </c:pt>
                <c:pt idx="2">
                  <c:v>1.6861079027900749E-2</c:v>
                </c:pt>
                <c:pt idx="3">
                  <c:v>4.349365475385198E-2</c:v>
                </c:pt>
                <c:pt idx="4">
                  <c:v>0.164752860570507</c:v>
                </c:pt>
                <c:pt idx="5">
                  <c:v>0.15436939179499082</c:v>
                </c:pt>
                <c:pt idx="6">
                  <c:v>0.10485543731776496</c:v>
                </c:pt>
                <c:pt idx="7">
                  <c:v>0.16714740284348642</c:v>
                </c:pt>
                <c:pt idx="8">
                  <c:v>0.43385989201466074</c:v>
                </c:pt>
                <c:pt idx="9">
                  <c:v>0.36109251270177584</c:v>
                </c:pt>
                <c:pt idx="10">
                  <c:v>0.13</c:v>
                </c:pt>
                <c:pt idx="1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500%</c:v>
              </c:pt>
              <c:pt idx="1">
                <c:v>600%</c:v>
              </c:pt>
              <c:pt idx="2">
                <c:v>700%</c:v>
              </c:pt>
              <c:pt idx="3">
                <c:v>800%</c:v>
              </c:pt>
              <c:pt idx="4">
                <c:v>900%</c:v>
              </c:pt>
              <c:pt idx="5">
                <c:v>1000%</c:v>
              </c:pt>
              <c:pt idx="6">
                <c:v>1100%</c:v>
              </c:pt>
              <c:pt idx="7">
                <c:v>1200%</c:v>
              </c:pt>
              <c:pt idx="8">
                <c:v>1300%</c:v>
              </c:pt>
              <c:pt idx="9">
                <c:v>1400%</c:v>
              </c:pt>
              <c:pt idx="10">
                <c:v>1500%</c:v>
              </c:pt>
              <c:pt idx="11">
                <c:v>1600%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Model!$L$28:$AA$28</c15:sqref>
                  </c15:fullRef>
                </c:ext>
              </c:extLst>
              <c:f>Model!$P$28:$AA$28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-5.6549479166666359</c:v>
                </c:pt>
                <c:pt idx="5">
                  <c:v>32.582914572863722</c:v>
                </c:pt>
                <c:pt idx="6">
                  <c:v>5.2558782849239183</c:v>
                </c:pt>
                <c:pt idx="7">
                  <c:v>2.8659517426273475</c:v>
                </c:pt>
                <c:pt idx="8">
                  <c:v>1.6605594405594344</c:v>
                </c:pt>
                <c:pt idx="9">
                  <c:v>1.444860092772708</c:v>
                </c:pt>
                <c:pt idx="10">
                  <c:v>30.994251602918428</c:v>
                </c:pt>
                <c:pt idx="11">
                  <c:v>20.740638002773824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D7-4A5B-8007-8337CA1F0201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D7-4A5B-8007-8337CA1F02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Model!$C$2:$I$2</c15:sqref>
                  </c15:fullRef>
                </c:ext>
              </c:extLst>
              <c:f>Model!$D$2:$I$2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Model!$C$19:$I$19</c15:sqref>
                  </c15:fullRef>
                </c:ext>
              </c:extLst>
              <c:f>Model!$D$19:$I$19</c:f>
              <c:numCache>
                <c:formatCode>0.00</c:formatCode>
                <c:ptCount val="6"/>
                <c:pt idx="0">
                  <c:v>0.26723660127907112</c:v>
                </c:pt>
                <c:pt idx="1">
                  <c:v>5.6068855786540694E-2</c:v>
                </c:pt>
                <c:pt idx="2">
                  <c:v>2.8778741992160718E-2</c:v>
                </c:pt>
                <c:pt idx="3">
                  <c:v>0.59026381925210403</c:v>
                </c:pt>
                <c:pt idx="4">
                  <c:v>1.0900000000000001</c:v>
                </c:pt>
                <c:pt idx="5" formatCode="General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200%</c:v>
              </c:pt>
              <c:pt idx="1">
                <c:v>300%</c:v>
              </c:pt>
              <c:pt idx="2">
                <c:v>400%</c:v>
              </c:pt>
              <c:pt idx="3">
                <c:v>500%</c:v>
              </c:pt>
              <c:pt idx="4">
                <c:v>600%</c:v>
              </c:pt>
              <c:pt idx="5">
                <c:v>700%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Model!$C$28:$I$28</c15:sqref>
                  </c15:fullRef>
                </c:ext>
              </c:extLst>
              <c:f>Model!$D$28:$I$28</c:f>
              <c:numCache>
                <c:formatCode>0%</c:formatCode>
                <c:ptCount val="6"/>
                <c:pt idx="0">
                  <c:v>0</c:v>
                </c:pt>
                <c:pt idx="1">
                  <c:v>0.72385175079581332</c:v>
                </c:pt>
                <c:pt idx="2">
                  <c:v>-0.4867249993164825</c:v>
                </c:pt>
                <c:pt idx="3">
                  <c:v>19.510410754330085</c:v>
                </c:pt>
                <c:pt idx="4">
                  <c:v>0.84663190330908078</c:v>
                </c:pt>
                <c:pt idx="5">
                  <c:v>0.11009174311926584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Model!$L$2:$AA$2</c15:sqref>
                  </c15:fullRef>
                </c:ext>
              </c:extLst>
              <c:f>Model!$P$2:$AA$2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Model!$L$24:$AA$24</c15:sqref>
                  </c15:fullRef>
                </c:ext>
              </c:extLst>
              <c:f>Model!$P$24:$AA$24</c:f>
              <c:numCache>
                <c:formatCode>0%</c:formatCode>
                <c:ptCount val="12"/>
                <c:pt idx="0">
                  <c:v>0.22871084118456228</c:v>
                </c:pt>
                <c:pt idx="1">
                  <c:v>0.20522505128514543</c:v>
                </c:pt>
                <c:pt idx="2">
                  <c:v>0.22339200347674923</c:v>
                </c:pt>
                <c:pt idx="3">
                  <c:v>0.20025072218891379</c:v>
                </c:pt>
                <c:pt idx="4">
                  <c:v>0.20093646158493605</c:v>
                </c:pt>
                <c:pt idx="5">
                  <c:v>0.2246042557189159</c:v>
                </c:pt>
                <c:pt idx="6">
                  <c:v>0.22712331000009053</c:v>
                </c:pt>
                <c:pt idx="7">
                  <c:v>0.21200786386964224</c:v>
                </c:pt>
                <c:pt idx="8">
                  <c:v>0.18341231266350749</c:v>
                </c:pt>
                <c:pt idx="9">
                  <c:v>0.22617852199636332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Model!$B$25</c:f>
              <c:strCache>
                <c:ptCount val="1"/>
                <c:pt idx="0">
                  <c:v>Shipping&amp;Distribution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Model!$L$2:$AA$2</c15:sqref>
                  </c15:fullRef>
                </c:ext>
              </c:extLst>
              <c:f>Model!$P$2:$AA$2</c:f>
              <c:strCache>
                <c:ptCount val="12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Model!$L$25:$AA$25</c15:sqref>
                  </c15:fullRef>
                </c:ext>
              </c:extLst>
              <c:f>Model!$P$25:$AA$25</c:f>
              <c:numCache>
                <c:formatCode>0%</c:formatCode>
                <c:ptCount val="12"/>
                <c:pt idx="0">
                  <c:v>0.10592021594123908</c:v>
                </c:pt>
                <c:pt idx="1">
                  <c:v>8.7015807891878849E-2</c:v>
                </c:pt>
                <c:pt idx="2">
                  <c:v>7.5032594524119936E-2</c:v>
                </c:pt>
                <c:pt idx="3">
                  <c:v>7.1083374211951086E-2</c:v>
                </c:pt>
                <c:pt idx="4">
                  <c:v>6.5669788205283117E-2</c:v>
                </c:pt>
                <c:pt idx="5">
                  <c:v>5.4986143078585188E-2</c:v>
                </c:pt>
                <c:pt idx="6">
                  <c:v>5.7548288945838508E-2</c:v>
                </c:pt>
                <c:pt idx="7">
                  <c:v>5.3824800642068751E-2</c:v>
                </c:pt>
                <c:pt idx="8">
                  <c:v>5.1348957946041683E-2</c:v>
                </c:pt>
                <c:pt idx="9">
                  <c:v>4.8871007137623143E-2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Model!$C$24:$I$24</c:f>
              <c:numCache>
                <c:formatCode>0%</c:formatCode>
                <c:ptCount val="7"/>
                <c:pt idx="0">
                  <c:v>0</c:v>
                </c:pt>
                <c:pt idx="1">
                  <c:v>0.22118723165951093</c:v>
                </c:pt>
                <c:pt idx="2">
                  <c:v>0.22180060636026691</c:v>
                </c:pt>
                <c:pt idx="3">
                  <c:v>0.21332965060074577</c:v>
                </c:pt>
                <c:pt idx="4">
                  <c:v>0.21559074041499859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Model!$B$25</c:f>
              <c:strCache>
                <c:ptCount val="1"/>
                <c:pt idx="0">
                  <c:v>Shipping&amp;Distribution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Model!$C$25:$I$25</c:f>
              <c:numCache>
                <c:formatCode>0%</c:formatCode>
                <c:ptCount val="7"/>
                <c:pt idx="0">
                  <c:v>0</c:v>
                </c:pt>
                <c:pt idx="1">
                  <c:v>6.9553854769460521E-2</c:v>
                </c:pt>
                <c:pt idx="2">
                  <c:v>9.5741296507104223E-2</c:v>
                </c:pt>
                <c:pt idx="3">
                  <c:v>8.3148736362380876E-2</c:v>
                </c:pt>
                <c:pt idx="4">
                  <c:v>5.7949760202773294E-2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_xlchart.v1.14</cx:f>
      </cx:numDim>
    </cx:data>
    <cx:data id="1">
      <cx:strDim type="cat">
        <cx:f dir="row">_xlchart.v1.12</cx:f>
      </cx:strDim>
      <cx:numDim type="val">
        <cx:f dir="row">_xlchart.v1.13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_xlchart.v1.9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_xlchart.v1.8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_xlchart.v1.20</cx:f>
      </cx:strDim>
      <cx:numDim type="val">
        <cx:f dir="row">_xlchart.v1.22</cx:f>
      </cx:numDim>
    </cx:data>
    <cx:data id="1">
      <cx:strDim type="cat">
        <cx:f dir="row">_xlchart.v1.20</cx:f>
      </cx:strDim>
      <cx:numDim type="val">
        <cx:f dir="row">_xlchart.v1.21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_xlchart.v1.15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1"/>
  <sheetViews>
    <sheetView tabSelected="1" zoomScaleNormal="100" workbookViewId="0">
      <selection activeCell="J18" sqref="J18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136</v>
      </c>
      <c r="C2" s="19"/>
      <c r="E2" s="24" t="s">
        <v>48</v>
      </c>
      <c r="F2" s="60" t="s">
        <v>49</v>
      </c>
      <c r="G2" s="25"/>
      <c r="H2" s="26" t="s">
        <v>56</v>
      </c>
      <c r="I2" s="26" t="s">
        <v>1</v>
      </c>
      <c r="J2" s="27" t="s">
        <v>49</v>
      </c>
      <c r="L2" s="30" t="s">
        <v>42</v>
      </c>
      <c r="M2" s="31" t="s">
        <v>58</v>
      </c>
      <c r="N2" s="32" t="s">
        <v>57</v>
      </c>
    </row>
    <row r="3" spans="2:14" x14ac:dyDescent="0.25">
      <c r="B3" s="5" t="s">
        <v>41</v>
      </c>
      <c r="C3" s="20">
        <v>45571</v>
      </c>
      <c r="E3" s="5" t="s">
        <v>137</v>
      </c>
      <c r="F3" s="28" t="s">
        <v>138</v>
      </c>
      <c r="H3" t="s">
        <v>157</v>
      </c>
      <c r="I3" s="10">
        <v>25.263000000000002</v>
      </c>
      <c r="J3" s="38"/>
      <c r="L3" s="5" t="s">
        <v>167</v>
      </c>
      <c r="M3" t="s">
        <v>168</v>
      </c>
      <c r="N3" s="37" t="s">
        <v>187</v>
      </c>
    </row>
    <row r="4" spans="2:14" x14ac:dyDescent="0.25">
      <c r="B4" s="5"/>
      <c r="C4" s="21">
        <v>0.76527777777777772</v>
      </c>
      <c r="E4" s="5" t="s">
        <v>139</v>
      </c>
      <c r="F4" s="28" t="s">
        <v>140</v>
      </c>
      <c r="H4" t="s">
        <v>158</v>
      </c>
      <c r="I4" s="10">
        <v>529.50199999999995</v>
      </c>
      <c r="J4" s="38"/>
      <c r="L4" s="5" t="s">
        <v>169</v>
      </c>
      <c r="M4" t="s">
        <v>170</v>
      </c>
      <c r="N4" s="13" t="s">
        <v>188</v>
      </c>
    </row>
    <row r="5" spans="2:14" x14ac:dyDescent="0.25">
      <c r="B5" s="5"/>
      <c r="C5" s="13"/>
      <c r="E5" s="5" t="s">
        <v>141</v>
      </c>
      <c r="F5" s="28" t="s">
        <v>142</v>
      </c>
      <c r="H5" t="s">
        <v>159</v>
      </c>
      <c r="I5" s="10">
        <v>27.975000000000001</v>
      </c>
      <c r="J5" s="38"/>
      <c r="L5" s="5" t="s">
        <v>171</v>
      </c>
      <c r="M5" t="s">
        <v>172</v>
      </c>
      <c r="N5" s="13" t="s">
        <v>189</v>
      </c>
    </row>
    <row r="6" spans="2:14" x14ac:dyDescent="0.25">
      <c r="B6" s="5" t="s">
        <v>0</v>
      </c>
      <c r="C6" s="13">
        <v>36.5</v>
      </c>
      <c r="E6" s="5" t="s">
        <v>143</v>
      </c>
      <c r="F6" s="28" t="s">
        <v>144</v>
      </c>
      <c r="H6" t="s">
        <v>160</v>
      </c>
      <c r="I6" s="10">
        <v>3.9390000000000001</v>
      </c>
      <c r="J6" s="38"/>
      <c r="L6" s="5" t="s">
        <v>173</v>
      </c>
      <c r="M6" t="s">
        <v>174</v>
      </c>
      <c r="N6" s="13"/>
    </row>
    <row r="7" spans="2:14" x14ac:dyDescent="0.25">
      <c r="B7" s="5" t="s">
        <v>1</v>
      </c>
      <c r="C7" s="15">
        <f>Model!Y18</f>
        <v>45.248792000000002</v>
      </c>
      <c r="E7" s="5" t="s">
        <v>145</v>
      </c>
      <c r="F7" s="28" t="s">
        <v>146</v>
      </c>
      <c r="H7" t="s">
        <v>161</v>
      </c>
      <c r="I7" s="10">
        <v>17.004000000000001</v>
      </c>
      <c r="J7" s="38"/>
      <c r="L7" s="5" t="s">
        <v>175</v>
      </c>
      <c r="M7" t="s">
        <v>176</v>
      </c>
      <c r="N7" s="13"/>
    </row>
    <row r="8" spans="2:14" x14ac:dyDescent="0.25">
      <c r="B8" s="5" t="s">
        <v>2</v>
      </c>
      <c r="C8" s="15">
        <f>C6*C7</f>
        <v>1651.5809080000001</v>
      </c>
      <c r="E8" s="5" t="s">
        <v>147</v>
      </c>
      <c r="F8" s="28" t="s">
        <v>148</v>
      </c>
      <c r="H8" t="s">
        <v>162</v>
      </c>
      <c r="I8" s="10">
        <v>142.20500000000001</v>
      </c>
      <c r="J8" s="38"/>
      <c r="L8" s="5" t="s">
        <v>177</v>
      </c>
      <c r="M8" t="s">
        <v>178</v>
      </c>
      <c r="N8" s="13"/>
    </row>
    <row r="9" spans="2:14" x14ac:dyDescent="0.25">
      <c r="B9" s="5" t="s">
        <v>3</v>
      </c>
      <c r="C9" s="15">
        <f>Model!Y33+Model!Y34</f>
        <v>152.70600000000002</v>
      </c>
      <c r="E9" s="5" t="s">
        <v>149</v>
      </c>
      <c r="F9" s="28" t="s">
        <v>150</v>
      </c>
      <c r="H9" t="s">
        <v>163</v>
      </c>
      <c r="I9" s="10">
        <v>8960.7800000000007</v>
      </c>
      <c r="J9" s="38"/>
      <c r="L9" s="5" t="s">
        <v>179</v>
      </c>
      <c r="M9" t="s">
        <v>180</v>
      </c>
      <c r="N9" s="13"/>
    </row>
    <row r="10" spans="2:14" x14ac:dyDescent="0.25">
      <c r="B10" s="5" t="s">
        <v>4</v>
      </c>
      <c r="C10" s="15">
        <f>Model!Y48+Model!Y52</f>
        <v>13.213000000000001</v>
      </c>
      <c r="E10" s="5" t="s">
        <v>151</v>
      </c>
      <c r="F10" s="28" t="s">
        <v>152</v>
      </c>
      <c r="H10" t="s">
        <v>164</v>
      </c>
      <c r="I10" s="10">
        <v>18.975000000000001</v>
      </c>
      <c r="J10" s="38"/>
      <c r="L10" s="5" t="s">
        <v>181</v>
      </c>
      <c r="M10" t="s">
        <v>182</v>
      </c>
      <c r="N10" s="13"/>
    </row>
    <row r="11" spans="2:14" x14ac:dyDescent="0.25">
      <c r="B11" s="5" t="s">
        <v>36</v>
      </c>
      <c r="C11" s="15">
        <f>C9-C10</f>
        <v>139.49300000000002</v>
      </c>
      <c r="E11" s="5" t="s">
        <v>153</v>
      </c>
      <c r="F11" s="28" t="s">
        <v>154</v>
      </c>
      <c r="H11" t="s">
        <v>165</v>
      </c>
      <c r="I11" s="10">
        <v>36.975000000000001</v>
      </c>
      <c r="J11" s="38"/>
      <c r="L11" s="5" t="s">
        <v>183</v>
      </c>
      <c r="M11" t="s">
        <v>184</v>
      </c>
      <c r="N11" s="13"/>
    </row>
    <row r="12" spans="2:14" x14ac:dyDescent="0.25">
      <c r="B12" s="5" t="s">
        <v>5</v>
      </c>
      <c r="C12" s="15">
        <f>C8-C9+C10</f>
        <v>1512.0879080000002</v>
      </c>
      <c r="E12" s="5" t="s">
        <v>155</v>
      </c>
      <c r="F12" s="28" t="s">
        <v>156</v>
      </c>
      <c r="H12" t="s">
        <v>166</v>
      </c>
      <c r="I12">
        <v>3.581</v>
      </c>
      <c r="J12" s="13"/>
      <c r="L12" s="5" t="s">
        <v>185</v>
      </c>
      <c r="M12" t="s">
        <v>186</v>
      </c>
      <c r="N12" s="13"/>
    </row>
    <row r="13" spans="2:14" x14ac:dyDescent="0.25">
      <c r="B13" s="5" t="s">
        <v>47</v>
      </c>
      <c r="C13" s="36">
        <f>C6/Model!G19</f>
        <v>61.836756395212333</v>
      </c>
      <c r="E13" s="5"/>
      <c r="J13" s="13"/>
      <c r="L13" s="5"/>
      <c r="N13" s="13"/>
    </row>
    <row r="14" spans="2:14" x14ac:dyDescent="0.25">
      <c r="B14" s="5" t="s">
        <v>45</v>
      </c>
      <c r="C14" s="36">
        <f>C6/Model!H20</f>
        <v>33.486238532110086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46</v>
      </c>
      <c r="C15" s="36">
        <f>C6/Model!I20</f>
        <v>30.165289256198349</v>
      </c>
    </row>
    <row r="16" spans="2:14" x14ac:dyDescent="0.25">
      <c r="B16" s="5" t="s">
        <v>43</v>
      </c>
      <c r="C16" s="6">
        <f>Model!H20/Model!G19-1</f>
        <v>0.84663190330908078</v>
      </c>
    </row>
    <row r="17" spans="2:14" x14ac:dyDescent="0.25">
      <c r="B17" s="5" t="s">
        <v>44</v>
      </c>
      <c r="C17" s="6">
        <f>Model!I20/Model!H20-1</f>
        <v>0.11009174311926584</v>
      </c>
      <c r="E17" s="33" t="s">
        <v>54</v>
      </c>
      <c r="L17" s="126" t="s">
        <v>190</v>
      </c>
      <c r="M17" s="127"/>
      <c r="N17" s="128"/>
    </row>
    <row r="18" spans="2:14" x14ac:dyDescent="0.25">
      <c r="B18" s="5" t="s">
        <v>68</v>
      </c>
      <c r="C18" s="50">
        <f>C14/(C16*100)</f>
        <v>0.3955229941280069</v>
      </c>
      <c r="L18" s="129"/>
      <c r="M18" s="130"/>
      <c r="N18" s="131"/>
    </row>
    <row r="19" spans="2:14" x14ac:dyDescent="0.25">
      <c r="B19" s="5" t="s">
        <v>69</v>
      </c>
      <c r="C19" s="50">
        <f>C15/(C17*100)</f>
        <v>2.7400137741046886</v>
      </c>
      <c r="L19" s="129"/>
      <c r="M19" s="130"/>
      <c r="N19" s="131"/>
    </row>
    <row r="20" spans="2:14" x14ac:dyDescent="0.25">
      <c r="B20" s="5" t="s">
        <v>79</v>
      </c>
      <c r="C20" s="6">
        <f>Model!H5/Model!G5-1</f>
        <v>0.26476877528573262</v>
      </c>
      <c r="L20" s="129"/>
      <c r="M20" s="130"/>
      <c r="N20" s="131"/>
    </row>
    <row r="21" spans="2:14" x14ac:dyDescent="0.25">
      <c r="B21" s="5" t="s">
        <v>80</v>
      </c>
      <c r="C21" s="6">
        <f>Model!I5/Model!H5-1</f>
        <v>0.18547562794282757</v>
      </c>
      <c r="L21" s="129"/>
      <c r="M21" s="130"/>
      <c r="N21" s="131"/>
    </row>
    <row r="22" spans="2:14" x14ac:dyDescent="0.25">
      <c r="B22" s="5" t="s">
        <v>70</v>
      </c>
      <c r="C22" s="15"/>
      <c r="L22" s="129"/>
      <c r="M22" s="130"/>
      <c r="N22" s="131"/>
    </row>
    <row r="23" spans="2:14" x14ac:dyDescent="0.25">
      <c r="B23" s="5" t="s">
        <v>19</v>
      </c>
      <c r="C23" s="15">
        <f>Model!F8</f>
        <v>77.236000000000004</v>
      </c>
      <c r="L23" s="129"/>
      <c r="M23" s="130"/>
      <c r="N23" s="131"/>
    </row>
    <row r="24" spans="2:14" x14ac:dyDescent="0.25">
      <c r="B24" s="5" t="s">
        <v>30</v>
      </c>
      <c r="C24" s="7">
        <f>Model!Y21</f>
        <v>0.39133443699622772</v>
      </c>
      <c r="L24" s="129"/>
      <c r="M24" s="130"/>
      <c r="N24" s="131"/>
    </row>
    <row r="25" spans="2:14" x14ac:dyDescent="0.25">
      <c r="B25" s="5" t="s">
        <v>31</v>
      </c>
      <c r="C25" s="7">
        <f>Model!Y22</f>
        <v>0.11085705756235251</v>
      </c>
      <c r="L25" s="129"/>
      <c r="M25" s="130"/>
      <c r="N25" s="131"/>
    </row>
    <row r="26" spans="2:14" x14ac:dyDescent="0.25">
      <c r="B26" s="5" t="s">
        <v>71</v>
      </c>
      <c r="C26" s="36">
        <f>C12/C23</f>
        <v>19.577501527784971</v>
      </c>
      <c r="L26" s="129"/>
      <c r="M26" s="130"/>
      <c r="N26" s="131"/>
    </row>
    <row r="27" spans="2:14" x14ac:dyDescent="0.25">
      <c r="B27" s="5" t="s">
        <v>81</v>
      </c>
      <c r="C27" s="120">
        <f>C10/Model!Y55</f>
        <v>5.541877603063488E-2</v>
      </c>
      <c r="E27" t="s">
        <v>73</v>
      </c>
      <c r="L27" s="129"/>
      <c r="M27" s="130"/>
      <c r="N27" s="131"/>
    </row>
    <row r="28" spans="2:14" x14ac:dyDescent="0.25">
      <c r="B28" s="5" t="s">
        <v>82</v>
      </c>
      <c r="C28" s="36"/>
      <c r="L28" s="132"/>
      <c r="M28" s="133"/>
      <c r="N28" s="134"/>
    </row>
    <row r="29" spans="2:14" x14ac:dyDescent="0.25">
      <c r="B29" s="5" t="s">
        <v>83</v>
      </c>
      <c r="C29" s="36">
        <f>Model!Y39/Model!Y50</f>
        <v>3.4961412727082748</v>
      </c>
    </row>
    <row r="30" spans="2:14" x14ac:dyDescent="0.25">
      <c r="B30" s="5" t="s">
        <v>84</v>
      </c>
      <c r="C30" s="36"/>
    </row>
    <row r="31" spans="2:14" x14ac:dyDescent="0.25">
      <c r="B31" s="5" t="s">
        <v>85</v>
      </c>
      <c r="C31" s="6"/>
    </row>
    <row r="32" spans="2:14" x14ac:dyDescent="0.25">
      <c r="B32" s="5" t="s">
        <v>86</v>
      </c>
      <c r="C32" s="36"/>
    </row>
    <row r="33" spans="2:9" x14ac:dyDescent="0.25">
      <c r="B33" s="5" t="s">
        <v>87</v>
      </c>
      <c r="C33" s="36"/>
    </row>
    <row r="34" spans="2:9" x14ac:dyDescent="0.25">
      <c r="B34" s="5" t="s">
        <v>88</v>
      </c>
      <c r="C34" s="38"/>
    </row>
    <row r="35" spans="2:9" x14ac:dyDescent="0.25">
      <c r="B35" s="5" t="s">
        <v>89</v>
      </c>
      <c r="C35" s="38"/>
    </row>
    <row r="36" spans="2:9" x14ac:dyDescent="0.25">
      <c r="B36" s="22" t="s">
        <v>90</v>
      </c>
      <c r="C36" s="23"/>
    </row>
    <row r="41" spans="2:9" x14ac:dyDescent="0.25">
      <c r="E41" s="58"/>
      <c r="F41" s="58"/>
      <c r="G41" s="59"/>
      <c r="H41" s="59"/>
      <c r="I41" s="59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6"/>
  <sheetViews>
    <sheetView zoomScaleNormal="100" workbookViewId="0">
      <pane xSplit="2" ySplit="2" topLeftCell="H27" activePane="bottomRight" state="frozen"/>
      <selection pane="topRight" activeCell="B1" sqref="B1"/>
      <selection pane="bottomLeft" activeCell="A3" sqref="A3"/>
      <selection pane="bottomRight" activeCell="M36" sqref="M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3"/>
  </cols>
  <sheetData>
    <row r="1" spans="1:27" x14ac:dyDescent="0.25">
      <c r="A1" s="8" t="s">
        <v>37</v>
      </c>
    </row>
    <row r="2" spans="1:27" x14ac:dyDescent="0.25">
      <c r="C2" t="s">
        <v>34</v>
      </c>
      <c r="D2" t="s">
        <v>18</v>
      </c>
      <c r="E2" t="s">
        <v>14</v>
      </c>
      <c r="F2" t="s">
        <v>15</v>
      </c>
      <c r="G2" s="13" t="s">
        <v>16</v>
      </c>
      <c r="H2" t="s">
        <v>32</v>
      </c>
      <c r="I2" t="s">
        <v>67</v>
      </c>
      <c r="L2" t="s">
        <v>33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35</v>
      </c>
      <c r="V2" t="s">
        <v>39</v>
      </c>
      <c r="W2" t="s">
        <v>40</v>
      </c>
      <c r="X2" t="s">
        <v>63</v>
      </c>
      <c r="Y2" s="13" t="s">
        <v>66</v>
      </c>
      <c r="Z2" t="s">
        <v>132</v>
      </c>
      <c r="AA2" t="s">
        <v>133</v>
      </c>
    </row>
    <row r="3" spans="1:27" x14ac:dyDescent="0.25">
      <c r="B3" t="s">
        <v>207</v>
      </c>
      <c r="D3" s="10">
        <v>196.69499999999999</v>
      </c>
      <c r="E3" s="10">
        <v>239.96700000000001</v>
      </c>
      <c r="F3" s="10">
        <v>339.214</v>
      </c>
      <c r="G3" s="15">
        <v>449.04500000000002</v>
      </c>
      <c r="L3" s="10"/>
      <c r="M3" s="10"/>
      <c r="N3" s="10"/>
      <c r="O3" s="10"/>
      <c r="P3" s="10">
        <v>72.120999999999995</v>
      </c>
      <c r="Q3" s="10">
        <v>78.106999999999999</v>
      </c>
      <c r="R3" s="10">
        <v>86.191000000000003</v>
      </c>
      <c r="S3" s="10">
        <f>F3-R3-Q3-P3</f>
        <v>102.795</v>
      </c>
      <c r="T3" s="10">
        <v>112.79</v>
      </c>
      <c r="U3" s="10">
        <v>101.785</v>
      </c>
      <c r="V3" s="10">
        <v>103.887</v>
      </c>
      <c r="W3" s="10">
        <f>G3-V3-U3-T3</f>
        <v>130.58300000000003</v>
      </c>
      <c r="X3" s="10">
        <v>143.761</v>
      </c>
      <c r="Y3" s="15">
        <v>142.941</v>
      </c>
      <c r="Z3" s="10"/>
      <c r="AA3" s="10"/>
    </row>
    <row r="4" spans="1:27" x14ac:dyDescent="0.25">
      <c r="B4" t="s">
        <v>208</v>
      </c>
      <c r="D4" s="10">
        <v>17.585000000000001</v>
      </c>
      <c r="E4" s="10">
        <v>20.934000000000001</v>
      </c>
      <c r="F4" s="10">
        <v>22.835999999999999</v>
      </c>
      <c r="G4" s="15">
        <v>22.812000000000001</v>
      </c>
      <c r="L4" s="10"/>
      <c r="M4" s="10"/>
      <c r="N4" s="10"/>
      <c r="O4" s="10"/>
      <c r="P4" s="10">
        <v>4.9370000000000003</v>
      </c>
      <c r="Q4" s="10">
        <v>4.7629999999999999</v>
      </c>
      <c r="R4" s="10">
        <v>5.8490000000000002</v>
      </c>
      <c r="S4" s="10">
        <f>F4-R4-Q4-P4</f>
        <v>7.2869999999999981</v>
      </c>
      <c r="T4" s="10">
        <v>6.3819999999999997</v>
      </c>
      <c r="U4" s="10">
        <v>4.66</v>
      </c>
      <c r="V4" s="10">
        <v>6.5419999999999998</v>
      </c>
      <c r="W4" s="10">
        <f>G4-V4-U4-T4</f>
        <v>5.2280000000000033</v>
      </c>
      <c r="X4" s="10">
        <v>4.1680000000000001</v>
      </c>
      <c r="Y4" s="15">
        <v>4.4470000000000001</v>
      </c>
      <c r="Z4" s="10"/>
      <c r="AA4" s="10"/>
    </row>
    <row r="5" spans="1:27" s="1" customFormat="1" x14ac:dyDescent="0.25">
      <c r="B5" s="1" t="s">
        <v>17</v>
      </c>
      <c r="C5" s="11"/>
      <c r="D5" s="11">
        <f>SUM(D3:D4)</f>
        <v>214.28</v>
      </c>
      <c r="E5" s="11">
        <f>SUM(E3:E4)</f>
        <v>260.90100000000001</v>
      </c>
      <c r="F5" s="11">
        <f>SUM(F3:F4)</f>
        <v>362.05</v>
      </c>
      <c r="G5" s="14">
        <f>SUM(G3:G4)</f>
        <v>471.85700000000003</v>
      </c>
      <c r="H5" s="43">
        <v>596.79</v>
      </c>
      <c r="I5" s="43">
        <v>707.48</v>
      </c>
      <c r="L5" s="145">
        <f t="shared" ref="L5:X5" si="0">SUM(L3:L4)</f>
        <v>0</v>
      </c>
      <c r="M5" s="145">
        <f t="shared" si="0"/>
        <v>0</v>
      </c>
      <c r="N5" s="145">
        <f t="shared" si="0"/>
        <v>0</v>
      </c>
      <c r="O5" s="145">
        <f t="shared" si="0"/>
        <v>0</v>
      </c>
      <c r="P5" s="145">
        <f t="shared" si="0"/>
        <v>77.057999999999993</v>
      </c>
      <c r="Q5" s="145">
        <f t="shared" si="0"/>
        <v>82.87</v>
      </c>
      <c r="R5" s="145">
        <f t="shared" si="0"/>
        <v>92.04</v>
      </c>
      <c r="S5" s="145">
        <f t="shared" si="0"/>
        <v>110.08199999999999</v>
      </c>
      <c r="T5" s="145">
        <f t="shared" si="0"/>
        <v>119.17200000000001</v>
      </c>
      <c r="U5" s="145">
        <f t="shared" si="0"/>
        <v>106.44499999999999</v>
      </c>
      <c r="V5" s="145">
        <f t="shared" si="0"/>
        <v>110.429</v>
      </c>
      <c r="W5" s="145">
        <f t="shared" si="0"/>
        <v>135.81100000000004</v>
      </c>
      <c r="X5" s="145">
        <f t="shared" si="0"/>
        <v>147.929</v>
      </c>
      <c r="Y5" s="14">
        <f>SUM(Y3:Y4)</f>
        <v>147.38800000000001</v>
      </c>
      <c r="Z5" s="40">
        <v>144.71</v>
      </c>
      <c r="AA5" s="40">
        <v>156.75</v>
      </c>
    </row>
    <row r="6" spans="1:27" x14ac:dyDescent="0.25">
      <c r="B6" s="9" t="s">
        <v>65</v>
      </c>
      <c r="C6" s="10"/>
      <c r="D6" s="10"/>
      <c r="E6" s="10"/>
      <c r="F6" s="10"/>
      <c r="G6" s="15"/>
      <c r="H6" s="42">
        <v>596.79</v>
      </c>
      <c r="I6" s="42">
        <v>707.48</v>
      </c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124"/>
      <c r="Z6" s="40">
        <v>144.71</v>
      </c>
      <c r="AA6" s="40">
        <v>156.75</v>
      </c>
    </row>
    <row r="7" spans="1:27" s="1" customFormat="1" x14ac:dyDescent="0.25">
      <c r="B7" s="1" t="s">
        <v>59</v>
      </c>
      <c r="C7" s="11"/>
      <c r="D7" s="11">
        <v>139.75200000000001</v>
      </c>
      <c r="E7" s="11">
        <v>178.00200000000001</v>
      </c>
      <c r="F7" s="11">
        <v>252.60599999999999</v>
      </c>
      <c r="G7" s="14">
        <v>309.53100000000001</v>
      </c>
      <c r="H7" s="11"/>
      <c r="I7" s="11"/>
      <c r="L7" s="11"/>
      <c r="M7" s="11"/>
      <c r="N7" s="11"/>
      <c r="O7" s="11"/>
      <c r="P7" s="11">
        <v>55.357999999999997</v>
      </c>
      <c r="Q7" s="11">
        <v>57.930999999999997</v>
      </c>
      <c r="R7" s="11">
        <v>62.548999999999999</v>
      </c>
      <c r="S7" s="11">
        <f t="shared" ref="S7:S9" si="1">F7-R7-Q7-P7</f>
        <v>76.767999999999972</v>
      </c>
      <c r="T7" s="11">
        <v>76.504000000000005</v>
      </c>
      <c r="U7" s="11">
        <v>68.644999999999996</v>
      </c>
      <c r="V7" s="11">
        <v>73.763999999999996</v>
      </c>
      <c r="W7" s="11">
        <f>G7-V7-U7-T7</f>
        <v>90.618000000000009</v>
      </c>
      <c r="X7" s="11">
        <v>89.031999999999996</v>
      </c>
      <c r="Y7" s="14">
        <v>89.71</v>
      </c>
      <c r="Z7" s="11"/>
      <c r="AA7" s="11"/>
    </row>
    <row r="8" spans="1:27" x14ac:dyDescent="0.25">
      <c r="B8" t="s">
        <v>199</v>
      </c>
      <c r="C8" s="10"/>
      <c r="D8" s="10">
        <v>47.396000000000001</v>
      </c>
      <c r="E8" s="10">
        <v>57.868000000000002</v>
      </c>
      <c r="F8" s="10">
        <v>77.236000000000004</v>
      </c>
      <c r="G8" s="15">
        <v>101.72799999999999</v>
      </c>
      <c r="H8" s="40"/>
      <c r="I8" s="40"/>
      <c r="L8" s="10"/>
      <c r="M8" s="10"/>
      <c r="N8" s="10"/>
      <c r="O8" s="10"/>
      <c r="P8" s="10">
        <v>17.623999999999999</v>
      </c>
      <c r="Q8" s="10">
        <v>17.007000000000001</v>
      </c>
      <c r="R8" s="10">
        <v>20.561</v>
      </c>
      <c r="S8" s="10">
        <f t="shared" si="1"/>
        <v>22.044000000000008</v>
      </c>
      <c r="T8" s="10">
        <v>23.946000000000002</v>
      </c>
      <c r="U8" s="10">
        <v>23.908000000000001</v>
      </c>
      <c r="V8" s="10">
        <v>25.081</v>
      </c>
      <c r="W8" s="10">
        <f>G8-V8-U8-T8</f>
        <v>28.792999999999989</v>
      </c>
      <c r="X8" s="10">
        <v>27.132000000000001</v>
      </c>
      <c r="Y8" s="15">
        <v>33.335999999999999</v>
      </c>
      <c r="Z8" s="10"/>
      <c r="AA8" s="10"/>
    </row>
    <row r="9" spans="1:27" x14ac:dyDescent="0.25">
      <c r="B9" t="s">
        <v>200</v>
      </c>
      <c r="C9" s="10"/>
      <c r="D9" s="10">
        <v>14.904</v>
      </c>
      <c r="E9" s="10">
        <v>24.978999999999999</v>
      </c>
      <c r="F9" s="10">
        <v>30.103999999999999</v>
      </c>
      <c r="G9" s="15">
        <v>27.344000000000001</v>
      </c>
      <c r="H9" s="40"/>
      <c r="I9" s="40"/>
      <c r="L9" s="10"/>
      <c r="M9" s="10"/>
      <c r="N9" s="10"/>
      <c r="O9" s="10"/>
      <c r="P9" s="10">
        <v>8.1620000000000008</v>
      </c>
      <c r="Q9" s="10">
        <v>7.2110000000000003</v>
      </c>
      <c r="R9" s="10">
        <v>6.9059999999999997</v>
      </c>
      <c r="S9" s="10">
        <f t="shared" si="1"/>
        <v>7.8249999999999993</v>
      </c>
      <c r="T9" s="10">
        <v>7.8259999999999996</v>
      </c>
      <c r="U9" s="10">
        <v>5.8529999999999998</v>
      </c>
      <c r="V9" s="10">
        <v>6.3550000000000004</v>
      </c>
      <c r="W9" s="10">
        <f>G9-V9-U9-T9</f>
        <v>7.3100000000000014</v>
      </c>
      <c r="X9" s="10">
        <v>7.5960000000000001</v>
      </c>
      <c r="Y9" s="15">
        <v>7.2030000000000003</v>
      </c>
      <c r="Z9" s="10"/>
      <c r="AA9" s="10"/>
    </row>
    <row r="10" spans="1:27" s="1" customFormat="1" x14ac:dyDescent="0.25">
      <c r="B10" s="1" t="s">
        <v>23</v>
      </c>
      <c r="C10" s="11">
        <f>C5-SUM(C7:C9)</f>
        <v>0</v>
      </c>
      <c r="D10" s="11">
        <f>D5-SUM(D7:D9)</f>
        <v>12.22799999999998</v>
      </c>
      <c r="E10" s="11">
        <f>E5-SUM(E7:E9)</f>
        <v>5.2000000000020918E-2</v>
      </c>
      <c r="F10" s="11">
        <f>F5-SUM(F7:F9)</f>
        <v>2.1040000000000418</v>
      </c>
      <c r="G10" s="14">
        <f>G5-SUM(G7:G9)</f>
        <v>33.254000000000019</v>
      </c>
      <c r="H10" s="11">
        <f>H5-SUM(H7:H9)</f>
        <v>596.79</v>
      </c>
      <c r="I10" s="11">
        <f>I5-SUM(I7:I9)</f>
        <v>707.48</v>
      </c>
      <c r="J10" s="11"/>
      <c r="K10" s="11"/>
      <c r="L10" s="11">
        <f>L5-SUM(L7:L9)</f>
        <v>0</v>
      </c>
      <c r="M10" s="11">
        <f>M5-SUM(M7:M9)</f>
        <v>0</v>
      </c>
      <c r="N10" s="11">
        <f>N5-SUM(N7:N9)</f>
        <v>0</v>
      </c>
      <c r="O10" s="11">
        <f>O5-SUM(O7:O9)</f>
        <v>0</v>
      </c>
      <c r="P10" s="11">
        <f>P5-SUM(P7:P9)</f>
        <v>-4.0860000000000127</v>
      </c>
      <c r="Q10" s="11">
        <f>Q5-SUM(Q7:Q9)</f>
        <v>0.72100000000000364</v>
      </c>
      <c r="R10" s="11">
        <f>R5-SUM(R7:R9)</f>
        <v>2.0240000000000009</v>
      </c>
      <c r="S10" s="11">
        <f>S5-SUM(S7:S9)</f>
        <v>3.4450000000000074</v>
      </c>
      <c r="T10" s="11">
        <f>T5-SUM(T7:T9)</f>
        <v>10.896000000000015</v>
      </c>
      <c r="U10" s="11">
        <f>U5-SUM(U7:U9)</f>
        <v>8.0390000000000015</v>
      </c>
      <c r="V10" s="11">
        <f>V5-SUM(V7:V9)</f>
        <v>5.2289999999999992</v>
      </c>
      <c r="W10" s="11">
        <f>W5-SUM(W7:W9)</f>
        <v>9.0900000000000318</v>
      </c>
      <c r="X10" s="11">
        <f>X5-SUM(X7:X9)</f>
        <v>24.168999999999997</v>
      </c>
      <c r="Y10" s="14">
        <f>Y5-SUM(Y7:Y9)</f>
        <v>17.13900000000001</v>
      </c>
      <c r="Z10" s="11">
        <f>Z5-SUM(Z7:Z9)</f>
        <v>144.71</v>
      </c>
      <c r="AA10" s="11">
        <f>AA5-SUM(AA7:AA9)</f>
        <v>156.75</v>
      </c>
    </row>
    <row r="11" spans="1:27" x14ac:dyDescent="0.25">
      <c r="B11" t="s">
        <v>201</v>
      </c>
      <c r="C11" s="10"/>
      <c r="D11" s="10">
        <v>-0.48799999999999999</v>
      </c>
      <c r="E11" s="10">
        <v>-5.1999999999999998E-2</v>
      </c>
      <c r="F11" s="10">
        <v>-0.114</v>
      </c>
      <c r="G11" s="15">
        <v>-0.78200000000000003</v>
      </c>
      <c r="H11" s="40"/>
      <c r="I11" s="40"/>
      <c r="L11" s="10"/>
      <c r="M11" s="10"/>
      <c r="N11" s="10"/>
      <c r="O11" s="10"/>
      <c r="P11" s="10">
        <v>-8.0000000000000002E-3</v>
      </c>
      <c r="Q11" s="10">
        <v>-7.0000000000000001E-3</v>
      </c>
      <c r="R11" s="10">
        <v>-1.2E-2</v>
      </c>
      <c r="S11" s="10">
        <f>F11-R11-Q11-P11</f>
        <v>-8.6999999999999994E-2</v>
      </c>
      <c r="T11" s="10">
        <v>-0.13900000000000001</v>
      </c>
      <c r="U11" s="10">
        <v>-0.13600000000000001</v>
      </c>
      <c r="V11" s="10">
        <v>-0.23799999999999999</v>
      </c>
      <c r="W11" s="10">
        <f>G11-V11-U11-T11</f>
        <v>-0.26900000000000002</v>
      </c>
      <c r="X11" s="10">
        <v>-0.255</v>
      </c>
      <c r="Y11" s="15">
        <v>-0.25700000000000001</v>
      </c>
      <c r="Z11" s="10"/>
      <c r="AA11" s="10"/>
    </row>
    <row r="12" spans="1:27" x14ac:dyDescent="0.25">
      <c r="B12" t="s">
        <v>202</v>
      </c>
      <c r="C12" s="10"/>
      <c r="D12" s="10">
        <v>9.7000000000000003E-2</v>
      </c>
      <c r="E12" s="10">
        <v>0.38100000000000001</v>
      </c>
      <c r="F12" s="10">
        <v>0.99199999999999999</v>
      </c>
      <c r="G12" s="15">
        <v>2.5419999999999998</v>
      </c>
      <c r="H12" s="40"/>
      <c r="I12" s="40"/>
      <c r="L12" s="10"/>
      <c r="M12" s="10"/>
      <c r="N12" s="10"/>
      <c r="O12" s="10"/>
      <c r="P12" s="10">
        <v>0.13</v>
      </c>
      <c r="Q12" s="10">
        <v>0.21</v>
      </c>
      <c r="R12" s="10">
        <v>0.312</v>
      </c>
      <c r="S12" s="10">
        <f>F12-R12-Q12-P12</f>
        <v>0.33999999999999997</v>
      </c>
      <c r="T12" s="10">
        <v>0.34</v>
      </c>
      <c r="U12" s="10">
        <v>0.45</v>
      </c>
      <c r="V12" s="10">
        <v>0.70699999999999996</v>
      </c>
      <c r="W12" s="10">
        <f>G12-V12-U12-T12</f>
        <v>1.0449999999999999</v>
      </c>
      <c r="X12" s="10">
        <v>1.0880000000000001</v>
      </c>
      <c r="Y12" s="15">
        <v>1.3160000000000001</v>
      </c>
      <c r="Z12" s="10"/>
      <c r="AA12" s="10"/>
    </row>
    <row r="13" spans="1:27" x14ac:dyDescent="0.25">
      <c r="B13" t="s">
        <v>203</v>
      </c>
      <c r="C13" s="10"/>
      <c r="D13" s="10">
        <v>-0.187</v>
      </c>
      <c r="E13" s="10">
        <v>-2.7E-2</v>
      </c>
      <c r="F13" s="10">
        <v>-0.151</v>
      </c>
      <c r="G13" s="15">
        <v>-2.8130000000000002</v>
      </c>
      <c r="H13" s="40"/>
      <c r="I13" s="40"/>
      <c r="L13" s="10"/>
      <c r="M13" s="10"/>
      <c r="N13" s="10"/>
      <c r="O13" s="10"/>
      <c r="P13" s="10">
        <v>4.9000000000000002E-2</v>
      </c>
      <c r="Q13" s="10">
        <v>-5.1999999999999998E-2</v>
      </c>
      <c r="R13" s="10">
        <v>-0.14799999999999999</v>
      </c>
      <c r="S13" s="10">
        <f>F13-R13-Q13-P13</f>
        <v>0</v>
      </c>
      <c r="T13" s="10">
        <v>-1.425</v>
      </c>
      <c r="U13" s="10">
        <v>-0.441</v>
      </c>
      <c r="V13" s="10">
        <v>-0.64200000000000002</v>
      </c>
      <c r="W13" s="10">
        <f>G13-V13-U13-T13</f>
        <v>-0.30500000000000016</v>
      </c>
      <c r="X13" s="10">
        <v>-0.27700000000000002</v>
      </c>
      <c r="Y13" s="15">
        <v>-8.6999999999999994E-2</v>
      </c>
      <c r="Z13" s="10"/>
      <c r="AA13" s="10"/>
    </row>
    <row r="14" spans="1:27" s="1" customFormat="1" x14ac:dyDescent="0.25">
      <c r="B14" s="1" t="s">
        <v>131</v>
      </c>
      <c r="C14" s="11">
        <f>C10+SUM(C11:C13)</f>
        <v>0</v>
      </c>
      <c r="D14" s="11">
        <f>D10+SUM(D11:D13)</f>
        <v>11.649999999999981</v>
      </c>
      <c r="E14" s="11">
        <f t="shared" ref="E14:I14" si="2">E10+SUM(E11:E13)</f>
        <v>0.35400000000002091</v>
      </c>
      <c r="F14" s="11">
        <f t="shared" si="2"/>
        <v>2.8310000000000417</v>
      </c>
      <c r="G14" s="14">
        <f t="shared" si="2"/>
        <v>32.201000000000022</v>
      </c>
      <c r="H14" s="11">
        <f t="shared" si="2"/>
        <v>596.79</v>
      </c>
      <c r="I14" s="11">
        <f t="shared" si="2"/>
        <v>707.48</v>
      </c>
      <c r="L14" s="11">
        <f t="shared" ref="L14" si="3">L10+SUM(L11:L13)</f>
        <v>0</v>
      </c>
      <c r="M14" s="11">
        <f t="shared" ref="M14" si="4">M10+SUM(M11:M13)</f>
        <v>0</v>
      </c>
      <c r="N14" s="11">
        <f t="shared" ref="N14" si="5">N10+SUM(N11:N13)</f>
        <v>0</v>
      </c>
      <c r="O14" s="11">
        <f t="shared" ref="O14" si="6">O10+SUM(O11:O13)</f>
        <v>0</v>
      </c>
      <c r="P14" s="11">
        <f t="shared" ref="P14" si="7">P10+SUM(P11:P13)</f>
        <v>-3.9150000000000129</v>
      </c>
      <c r="Q14" s="11">
        <f t="shared" ref="Q14" si="8">Q10+SUM(Q11:Q13)</f>
        <v>0.87200000000000366</v>
      </c>
      <c r="R14" s="11">
        <f t="shared" ref="R14" si="9">R10+SUM(R11:R13)</f>
        <v>2.176000000000001</v>
      </c>
      <c r="S14" s="11">
        <f t="shared" ref="S14" si="10">S10+SUM(S11:S13)</f>
        <v>3.6980000000000075</v>
      </c>
      <c r="T14" s="11">
        <f t="shared" ref="T14" si="11">T10+SUM(T11:T13)</f>
        <v>9.6720000000000148</v>
      </c>
      <c r="U14" s="11">
        <f t="shared" ref="U14" si="12">U10+SUM(U11:U13)</f>
        <v>7.9120000000000017</v>
      </c>
      <c r="V14" s="11">
        <f t="shared" ref="V14:AA14" si="13">V10+SUM(V11:V13)</f>
        <v>5.0559999999999992</v>
      </c>
      <c r="W14" s="11">
        <f t="shared" si="13"/>
        <v>9.5610000000000319</v>
      </c>
      <c r="X14" s="11">
        <f t="shared" si="13"/>
        <v>24.724999999999998</v>
      </c>
      <c r="Y14" s="14">
        <f t="shared" si="13"/>
        <v>18.111000000000011</v>
      </c>
      <c r="Z14" s="11">
        <f t="shared" si="13"/>
        <v>144.71</v>
      </c>
      <c r="AA14" s="11">
        <f t="shared" si="13"/>
        <v>156.75</v>
      </c>
    </row>
    <row r="15" spans="1:27" x14ac:dyDescent="0.25">
      <c r="B15" t="s">
        <v>20</v>
      </c>
      <c r="C15" s="10"/>
      <c r="D15" s="10">
        <v>2.77</v>
      </c>
      <c r="E15" s="10">
        <v>-2.028</v>
      </c>
      <c r="F15" s="10">
        <v>1.601</v>
      </c>
      <c r="G15" s="15">
        <v>6.6349999999999998</v>
      </c>
      <c r="H15" s="40"/>
      <c r="I15" s="40"/>
      <c r="L15" s="10"/>
      <c r="M15" s="10"/>
      <c r="N15" s="10"/>
      <c r="O15" s="10"/>
      <c r="P15" s="10">
        <v>-2.3769999999999998</v>
      </c>
      <c r="Q15" s="10">
        <v>0.68</v>
      </c>
      <c r="R15" s="10">
        <v>1.4650000000000001</v>
      </c>
      <c r="S15" s="10">
        <f>F15-R15-Q15-P15</f>
        <v>1.8329999999999997</v>
      </c>
      <c r="T15" s="10">
        <v>2.5219999999999998</v>
      </c>
      <c r="U15" s="10">
        <v>1.2290000000000001</v>
      </c>
      <c r="V15" s="10">
        <v>0.53300000000000003</v>
      </c>
      <c r="W15" s="10">
        <f>G15-V15-U15-T15</f>
        <v>2.3509999999999995</v>
      </c>
      <c r="X15" s="10">
        <v>5.702</v>
      </c>
      <c r="Y15" s="15">
        <v>1.772</v>
      </c>
      <c r="Z15" s="10"/>
      <c r="AA15" s="10"/>
    </row>
    <row r="16" spans="1:27" x14ac:dyDescent="0.25">
      <c r="B16" t="s">
        <v>72</v>
      </c>
      <c r="C16" s="10"/>
      <c r="D16" s="10">
        <v>8.4000000000000005E-2</v>
      </c>
      <c r="E16" s="10">
        <v>-4.7E-2</v>
      </c>
      <c r="F16" s="10">
        <v>-2.1000000000000001E-2</v>
      </c>
      <c r="G16" s="15">
        <v>0</v>
      </c>
      <c r="H16" s="40"/>
      <c r="I16" s="40"/>
      <c r="L16" s="10"/>
      <c r="M16" s="10"/>
      <c r="N16" s="10"/>
      <c r="O16" s="10"/>
      <c r="P16" s="10">
        <v>-2E-3</v>
      </c>
      <c r="Q16" s="10">
        <v>-7.0000000000000001E-3</v>
      </c>
      <c r="R16" s="10">
        <v>-1.2E-2</v>
      </c>
      <c r="S16" s="10">
        <f>F16-R16-Q16-P16</f>
        <v>0</v>
      </c>
      <c r="T16" s="10">
        <v>0</v>
      </c>
      <c r="U16" s="10"/>
      <c r="V16" s="10"/>
      <c r="W16" s="10">
        <f>G16-V16-U16-T16</f>
        <v>0</v>
      </c>
      <c r="X16" s="10"/>
      <c r="Y16" s="15"/>
      <c r="Z16" s="10"/>
      <c r="AA16" s="10"/>
    </row>
    <row r="17" spans="2:27" s="1" customFormat="1" x14ac:dyDescent="0.25">
      <c r="B17" s="1" t="s">
        <v>21</v>
      </c>
      <c r="C17" s="11">
        <f>C14-SUM(C15:C16)</f>
        <v>0</v>
      </c>
      <c r="D17" s="11">
        <f t="shared" ref="D17:G17" si="14">D14-SUM(D15:D16)</f>
        <v>8.7959999999999816</v>
      </c>
      <c r="E17" s="11">
        <f t="shared" si="14"/>
        <v>2.4290000000000211</v>
      </c>
      <c r="F17" s="11">
        <f t="shared" si="14"/>
        <v>1.2510000000000416</v>
      </c>
      <c r="G17" s="14">
        <f t="shared" si="14"/>
        <v>25.566000000000024</v>
      </c>
      <c r="H17" s="57"/>
      <c r="I17" s="57"/>
      <c r="L17" s="11">
        <f t="shared" ref="L17" si="15">L14-SUM(L15:L16)</f>
        <v>0</v>
      </c>
      <c r="M17" s="11">
        <f t="shared" ref="M17" si="16">M14-SUM(M15:M16)</f>
        <v>0</v>
      </c>
      <c r="N17" s="11">
        <f t="shared" ref="N17" si="17">N14-SUM(N15:N16)</f>
        <v>0</v>
      </c>
      <c r="O17" s="11">
        <f t="shared" ref="O17" si="18">O14-SUM(O15:O16)</f>
        <v>0</v>
      </c>
      <c r="P17" s="11">
        <f t="shared" ref="P17" si="19">P14-SUM(P15:P16)</f>
        <v>-1.5360000000000134</v>
      </c>
      <c r="Q17" s="11">
        <f t="shared" ref="Q17" si="20">Q14-SUM(Q15:Q16)</f>
        <v>0.19900000000000362</v>
      </c>
      <c r="R17" s="11">
        <f t="shared" ref="R17" si="21">R14-SUM(R15:R16)</f>
        <v>0.72300000000000098</v>
      </c>
      <c r="S17" s="11">
        <f t="shared" ref="S17" si="22">S14-SUM(S15:S16)</f>
        <v>1.8650000000000078</v>
      </c>
      <c r="T17" s="11">
        <f t="shared" ref="T17" si="23">T14-SUM(T15:T16)</f>
        <v>7.1500000000000146</v>
      </c>
      <c r="U17" s="11">
        <f t="shared" ref="U17" si="24">U14-SUM(U15:U16)</f>
        <v>6.6830000000000016</v>
      </c>
      <c r="V17" s="11">
        <f t="shared" ref="V17:AA17" si="25">V14-SUM(V15:V16)</f>
        <v>4.5229999999999988</v>
      </c>
      <c r="W17" s="11">
        <f t="shared" si="25"/>
        <v>7.2100000000000328</v>
      </c>
      <c r="X17" s="11">
        <f t="shared" si="25"/>
        <v>19.022999999999996</v>
      </c>
      <c r="Y17" s="14">
        <f t="shared" si="25"/>
        <v>16.339000000000013</v>
      </c>
      <c r="Z17" s="11">
        <f t="shared" si="25"/>
        <v>144.71</v>
      </c>
      <c r="AA17" s="11">
        <f t="shared" si="25"/>
        <v>156.75</v>
      </c>
    </row>
    <row r="18" spans="2:27" x14ac:dyDescent="0.25">
      <c r="B18" t="s">
        <v>204</v>
      </c>
      <c r="C18" s="10"/>
      <c r="D18" s="10">
        <v>32.914653000000001</v>
      </c>
      <c r="E18" s="10">
        <v>43.321733000000002</v>
      </c>
      <c r="F18" s="10">
        <v>43.469586</v>
      </c>
      <c r="G18" s="15">
        <v>43.312835999999997</v>
      </c>
      <c r="H18" s="40"/>
      <c r="I18" s="40"/>
      <c r="L18" s="10"/>
      <c r="M18" s="10"/>
      <c r="N18" s="10"/>
      <c r="O18" s="10"/>
      <c r="P18" s="10">
        <v>40.532778999999998</v>
      </c>
      <c r="Q18" s="10">
        <v>42.694766999999999</v>
      </c>
      <c r="R18" s="10">
        <v>42.879818</v>
      </c>
      <c r="S18" s="10">
        <v>42.879818</v>
      </c>
      <c r="T18" s="10">
        <v>43.398336</v>
      </c>
      <c r="U18" s="10">
        <v>43.292261000000003</v>
      </c>
      <c r="V18" s="10">
        <v>43.135579</v>
      </c>
      <c r="W18" s="10">
        <v>43.135579</v>
      </c>
      <c r="X18" s="10">
        <v>43.845951999999997</v>
      </c>
      <c r="Y18" s="15">
        <v>45.248792000000002</v>
      </c>
      <c r="Z18" s="10"/>
      <c r="AA18" s="10"/>
    </row>
    <row r="19" spans="2:27" s="1" customFormat="1" x14ac:dyDescent="0.25">
      <c r="B19" s="1" t="s">
        <v>22</v>
      </c>
      <c r="C19" s="2" t="e">
        <f>C17/C18</f>
        <v>#DIV/0!</v>
      </c>
      <c r="D19" s="2">
        <f>D17/D18</f>
        <v>0.26723660127907112</v>
      </c>
      <c r="E19" s="2">
        <f>E17/E18</f>
        <v>5.6068855786540694E-2</v>
      </c>
      <c r="F19" s="2">
        <f>F17/F18</f>
        <v>2.8778741992160718E-2</v>
      </c>
      <c r="G19" s="53">
        <f>G17/G18</f>
        <v>0.59026381925210403</v>
      </c>
      <c r="H19" s="54">
        <v>1.0900000000000001</v>
      </c>
      <c r="I19" s="55">
        <v>1.21</v>
      </c>
      <c r="L19" s="2" t="e">
        <f>L17/L18</f>
        <v>#DIV/0!</v>
      </c>
      <c r="M19" s="2" t="e">
        <f t="shared" ref="M19:V19" si="26">M17/M18</f>
        <v>#DIV/0!</v>
      </c>
      <c r="N19" s="2" t="e">
        <f t="shared" si="26"/>
        <v>#DIV/0!</v>
      </c>
      <c r="O19" s="2" t="e">
        <f t="shared" si="26"/>
        <v>#DIV/0!</v>
      </c>
      <c r="P19" s="2">
        <f t="shared" si="26"/>
        <v>-3.7895255097115679E-2</v>
      </c>
      <c r="Q19" s="2">
        <f t="shared" si="26"/>
        <v>4.6609927628836487E-3</v>
      </c>
      <c r="R19" s="2">
        <f t="shared" si="26"/>
        <v>1.6861079027900749E-2</v>
      </c>
      <c r="S19" s="2">
        <f t="shared" si="26"/>
        <v>4.349365475385198E-2</v>
      </c>
      <c r="T19" s="2">
        <f t="shared" si="26"/>
        <v>0.164752860570507</v>
      </c>
      <c r="U19" s="2">
        <f t="shared" si="26"/>
        <v>0.15436939179499082</v>
      </c>
      <c r="V19" s="2">
        <f t="shared" si="26"/>
        <v>0.10485543731776496</v>
      </c>
      <c r="W19" s="2">
        <f t="shared" ref="W19:AA19" si="27">W17/W18</f>
        <v>0.16714740284348642</v>
      </c>
      <c r="X19" s="2">
        <f t="shared" si="27"/>
        <v>0.43385989201466074</v>
      </c>
      <c r="Y19" s="35">
        <f t="shared" si="27"/>
        <v>0.36109251270177584</v>
      </c>
      <c r="Z19" s="2">
        <v>0.13</v>
      </c>
      <c r="AA19" s="2">
        <v>0.18</v>
      </c>
    </row>
    <row r="20" spans="2:27" s="1" customFormat="1" x14ac:dyDescent="0.25">
      <c r="B20" s="9" t="s">
        <v>64</v>
      </c>
      <c r="C20" s="2"/>
      <c r="D20" s="2"/>
      <c r="E20" s="2"/>
      <c r="F20" s="2"/>
      <c r="G20" s="35"/>
      <c r="H20" s="44">
        <v>1.0900000000000001</v>
      </c>
      <c r="I20" s="45">
        <v>1.21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125"/>
      <c r="Z20" s="49">
        <v>0.13</v>
      </c>
      <c r="AA20" s="49">
        <v>0.18</v>
      </c>
    </row>
    <row r="21" spans="2:27" s="1" customFormat="1" x14ac:dyDescent="0.25">
      <c r="B21" t="s">
        <v>30</v>
      </c>
      <c r="C21" s="3" t="e">
        <f>1-C7/C5</f>
        <v>#DIV/0!</v>
      </c>
      <c r="D21" s="3">
        <f>1-D7/D5</f>
        <v>0.347806608176218</v>
      </c>
      <c r="E21" s="3">
        <f>1-E7/E5</f>
        <v>0.31774121218393181</v>
      </c>
      <c r="F21" s="3">
        <f>1-F7/F5</f>
        <v>0.30228973898632794</v>
      </c>
      <c r="G21" s="6">
        <f>1-G7/G5</f>
        <v>0.34401524190591648</v>
      </c>
      <c r="H21" s="46"/>
      <c r="I21" s="46"/>
      <c r="L21" s="3" t="e">
        <f>1-L7/L5</f>
        <v>#DIV/0!</v>
      </c>
      <c r="M21" s="3" t="e">
        <f>1-M7/M5</f>
        <v>#DIV/0!</v>
      </c>
      <c r="N21" s="3" t="e">
        <f>1-N7/N5</f>
        <v>#DIV/0!</v>
      </c>
      <c r="O21" s="3" t="e">
        <f>1-O7/O5</f>
        <v>#DIV/0!</v>
      </c>
      <c r="P21" s="3">
        <f>1-P7/P5</f>
        <v>0.28160606296555835</v>
      </c>
      <c r="Q21" s="3">
        <f>1-Q7/Q5</f>
        <v>0.30094123325690847</v>
      </c>
      <c r="R21" s="3">
        <f>1-R7/R5</f>
        <v>0.3204150369404607</v>
      </c>
      <c r="S21" s="3">
        <f>1-S7/S5</f>
        <v>0.30262894932868245</v>
      </c>
      <c r="T21" s="3">
        <f>1-T7/T5</f>
        <v>0.35803712281408384</v>
      </c>
      <c r="U21" s="3">
        <f>1-U7/U5</f>
        <v>0.35511296913899193</v>
      </c>
      <c r="V21" s="3">
        <f>1-V7/V5</f>
        <v>0.33202329098334682</v>
      </c>
      <c r="W21" s="3">
        <f>1-W7/W5</f>
        <v>0.33276391455773102</v>
      </c>
      <c r="X21" s="146">
        <f>1-X7/X5</f>
        <v>0.39814370407425181</v>
      </c>
      <c r="Y21" s="147">
        <f>1-Y7/Y5</f>
        <v>0.39133443699622772</v>
      </c>
      <c r="Z21" s="3">
        <f>1-Z7/Z5</f>
        <v>1</v>
      </c>
      <c r="AA21" s="3">
        <f>1-AA7/AA5</f>
        <v>1</v>
      </c>
    </row>
    <row r="22" spans="2:27" x14ac:dyDescent="0.25">
      <c r="B22" t="s">
        <v>31</v>
      </c>
      <c r="C22" s="4" t="e">
        <f>C17/C5</f>
        <v>#DIV/0!</v>
      </c>
      <c r="D22" s="4">
        <f>D17/D5</f>
        <v>4.1049094642523716E-2</v>
      </c>
      <c r="E22" s="4">
        <f>E17/E5</f>
        <v>9.3100448062675926E-3</v>
      </c>
      <c r="F22" s="4">
        <f>F17/F5</f>
        <v>3.4553238502970352E-3</v>
      </c>
      <c r="G22" s="7">
        <f>G17/G5</f>
        <v>5.4181669446463701E-2</v>
      </c>
      <c r="H22" s="47">
        <f>H17/H6</f>
        <v>0</v>
      </c>
      <c r="I22" s="47">
        <f>I17/I6</f>
        <v>0</v>
      </c>
      <c r="L22" s="4" t="e">
        <f>L17/L5</f>
        <v>#DIV/0!</v>
      </c>
      <c r="M22" s="4" t="e">
        <f>M17/M5</f>
        <v>#DIV/0!</v>
      </c>
      <c r="N22" s="4" t="e">
        <f>N17/N5</f>
        <v>#DIV/0!</v>
      </c>
      <c r="O22" s="4" t="e">
        <f>O17/O5</f>
        <v>#DIV/0!</v>
      </c>
      <c r="P22" s="4">
        <f>P17/P5</f>
        <v>-1.9933037452308826E-2</v>
      </c>
      <c r="Q22" s="4">
        <f>Q17/Q5</f>
        <v>2.4013515144202199E-3</v>
      </c>
      <c r="R22" s="4">
        <f>R17/R5</f>
        <v>7.8552803129074422E-3</v>
      </c>
      <c r="S22" s="4">
        <f>S17/S5</f>
        <v>1.6941916026235061E-2</v>
      </c>
      <c r="T22" s="4">
        <f>T17/T5</f>
        <v>5.9997314805491336E-2</v>
      </c>
      <c r="U22" s="4">
        <f>U17/U5</f>
        <v>6.2783597162854074E-2</v>
      </c>
      <c r="V22" s="4">
        <f>V17/V5</f>
        <v>4.0958443887022418E-2</v>
      </c>
      <c r="W22" s="4">
        <f>W17/W5</f>
        <v>5.3088483259824543E-2</v>
      </c>
      <c r="X22" s="4">
        <f>X17/X5</f>
        <v>0.12859547485618097</v>
      </c>
      <c r="Y22" s="7">
        <f>Y17/Y5</f>
        <v>0.11085705756235251</v>
      </c>
      <c r="Z22" s="4">
        <f>Z17/Z5</f>
        <v>1</v>
      </c>
      <c r="AA22" s="4">
        <f>AA17/AA5</f>
        <v>1</v>
      </c>
    </row>
    <row r="23" spans="2:27" x14ac:dyDescent="0.25">
      <c r="B23" t="s">
        <v>135</v>
      </c>
      <c r="C23" s="3"/>
      <c r="D23" s="3" t="e">
        <f>D5/C5-1</f>
        <v>#DIV/0!</v>
      </c>
      <c r="E23" s="3">
        <f>E5/D5-1</f>
        <v>0.21757046854582796</v>
      </c>
      <c r="F23" s="39">
        <f>F5/E5-1</f>
        <v>0.38769111655378863</v>
      </c>
      <c r="G23" s="6">
        <f>G5/F5-1</f>
        <v>0.30329236293329664</v>
      </c>
      <c r="H23" s="48">
        <f>H6/G5-1</f>
        <v>0.26476877528573262</v>
      </c>
      <c r="I23" s="48">
        <f>I6/H6-1</f>
        <v>0.18547562794282757</v>
      </c>
      <c r="L23" s="4"/>
      <c r="M23" s="4"/>
      <c r="N23" s="4"/>
      <c r="O23" s="4"/>
      <c r="P23" s="4"/>
      <c r="Q23" s="4"/>
      <c r="R23" s="4"/>
      <c r="S23" s="4"/>
      <c r="T23" s="4">
        <f>T5/P5-1</f>
        <v>0.5465233979599784</v>
      </c>
      <c r="U23" s="4">
        <f>U5/Q5-1</f>
        <v>0.28448171835404845</v>
      </c>
      <c r="V23" s="4">
        <f>V5/R5-1</f>
        <v>0.19979356801390691</v>
      </c>
      <c r="W23" s="4">
        <f>W5/S5-1</f>
        <v>0.2337257680638074</v>
      </c>
      <c r="X23" s="4">
        <f>X5/T5-1</f>
        <v>0.24130668277783363</v>
      </c>
      <c r="Y23" s="148">
        <f>Y5/U5-1</f>
        <v>0.38463995490628977</v>
      </c>
      <c r="Z23" s="4">
        <f>Z5/V5-1</f>
        <v>0.31043475898541151</v>
      </c>
      <c r="AA23" s="4">
        <f>AA5/W5-1</f>
        <v>0.15417749666816349</v>
      </c>
    </row>
    <row r="24" spans="2:27" x14ac:dyDescent="0.25">
      <c r="B24" t="s">
        <v>205</v>
      </c>
      <c r="C24" s="4" t="e">
        <f>C8/C5</f>
        <v>#DIV/0!</v>
      </c>
      <c r="D24" s="4">
        <f>D8/D5</f>
        <v>0.22118723165951093</v>
      </c>
      <c r="E24" s="4">
        <f>E8/E5</f>
        <v>0.22180060636026691</v>
      </c>
      <c r="F24" s="4">
        <f>F8/F5</f>
        <v>0.21332965060074577</v>
      </c>
      <c r="G24" s="7">
        <f>G8/G5</f>
        <v>0.21559074041499859</v>
      </c>
      <c r="H24" s="121"/>
      <c r="I24" s="121"/>
      <c r="L24" s="4" t="e">
        <f>L8/L5</f>
        <v>#DIV/0!</v>
      </c>
      <c r="M24" s="4" t="e">
        <f>M8/M5</f>
        <v>#DIV/0!</v>
      </c>
      <c r="N24" s="4" t="e">
        <f>N8/N5</f>
        <v>#DIV/0!</v>
      </c>
      <c r="O24" s="4" t="e">
        <f>O8/O5</f>
        <v>#DIV/0!</v>
      </c>
      <c r="P24" s="4">
        <f>P8/P5</f>
        <v>0.22871084118456228</v>
      </c>
      <c r="Q24" s="4">
        <f>Q8/Q5</f>
        <v>0.20522505128514543</v>
      </c>
      <c r="R24" s="4">
        <f>R8/R5</f>
        <v>0.22339200347674923</v>
      </c>
      <c r="S24" s="4">
        <f>S8/S5</f>
        <v>0.20025072218891379</v>
      </c>
      <c r="T24" s="4">
        <f>T8/T5</f>
        <v>0.20093646158493605</v>
      </c>
      <c r="U24" s="4">
        <f>U8/U5</f>
        <v>0.2246042557189159</v>
      </c>
      <c r="V24" s="4">
        <f>V8/V5</f>
        <v>0.22712331000009053</v>
      </c>
      <c r="W24" s="4">
        <f>W8/W5</f>
        <v>0.21200786386964224</v>
      </c>
      <c r="X24" s="4">
        <f>X8/X5</f>
        <v>0.18341231266350749</v>
      </c>
      <c r="Y24" s="7">
        <f>Y8/Y5</f>
        <v>0.22617852199636332</v>
      </c>
      <c r="Z24" s="4">
        <f>Z8/Z5</f>
        <v>0</v>
      </c>
      <c r="AA24" s="4">
        <f>AA8/AA5</f>
        <v>0</v>
      </c>
    </row>
    <row r="25" spans="2:27" x14ac:dyDescent="0.25">
      <c r="B25" t="s">
        <v>206</v>
      </c>
      <c r="C25" s="4" t="e">
        <f>C9/C5</f>
        <v>#DIV/0!</v>
      </c>
      <c r="D25" s="4">
        <f>D9/D5</f>
        <v>6.9553854769460521E-2</v>
      </c>
      <c r="E25" s="4">
        <f>E9/E5</f>
        <v>9.5741296507104223E-2</v>
      </c>
      <c r="F25" s="4">
        <f>F9/F5</f>
        <v>8.3148736362380876E-2</v>
      </c>
      <c r="G25" s="7">
        <f>G9/G5</f>
        <v>5.7949760202773294E-2</v>
      </c>
      <c r="H25" s="121"/>
      <c r="I25" s="121"/>
      <c r="L25" s="4" t="e">
        <f>L9/L5</f>
        <v>#DIV/0!</v>
      </c>
      <c r="M25" s="4" t="e">
        <f>M9/M5</f>
        <v>#DIV/0!</v>
      </c>
      <c r="N25" s="4" t="e">
        <f>N9/N5</f>
        <v>#DIV/0!</v>
      </c>
      <c r="O25" s="4" t="e">
        <f>O9/O5</f>
        <v>#DIV/0!</v>
      </c>
      <c r="P25" s="4">
        <f>P9/P5</f>
        <v>0.10592021594123908</v>
      </c>
      <c r="Q25" s="4">
        <f>Q9/Q5</f>
        <v>8.7015807891878849E-2</v>
      </c>
      <c r="R25" s="4">
        <f>R9/R5</f>
        <v>7.5032594524119936E-2</v>
      </c>
      <c r="S25" s="4">
        <f>S9/S5</f>
        <v>7.1083374211951086E-2</v>
      </c>
      <c r="T25" s="4">
        <f>T9/T5</f>
        <v>6.5669788205283117E-2</v>
      </c>
      <c r="U25" s="4">
        <f>U9/U5</f>
        <v>5.4986143078585188E-2</v>
      </c>
      <c r="V25" s="4">
        <f>V9/V5</f>
        <v>5.7548288945838508E-2</v>
      </c>
      <c r="W25" s="4">
        <f>W9/W5</f>
        <v>5.3824800642068751E-2</v>
      </c>
      <c r="X25" s="4">
        <f>X9/X5</f>
        <v>5.1348957946041683E-2</v>
      </c>
      <c r="Y25" s="7">
        <f>Y9/Y5</f>
        <v>4.8871007137623143E-2</v>
      </c>
      <c r="Z25" s="4">
        <f>Z9/Z5</f>
        <v>0</v>
      </c>
      <c r="AA25" s="4">
        <f>AA9/AA5</f>
        <v>0</v>
      </c>
    </row>
    <row r="26" spans="2:27" x14ac:dyDescent="0.25">
      <c r="B26" t="s">
        <v>209</v>
      </c>
      <c r="C26" s="4"/>
      <c r="D26" s="4"/>
      <c r="E26" s="4">
        <f>E3/D3-1</f>
        <v>0.21999542438801201</v>
      </c>
      <c r="F26" s="4">
        <f>F3/E3-1</f>
        <v>0.41358603474644418</v>
      </c>
      <c r="G26" s="4">
        <f>G3/F3-1</f>
        <v>0.32378085810137569</v>
      </c>
      <c r="H26" s="121"/>
      <c r="I26" s="121"/>
      <c r="L26" s="4"/>
      <c r="M26" s="4"/>
      <c r="N26" s="4"/>
      <c r="O26" s="4"/>
      <c r="P26" s="4"/>
      <c r="Q26" s="4"/>
      <c r="R26" s="4"/>
      <c r="S26" s="4"/>
      <c r="T26" s="4">
        <f t="shared" ref="T26:T27" si="28">T3/P3-1</f>
        <v>0.563899557687775</v>
      </c>
      <c r="U26" s="4">
        <f t="shared" ref="U26:U27" si="29">U3/Q3-1</f>
        <v>0.30314824535572993</v>
      </c>
      <c r="V26" s="4">
        <f t="shared" ref="V26:X26" si="30">V3/R3-1</f>
        <v>0.20531145943311935</v>
      </c>
      <c r="W26" s="4">
        <f t="shared" si="30"/>
        <v>0.27032443212218515</v>
      </c>
      <c r="X26" s="4">
        <f t="shared" si="30"/>
        <v>0.27458994591719121</v>
      </c>
      <c r="Y26" s="7">
        <f>Y3/U3-1</f>
        <v>0.40434248661394112</v>
      </c>
      <c r="Z26" s="4"/>
      <c r="AA26" s="4"/>
    </row>
    <row r="27" spans="2:27" x14ac:dyDescent="0.25">
      <c r="B27" t="s">
        <v>210</v>
      </c>
      <c r="C27" s="4"/>
      <c r="D27" s="4"/>
      <c r="E27" s="4">
        <f>E4/D4-1</f>
        <v>0.19044640318453232</v>
      </c>
      <c r="F27" s="4">
        <f>F4/E4-1</f>
        <v>9.085697907709922E-2</v>
      </c>
      <c r="G27" s="4">
        <f>G4/F4-1</f>
        <v>-1.0509721492378832E-3</v>
      </c>
      <c r="H27" s="121"/>
      <c r="I27" s="121"/>
      <c r="L27" s="4"/>
      <c r="M27" s="4"/>
      <c r="N27" s="4"/>
      <c r="O27" s="4"/>
      <c r="P27" s="4"/>
      <c r="Q27" s="4"/>
      <c r="R27" s="4"/>
      <c r="S27" s="4"/>
      <c r="T27" s="4">
        <f t="shared" si="28"/>
        <v>0.29268786712578465</v>
      </c>
      <c r="U27" s="4">
        <f t="shared" si="29"/>
        <v>-2.1625026243963785E-2</v>
      </c>
      <c r="V27" s="4">
        <f t="shared" ref="V27:X27" si="31">V4/R4-1</f>
        <v>0.11848179175927509</v>
      </c>
      <c r="W27" s="4">
        <f t="shared" si="31"/>
        <v>-0.28255797996431942</v>
      </c>
      <c r="X27" s="4">
        <f t="shared" si="31"/>
        <v>-0.34691319335631454</v>
      </c>
      <c r="Y27" s="7">
        <f>Y4/U4-1</f>
        <v>-4.5708154506437837E-2</v>
      </c>
      <c r="Z27" s="4"/>
      <c r="AA27" s="4"/>
    </row>
    <row r="28" spans="2:27" x14ac:dyDescent="0.25">
      <c r="B28" t="s">
        <v>134</v>
      </c>
      <c r="C28" s="3"/>
      <c r="D28" s="3" t="e">
        <f>-(D17/C17-1)</f>
        <v>#DIV/0!</v>
      </c>
      <c r="E28" s="3">
        <f>-(E17/D17-1)</f>
        <v>0.72385175079581332</v>
      </c>
      <c r="F28" s="39">
        <f>F19/E19-1</f>
        <v>-0.4867249993164825</v>
      </c>
      <c r="G28" s="6">
        <f>G19/F19-1</f>
        <v>19.510410754330085</v>
      </c>
      <c r="H28" s="56">
        <f>H20/G19-1</f>
        <v>0.84663190330908078</v>
      </c>
      <c r="I28" s="56">
        <f>I20/H20-1</f>
        <v>0.11009174311926584</v>
      </c>
      <c r="L28" s="4"/>
      <c r="M28" s="4"/>
      <c r="N28" s="4"/>
      <c r="O28" s="4"/>
      <c r="P28" s="4" t="e">
        <f>P17/L17-1</f>
        <v>#DIV/0!</v>
      </c>
      <c r="Q28" s="4" t="e">
        <f>Q17/M17-1</f>
        <v>#DIV/0!</v>
      </c>
      <c r="R28" s="4" t="e">
        <f>R17/N17-1</f>
        <v>#DIV/0!</v>
      </c>
      <c r="S28" s="4" t="e">
        <f>S17/O17-1</f>
        <v>#DIV/0!</v>
      </c>
      <c r="T28" s="4">
        <f>T17/P17-1</f>
        <v>-5.6549479166666359</v>
      </c>
      <c r="U28" s="4">
        <f>U17/Q17-1</f>
        <v>32.582914572863722</v>
      </c>
      <c r="V28" s="4">
        <f>V17/R17-1</f>
        <v>5.2558782849239183</v>
      </c>
      <c r="W28" s="4">
        <f>W17/S17-1</f>
        <v>2.8659517426273475</v>
      </c>
      <c r="X28" s="4">
        <f>X17/T17-1</f>
        <v>1.6605594405594344</v>
      </c>
      <c r="Y28" s="7">
        <f>Y17/U17-1</f>
        <v>1.444860092772708</v>
      </c>
      <c r="Z28" s="4">
        <f>Z17/V17-1</f>
        <v>30.994251602918428</v>
      </c>
      <c r="AA28" s="4">
        <f>AA17/W17-1</f>
        <v>20.740638002773824</v>
      </c>
    </row>
    <row r="32" spans="2:27" s="1" customFormat="1" x14ac:dyDescent="0.25">
      <c r="B32" s="1" t="s">
        <v>38</v>
      </c>
      <c r="C32" s="11">
        <f>C33+C34-C48-C52</f>
        <v>0</v>
      </c>
      <c r="D32" s="11">
        <f>D33+D34-D48-D52</f>
        <v>0</v>
      </c>
      <c r="E32" s="11">
        <f t="shared" ref="E32:I32" si="32">E33+E34-E48-E52</f>
        <v>99.259999999999991</v>
      </c>
      <c r="F32" s="11">
        <f t="shared" si="32"/>
        <v>70.135000000000005</v>
      </c>
      <c r="G32" s="14">
        <f t="shared" si="32"/>
        <v>103.08000000000001</v>
      </c>
      <c r="H32" s="11">
        <f t="shared" si="32"/>
        <v>0</v>
      </c>
      <c r="I32" s="11">
        <f t="shared" si="32"/>
        <v>0</v>
      </c>
      <c r="L32" s="11">
        <f t="shared" ref="L32" si="33">L33+L34-L48-L52</f>
        <v>0</v>
      </c>
      <c r="M32" s="11">
        <f t="shared" ref="M32" si="34">M33+M34-M48-M52</f>
        <v>0</v>
      </c>
      <c r="N32" s="11">
        <f t="shared" ref="N32" si="35">N33+N34-N48-N52</f>
        <v>0</v>
      </c>
      <c r="O32" s="11">
        <f t="shared" ref="O32" si="36">O33+O34-O48-O52</f>
        <v>0</v>
      </c>
      <c r="P32" s="11">
        <f t="shared" ref="P32" si="37">P33+P34-P48-P52</f>
        <v>0</v>
      </c>
      <c r="Q32" s="11">
        <f t="shared" ref="Q32" si="38">Q33+Q34-Q48-Q52</f>
        <v>0</v>
      </c>
      <c r="R32" s="11">
        <f t="shared" ref="R32" si="39">R33+R34-R48-R52</f>
        <v>0</v>
      </c>
      <c r="S32" s="11">
        <f t="shared" ref="S32" si="40">S33+S34-S48-S52</f>
        <v>70.135000000000005</v>
      </c>
      <c r="T32" s="11">
        <f t="shared" ref="T32" si="41">T33+T34-T48-T52</f>
        <v>74.85799999999999</v>
      </c>
      <c r="U32" s="11">
        <f t="shared" ref="U32" si="42">U33+U34-U48-U52</f>
        <v>85.712000000000003</v>
      </c>
      <c r="V32" s="11">
        <f t="shared" ref="V32" si="43">V33+V34-V48-V52</f>
        <v>81.828000000000003</v>
      </c>
      <c r="W32" s="11">
        <f t="shared" ref="W32" si="44">W33+W34-W48-W52</f>
        <v>103.08000000000001</v>
      </c>
      <c r="X32" s="11">
        <f t="shared" ref="X32" si="45">X33+X34-X48-X52</f>
        <v>123.74399999999997</v>
      </c>
      <c r="Y32" s="14">
        <f t="shared" ref="Y32" si="46">Y33+Y34-Y48-Y52</f>
        <v>139.49300000000002</v>
      </c>
      <c r="Z32" s="11">
        <f t="shared" ref="Z32" si="47">Z33+Z34-Z48-Z52</f>
        <v>0</v>
      </c>
      <c r="AA32" s="11">
        <f t="shared" ref="AA32" si="48">AA33+AA34-AA48-AA52</f>
        <v>0</v>
      </c>
    </row>
    <row r="33" spans="2:27" x14ac:dyDescent="0.25">
      <c r="B33" t="s">
        <v>24</v>
      </c>
      <c r="C33" s="10"/>
      <c r="D33" s="10"/>
      <c r="E33" s="10">
        <v>30.966000000000001</v>
      </c>
      <c r="F33" s="10">
        <v>12.914</v>
      </c>
      <c r="G33" s="15">
        <v>84.149000000000001</v>
      </c>
      <c r="L33" s="10"/>
      <c r="M33" s="10"/>
      <c r="N33" s="10"/>
      <c r="O33" s="10"/>
      <c r="P33" s="10"/>
      <c r="Q33" s="10"/>
      <c r="R33" s="10"/>
      <c r="S33" s="10">
        <f>F33</f>
        <v>12.914</v>
      </c>
      <c r="T33" s="10">
        <v>25.838000000000001</v>
      </c>
      <c r="U33" s="10">
        <v>47.673000000000002</v>
      </c>
      <c r="V33" s="10">
        <v>56.81</v>
      </c>
      <c r="W33" s="10">
        <f>G33</f>
        <v>84.149000000000001</v>
      </c>
      <c r="X33" s="10">
        <v>113.82</v>
      </c>
      <c r="Y33" s="15">
        <v>133.173</v>
      </c>
      <c r="Z33" s="10"/>
      <c r="AA33" s="10"/>
    </row>
    <row r="34" spans="2:27" x14ac:dyDescent="0.25">
      <c r="B34" t="s">
        <v>192</v>
      </c>
      <c r="C34" s="10"/>
      <c r="D34" s="10"/>
      <c r="E34" s="10">
        <v>68.620999999999995</v>
      </c>
      <c r="F34" s="10">
        <v>65.813999999999993</v>
      </c>
      <c r="G34" s="15">
        <v>32.667000000000002</v>
      </c>
      <c r="L34" s="10"/>
      <c r="M34" s="10"/>
      <c r="N34" s="10"/>
      <c r="O34" s="10"/>
      <c r="P34" s="10"/>
      <c r="Q34" s="10"/>
      <c r="R34" s="10"/>
      <c r="S34" s="10">
        <f t="shared" ref="S34:S38" si="49">F34</f>
        <v>65.813999999999993</v>
      </c>
      <c r="T34" s="10">
        <v>57.232999999999997</v>
      </c>
      <c r="U34" s="10">
        <v>45.862000000000002</v>
      </c>
      <c r="V34" s="10">
        <v>39.256</v>
      </c>
      <c r="W34" s="10">
        <f t="shared" ref="W34:W38" si="50">G34</f>
        <v>32.667000000000002</v>
      </c>
      <c r="X34" s="10">
        <v>23.724</v>
      </c>
      <c r="Y34" s="15">
        <v>19.533000000000001</v>
      </c>
      <c r="Z34" s="10"/>
      <c r="AA34" s="10"/>
    </row>
    <row r="35" spans="2:27" x14ac:dyDescent="0.25">
      <c r="B35" t="s">
        <v>25</v>
      </c>
      <c r="C35" s="10"/>
      <c r="D35" s="10"/>
      <c r="E35" s="10">
        <v>26.937999999999999</v>
      </c>
      <c r="F35" s="10">
        <v>40.226999999999997</v>
      </c>
      <c r="G35" s="15">
        <v>39.698999999999998</v>
      </c>
      <c r="L35" s="10"/>
      <c r="M35" s="10"/>
      <c r="N35" s="10"/>
      <c r="O35" s="10"/>
      <c r="P35" s="10"/>
      <c r="Q35" s="10"/>
      <c r="R35" s="10"/>
      <c r="S35" s="10">
        <f t="shared" si="49"/>
        <v>40.226999999999997</v>
      </c>
      <c r="T35" s="10">
        <v>40.198999999999998</v>
      </c>
      <c r="U35" s="10">
        <v>30.045000000000002</v>
      </c>
      <c r="V35" s="10">
        <v>37.401000000000003</v>
      </c>
      <c r="W35" s="10">
        <f t="shared" si="50"/>
        <v>39.698999999999998</v>
      </c>
      <c r="X35" s="10">
        <v>43.637</v>
      </c>
      <c r="Y35" s="15">
        <v>42.863</v>
      </c>
      <c r="Z35" s="10"/>
      <c r="AA35" s="10"/>
    </row>
    <row r="36" spans="2:27" x14ac:dyDescent="0.25">
      <c r="B36" t="s">
        <v>77</v>
      </c>
      <c r="C36" s="10"/>
      <c r="D36" s="10"/>
      <c r="E36" s="10">
        <v>10.945</v>
      </c>
      <c r="F36" s="10">
        <v>26.849</v>
      </c>
      <c r="G36" s="15">
        <v>32.895000000000003</v>
      </c>
      <c r="L36" s="10"/>
      <c r="M36" s="10"/>
      <c r="N36" s="10"/>
      <c r="O36" s="10"/>
      <c r="P36" s="10"/>
      <c r="Q36" s="10"/>
      <c r="R36" s="10"/>
      <c r="S36" s="10">
        <f t="shared" si="49"/>
        <v>26.849</v>
      </c>
      <c r="T36" s="10">
        <v>33.942</v>
      </c>
      <c r="U36" s="10">
        <v>42.104999999999997</v>
      </c>
      <c r="V36" s="10">
        <v>38.271000000000001</v>
      </c>
      <c r="W36" s="10">
        <f t="shared" si="50"/>
        <v>32.895000000000003</v>
      </c>
      <c r="X36" s="10">
        <v>30.812999999999999</v>
      </c>
      <c r="Y36" s="15">
        <v>31.448</v>
      </c>
      <c r="Z36" s="10"/>
      <c r="AA36" s="10"/>
    </row>
    <row r="37" spans="2:27" x14ac:dyDescent="0.25">
      <c r="B37" t="s">
        <v>74</v>
      </c>
      <c r="C37" s="10"/>
      <c r="D37" s="10"/>
      <c r="E37" s="10">
        <v>3.8170000000000002</v>
      </c>
      <c r="F37" s="10">
        <v>3.81</v>
      </c>
      <c r="G37" s="15">
        <v>6.1139999999999999</v>
      </c>
      <c r="L37" s="10"/>
      <c r="M37" s="10"/>
      <c r="N37" s="10"/>
      <c r="O37" s="10"/>
      <c r="P37" s="10"/>
      <c r="Q37" s="10"/>
      <c r="R37" s="10"/>
      <c r="S37" s="10">
        <f t="shared" ref="S37" si="51">F37</f>
        <v>3.81</v>
      </c>
      <c r="T37" s="10">
        <v>5.3419999999999996</v>
      </c>
      <c r="U37" s="10">
        <v>6.1929999999999996</v>
      </c>
      <c r="V37" s="10">
        <v>5.0259999999999998</v>
      </c>
      <c r="W37" s="10">
        <f t="shared" ref="W37" si="52">G37</f>
        <v>6.1139999999999999</v>
      </c>
      <c r="X37" s="10">
        <v>6.1760000000000002</v>
      </c>
      <c r="Y37" s="15">
        <v>4.53</v>
      </c>
      <c r="Z37" s="10"/>
      <c r="AA37" s="10"/>
    </row>
    <row r="38" spans="2:27" x14ac:dyDescent="0.25">
      <c r="B38" t="s">
        <v>211</v>
      </c>
      <c r="C38" s="10"/>
      <c r="D38" s="10"/>
      <c r="E38" s="10"/>
      <c r="F38" s="10"/>
      <c r="G38" s="15"/>
      <c r="L38" s="10"/>
      <c r="M38" s="10"/>
      <c r="N38" s="10"/>
      <c r="O38" s="10"/>
      <c r="P38" s="10"/>
      <c r="Q38" s="10"/>
      <c r="R38" s="10"/>
      <c r="S38" s="10">
        <f t="shared" si="49"/>
        <v>0</v>
      </c>
      <c r="T38" s="10"/>
      <c r="U38" s="10"/>
      <c r="V38" s="10"/>
      <c r="W38" s="10">
        <f t="shared" si="50"/>
        <v>0</v>
      </c>
      <c r="X38" s="10"/>
      <c r="Y38" s="15">
        <v>2.6629999999999998</v>
      </c>
      <c r="Z38" s="10"/>
      <c r="AA38" s="10"/>
    </row>
    <row r="39" spans="2:27" s="1" customFormat="1" x14ac:dyDescent="0.25">
      <c r="B39" s="1" t="s">
        <v>60</v>
      </c>
      <c r="C39" s="11">
        <f>SUM(C33:C38)</f>
        <v>0</v>
      </c>
      <c r="D39" s="11">
        <f>SUM(D33:D38)</f>
        <v>0</v>
      </c>
      <c r="E39" s="11">
        <f>SUM(E33:E38)</f>
        <v>141.28700000000001</v>
      </c>
      <c r="F39" s="11">
        <f>SUM(F33:F38)</f>
        <v>149.61399999999998</v>
      </c>
      <c r="G39" s="14">
        <f>SUM(G33:G38)</f>
        <v>195.524</v>
      </c>
      <c r="L39" s="11">
        <f>SUM(L33:L38)</f>
        <v>0</v>
      </c>
      <c r="M39" s="11">
        <f>SUM(M33:M38)</f>
        <v>0</v>
      </c>
      <c r="N39" s="11">
        <f>SUM(N33:N38)</f>
        <v>0</v>
      </c>
      <c r="O39" s="11">
        <f>SUM(O33:O38)</f>
        <v>0</v>
      </c>
      <c r="P39" s="11">
        <f>SUM(P33:P38)</f>
        <v>0</v>
      </c>
      <c r="Q39" s="11">
        <f>SUM(Q33:Q38)</f>
        <v>0</v>
      </c>
      <c r="R39" s="11">
        <f>SUM(R33:R38)</f>
        <v>0</v>
      </c>
      <c r="S39" s="11">
        <f>SUM(S33:S38)</f>
        <v>149.61399999999998</v>
      </c>
      <c r="T39" s="11">
        <f>SUM(T33:T38)</f>
        <v>162.554</v>
      </c>
      <c r="U39" s="11">
        <f>SUM(U33:U38)</f>
        <v>171.87800000000001</v>
      </c>
      <c r="V39" s="11">
        <f>SUM(V33:V38)</f>
        <v>176.76400000000001</v>
      </c>
      <c r="W39" s="11">
        <f>SUM(W33:W38)</f>
        <v>195.524</v>
      </c>
      <c r="X39" s="11">
        <f>SUM(X33:X38)</f>
        <v>218.16999999999996</v>
      </c>
      <c r="Y39" s="14">
        <f>SUM(Y33:Y38)</f>
        <v>234.21000000000004</v>
      </c>
      <c r="Z39" s="11">
        <f>SUM(Z33:Z38)</f>
        <v>0</v>
      </c>
      <c r="AA39" s="11">
        <f>SUM(AA33:AA38)</f>
        <v>0</v>
      </c>
    </row>
    <row r="40" spans="2:27" x14ac:dyDescent="0.25">
      <c r="B40" t="s">
        <v>75</v>
      </c>
      <c r="C40" s="10"/>
      <c r="D40" s="10"/>
      <c r="E40" s="10">
        <v>44.607999999999997</v>
      </c>
      <c r="F40" s="10">
        <v>59.155000000000001</v>
      </c>
      <c r="G40" s="15">
        <v>66.838999999999999</v>
      </c>
      <c r="L40" s="10"/>
      <c r="M40" s="10"/>
      <c r="N40" s="10"/>
      <c r="O40" s="10"/>
      <c r="P40" s="10"/>
      <c r="Q40" s="10"/>
      <c r="R40" s="10"/>
      <c r="S40" s="10">
        <f t="shared" ref="S40:S43" si="53">F40</f>
        <v>59.155000000000001</v>
      </c>
      <c r="T40" s="10">
        <v>58.771999999999998</v>
      </c>
      <c r="U40" s="10">
        <v>59.34</v>
      </c>
      <c r="V40" s="10">
        <v>67.858999999999995</v>
      </c>
      <c r="W40" s="10">
        <f t="shared" ref="W40:W43" si="54">G40</f>
        <v>66.838999999999999</v>
      </c>
      <c r="X40" s="10">
        <v>66.230999999999995</v>
      </c>
      <c r="Y40" s="15">
        <v>68.326999999999998</v>
      </c>
      <c r="Z40" s="10"/>
      <c r="AA40" s="10"/>
    </row>
    <row r="41" spans="2:27" x14ac:dyDescent="0.25">
      <c r="B41" t="s">
        <v>62</v>
      </c>
      <c r="C41" s="10"/>
      <c r="D41" s="10"/>
      <c r="E41" s="10">
        <v>0</v>
      </c>
      <c r="F41" s="10">
        <v>1.895</v>
      </c>
      <c r="G41" s="15">
        <v>8.9109999999999996</v>
      </c>
      <c r="L41" s="10"/>
      <c r="M41" s="10"/>
      <c r="N41" s="10"/>
      <c r="O41" s="10"/>
      <c r="P41" s="10"/>
      <c r="Q41" s="10"/>
      <c r="R41" s="10"/>
      <c r="S41" s="10">
        <f t="shared" si="53"/>
        <v>1.895</v>
      </c>
      <c r="T41" s="10">
        <v>1.5489999999999999</v>
      </c>
      <c r="U41" s="10">
        <v>1.2</v>
      </c>
      <c r="V41" s="10">
        <v>1.512</v>
      </c>
      <c r="W41" s="10">
        <f t="shared" si="54"/>
        <v>8.9109999999999996</v>
      </c>
      <c r="X41" s="10">
        <v>10.842000000000001</v>
      </c>
      <c r="Y41" s="15">
        <v>12.478</v>
      </c>
      <c r="Z41" s="10"/>
      <c r="AA41" s="10"/>
    </row>
    <row r="42" spans="2:27" x14ac:dyDescent="0.25">
      <c r="B42" t="s">
        <v>26</v>
      </c>
      <c r="C42" s="10"/>
      <c r="D42" s="10"/>
      <c r="E42" s="10">
        <v>3.8580000000000001</v>
      </c>
      <c r="F42" s="10">
        <v>3.8580000000000001</v>
      </c>
      <c r="G42" s="15">
        <v>3.9039999999999999</v>
      </c>
      <c r="L42" s="10"/>
      <c r="M42" s="10"/>
      <c r="N42" s="10"/>
      <c r="O42" s="10"/>
      <c r="P42" s="10"/>
      <c r="Q42" s="10"/>
      <c r="R42" s="10"/>
      <c r="S42" s="10">
        <f t="shared" si="53"/>
        <v>3.8580000000000001</v>
      </c>
      <c r="T42" s="10">
        <v>3.9039999999999999</v>
      </c>
      <c r="U42" s="10">
        <v>3.9039999999999999</v>
      </c>
      <c r="V42" s="10">
        <v>3.9039999999999999</v>
      </c>
      <c r="W42" s="10">
        <f t="shared" si="54"/>
        <v>3.9039999999999999</v>
      </c>
      <c r="X42" s="10">
        <v>4.915</v>
      </c>
      <c r="Y42" s="15">
        <v>5.4740000000000002</v>
      </c>
      <c r="Z42" s="10"/>
      <c r="AA42" s="10"/>
    </row>
    <row r="43" spans="2:27" x14ac:dyDescent="0.25">
      <c r="B43" t="s">
        <v>193</v>
      </c>
      <c r="C43" s="10"/>
      <c r="D43" s="10"/>
      <c r="E43" s="10">
        <v>0.189</v>
      </c>
      <c r="F43" s="10">
        <v>0.14399999999999999</v>
      </c>
      <c r="G43" s="15"/>
      <c r="L43" s="10"/>
      <c r="M43" s="10"/>
      <c r="N43" s="10"/>
      <c r="O43" s="10"/>
      <c r="P43" s="10"/>
      <c r="Q43" s="10"/>
      <c r="R43" s="10"/>
      <c r="S43" s="10">
        <f t="shared" si="53"/>
        <v>0.14399999999999999</v>
      </c>
      <c r="T43" s="10"/>
      <c r="U43" s="10"/>
      <c r="V43" s="10"/>
      <c r="W43" s="10">
        <f t="shared" si="54"/>
        <v>0</v>
      </c>
      <c r="X43" s="10"/>
      <c r="Y43" s="15"/>
      <c r="Z43" s="10"/>
      <c r="AA43" s="10"/>
    </row>
    <row r="44" spans="2:27" x14ac:dyDescent="0.25">
      <c r="B44" s="1" t="s">
        <v>27</v>
      </c>
      <c r="C44" s="11">
        <f>SUM(C39:C43)</f>
        <v>0</v>
      </c>
      <c r="D44" s="11">
        <f>SUM(D39:D43)</f>
        <v>0</v>
      </c>
      <c r="E44" s="11">
        <f>SUM(E39:E43)</f>
        <v>189.94200000000001</v>
      </c>
      <c r="F44" s="11">
        <f>SUM(F39:F43)</f>
        <v>214.666</v>
      </c>
      <c r="G44" s="14">
        <f>SUM(G39:G43)</f>
        <v>275.178</v>
      </c>
      <c r="L44" s="11">
        <f>SUM(L39:L43)</f>
        <v>0</v>
      </c>
      <c r="M44" s="11">
        <f>SUM(M39:M43)</f>
        <v>0</v>
      </c>
      <c r="N44" s="11">
        <f>SUM(N39:N43)</f>
        <v>0</v>
      </c>
      <c r="O44" s="11">
        <f>SUM(O39:O43)</f>
        <v>0</v>
      </c>
      <c r="P44" s="11">
        <f>SUM(P39:P43)</f>
        <v>0</v>
      </c>
      <c r="Q44" s="11">
        <f>SUM(Q39:Q43)</f>
        <v>0</v>
      </c>
      <c r="R44" s="11">
        <f>SUM(R39:R43)</f>
        <v>0</v>
      </c>
      <c r="S44" s="11">
        <f>SUM(S39:S43)</f>
        <v>214.666</v>
      </c>
      <c r="T44" s="11">
        <f>SUM(T39:T43)</f>
        <v>226.779</v>
      </c>
      <c r="U44" s="11">
        <f>SUM(U39:U43)</f>
        <v>236.322</v>
      </c>
      <c r="V44" s="11">
        <f>SUM(V39:V43)</f>
        <v>250.03899999999999</v>
      </c>
      <c r="W44" s="11">
        <f>SUM(W39:W43)</f>
        <v>275.178</v>
      </c>
      <c r="X44" s="11">
        <f>SUM(X39:X43)</f>
        <v>300.15799999999996</v>
      </c>
      <c r="Y44" s="14">
        <f>SUM(Y39:Y43)</f>
        <v>320.48900000000003</v>
      </c>
      <c r="Z44" s="11">
        <f>SUM(Z39:Z43)</f>
        <v>0</v>
      </c>
      <c r="AA44" s="11">
        <f>SUM(AA39:AA43)</f>
        <v>0</v>
      </c>
    </row>
    <row r="45" spans="2:27" x14ac:dyDescent="0.25">
      <c r="B45" t="s">
        <v>29</v>
      </c>
      <c r="C45" s="10"/>
      <c r="D45" s="10"/>
      <c r="E45" s="10">
        <v>22.52</v>
      </c>
      <c r="F45" s="10">
        <v>25.972000000000001</v>
      </c>
      <c r="G45" s="15">
        <v>33.484999999999999</v>
      </c>
      <c r="L45" s="10"/>
      <c r="M45" s="10"/>
      <c r="N45" s="10"/>
      <c r="O45" s="10"/>
      <c r="P45" s="10"/>
      <c r="Q45" s="10"/>
      <c r="R45" s="10"/>
      <c r="S45" s="10">
        <f t="shared" ref="S45:S49" si="55">F45</f>
        <v>25.972000000000001</v>
      </c>
      <c r="T45" s="10">
        <v>26.585999999999999</v>
      </c>
      <c r="U45" s="10">
        <v>21.84</v>
      </c>
      <c r="V45" s="10">
        <v>21.97</v>
      </c>
      <c r="W45" s="10">
        <f t="shared" ref="W45:W49" si="56">G45</f>
        <v>33.484999999999999</v>
      </c>
      <c r="X45" s="10">
        <v>33.119</v>
      </c>
      <c r="Y45" s="15">
        <v>33.357999999999997</v>
      </c>
      <c r="Z45" s="10"/>
      <c r="AA45" s="10"/>
    </row>
    <row r="46" spans="2:27" x14ac:dyDescent="0.25">
      <c r="B46" t="s">
        <v>194</v>
      </c>
      <c r="C46" s="10"/>
      <c r="D46" s="10"/>
      <c r="E46" s="10">
        <v>15.143000000000001</v>
      </c>
      <c r="F46" s="10">
        <v>18.477</v>
      </c>
      <c r="G46" s="15">
        <v>24.218</v>
      </c>
      <c r="L46" s="10"/>
      <c r="M46" s="10"/>
      <c r="N46" s="10"/>
      <c r="O46" s="10"/>
      <c r="P46" s="10"/>
      <c r="Q46" s="10"/>
      <c r="R46" s="10"/>
      <c r="S46" s="10">
        <f t="shared" si="55"/>
        <v>18.477</v>
      </c>
      <c r="T46" s="10">
        <v>18.853999999999999</v>
      </c>
      <c r="U46" s="10">
        <v>25.167000000000002</v>
      </c>
      <c r="V46" s="10">
        <v>26.728999999999999</v>
      </c>
      <c r="W46" s="10">
        <f t="shared" si="56"/>
        <v>24.218</v>
      </c>
      <c r="X46" s="10">
        <v>22.28</v>
      </c>
      <c r="Y46" s="15">
        <v>25.928000000000001</v>
      </c>
      <c r="Z46" s="10"/>
      <c r="AA46" s="10"/>
    </row>
    <row r="47" spans="2:27" x14ac:dyDescent="0.25">
      <c r="B47" t="s">
        <v>62</v>
      </c>
      <c r="C47" s="10"/>
      <c r="D47" s="10"/>
      <c r="E47" s="10">
        <v>0</v>
      </c>
      <c r="F47" s="10">
        <v>1.208</v>
      </c>
      <c r="G47" s="15">
        <v>3.0569999999999999</v>
      </c>
      <c r="L47" s="10"/>
      <c r="M47" s="10"/>
      <c r="N47" s="10"/>
      <c r="O47" s="10"/>
      <c r="P47" s="10"/>
      <c r="Q47" s="10"/>
      <c r="R47" s="10"/>
      <c r="S47" s="10">
        <f t="shared" si="55"/>
        <v>1.208</v>
      </c>
      <c r="T47" s="10">
        <v>0.97</v>
      </c>
      <c r="U47" s="10">
        <v>0.73099999999999998</v>
      </c>
      <c r="V47" s="10">
        <v>0.68500000000000005</v>
      </c>
      <c r="W47" s="10">
        <f t="shared" si="56"/>
        <v>3.0569999999999999</v>
      </c>
      <c r="X47" s="10">
        <v>4.5819999999999999</v>
      </c>
      <c r="Y47" s="15">
        <v>4.085</v>
      </c>
      <c r="Z47" s="10"/>
      <c r="AA47" s="10"/>
    </row>
    <row r="48" spans="2:27" x14ac:dyDescent="0.25">
      <c r="B48" t="s">
        <v>195</v>
      </c>
      <c r="C48" s="10"/>
      <c r="D48" s="10"/>
      <c r="E48" s="10">
        <v>0.32700000000000001</v>
      </c>
      <c r="F48" s="10">
        <v>1.57</v>
      </c>
      <c r="G48" s="15">
        <v>3.2549999999999999</v>
      </c>
      <c r="L48" s="10"/>
      <c r="M48" s="10"/>
      <c r="N48" s="10"/>
      <c r="O48" s="10"/>
      <c r="P48" s="10"/>
      <c r="Q48" s="10"/>
      <c r="R48" s="10"/>
      <c r="S48" s="10">
        <f t="shared" si="55"/>
        <v>1.57</v>
      </c>
      <c r="T48" s="10">
        <v>1.5960000000000001</v>
      </c>
      <c r="U48" s="10">
        <v>1.621</v>
      </c>
      <c r="V48" s="10">
        <v>3.1179999999999999</v>
      </c>
      <c r="W48" s="10">
        <f t="shared" si="56"/>
        <v>3.2549999999999999</v>
      </c>
      <c r="X48" s="10">
        <v>3.4790000000000001</v>
      </c>
      <c r="Y48" s="15">
        <v>3.62</v>
      </c>
      <c r="Z48" s="10"/>
      <c r="AA48" s="10"/>
    </row>
    <row r="49" spans="2:27" x14ac:dyDescent="0.25">
      <c r="B49" t="s">
        <v>196</v>
      </c>
      <c r="C49" s="10"/>
      <c r="D49" s="10"/>
      <c r="E49" s="10">
        <v>0</v>
      </c>
      <c r="F49" s="10">
        <v>0.42499999999999999</v>
      </c>
      <c r="G49" s="15">
        <v>1.206</v>
      </c>
      <c r="L49" s="10"/>
      <c r="M49" s="10"/>
      <c r="N49" s="10"/>
      <c r="O49" s="10"/>
      <c r="P49" s="10"/>
      <c r="Q49" s="10"/>
      <c r="R49" s="10"/>
      <c r="S49" s="10">
        <f t="shared" si="55"/>
        <v>0.42499999999999999</v>
      </c>
      <c r="T49" s="10">
        <v>2.5139999999999998</v>
      </c>
      <c r="U49" s="10">
        <v>2.3450000000000002</v>
      </c>
      <c r="V49" s="10">
        <v>0.45600000000000002</v>
      </c>
      <c r="W49" s="10">
        <f t="shared" si="56"/>
        <v>1.206</v>
      </c>
      <c r="X49" s="10">
        <v>6.9080000000000004</v>
      </c>
      <c r="Y49" s="15"/>
      <c r="Z49" s="10"/>
      <c r="AA49" s="10"/>
    </row>
    <row r="50" spans="2:27" s="1" customFormat="1" x14ac:dyDescent="0.25">
      <c r="B50" s="1" t="s">
        <v>61</v>
      </c>
      <c r="C50" s="11">
        <f>SUM(C45:C49)</f>
        <v>0</v>
      </c>
      <c r="D50" s="11">
        <f>SUM(D45:D49)</f>
        <v>0</v>
      </c>
      <c r="E50" s="11">
        <f>SUM(E45:E49)</f>
        <v>37.989999999999995</v>
      </c>
      <c r="F50" s="11">
        <f>SUM(F45:F49)</f>
        <v>47.651999999999994</v>
      </c>
      <c r="G50" s="14">
        <f>SUM(G45:G49)</f>
        <v>65.221000000000004</v>
      </c>
      <c r="L50" s="11">
        <f t="shared" ref="L50:V50" si="57">SUM(L45:L49)</f>
        <v>0</v>
      </c>
      <c r="M50" s="11">
        <f t="shared" si="57"/>
        <v>0</v>
      </c>
      <c r="N50" s="11">
        <f t="shared" si="57"/>
        <v>0</v>
      </c>
      <c r="O50" s="11">
        <f t="shared" si="57"/>
        <v>0</v>
      </c>
      <c r="P50" s="11">
        <f t="shared" si="57"/>
        <v>0</v>
      </c>
      <c r="Q50" s="11">
        <f t="shared" si="57"/>
        <v>0</v>
      </c>
      <c r="R50" s="11">
        <f t="shared" si="57"/>
        <v>0</v>
      </c>
      <c r="S50" s="11">
        <f t="shared" si="57"/>
        <v>47.651999999999994</v>
      </c>
      <c r="T50" s="11">
        <f t="shared" si="57"/>
        <v>50.52</v>
      </c>
      <c r="U50" s="11">
        <f t="shared" si="57"/>
        <v>51.704000000000008</v>
      </c>
      <c r="V50" s="11">
        <f t="shared" si="57"/>
        <v>52.958000000000006</v>
      </c>
      <c r="W50" s="11">
        <f t="shared" ref="W50:AA50" si="58">SUM(W45:W49)</f>
        <v>65.221000000000004</v>
      </c>
      <c r="X50" s="11">
        <f t="shared" si="58"/>
        <v>70.367999999999995</v>
      </c>
      <c r="Y50" s="14">
        <f t="shared" si="58"/>
        <v>66.991</v>
      </c>
      <c r="Z50" s="11">
        <f t="shared" si="58"/>
        <v>0</v>
      </c>
      <c r="AA50" s="11">
        <f t="shared" si="58"/>
        <v>0</v>
      </c>
    </row>
    <row r="51" spans="2:27" x14ac:dyDescent="0.25">
      <c r="B51" t="s">
        <v>62</v>
      </c>
      <c r="C51" s="10"/>
      <c r="D51" s="10"/>
      <c r="E51" s="10"/>
      <c r="F51" s="10">
        <v>0.89200000000000002</v>
      </c>
      <c r="G51" s="15">
        <v>5.7709999999999999</v>
      </c>
      <c r="L51" s="10"/>
      <c r="M51" s="10"/>
      <c r="N51" s="10"/>
      <c r="O51" s="10"/>
      <c r="P51" s="10"/>
      <c r="Q51" s="10"/>
      <c r="R51" s="10"/>
      <c r="S51" s="10">
        <f t="shared" ref="S51:S53" si="59">F51</f>
        <v>0.89200000000000002</v>
      </c>
      <c r="T51" s="10">
        <v>0.77</v>
      </c>
      <c r="U51" s="10">
        <v>0.64700000000000002</v>
      </c>
      <c r="V51" s="10">
        <v>0.96099999999999997</v>
      </c>
      <c r="W51" s="10">
        <f t="shared" ref="W51:W53" si="60">G51</f>
        <v>5.7709999999999999</v>
      </c>
      <c r="X51" s="10">
        <v>5.101</v>
      </c>
      <c r="Y51" s="15">
        <v>4.3869999999999996</v>
      </c>
      <c r="Z51" s="10"/>
      <c r="AA51" s="10"/>
    </row>
    <row r="52" spans="2:27" x14ac:dyDescent="0.25">
      <c r="B52" t="s">
        <v>197</v>
      </c>
      <c r="C52" s="10"/>
      <c r="D52" s="10"/>
      <c r="E52" s="10"/>
      <c r="F52" s="10">
        <v>7.0229999999999997</v>
      </c>
      <c r="G52" s="15">
        <v>10.481</v>
      </c>
      <c r="L52" s="10"/>
      <c r="M52" s="10"/>
      <c r="N52" s="10"/>
      <c r="O52" s="10"/>
      <c r="P52" s="10"/>
      <c r="Q52" s="10"/>
      <c r="R52" s="10"/>
      <c r="S52" s="10">
        <f t="shared" si="59"/>
        <v>7.0229999999999997</v>
      </c>
      <c r="T52" s="10">
        <v>6.617</v>
      </c>
      <c r="U52" s="10">
        <v>6.202</v>
      </c>
      <c r="V52" s="10">
        <v>11.12</v>
      </c>
      <c r="W52" s="10">
        <f t="shared" si="60"/>
        <v>10.481</v>
      </c>
      <c r="X52" s="10">
        <v>10.321</v>
      </c>
      <c r="Y52" s="15">
        <v>9.593</v>
      </c>
      <c r="Z52" s="10"/>
      <c r="AA52" s="10"/>
    </row>
    <row r="53" spans="2:27" x14ac:dyDescent="0.25">
      <c r="B53" t="s">
        <v>198</v>
      </c>
      <c r="C53" s="10"/>
      <c r="D53" s="10"/>
      <c r="E53" s="10">
        <v>0.192</v>
      </c>
      <c r="F53" s="10">
        <v>0.76700000000000002</v>
      </c>
      <c r="G53" s="15">
        <v>1.028</v>
      </c>
      <c r="L53" s="10"/>
      <c r="M53" s="10"/>
      <c r="N53" s="10"/>
      <c r="O53" s="10"/>
      <c r="P53" s="10"/>
      <c r="Q53" s="10"/>
      <c r="R53" s="10"/>
      <c r="S53" s="10">
        <f t="shared" si="59"/>
        <v>0.76700000000000002</v>
      </c>
      <c r="T53" s="10">
        <v>1.3420000000000001</v>
      </c>
      <c r="U53" s="10">
        <v>1.7250000000000001</v>
      </c>
      <c r="V53" s="10">
        <v>2.125</v>
      </c>
      <c r="W53" s="10">
        <f t="shared" si="60"/>
        <v>1.028</v>
      </c>
      <c r="X53" s="10">
        <v>1.0640000000000001</v>
      </c>
      <c r="Y53" s="15">
        <v>1.097</v>
      </c>
      <c r="Z53" s="10"/>
      <c r="AA53" s="10"/>
    </row>
    <row r="54" spans="2:27" x14ac:dyDescent="0.25">
      <c r="B54" s="1" t="s">
        <v>28</v>
      </c>
      <c r="C54" s="11">
        <f>SUM(C50:C53)</f>
        <v>0</v>
      </c>
      <c r="D54" s="11">
        <f>SUM(D50:D53)</f>
        <v>0</v>
      </c>
      <c r="E54" s="11">
        <f>SUM(E50:E53)</f>
        <v>38.181999999999995</v>
      </c>
      <c r="F54" s="11">
        <f>SUM(F50:F53)</f>
        <v>56.333999999999996</v>
      </c>
      <c r="G54" s="14">
        <f>SUM(G50:G53)</f>
        <v>82.501000000000005</v>
      </c>
      <c r="L54" s="11">
        <f>SUM(L50:L53)</f>
        <v>0</v>
      </c>
      <c r="M54" s="11">
        <f>SUM(M50:M53)</f>
        <v>0</v>
      </c>
      <c r="N54" s="11">
        <f>SUM(N50:N53)</f>
        <v>0</v>
      </c>
      <c r="O54" s="11">
        <f>SUM(O50:O53)</f>
        <v>0</v>
      </c>
      <c r="P54" s="11">
        <f>SUM(P50:P53)</f>
        <v>0</v>
      </c>
      <c r="Q54" s="11">
        <f>SUM(Q50:Q53)</f>
        <v>0</v>
      </c>
      <c r="R54" s="11">
        <f>SUM(R50:R53)</f>
        <v>0</v>
      </c>
      <c r="S54" s="11">
        <f>SUM(S50:S53)</f>
        <v>56.333999999999996</v>
      </c>
      <c r="T54" s="11">
        <f>SUM(T50:T53)</f>
        <v>59.249000000000002</v>
      </c>
      <c r="U54" s="11">
        <f>SUM(U50:U53)</f>
        <v>60.278000000000006</v>
      </c>
      <c r="V54" s="11">
        <f>SUM(V50:V53)</f>
        <v>67.164000000000001</v>
      </c>
      <c r="W54" s="11">
        <f>SUM(W50:W53)</f>
        <v>82.501000000000005</v>
      </c>
      <c r="X54" s="11">
        <f>SUM(X50:X53)</f>
        <v>86.853999999999985</v>
      </c>
      <c r="Y54" s="14">
        <f>SUM(Y50:Y53)</f>
        <v>82.067999999999998</v>
      </c>
      <c r="Z54" s="11">
        <f>SUM(Z50:Z53)</f>
        <v>0</v>
      </c>
      <c r="AA54" s="11">
        <f>SUM(AA50:AA53)</f>
        <v>0</v>
      </c>
    </row>
    <row r="55" spans="2:27" x14ac:dyDescent="0.25">
      <c r="B55" t="s">
        <v>76</v>
      </c>
      <c r="C55" s="10">
        <f>C44-C54</f>
        <v>0</v>
      </c>
      <c r="D55" s="10">
        <f>D44-D54</f>
        <v>0</v>
      </c>
      <c r="E55" s="10">
        <f>E44-E54</f>
        <v>151.76000000000002</v>
      </c>
      <c r="F55" s="10">
        <f>F44-F54</f>
        <v>158.33199999999999</v>
      </c>
      <c r="G55" s="15">
        <f>G44-G54</f>
        <v>192.67699999999999</v>
      </c>
      <c r="L55" s="10">
        <f>L44-L54</f>
        <v>0</v>
      </c>
      <c r="M55" s="10">
        <f>M44-M54</f>
        <v>0</v>
      </c>
      <c r="N55" s="10">
        <f>N44-N54</f>
        <v>0</v>
      </c>
      <c r="O55" s="10">
        <f>O44-O54</f>
        <v>0</v>
      </c>
      <c r="P55" s="10">
        <f>P44-P54</f>
        <v>0</v>
      </c>
      <c r="Q55" s="10">
        <f>Q44-Q54</f>
        <v>0</v>
      </c>
      <c r="R55" s="10">
        <f>R44-R54</f>
        <v>0</v>
      </c>
      <c r="S55" s="10">
        <f>S44-S54</f>
        <v>158.33199999999999</v>
      </c>
      <c r="T55" s="10">
        <f>T44-T54</f>
        <v>167.53</v>
      </c>
      <c r="U55" s="10">
        <f>U44-U54</f>
        <v>176.04399999999998</v>
      </c>
      <c r="V55" s="10">
        <f>V44-V54</f>
        <v>182.875</v>
      </c>
      <c r="W55" s="10">
        <f>W44-W54</f>
        <v>192.67699999999999</v>
      </c>
      <c r="X55" s="10">
        <f>X44-X54</f>
        <v>213.30399999999997</v>
      </c>
      <c r="Y55" s="15">
        <f>Y44-Y54</f>
        <v>238.42100000000005</v>
      </c>
      <c r="Z55" s="10">
        <f>Z44-Z54</f>
        <v>0</v>
      </c>
      <c r="AA55" s="10">
        <f>AA44-AA54</f>
        <v>0</v>
      </c>
    </row>
    <row r="57" spans="2:27" s="1" customFormat="1" x14ac:dyDescent="0.25">
      <c r="B57" s="1" t="s">
        <v>78</v>
      </c>
      <c r="C57" s="51"/>
      <c r="D57" s="51"/>
      <c r="E57" s="51"/>
      <c r="F57" s="51"/>
      <c r="G57" s="52"/>
      <c r="Y57" s="16"/>
    </row>
    <row r="75" spans="7:25" s="9" customFormat="1" x14ac:dyDescent="0.25">
      <c r="G75" s="41"/>
      <c r="Y75" s="41"/>
    </row>
    <row r="76" spans="7:25" s="1" customFormat="1" x14ac:dyDescent="0.25">
      <c r="G76" s="16"/>
      <c r="Y76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20" sqref="A20"/>
    </sheetView>
  </sheetViews>
  <sheetFormatPr defaultRowHeight="15" x14ac:dyDescent="0.25"/>
  <sheetData>
    <row r="1" spans="1:1" x14ac:dyDescent="0.25">
      <c r="A1" s="8" t="s">
        <v>37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L2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</cols>
  <sheetData>
    <row r="1" spans="1:12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</row>
    <row r="2" spans="1:12" x14ac:dyDescent="0.25">
      <c r="A2" t="s">
        <v>191</v>
      </c>
      <c r="B2">
        <v>0.8</v>
      </c>
      <c r="C2">
        <v>1.7</v>
      </c>
      <c r="D2">
        <v>2.5</v>
      </c>
      <c r="E2">
        <v>3.3</v>
      </c>
      <c r="F2">
        <v>4.7</v>
      </c>
      <c r="G2">
        <v>6.4</v>
      </c>
      <c r="H2">
        <v>7.3</v>
      </c>
      <c r="I2">
        <v>10.5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37</v>
      </c>
      <c r="B1" t="s">
        <v>50</v>
      </c>
      <c r="C1" s="17" t="s">
        <v>51</v>
      </c>
    </row>
    <row r="2" spans="1:13" x14ac:dyDescent="0.25">
      <c r="B2" s="12"/>
      <c r="C2" s="18"/>
      <c r="E2" t="s">
        <v>50</v>
      </c>
      <c r="F2" t="s">
        <v>52</v>
      </c>
      <c r="M2" t="s">
        <v>53</v>
      </c>
    </row>
    <row r="3" spans="1:13" x14ac:dyDescent="0.25">
      <c r="B3" s="12"/>
      <c r="C3" s="18"/>
      <c r="E3" s="12">
        <v>45328</v>
      </c>
      <c r="F3" t="s">
        <v>55</v>
      </c>
      <c r="M3" s="12"/>
    </row>
    <row r="4" spans="1:13" x14ac:dyDescent="0.25">
      <c r="B4" s="12"/>
      <c r="C4" s="18"/>
      <c r="E4" s="12">
        <v>45302</v>
      </c>
      <c r="F4" t="s">
        <v>55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37</v>
      </c>
      <c r="B1" s="1" t="s">
        <v>50</v>
      </c>
      <c r="C1" s="1" t="s">
        <v>0</v>
      </c>
      <c r="D1" s="1" t="s">
        <v>91</v>
      </c>
      <c r="H1" s="135" t="s">
        <v>92</v>
      </c>
      <c r="I1" s="136"/>
      <c r="J1" s="136"/>
      <c r="K1" s="136"/>
      <c r="L1" s="136"/>
      <c r="M1" s="137"/>
    </row>
    <row r="2" spans="1:13" ht="15.75" thickBot="1" x14ac:dyDescent="0.3">
      <c r="D2" t="e">
        <f>C2/C3-1</f>
        <v>#DIV/0!</v>
      </c>
      <c r="H2" s="61"/>
      <c r="I2" s="62"/>
      <c r="J2" s="62"/>
      <c r="K2" s="62"/>
      <c r="L2" s="62"/>
      <c r="M2" s="63"/>
    </row>
    <row r="3" spans="1:13" ht="15.75" thickBot="1" x14ac:dyDescent="0.3">
      <c r="D3" t="e">
        <f t="shared" ref="D3:D66" si="0">C3/C4-1</f>
        <v>#DIV/0!</v>
      </c>
      <c r="H3" s="64" t="s">
        <v>93</v>
      </c>
      <c r="I3" s="65" t="s">
        <v>94</v>
      </c>
      <c r="J3" s="66" t="s">
        <v>95</v>
      </c>
      <c r="K3" s="67" t="s">
        <v>96</v>
      </c>
      <c r="L3" s="67" t="s">
        <v>97</v>
      </c>
      <c r="M3" s="68" t="s">
        <v>98</v>
      </c>
    </row>
    <row r="4" spans="1:13" x14ac:dyDescent="0.25">
      <c r="D4" t="e">
        <f t="shared" si="0"/>
        <v>#DIV/0!</v>
      </c>
      <c r="H4" s="69" t="e">
        <f>$I$19-3*$I$23</f>
        <v>#DIV/0!</v>
      </c>
      <c r="I4" s="70" t="e">
        <f>H4</f>
        <v>#DIV/0!</v>
      </c>
      <c r="J4" s="71">
        <f>COUNTIF(D:D,"&lt;="&amp;H4)</f>
        <v>67</v>
      </c>
      <c r="K4" s="71" t="e">
        <f>"Less than "&amp;TEXT(H4,"0,00%")</f>
        <v>#DIV/0!</v>
      </c>
      <c r="L4" s="72" t="e">
        <f>J4/$I$31</f>
        <v>#DIV/0!</v>
      </c>
      <c r="M4" s="73" t="e">
        <f>L4</f>
        <v>#DIV/0!</v>
      </c>
    </row>
    <row r="5" spans="1:13" x14ac:dyDescent="0.25">
      <c r="D5" t="e">
        <f t="shared" si="0"/>
        <v>#DIV/0!</v>
      </c>
      <c r="H5" s="74" t="e">
        <f>$I$19-2.4*$I$23</f>
        <v>#DIV/0!</v>
      </c>
      <c r="I5" s="75" t="e">
        <f>H5</f>
        <v>#DIV/0!</v>
      </c>
      <c r="J5" s="76">
        <f>COUNTIFS(D:D,"&lt;="&amp;H5,D:D,"&gt;"&amp;H4)</f>
        <v>67</v>
      </c>
      <c r="K5" s="77" t="e">
        <f t="shared" ref="K5:K14" si="1">TEXT(H4,"0,00%")&amp;" to "&amp;TEXT(H5,"0,00%")</f>
        <v>#DIV/0!</v>
      </c>
      <c r="L5" s="78" t="e">
        <f>J5/$I$31</f>
        <v>#DIV/0!</v>
      </c>
      <c r="M5" s="79" t="e">
        <f>M4+L5</f>
        <v>#DIV/0!</v>
      </c>
    </row>
    <row r="6" spans="1:13" x14ac:dyDescent="0.25">
      <c r="D6" t="e">
        <f t="shared" si="0"/>
        <v>#DIV/0!</v>
      </c>
      <c r="H6" s="74" t="e">
        <f>$I$19-1.8*$I$23</f>
        <v>#DIV/0!</v>
      </c>
      <c r="I6" s="75" t="e">
        <f t="shared" ref="I6:I14" si="2">H6</f>
        <v>#DIV/0!</v>
      </c>
      <c r="J6" s="76">
        <f t="shared" ref="J6:J14" si="3">COUNTIFS(D:D,"&lt;="&amp;H6,D:D,"&gt;"&amp;H5)</f>
        <v>67</v>
      </c>
      <c r="K6" s="77" t="e">
        <f t="shared" si="1"/>
        <v>#DIV/0!</v>
      </c>
      <c r="L6" s="78" t="e">
        <f t="shared" ref="L6:L15" si="4">J6/$I$31</f>
        <v>#DIV/0!</v>
      </c>
      <c r="M6" s="79" t="e">
        <f t="shared" ref="M6:M15" si="5">M5+L6</f>
        <v>#DIV/0!</v>
      </c>
    </row>
    <row r="7" spans="1:13" x14ac:dyDescent="0.25">
      <c r="D7" t="e">
        <f t="shared" si="0"/>
        <v>#DIV/0!</v>
      </c>
      <c r="H7" s="74" t="e">
        <f>$I$19-1.2*$I$23</f>
        <v>#DIV/0!</v>
      </c>
      <c r="I7" s="75" t="e">
        <f t="shared" si="2"/>
        <v>#DIV/0!</v>
      </c>
      <c r="J7" s="76">
        <f t="shared" si="3"/>
        <v>67</v>
      </c>
      <c r="K7" s="77" t="e">
        <f t="shared" si="1"/>
        <v>#DIV/0!</v>
      </c>
      <c r="L7" s="78" t="e">
        <f t="shared" si="4"/>
        <v>#DIV/0!</v>
      </c>
      <c r="M7" s="79" t="e">
        <f t="shared" si="5"/>
        <v>#DIV/0!</v>
      </c>
    </row>
    <row r="8" spans="1:13" x14ac:dyDescent="0.25">
      <c r="D8" t="e">
        <f t="shared" si="0"/>
        <v>#DIV/0!</v>
      </c>
      <c r="H8" s="74" t="e">
        <f>$I$19-0.6*$I$23</f>
        <v>#DIV/0!</v>
      </c>
      <c r="I8" s="75" t="e">
        <f t="shared" si="2"/>
        <v>#DIV/0!</v>
      </c>
      <c r="J8" s="76">
        <f t="shared" si="3"/>
        <v>67</v>
      </c>
      <c r="K8" s="77" t="e">
        <f t="shared" si="1"/>
        <v>#DIV/0!</v>
      </c>
      <c r="L8" s="78" t="e">
        <f t="shared" si="4"/>
        <v>#DIV/0!</v>
      </c>
      <c r="M8" s="79" t="e">
        <f t="shared" si="5"/>
        <v>#DIV/0!</v>
      </c>
    </row>
    <row r="9" spans="1:13" x14ac:dyDescent="0.25">
      <c r="D9" t="e">
        <f t="shared" si="0"/>
        <v>#DIV/0!</v>
      </c>
      <c r="H9" s="74" t="e">
        <f>$I$19</f>
        <v>#DIV/0!</v>
      </c>
      <c r="I9" s="75" t="e">
        <f t="shared" si="2"/>
        <v>#DIV/0!</v>
      </c>
      <c r="J9" s="76">
        <f t="shared" si="3"/>
        <v>67</v>
      </c>
      <c r="K9" s="77" t="e">
        <f t="shared" si="1"/>
        <v>#DIV/0!</v>
      </c>
      <c r="L9" s="78" t="e">
        <f t="shared" si="4"/>
        <v>#DIV/0!</v>
      </c>
      <c r="M9" s="79" t="e">
        <f t="shared" si="5"/>
        <v>#DIV/0!</v>
      </c>
    </row>
    <row r="10" spans="1:13" x14ac:dyDescent="0.25">
      <c r="D10" t="e">
        <f t="shared" si="0"/>
        <v>#DIV/0!</v>
      </c>
      <c r="H10" s="74" t="e">
        <f>$I$19+0.6*$I$23</f>
        <v>#DIV/0!</v>
      </c>
      <c r="I10" s="75" t="e">
        <f t="shared" si="2"/>
        <v>#DIV/0!</v>
      </c>
      <c r="J10" s="76">
        <f t="shared" si="3"/>
        <v>67</v>
      </c>
      <c r="K10" s="77" t="e">
        <f t="shared" si="1"/>
        <v>#DIV/0!</v>
      </c>
      <c r="L10" s="78" t="e">
        <f t="shared" si="4"/>
        <v>#DIV/0!</v>
      </c>
      <c r="M10" s="79" t="e">
        <f t="shared" si="5"/>
        <v>#DIV/0!</v>
      </c>
    </row>
    <row r="11" spans="1:13" x14ac:dyDescent="0.25">
      <c r="D11" t="e">
        <f t="shared" si="0"/>
        <v>#DIV/0!</v>
      </c>
      <c r="H11" s="74" t="e">
        <f>$I$19+1.2*$I$23</f>
        <v>#DIV/0!</v>
      </c>
      <c r="I11" s="75" t="e">
        <f t="shared" si="2"/>
        <v>#DIV/0!</v>
      </c>
      <c r="J11" s="76">
        <f t="shared" si="3"/>
        <v>67</v>
      </c>
      <c r="K11" s="77" t="e">
        <f t="shared" si="1"/>
        <v>#DIV/0!</v>
      </c>
      <c r="L11" s="78" t="e">
        <f t="shared" si="4"/>
        <v>#DIV/0!</v>
      </c>
      <c r="M11" s="79" t="e">
        <f t="shared" si="5"/>
        <v>#DIV/0!</v>
      </c>
    </row>
    <row r="12" spans="1:13" x14ac:dyDescent="0.25">
      <c r="D12" t="e">
        <f t="shared" si="0"/>
        <v>#DIV/0!</v>
      </c>
      <c r="H12" s="74" t="e">
        <f>$I$19+1.8*$I$23</f>
        <v>#DIV/0!</v>
      </c>
      <c r="I12" s="75" t="e">
        <f t="shared" si="2"/>
        <v>#DIV/0!</v>
      </c>
      <c r="J12" s="76">
        <f t="shared" si="3"/>
        <v>67</v>
      </c>
      <c r="K12" s="77" t="e">
        <f t="shared" si="1"/>
        <v>#DIV/0!</v>
      </c>
      <c r="L12" s="78" t="e">
        <f t="shared" si="4"/>
        <v>#DIV/0!</v>
      </c>
      <c r="M12" s="79" t="e">
        <f t="shared" si="5"/>
        <v>#DIV/0!</v>
      </c>
    </row>
    <row r="13" spans="1:13" x14ac:dyDescent="0.25">
      <c r="D13" t="e">
        <f t="shared" si="0"/>
        <v>#DIV/0!</v>
      </c>
      <c r="H13" s="74" t="e">
        <f>$I$19+2.4*$I$23</f>
        <v>#DIV/0!</v>
      </c>
      <c r="I13" s="75" t="e">
        <f t="shared" si="2"/>
        <v>#DIV/0!</v>
      </c>
      <c r="J13" s="76">
        <f t="shared" si="3"/>
        <v>67</v>
      </c>
      <c r="K13" s="77" t="e">
        <f t="shared" si="1"/>
        <v>#DIV/0!</v>
      </c>
      <c r="L13" s="78" t="e">
        <f t="shared" si="4"/>
        <v>#DIV/0!</v>
      </c>
      <c r="M13" s="79" t="e">
        <f t="shared" si="5"/>
        <v>#DIV/0!</v>
      </c>
    </row>
    <row r="14" spans="1:13" x14ac:dyDescent="0.25">
      <c r="D14" t="e">
        <f t="shared" si="0"/>
        <v>#DIV/0!</v>
      </c>
      <c r="H14" s="74" t="e">
        <f>$I$19+3*$I$23</f>
        <v>#DIV/0!</v>
      </c>
      <c r="I14" s="75" t="e">
        <f t="shared" si="2"/>
        <v>#DIV/0!</v>
      </c>
      <c r="J14" s="76">
        <f t="shared" si="3"/>
        <v>67</v>
      </c>
      <c r="K14" s="77" t="e">
        <f t="shared" si="1"/>
        <v>#DIV/0!</v>
      </c>
      <c r="L14" s="78" t="e">
        <f t="shared" si="4"/>
        <v>#DIV/0!</v>
      </c>
      <c r="M14" s="79" t="e">
        <f t="shared" si="5"/>
        <v>#DIV/0!</v>
      </c>
    </row>
    <row r="15" spans="1:13" ht="15.75" thickBot="1" x14ac:dyDescent="0.3">
      <c r="D15" t="e">
        <f t="shared" si="0"/>
        <v>#DIV/0!</v>
      </c>
      <c r="H15" s="80"/>
      <c r="I15" s="81" t="s">
        <v>99</v>
      </c>
      <c r="J15" s="81">
        <f>COUNTIF(D:D,"&gt;"&amp;H14)</f>
        <v>67</v>
      </c>
      <c r="K15" s="81" t="e">
        <f>"Greater than "&amp;TEXT(H14,"0,00%")</f>
        <v>#DIV/0!</v>
      </c>
      <c r="L15" s="82" t="e">
        <f t="shared" si="4"/>
        <v>#DIV/0!</v>
      </c>
      <c r="M15" s="82" t="e">
        <f t="shared" si="5"/>
        <v>#DIV/0!</v>
      </c>
    </row>
    <row r="16" spans="1:13" ht="15.75" thickBot="1" x14ac:dyDescent="0.3">
      <c r="D16" t="e">
        <f t="shared" si="0"/>
        <v>#DIV/0!</v>
      </c>
      <c r="H16" s="83"/>
      <c r="M16" s="84"/>
    </row>
    <row r="17" spans="4:13" x14ac:dyDescent="0.25">
      <c r="D17" t="e">
        <f t="shared" si="0"/>
        <v>#DIV/0!</v>
      </c>
      <c r="H17" s="138" t="s">
        <v>130</v>
      </c>
      <c r="I17" s="139"/>
      <c r="M17" s="84"/>
    </row>
    <row r="18" spans="4:13" x14ac:dyDescent="0.25">
      <c r="D18" t="e">
        <f t="shared" si="0"/>
        <v>#DIV/0!</v>
      </c>
      <c r="H18" s="140"/>
      <c r="I18" s="141"/>
      <c r="M18" s="84"/>
    </row>
    <row r="19" spans="4:13" x14ac:dyDescent="0.25">
      <c r="D19" t="e">
        <f t="shared" si="0"/>
        <v>#DIV/0!</v>
      </c>
      <c r="H19" s="85" t="s">
        <v>100</v>
      </c>
      <c r="I19" s="122" t="e">
        <f>AVERAGE(D:D)</f>
        <v>#DIV/0!</v>
      </c>
      <c r="M19" s="84"/>
    </row>
    <row r="20" spans="4:13" x14ac:dyDescent="0.25">
      <c r="D20" t="e">
        <f t="shared" si="0"/>
        <v>#DIV/0!</v>
      </c>
      <c r="H20" s="85" t="s">
        <v>101</v>
      </c>
      <c r="I20" s="122" t="e">
        <f>_xlfn.STDEV.S(D:D)/SQRT(COUNT(D:D))</f>
        <v>#DIV/0!</v>
      </c>
      <c r="M20" s="84"/>
    </row>
    <row r="21" spans="4:13" x14ac:dyDescent="0.25">
      <c r="D21" t="e">
        <f t="shared" si="0"/>
        <v>#DIV/0!</v>
      </c>
      <c r="H21" s="85" t="s">
        <v>102</v>
      </c>
      <c r="I21" s="122" t="e">
        <f>MEDIAN(D:D)</f>
        <v>#DIV/0!</v>
      </c>
      <c r="M21" s="84"/>
    </row>
    <row r="22" spans="4:13" x14ac:dyDescent="0.25">
      <c r="D22" t="e">
        <f t="shared" si="0"/>
        <v>#DIV/0!</v>
      </c>
      <c r="H22" s="85" t="s">
        <v>103</v>
      </c>
      <c r="I22" s="122" t="e">
        <f>MODE(D:D)</f>
        <v>#DIV/0!</v>
      </c>
      <c r="M22" s="84"/>
    </row>
    <row r="23" spans="4:13" x14ac:dyDescent="0.25">
      <c r="D23" t="e">
        <f t="shared" si="0"/>
        <v>#DIV/0!</v>
      </c>
      <c r="H23" s="85" t="s">
        <v>104</v>
      </c>
      <c r="I23" s="122" t="e">
        <f>_xlfn.STDEV.S(D:D)</f>
        <v>#DIV/0!</v>
      </c>
      <c r="M23" s="84"/>
    </row>
    <row r="24" spans="4:13" x14ac:dyDescent="0.25">
      <c r="D24" t="e">
        <f t="shared" si="0"/>
        <v>#DIV/0!</v>
      </c>
      <c r="H24" s="85" t="s">
        <v>105</v>
      </c>
      <c r="I24" s="122" t="e">
        <f>_xlfn.VAR.S(D:D)</f>
        <v>#DIV/0!</v>
      </c>
      <c r="M24" s="84"/>
    </row>
    <row r="25" spans="4:13" x14ac:dyDescent="0.25">
      <c r="D25" t="e">
        <f t="shared" si="0"/>
        <v>#DIV/0!</v>
      </c>
      <c r="H25" s="85" t="s">
        <v>106</v>
      </c>
      <c r="I25" s="123" t="e">
        <f>KURT(D:D)</f>
        <v>#DIV/0!</v>
      </c>
      <c r="M25" s="84"/>
    </row>
    <row r="26" spans="4:13" x14ac:dyDescent="0.25">
      <c r="D26" t="e">
        <f t="shared" si="0"/>
        <v>#DIV/0!</v>
      </c>
      <c r="H26" s="85" t="s">
        <v>107</v>
      </c>
      <c r="I26" s="123" t="e">
        <f>SKEW(D:D)</f>
        <v>#DIV/0!</v>
      </c>
      <c r="M26" s="84"/>
    </row>
    <row r="27" spans="4:13" x14ac:dyDescent="0.25">
      <c r="D27" t="e">
        <f t="shared" si="0"/>
        <v>#DIV/0!</v>
      </c>
      <c r="H27" s="85" t="s">
        <v>96</v>
      </c>
      <c r="I27" s="122" t="e">
        <f>I29-I28</f>
        <v>#DIV/0!</v>
      </c>
      <c r="M27" s="84"/>
    </row>
    <row r="28" spans="4:13" x14ac:dyDescent="0.25">
      <c r="D28" t="e">
        <f t="shared" si="0"/>
        <v>#DIV/0!</v>
      </c>
      <c r="H28" s="85" t="s">
        <v>108</v>
      </c>
      <c r="I28" s="122" t="e">
        <f>MIN(D:D)</f>
        <v>#DIV/0!</v>
      </c>
      <c r="M28" s="84"/>
    </row>
    <row r="29" spans="4:13" x14ac:dyDescent="0.25">
      <c r="D29" t="e">
        <f t="shared" si="0"/>
        <v>#DIV/0!</v>
      </c>
      <c r="H29" s="85" t="s">
        <v>109</v>
      </c>
      <c r="I29" s="122" t="e">
        <f>MAX(D:D)</f>
        <v>#DIV/0!</v>
      </c>
      <c r="M29" s="84"/>
    </row>
    <row r="30" spans="4:13" x14ac:dyDescent="0.25">
      <c r="D30" t="e">
        <f t="shared" si="0"/>
        <v>#DIV/0!</v>
      </c>
      <c r="H30" s="85" t="s">
        <v>110</v>
      </c>
      <c r="I30" s="123" t="e">
        <f>SUM(D:D)</f>
        <v>#DIV/0!</v>
      </c>
      <c r="M30" s="84"/>
    </row>
    <row r="31" spans="4:13" ht="15.75" thickBot="1" x14ac:dyDescent="0.3">
      <c r="D31" t="e">
        <f t="shared" si="0"/>
        <v>#DIV/0!</v>
      </c>
      <c r="H31" s="86" t="s">
        <v>111</v>
      </c>
      <c r="I31" s="63">
        <f>COUNT(D:D)</f>
        <v>0</v>
      </c>
      <c r="M31" s="84"/>
    </row>
    <row r="32" spans="4:13" ht="15.75" thickBot="1" x14ac:dyDescent="0.3">
      <c r="D32" t="e">
        <f t="shared" si="0"/>
        <v>#DIV/0!</v>
      </c>
      <c r="H32" s="88"/>
      <c r="M32" s="84"/>
    </row>
    <row r="33" spans="4:13" x14ac:dyDescent="0.25">
      <c r="D33" t="e">
        <f t="shared" si="0"/>
        <v>#DIV/0!</v>
      </c>
      <c r="H33" s="89"/>
      <c r="I33" s="90" t="s">
        <v>112</v>
      </c>
      <c r="J33" s="90" t="s">
        <v>111</v>
      </c>
      <c r="K33" s="90" t="s">
        <v>113</v>
      </c>
      <c r="L33" s="91" t="s">
        <v>114</v>
      </c>
      <c r="M33" s="84"/>
    </row>
    <row r="34" spans="4:13" x14ac:dyDescent="0.25">
      <c r="D34" t="e">
        <f t="shared" si="0"/>
        <v>#DIV/0!</v>
      </c>
      <c r="H34" s="92" t="s">
        <v>115</v>
      </c>
      <c r="I34" s="78" t="e">
        <f>AVERAGEIF(D:D,"&gt;0")</f>
        <v>#DIV/0!</v>
      </c>
      <c r="J34" s="76">
        <f>COUNTIF(D:D,"&gt;0")</f>
        <v>0</v>
      </c>
      <c r="K34" s="78" t="e">
        <f>J34/$I$31</f>
        <v>#DIV/0!</v>
      </c>
      <c r="L34" s="79" t="e">
        <f>K34*I34</f>
        <v>#DIV/0!</v>
      </c>
      <c r="M34" s="84"/>
    </row>
    <row r="35" spans="4:13" x14ac:dyDescent="0.25">
      <c r="D35" t="e">
        <f t="shared" si="0"/>
        <v>#DIV/0!</v>
      </c>
      <c r="H35" s="92" t="s">
        <v>116</v>
      </c>
      <c r="I35" s="78" t="e">
        <f>AVERAGEIF(D:D,"&lt;0")</f>
        <v>#DIV/0!</v>
      </c>
      <c r="J35" s="76">
        <f>COUNTIF(D:D,"&lt;0")</f>
        <v>0</v>
      </c>
      <c r="K35" s="78" t="e">
        <f>J35/$I$31</f>
        <v>#DIV/0!</v>
      </c>
      <c r="L35" s="79" t="e">
        <f t="shared" ref="L35:L36" si="6">K35*I35</f>
        <v>#DIV/0!</v>
      </c>
      <c r="M35" s="84"/>
    </row>
    <row r="36" spans="4:13" ht="15.75" thickBot="1" x14ac:dyDescent="0.3">
      <c r="D36" t="e">
        <f t="shared" si="0"/>
        <v>#DIV/0!</v>
      </c>
      <c r="H36" s="93" t="s">
        <v>117</v>
      </c>
      <c r="I36" s="81">
        <v>0</v>
      </c>
      <c r="J36" s="81">
        <f>COUNTIF(D:D,"0")</f>
        <v>0</v>
      </c>
      <c r="K36" s="94" t="e">
        <f>J36/$I$31</f>
        <v>#DIV/0!</v>
      </c>
      <c r="L36" s="82" t="e">
        <f t="shared" si="6"/>
        <v>#DIV/0!</v>
      </c>
      <c r="M36" s="84"/>
    </row>
    <row r="37" spans="4:13" ht="15.75" thickBot="1" x14ac:dyDescent="0.3">
      <c r="D37" t="e">
        <f t="shared" si="0"/>
        <v>#DIV/0!</v>
      </c>
      <c r="H37" s="88"/>
      <c r="I37" s="95"/>
      <c r="J37" s="95"/>
      <c r="K37" s="95"/>
      <c r="L37" s="95"/>
      <c r="M37" s="84"/>
    </row>
    <row r="38" spans="4:13" x14ac:dyDescent="0.25">
      <c r="D38" t="e">
        <f t="shared" si="0"/>
        <v>#DIV/0!</v>
      </c>
      <c r="H38" s="69" t="s">
        <v>118</v>
      </c>
      <c r="I38" s="90" t="s">
        <v>119</v>
      </c>
      <c r="J38" s="90" t="s">
        <v>120</v>
      </c>
      <c r="K38" s="90" t="s">
        <v>121</v>
      </c>
      <c r="L38" s="90" t="s">
        <v>122</v>
      </c>
      <c r="M38" s="91" t="s">
        <v>123</v>
      </c>
    </row>
    <row r="39" spans="4:13" x14ac:dyDescent="0.25">
      <c r="D39" t="e">
        <f t="shared" si="0"/>
        <v>#DIV/0!</v>
      </c>
      <c r="H39" s="96">
        <v>1</v>
      </c>
      <c r="I39" s="78" t="e">
        <f>$I$19+($H39*$I$23)</f>
        <v>#DIV/0!</v>
      </c>
      <c r="J39" s="78" t="e">
        <f>$I$19-($H39*$I$23)</f>
        <v>#DIV/0!</v>
      </c>
      <c r="K39" s="76">
        <f>COUNTIFS(D:D,"&lt;"&amp;I39,D:D,"&gt;"&amp;J39)</f>
        <v>67</v>
      </c>
      <c r="L39" s="78" t="e">
        <f>K39/$I$31</f>
        <v>#DIV/0!</v>
      </c>
      <c r="M39" s="79">
        <v>0.68269999999999997</v>
      </c>
    </row>
    <row r="40" spans="4:13" x14ac:dyDescent="0.25">
      <c r="D40" t="e">
        <f t="shared" si="0"/>
        <v>#DIV/0!</v>
      </c>
      <c r="H40" s="96">
        <v>2</v>
      </c>
      <c r="I40" s="78" t="e">
        <f>$I$19+($H40*$I$23)</f>
        <v>#DIV/0!</v>
      </c>
      <c r="J40" s="78" t="e">
        <f>$I$19-($H40*$I$23)</f>
        <v>#DIV/0!</v>
      </c>
      <c r="K40" s="76">
        <f>COUNTIFS(D:D,"&lt;"&amp;I40,D:D,"&gt;"&amp;J40)</f>
        <v>67</v>
      </c>
      <c r="L40" s="78" t="e">
        <f>K40/$I$31</f>
        <v>#DIV/0!</v>
      </c>
      <c r="M40" s="79">
        <v>0.95450000000000002</v>
      </c>
    </row>
    <row r="41" spans="4:13" x14ac:dyDescent="0.25">
      <c r="D41" t="e">
        <f t="shared" si="0"/>
        <v>#DIV/0!</v>
      </c>
      <c r="H41" s="96">
        <v>3</v>
      </c>
      <c r="I41" s="78" t="e">
        <f>$I$19+($H41*$I$23)</f>
        <v>#DIV/0!</v>
      </c>
      <c r="J41" s="78" t="e">
        <f>$I$19-($H41*$I$23)</f>
        <v>#DIV/0!</v>
      </c>
      <c r="K41" s="76">
        <f>COUNTIFS(D:D,"&lt;"&amp;I41,D:D,"&gt;"&amp;J41)</f>
        <v>67</v>
      </c>
      <c r="L41" s="78" t="e">
        <f>K41/$I$31</f>
        <v>#DIV/0!</v>
      </c>
      <c r="M41" s="97">
        <v>0.99729999999999996</v>
      </c>
    </row>
    <row r="42" spans="4:13" ht="15.75" thickBot="1" x14ac:dyDescent="0.3">
      <c r="D42" t="e">
        <f t="shared" si="0"/>
        <v>#DIV/0!</v>
      </c>
      <c r="H42" s="74"/>
      <c r="M42" s="97"/>
    </row>
    <row r="43" spans="4:13" ht="15.75" thickBot="1" x14ac:dyDescent="0.3">
      <c r="D43" t="e">
        <f t="shared" si="0"/>
        <v>#DIV/0!</v>
      </c>
      <c r="H43" s="142" t="s">
        <v>124</v>
      </c>
      <c r="I43" s="143"/>
      <c r="J43" s="143"/>
      <c r="K43" s="143"/>
      <c r="L43" s="143"/>
      <c r="M43" s="144"/>
    </row>
    <row r="44" spans="4:13" x14ac:dyDescent="0.25">
      <c r="D44" t="e">
        <f t="shared" si="0"/>
        <v>#DIV/0!</v>
      </c>
      <c r="H44" s="98">
        <v>0.01</v>
      </c>
      <c r="I44" s="99" t="e">
        <f t="shared" ref="I44:I58" si="7">_xlfn.PERCENTILE.INC(D:D,H44)</f>
        <v>#DIV/0!</v>
      </c>
      <c r="J44" s="100">
        <v>0.2</v>
      </c>
      <c r="K44" s="99" t="e">
        <f t="shared" ref="K44:K56" si="8">_xlfn.PERCENTILE.INC(D:D,J44)</f>
        <v>#DIV/0!</v>
      </c>
      <c r="L44" s="100">
        <v>0.85</v>
      </c>
      <c r="M44" s="101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2">
        <v>0.02</v>
      </c>
      <c r="I45" s="103" t="e">
        <f t="shared" si="7"/>
        <v>#DIV/0!</v>
      </c>
      <c r="J45" s="104">
        <v>0.25</v>
      </c>
      <c r="K45" s="103" t="e">
        <f t="shared" si="8"/>
        <v>#DIV/0!</v>
      </c>
      <c r="L45" s="104">
        <v>0.86</v>
      </c>
      <c r="M45" s="105" t="e">
        <f t="shared" si="9"/>
        <v>#DIV/0!</v>
      </c>
    </row>
    <row r="46" spans="4:13" x14ac:dyDescent="0.25">
      <c r="D46" t="e">
        <f t="shared" si="0"/>
        <v>#DIV/0!</v>
      </c>
      <c r="H46" s="102">
        <v>0.03</v>
      </c>
      <c r="I46" s="103" t="e">
        <f t="shared" si="7"/>
        <v>#DIV/0!</v>
      </c>
      <c r="J46" s="104">
        <v>0.3</v>
      </c>
      <c r="K46" s="103" t="e">
        <f t="shared" si="8"/>
        <v>#DIV/0!</v>
      </c>
      <c r="L46" s="104">
        <v>0.87</v>
      </c>
      <c r="M46" s="105" t="e">
        <f t="shared" si="9"/>
        <v>#DIV/0!</v>
      </c>
    </row>
    <row r="47" spans="4:13" x14ac:dyDescent="0.25">
      <c r="D47" t="e">
        <f t="shared" si="0"/>
        <v>#DIV/0!</v>
      </c>
      <c r="H47" s="102">
        <v>0.04</v>
      </c>
      <c r="I47" s="103" t="e">
        <f t="shared" si="7"/>
        <v>#DIV/0!</v>
      </c>
      <c r="J47" s="104">
        <v>0.35</v>
      </c>
      <c r="K47" s="103" t="e">
        <f t="shared" si="8"/>
        <v>#DIV/0!</v>
      </c>
      <c r="L47" s="104">
        <v>0.88</v>
      </c>
      <c r="M47" s="105" t="e">
        <f t="shared" si="9"/>
        <v>#DIV/0!</v>
      </c>
    </row>
    <row r="48" spans="4:13" x14ac:dyDescent="0.25">
      <c r="D48" t="e">
        <f t="shared" si="0"/>
        <v>#DIV/0!</v>
      </c>
      <c r="H48" s="102">
        <v>0.05</v>
      </c>
      <c r="I48" s="103" t="e">
        <f t="shared" si="7"/>
        <v>#DIV/0!</v>
      </c>
      <c r="J48" s="104">
        <v>0.4</v>
      </c>
      <c r="K48" s="103" t="e">
        <f t="shared" si="8"/>
        <v>#DIV/0!</v>
      </c>
      <c r="L48" s="104">
        <v>0.89</v>
      </c>
      <c r="M48" s="105" t="e">
        <f t="shared" si="9"/>
        <v>#DIV/0!</v>
      </c>
    </row>
    <row r="49" spans="4:13" x14ac:dyDescent="0.25">
      <c r="D49" t="e">
        <f t="shared" si="0"/>
        <v>#DIV/0!</v>
      </c>
      <c r="H49" s="102">
        <v>0.06</v>
      </c>
      <c r="I49" s="103" t="e">
        <f t="shared" si="7"/>
        <v>#DIV/0!</v>
      </c>
      <c r="J49" s="104">
        <v>0.45</v>
      </c>
      <c r="K49" s="103" t="e">
        <f t="shared" si="8"/>
        <v>#DIV/0!</v>
      </c>
      <c r="L49" s="104">
        <v>0.9</v>
      </c>
      <c r="M49" s="105" t="e">
        <f t="shared" si="9"/>
        <v>#DIV/0!</v>
      </c>
    </row>
    <row r="50" spans="4:13" x14ac:dyDescent="0.25">
      <c r="D50" t="e">
        <f t="shared" si="0"/>
        <v>#DIV/0!</v>
      </c>
      <c r="H50" s="102">
        <v>7.0000000000000007E-2</v>
      </c>
      <c r="I50" s="103" t="e">
        <f t="shared" si="7"/>
        <v>#DIV/0!</v>
      </c>
      <c r="J50" s="104">
        <v>0.5</v>
      </c>
      <c r="K50" s="103" t="e">
        <f t="shared" si="8"/>
        <v>#DIV/0!</v>
      </c>
      <c r="L50" s="104">
        <v>0.91</v>
      </c>
      <c r="M50" s="105" t="e">
        <f t="shared" si="9"/>
        <v>#DIV/0!</v>
      </c>
    </row>
    <row r="51" spans="4:13" x14ac:dyDescent="0.25">
      <c r="D51" t="e">
        <f t="shared" si="0"/>
        <v>#DIV/0!</v>
      </c>
      <c r="H51" s="102">
        <v>0.08</v>
      </c>
      <c r="I51" s="103" t="e">
        <f t="shared" si="7"/>
        <v>#DIV/0!</v>
      </c>
      <c r="J51" s="104">
        <v>0.55000000000000004</v>
      </c>
      <c r="K51" s="103" t="e">
        <f t="shared" si="8"/>
        <v>#DIV/0!</v>
      </c>
      <c r="L51" s="104">
        <v>0.92</v>
      </c>
      <c r="M51" s="105" t="e">
        <f t="shared" si="9"/>
        <v>#DIV/0!</v>
      </c>
    </row>
    <row r="52" spans="4:13" x14ac:dyDescent="0.25">
      <c r="D52" t="e">
        <f t="shared" si="0"/>
        <v>#DIV/0!</v>
      </c>
      <c r="H52" s="102">
        <v>0.09</v>
      </c>
      <c r="I52" s="103" t="e">
        <f t="shared" si="7"/>
        <v>#DIV/0!</v>
      </c>
      <c r="J52" s="104">
        <v>0.6</v>
      </c>
      <c r="K52" s="103" t="e">
        <f t="shared" si="8"/>
        <v>#DIV/0!</v>
      </c>
      <c r="L52" s="104">
        <v>0.93</v>
      </c>
      <c r="M52" s="105" t="e">
        <f t="shared" si="9"/>
        <v>#DIV/0!</v>
      </c>
    </row>
    <row r="53" spans="4:13" x14ac:dyDescent="0.25">
      <c r="D53" t="e">
        <f t="shared" si="0"/>
        <v>#DIV/0!</v>
      </c>
      <c r="H53" s="102">
        <v>0.1</v>
      </c>
      <c r="I53" s="103" t="e">
        <f t="shared" si="7"/>
        <v>#DIV/0!</v>
      </c>
      <c r="J53" s="104">
        <v>0.65</v>
      </c>
      <c r="K53" s="103" t="e">
        <f t="shared" si="8"/>
        <v>#DIV/0!</v>
      </c>
      <c r="L53" s="104">
        <v>0.94</v>
      </c>
      <c r="M53" s="105" t="e">
        <f t="shared" si="9"/>
        <v>#DIV/0!</v>
      </c>
    </row>
    <row r="54" spans="4:13" x14ac:dyDescent="0.25">
      <c r="D54" t="e">
        <f t="shared" si="0"/>
        <v>#DIV/0!</v>
      </c>
      <c r="H54" s="102">
        <v>0.11</v>
      </c>
      <c r="I54" s="103" t="e">
        <f t="shared" si="7"/>
        <v>#DIV/0!</v>
      </c>
      <c r="J54" s="104">
        <v>0.7</v>
      </c>
      <c r="K54" s="103" t="e">
        <f t="shared" si="8"/>
        <v>#DIV/0!</v>
      </c>
      <c r="L54" s="104">
        <v>0.95</v>
      </c>
      <c r="M54" s="105" t="e">
        <f t="shared" si="9"/>
        <v>#DIV/0!</v>
      </c>
    </row>
    <row r="55" spans="4:13" x14ac:dyDescent="0.25">
      <c r="D55" t="e">
        <f t="shared" si="0"/>
        <v>#DIV/0!</v>
      </c>
      <c r="H55" s="102">
        <v>0.12</v>
      </c>
      <c r="I55" s="103" t="e">
        <f t="shared" si="7"/>
        <v>#DIV/0!</v>
      </c>
      <c r="J55" s="104">
        <v>0.75</v>
      </c>
      <c r="K55" s="103" t="e">
        <f t="shared" si="8"/>
        <v>#DIV/0!</v>
      </c>
      <c r="L55" s="104">
        <v>0.96</v>
      </c>
      <c r="M55" s="105" t="e">
        <f t="shared" si="9"/>
        <v>#DIV/0!</v>
      </c>
    </row>
    <row r="56" spans="4:13" x14ac:dyDescent="0.25">
      <c r="D56" t="e">
        <f t="shared" si="0"/>
        <v>#DIV/0!</v>
      </c>
      <c r="H56" s="102">
        <v>0.13</v>
      </c>
      <c r="I56" s="103" t="e">
        <f t="shared" si="7"/>
        <v>#DIV/0!</v>
      </c>
      <c r="J56" s="104">
        <v>0.8</v>
      </c>
      <c r="K56" s="103" t="e">
        <f t="shared" si="8"/>
        <v>#DIV/0!</v>
      </c>
      <c r="L56" s="104">
        <v>0.97</v>
      </c>
      <c r="M56" s="105" t="e">
        <f t="shared" si="9"/>
        <v>#DIV/0!</v>
      </c>
    </row>
    <row r="57" spans="4:13" x14ac:dyDescent="0.25">
      <c r="D57" t="e">
        <f t="shared" si="0"/>
        <v>#DIV/0!</v>
      </c>
      <c r="H57" s="102">
        <v>0.14000000000000001</v>
      </c>
      <c r="I57" s="103" t="e">
        <f t="shared" si="7"/>
        <v>#DIV/0!</v>
      </c>
      <c r="J57" s="104"/>
      <c r="K57" s="103"/>
      <c r="L57" s="104">
        <v>0.98</v>
      </c>
      <c r="M57" s="105" t="e">
        <f t="shared" si="9"/>
        <v>#DIV/0!</v>
      </c>
    </row>
    <row r="58" spans="4:13" ht="15.75" thickBot="1" x14ac:dyDescent="0.3">
      <c r="D58" t="e">
        <f t="shared" si="0"/>
        <v>#DIV/0!</v>
      </c>
      <c r="H58" s="106">
        <v>0.15</v>
      </c>
      <c r="I58" s="107" t="e">
        <f t="shared" si="7"/>
        <v>#DIV/0!</v>
      </c>
      <c r="J58" s="108"/>
      <c r="K58" s="87"/>
      <c r="L58" s="109">
        <v>0.99</v>
      </c>
      <c r="M58" s="110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1" t="s">
        <v>125</v>
      </c>
      <c r="I60" s="112"/>
    </row>
    <row r="61" spans="4:13" ht="15.75" thickBot="1" x14ac:dyDescent="0.3">
      <c r="D61" t="e">
        <f t="shared" si="0"/>
        <v>#DIV/0!</v>
      </c>
      <c r="H61" s="113" t="s">
        <v>126</v>
      </c>
      <c r="I61" s="114"/>
    </row>
    <row r="62" spans="4:13" ht="15.75" thickBot="1" x14ac:dyDescent="0.3">
      <c r="D62" t="e">
        <f t="shared" si="0"/>
        <v>#DIV/0!</v>
      </c>
      <c r="H62" s="115"/>
    </row>
    <row r="63" spans="4:13" x14ac:dyDescent="0.25">
      <c r="D63" t="e">
        <f t="shared" si="0"/>
        <v>#DIV/0!</v>
      </c>
      <c r="H63" s="111" t="s">
        <v>127</v>
      </c>
      <c r="I63" s="116"/>
    </row>
    <row r="64" spans="4:13" x14ac:dyDescent="0.25">
      <c r="D64" t="e">
        <f t="shared" si="0"/>
        <v>#DIV/0!</v>
      </c>
      <c r="H64" s="117" t="s">
        <v>128</v>
      </c>
      <c r="I64" s="118">
        <f>I63*(1-I60)</f>
        <v>0</v>
      </c>
    </row>
    <row r="65" spans="4:9" ht="15.75" thickBot="1" x14ac:dyDescent="0.3">
      <c r="D65" t="e">
        <f t="shared" si="0"/>
        <v>#DIV/0!</v>
      </c>
      <c r="H65" s="113" t="s">
        <v>129</v>
      </c>
      <c r="I65" s="119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2024-10-06T18:31:15Z</dcterms:modified>
</cp:coreProperties>
</file>