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DC421CEE-DE7E-439B-BA68-5DDCDEDB9A6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KPIs" sheetId="4" r:id="rId3"/>
    <sheet name="Shanghai Container Inde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2" l="1"/>
  <c r="Q77" i="2"/>
  <c r="Q53" i="2"/>
  <c r="U53" i="2"/>
  <c r="U48" i="2"/>
  <c r="U45" i="2"/>
  <c r="U33" i="2"/>
  <c r="U38" i="2" s="1"/>
  <c r="U37" i="2"/>
  <c r="R37" i="2"/>
  <c r="C10" i="2"/>
  <c r="C11" i="2"/>
  <c r="U49" i="2"/>
  <c r="U29" i="2"/>
  <c r="U16" i="2"/>
  <c r="T16" i="2"/>
  <c r="U9" i="2"/>
  <c r="U24" i="2"/>
  <c r="U23" i="2"/>
  <c r="U21" i="2"/>
  <c r="U20" i="2"/>
  <c r="U19" i="2"/>
  <c r="U15" i="2"/>
  <c r="U22" i="2" s="1"/>
  <c r="U11" i="2"/>
  <c r="U10" i="2"/>
  <c r="U8" i="2"/>
  <c r="L7" i="1"/>
  <c r="L6" i="1"/>
  <c r="L13" i="4"/>
  <c r="K13" i="4"/>
  <c r="J13" i="4"/>
  <c r="I13" i="4"/>
  <c r="H13" i="4"/>
  <c r="P59" i="2"/>
  <c r="P65" i="2"/>
  <c r="P71" i="2"/>
  <c r="P77" i="2" s="1"/>
  <c r="T59" i="2"/>
  <c r="T71" i="2"/>
  <c r="T70" i="2"/>
  <c r="T68" i="2"/>
  <c r="T65" i="2"/>
  <c r="P53" i="2"/>
  <c r="T53" i="2"/>
  <c r="T48" i="2"/>
  <c r="T45" i="2"/>
  <c r="T37" i="2"/>
  <c r="T33" i="2"/>
  <c r="T38" i="2" s="1"/>
  <c r="T29" i="2"/>
  <c r="T9" i="2"/>
  <c r="T23" i="2"/>
  <c r="T19" i="2"/>
  <c r="T8" i="2"/>
  <c r="AE74" i="2"/>
  <c r="AE71" i="2"/>
  <c r="AE68" i="2"/>
  <c r="AE65" i="2"/>
  <c r="AE59" i="2"/>
  <c r="AE75" i="2" s="1"/>
  <c r="AE53" i="2"/>
  <c r="AD74" i="2"/>
  <c r="AD71" i="2"/>
  <c r="AD68" i="2"/>
  <c r="AD65" i="2"/>
  <c r="AD59" i="2"/>
  <c r="AD53" i="2"/>
  <c r="AB77" i="2"/>
  <c r="AC53" i="2" s="1"/>
  <c r="AB74" i="2"/>
  <c r="AB75" i="2" s="1"/>
  <c r="AB72" i="2"/>
  <c r="AB71" i="2"/>
  <c r="AB70" i="2"/>
  <c r="AB65" i="2"/>
  <c r="AB59" i="2"/>
  <c r="AC75" i="2"/>
  <c r="AC73" i="2"/>
  <c r="AC72" i="2"/>
  <c r="AC71" i="2"/>
  <c r="AC70" i="2"/>
  <c r="AC64" i="2"/>
  <c r="AC65" i="2"/>
  <c r="AC59" i="2"/>
  <c r="AB48" i="2"/>
  <c r="AB45" i="2"/>
  <c r="AB37" i="2"/>
  <c r="AB33" i="2"/>
  <c r="AB49" i="2"/>
  <c r="AB29" i="2"/>
  <c r="AC29" i="2"/>
  <c r="AC48" i="2"/>
  <c r="AC45" i="2"/>
  <c r="AC37" i="2"/>
  <c r="AC38" i="2" s="1"/>
  <c r="AC33" i="2"/>
  <c r="AA29" i="2"/>
  <c r="S29" i="2"/>
  <c r="AB22" i="2"/>
  <c r="AC22" i="2"/>
  <c r="AE22" i="2"/>
  <c r="AD22" i="2"/>
  <c r="AE49" i="2"/>
  <c r="AE48" i="2"/>
  <c r="AE45" i="2"/>
  <c r="AE38" i="2"/>
  <c r="AE37" i="2"/>
  <c r="AE33" i="2"/>
  <c r="AE29" i="2"/>
  <c r="AD49" i="2"/>
  <c r="AD48" i="2"/>
  <c r="AD45" i="2"/>
  <c r="AD37" i="2"/>
  <c r="AD33" i="2"/>
  <c r="AD38" i="2" s="1"/>
  <c r="AD29" i="2"/>
  <c r="G22" i="2"/>
  <c r="H24" i="2"/>
  <c r="G24" i="2"/>
  <c r="I24" i="2"/>
  <c r="J24" i="2"/>
  <c r="K24" i="2"/>
  <c r="L24" i="2"/>
  <c r="M24" i="2"/>
  <c r="N24" i="2"/>
  <c r="O24" i="2"/>
  <c r="P24" i="2"/>
  <c r="Q24" i="2"/>
  <c r="R24" i="2"/>
  <c r="S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17" i="2"/>
  <c r="F14" i="2"/>
  <c r="F13" i="2"/>
  <c r="F12" i="2"/>
  <c r="F9" i="2"/>
  <c r="F7" i="2"/>
  <c r="F6" i="2"/>
  <c r="F5" i="2"/>
  <c r="F4" i="2"/>
  <c r="F3" i="2"/>
  <c r="J17" i="2"/>
  <c r="J14" i="2"/>
  <c r="J13" i="2"/>
  <c r="J12" i="2"/>
  <c r="J9" i="2"/>
  <c r="J7" i="2"/>
  <c r="J6" i="2"/>
  <c r="J5" i="2"/>
  <c r="J4" i="2"/>
  <c r="J3" i="2"/>
  <c r="E12" i="2"/>
  <c r="I12" i="2"/>
  <c r="D12" i="2"/>
  <c r="D9" i="2"/>
  <c r="H12" i="2"/>
  <c r="H9" i="2"/>
  <c r="C12" i="2"/>
  <c r="G12" i="2"/>
  <c r="K22" i="2"/>
  <c r="C9" i="2"/>
  <c r="K16" i="2"/>
  <c r="G11" i="2"/>
  <c r="G21" i="2" s="1"/>
  <c r="G10" i="2"/>
  <c r="G20" i="2" s="1"/>
  <c r="E8" i="2"/>
  <c r="E10" i="2" s="1"/>
  <c r="E20" i="2" s="1"/>
  <c r="D8" i="2"/>
  <c r="D10" i="2" s="1"/>
  <c r="D20" i="2" s="1"/>
  <c r="C8" i="2"/>
  <c r="I8" i="2"/>
  <c r="I10" i="2" s="1"/>
  <c r="I20" i="2" s="1"/>
  <c r="H8" i="2"/>
  <c r="G8" i="2"/>
  <c r="AD23" i="2"/>
  <c r="AC23" i="2"/>
  <c r="AB9" i="2"/>
  <c r="AC12" i="2"/>
  <c r="AC9" i="2"/>
  <c r="AB19" i="2"/>
  <c r="AB8" i="2"/>
  <c r="AC19" i="2"/>
  <c r="AC8" i="2"/>
  <c r="N14" i="2"/>
  <c r="N13" i="2"/>
  <c r="N7" i="2"/>
  <c r="N6" i="2"/>
  <c r="N5" i="2"/>
  <c r="N4" i="2"/>
  <c r="N3" i="2"/>
  <c r="S19" i="2"/>
  <c r="Q19" i="2"/>
  <c r="P19" i="2"/>
  <c r="O19" i="2"/>
  <c r="M19" i="2"/>
  <c r="L19" i="2"/>
  <c r="K19" i="2"/>
  <c r="AD19" i="2"/>
  <c r="AE19" i="2"/>
  <c r="K12" i="2"/>
  <c r="K8" i="2"/>
  <c r="K11" i="2" s="1"/>
  <c r="R14" i="2"/>
  <c r="R13" i="2"/>
  <c r="R7" i="2"/>
  <c r="R6" i="2"/>
  <c r="R5" i="2"/>
  <c r="R4" i="2"/>
  <c r="R19" i="2" s="1"/>
  <c r="R3" i="2"/>
  <c r="AD9" i="2"/>
  <c r="N9" i="2" s="1"/>
  <c r="AE8" i="2"/>
  <c r="AE11" i="2" s="1"/>
  <c r="AE23" i="2"/>
  <c r="AD8" i="2"/>
  <c r="L12" i="2"/>
  <c r="L9" i="2"/>
  <c r="L8" i="2"/>
  <c r="P12" i="2"/>
  <c r="P9" i="2"/>
  <c r="P8" i="2"/>
  <c r="N48" i="2"/>
  <c r="N45" i="2"/>
  <c r="Q48" i="2"/>
  <c r="Q45" i="2"/>
  <c r="N37" i="2"/>
  <c r="N33" i="2"/>
  <c r="N29" i="2"/>
  <c r="Q37" i="2"/>
  <c r="Q33" i="2"/>
  <c r="Q29" i="2"/>
  <c r="M12" i="2"/>
  <c r="M9" i="2"/>
  <c r="M8" i="2"/>
  <c r="Q12" i="2"/>
  <c r="Q9" i="2"/>
  <c r="Q8" i="2"/>
  <c r="O71" i="2"/>
  <c r="O65" i="2"/>
  <c r="O59" i="2"/>
  <c r="S67" i="2"/>
  <c r="S65" i="2"/>
  <c r="S59" i="2"/>
  <c r="R29" i="2"/>
  <c r="R48" i="2"/>
  <c r="R45" i="2"/>
  <c r="S45" i="2"/>
  <c r="S48" i="2"/>
  <c r="R33" i="2"/>
  <c r="S37" i="2"/>
  <c r="S33" i="2"/>
  <c r="O8" i="2"/>
  <c r="O10" i="2" s="1"/>
  <c r="O20" i="2" s="1"/>
  <c r="L5" i="1"/>
  <c r="S8" i="2"/>
  <c r="S11" i="2" s="1"/>
  <c r="S15" i="2" s="1"/>
  <c r="S16" i="2" s="1"/>
  <c r="U77" i="2" l="1"/>
  <c r="U75" i="2"/>
  <c r="Q75" i="2"/>
  <c r="L8" i="1"/>
  <c r="P75" i="2"/>
  <c r="T75" i="2"/>
  <c r="T77" i="2"/>
  <c r="T49" i="2"/>
  <c r="T11" i="2"/>
  <c r="T24" i="2" s="1"/>
  <c r="T10" i="2"/>
  <c r="T20" i="2" s="1"/>
  <c r="AE77" i="2"/>
  <c r="AD77" i="2"/>
  <c r="AD75" i="2"/>
  <c r="AC77" i="2"/>
  <c r="AB38" i="2"/>
  <c r="AC49" i="2"/>
  <c r="F8" i="2"/>
  <c r="F11" i="2" s="1"/>
  <c r="F21" i="2" s="1"/>
  <c r="J8" i="2"/>
  <c r="J11" i="2" s="1"/>
  <c r="E11" i="2"/>
  <c r="E21" i="2" s="1"/>
  <c r="I11" i="2"/>
  <c r="I15" i="2" s="1"/>
  <c r="I22" i="2" s="1"/>
  <c r="H10" i="2"/>
  <c r="H20" i="2" s="1"/>
  <c r="H11" i="2"/>
  <c r="H15" i="2" s="1"/>
  <c r="H22" i="2" s="1"/>
  <c r="C21" i="2"/>
  <c r="C15" i="2"/>
  <c r="D11" i="2"/>
  <c r="D21" i="2" s="1"/>
  <c r="C20" i="2"/>
  <c r="G15" i="2"/>
  <c r="P10" i="2"/>
  <c r="P20" i="2" s="1"/>
  <c r="S22" i="2"/>
  <c r="R9" i="2"/>
  <c r="N12" i="2"/>
  <c r="R12" i="2"/>
  <c r="L9" i="1"/>
  <c r="Q49" i="2"/>
  <c r="S77" i="2"/>
  <c r="R8" i="2"/>
  <c r="R11" i="2" s="1"/>
  <c r="Q38" i="2"/>
  <c r="AC11" i="2"/>
  <c r="AB11" i="2"/>
  <c r="AB21" i="2" s="1"/>
  <c r="AB10" i="2"/>
  <c r="AB20" i="2" s="1"/>
  <c r="AC10" i="2"/>
  <c r="AC20" i="2" s="1"/>
  <c r="N8" i="2"/>
  <c r="N11" i="2" s="1"/>
  <c r="N15" i="2" s="1"/>
  <c r="N17" i="2" s="1"/>
  <c r="N19" i="2"/>
  <c r="O77" i="2"/>
  <c r="L11" i="2"/>
  <c r="L15" i="2" s="1"/>
  <c r="Q11" i="2"/>
  <c r="S38" i="2"/>
  <c r="K15" i="2"/>
  <c r="K21" i="2"/>
  <c r="K10" i="2"/>
  <c r="K20" i="2" s="1"/>
  <c r="AD11" i="2"/>
  <c r="AE15" i="2"/>
  <c r="AE21" i="2"/>
  <c r="AE10" i="2"/>
  <c r="AE20" i="2" s="1"/>
  <c r="AD10" i="2"/>
  <c r="AD20" i="2" s="1"/>
  <c r="L10" i="2"/>
  <c r="L20" i="2" s="1"/>
  <c r="P11" i="2"/>
  <c r="P15" i="2" s="1"/>
  <c r="P22" i="2" s="1"/>
  <c r="N49" i="2"/>
  <c r="N38" i="2"/>
  <c r="M11" i="2"/>
  <c r="M15" i="2" s="1"/>
  <c r="M10" i="2"/>
  <c r="M20" i="2" s="1"/>
  <c r="Q10" i="2"/>
  <c r="Q20" i="2" s="1"/>
  <c r="O75" i="2"/>
  <c r="S75" i="2"/>
  <c r="R49" i="2"/>
  <c r="R38" i="2"/>
  <c r="S49" i="2"/>
  <c r="S21" i="2"/>
  <c r="O11" i="2"/>
  <c r="S10" i="2"/>
  <c r="S20" i="2" s="1"/>
  <c r="T15" i="2" l="1"/>
  <c r="T22" i="2" s="1"/>
  <c r="T21" i="2"/>
  <c r="F15" i="2"/>
  <c r="F22" i="2" s="1"/>
  <c r="F10" i="2"/>
  <c r="F20" i="2" s="1"/>
  <c r="J15" i="2"/>
  <c r="J21" i="2"/>
  <c r="J10" i="2"/>
  <c r="J20" i="2" s="1"/>
  <c r="E15" i="2"/>
  <c r="E16" i="2" s="1"/>
  <c r="I21" i="2"/>
  <c r="I16" i="2"/>
  <c r="H16" i="2"/>
  <c r="H21" i="2"/>
  <c r="C16" i="2"/>
  <c r="C22" i="2"/>
  <c r="G16" i="2"/>
  <c r="D15" i="2"/>
  <c r="AC24" i="2"/>
  <c r="AE17" i="2"/>
  <c r="AC21" i="2"/>
  <c r="N22" i="2"/>
  <c r="M16" i="2"/>
  <c r="M22" i="2"/>
  <c r="AD15" i="2"/>
  <c r="AD24" i="2"/>
  <c r="L16" i="2"/>
  <c r="L22" i="2"/>
  <c r="AC15" i="2"/>
  <c r="AC17" i="2" s="1"/>
  <c r="R10" i="2"/>
  <c r="R20" i="2" s="1"/>
  <c r="AB15" i="2"/>
  <c r="AB17" i="2" s="1"/>
  <c r="N21" i="2"/>
  <c r="N10" i="2"/>
  <c r="N20" i="2" s="1"/>
  <c r="R15" i="2"/>
  <c r="L21" i="2"/>
  <c r="O21" i="2"/>
  <c r="R21" i="2"/>
  <c r="Q15" i="2"/>
  <c r="Q21" i="2"/>
  <c r="M21" i="2"/>
  <c r="AE24" i="2"/>
  <c r="AD21" i="2"/>
  <c r="P16" i="2"/>
  <c r="P21" i="2"/>
  <c r="O15" i="2"/>
  <c r="J22" i="2" l="1"/>
  <c r="E22" i="2"/>
  <c r="D16" i="2"/>
  <c r="D22" i="2"/>
  <c r="AD16" i="2"/>
  <c r="O16" i="2"/>
  <c r="O22" i="2"/>
  <c r="R17" i="2"/>
  <c r="R22" i="2"/>
  <c r="Q16" i="2"/>
  <c r="Q22" i="2"/>
</calcChain>
</file>

<file path=xl/sharedStrings.xml><?xml version="1.0" encoding="utf-8"?>
<sst xmlns="http://schemas.openxmlformats.org/spreadsheetml/2006/main" count="137" uniqueCount="113">
  <si>
    <t>Price</t>
  </si>
  <si>
    <t>Shares</t>
  </si>
  <si>
    <t>MC</t>
  </si>
  <si>
    <t>Cash</t>
  </si>
  <si>
    <t>Debt</t>
  </si>
  <si>
    <t>Net Cash</t>
  </si>
  <si>
    <t>EV</t>
  </si>
  <si>
    <t>HLAG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</si>
  <si>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</si>
  <si>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</si>
  <si>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</si>
  <si>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</si>
  <si>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</si>
  <si>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</si>
  <si>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</si>
  <si>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</si>
  <si>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</si>
  <si>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</si>
  <si>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</si>
  <si>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</si>
  <si>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</si>
  <si>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</si>
  <si>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</si>
  <si>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</si>
  <si>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</si>
  <si>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</si>
  <si>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</si>
  <si>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</si>
  <si>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</si>
  <si>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</si>
  <si>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Other</t>
  </si>
  <si>
    <t>Operating Result</t>
  </si>
  <si>
    <t>Investments</t>
  </si>
  <si>
    <t>EBIT</t>
  </si>
  <si>
    <t>Interest</t>
  </si>
  <si>
    <t>Other Finance</t>
  </si>
  <si>
    <t>Income Tax</t>
  </si>
  <si>
    <t>Group Rsult</t>
  </si>
  <si>
    <t>EPS</t>
  </si>
  <si>
    <t>EBITDA</t>
  </si>
  <si>
    <t>EBITDA Margin</t>
  </si>
  <si>
    <t>EBIT Margin</t>
  </si>
  <si>
    <t>D&amp;A</t>
  </si>
  <si>
    <t>COGS</t>
  </si>
  <si>
    <t>HR</t>
  </si>
  <si>
    <t>Revenue y/y</t>
  </si>
  <si>
    <t>Ebit y/y</t>
  </si>
  <si>
    <t>AR</t>
  </si>
  <si>
    <t>Inventories</t>
  </si>
  <si>
    <t>PP&amp;E</t>
  </si>
  <si>
    <t>Investments Equity</t>
  </si>
  <si>
    <t>Goodwill</t>
  </si>
  <si>
    <t>Other Current Assets</t>
  </si>
  <si>
    <t>Other Non Current Assets</t>
  </si>
  <si>
    <t>Lease</t>
  </si>
  <si>
    <t>Provisions</t>
  </si>
  <si>
    <t>Financial Debt</t>
  </si>
  <si>
    <t>Lease Liabilities</t>
  </si>
  <si>
    <t>AP</t>
  </si>
  <si>
    <t>Contract Liabilities</t>
  </si>
  <si>
    <t xml:space="preserve"> </t>
  </si>
  <si>
    <t>Other Non Current</t>
  </si>
  <si>
    <t>Other Current</t>
  </si>
  <si>
    <t>Total Assets</t>
  </si>
  <si>
    <t>Total Liabilities</t>
  </si>
  <si>
    <t>Equity</t>
  </si>
  <si>
    <t>Cash BOP</t>
  </si>
  <si>
    <t>Group Result</t>
  </si>
  <si>
    <t>Interest Result</t>
  </si>
  <si>
    <t>Receivables</t>
  </si>
  <si>
    <t>Liabilities</t>
  </si>
  <si>
    <t>Income Taxes</t>
  </si>
  <si>
    <t>Loans</t>
  </si>
  <si>
    <t>Aquisitions</t>
  </si>
  <si>
    <t>Dividends</t>
  </si>
  <si>
    <t>Leases</t>
  </si>
  <si>
    <t>Interest &amp; Fees</t>
  </si>
  <si>
    <t>Hedges etc</t>
  </si>
  <si>
    <t>Cash EOP</t>
  </si>
  <si>
    <t>Net Chance</t>
  </si>
  <si>
    <t>FX</t>
  </si>
  <si>
    <t>Tax Rate</t>
  </si>
  <si>
    <t>Gross Margin</t>
  </si>
  <si>
    <t>CEO</t>
  </si>
  <si>
    <t>Rolf Habben Jansen</t>
  </si>
  <si>
    <t>CFO</t>
  </si>
  <si>
    <t>Aquisition Nile Dutch</t>
  </si>
  <si>
    <t>Stake of Container Terminal Wilhelmshafen</t>
  </si>
  <si>
    <t>Takeover Container Business Deutsche Afrika-Linien</t>
  </si>
  <si>
    <t>Aquisition SM SAAM S.A.</t>
  </si>
  <si>
    <t>Mark Frese</t>
  </si>
  <si>
    <t>CIO</t>
  </si>
  <si>
    <t>Donya-Florence Amer</t>
  </si>
  <si>
    <t>COO</t>
  </si>
  <si>
    <t>Dr. Maximilian Rothkopf</t>
  </si>
  <si>
    <t>Shareholders</t>
  </si>
  <si>
    <t>Kühne Holding AG und Kühne Maritime GmbH</t>
  </si>
  <si>
    <t>CSAV Germany Container Holding GmbH</t>
  </si>
  <si>
    <t>HGV Hamburger Gesellschaft für Vermögens- und Beteiligungsmanagement mbH</t>
  </si>
  <si>
    <t>Qatar Holding Germany GmbH</t>
  </si>
  <si>
    <t>Public Investment Fond of the Kingdom of Saudi Arabia</t>
  </si>
  <si>
    <t>Free Float</t>
  </si>
  <si>
    <t>Total Vessels</t>
  </si>
  <si>
    <t>Capacity of Vessels</t>
  </si>
  <si>
    <t>Container Capacity</t>
  </si>
  <si>
    <t>Freight Rate</t>
  </si>
  <si>
    <t>Transport Volume</t>
  </si>
  <si>
    <t>Own Vessels</t>
  </si>
  <si>
    <t>Chartered Vessels</t>
  </si>
  <si>
    <t>Employees</t>
  </si>
  <si>
    <t>Marine</t>
  </si>
  <si>
    <t>Shore-based</t>
  </si>
  <si>
    <t>Apprentices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</si>
</sst>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0" fillId="2" borderId="0" xfId="0" applyNumberForma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9"/>
  <sheetViews>
    <sheetView workbookViewId="0">
      <selection activeCell="C23" sqref="C23"/>
    </sheetView>
  </sheetViews>
  <sheetFormatPr defaultRowHeight="15" x14ac:dyDescent="0.25"/>
  <sheetData>
    <row r="3" spans="2:12" x14ac:dyDescent="0.25">
      <c r="B3" t="s">
        <v>7</v>
      </c>
      <c r="K3" t="s">
        <v>0</v>
      </c>
      <c r="L3">
        <v>185.8</v>
      </c>
    </row>
    <row r="4" spans="2:12" x14ac:dyDescent="0.25">
      <c r="K4" t="s">
        <v>1</v>
      </c>
      <c r="L4">
        <v>176</v>
      </c>
    </row>
    <row r="5" spans="2:12" x14ac:dyDescent="0.25">
      <c r="K5" t="s">
        <v>2</v>
      </c>
      <c r="L5" s="4">
        <f>L3*L4</f>
        <v>32700.800000000003</v>
      </c>
    </row>
    <row r="6" spans="2:12" x14ac:dyDescent="0.25">
      <c r="K6" t="s">
        <v>3</v>
      </c>
      <c r="L6" s="4">
        <f>Model!T30</f>
        <v>6791.6</v>
      </c>
    </row>
    <row r="7" spans="2:12" x14ac:dyDescent="0.25">
      <c r="K7" t="s">
        <v>4</v>
      </c>
      <c r="L7" s="4">
        <f>-Model!T46-Model!T42</f>
        <v>-2591.6</v>
      </c>
    </row>
    <row r="8" spans="2:12" x14ac:dyDescent="0.25">
      <c r="K8" t="s">
        <v>5</v>
      </c>
      <c r="L8" s="4">
        <f>L6+L7</f>
        <v>4200</v>
      </c>
    </row>
    <row r="9" spans="2:12" x14ac:dyDescent="0.25">
      <c r="K9" t="s">
        <v>6</v>
      </c>
      <c r="L9" s="4">
        <f>L5+L6+L7</f>
        <v>36900.800000000003</v>
      </c>
    </row>
    <row r="15" spans="2:12" x14ac:dyDescent="0.25">
      <c r="K15" t="s">
        <v>83</v>
      </c>
      <c r="L15" t="s">
        <v>84</v>
      </c>
    </row>
    <row r="16" spans="2:12" x14ac:dyDescent="0.25">
      <c r="K16" t="s">
        <v>85</v>
      </c>
      <c r="L16" t="s">
        <v>90</v>
      </c>
    </row>
    <row r="17" spans="2:12" x14ac:dyDescent="0.25">
      <c r="K17" t="s">
        <v>91</v>
      </c>
      <c r="L17" t="s">
        <v>92</v>
      </c>
    </row>
    <row r="18" spans="2:12" x14ac:dyDescent="0.25">
      <c r="K18" t="s">
        <v>93</v>
      </c>
      <c r="L18" t="s">
        <v>94</v>
      </c>
    </row>
    <row r="19" spans="2:12" x14ac:dyDescent="0.25">
      <c r="B19">
        <v>2021</v>
      </c>
      <c r="C19" t="s">
        <v>86</v>
      </c>
    </row>
    <row r="20" spans="2:12" x14ac:dyDescent="0.25">
      <c r="C20" t="s">
        <v>87</v>
      </c>
    </row>
    <row r="21" spans="2:12" x14ac:dyDescent="0.25">
      <c r="B21">
        <v>2022</v>
      </c>
      <c r="C21" t="s">
        <v>88</v>
      </c>
    </row>
    <row r="22" spans="2:12" x14ac:dyDescent="0.25">
      <c r="C22" t="s">
        <v>89</v>
      </c>
    </row>
    <row r="23" spans="2:12" x14ac:dyDescent="0.25">
      <c r="K23" t="s">
        <v>95</v>
      </c>
    </row>
    <row r="24" spans="2:12" x14ac:dyDescent="0.25">
      <c r="K24" s="9">
        <v>0.3</v>
      </c>
      <c r="L24" t="s">
        <v>96</v>
      </c>
    </row>
    <row r="25" spans="2:12" x14ac:dyDescent="0.25">
      <c r="K25" s="9">
        <v>0.3</v>
      </c>
      <c r="L25" t="s">
        <v>97</v>
      </c>
    </row>
    <row r="26" spans="2:12" x14ac:dyDescent="0.25">
      <c r="K26" s="9">
        <v>0.13900000000000001</v>
      </c>
      <c r="L26" t="s">
        <v>98</v>
      </c>
    </row>
    <row r="27" spans="2:12" x14ac:dyDescent="0.25">
      <c r="K27" s="9">
        <v>0.123</v>
      </c>
      <c r="L27" t="s">
        <v>99</v>
      </c>
    </row>
    <row r="28" spans="2:12" x14ac:dyDescent="0.25">
      <c r="K28" s="9">
        <v>0.10199999999999999</v>
      </c>
      <c r="L28" t="s">
        <v>100</v>
      </c>
    </row>
    <row r="29" spans="2:12" x14ac:dyDescent="0.25">
      <c r="K29" s="9">
        <v>3.5999999999999997E-2</v>
      </c>
      <c r="L29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6153-6B21-4ABE-A4F3-DEC182919BBB}">
  <dimension ref="A1:AF77"/>
  <sheetViews>
    <sheetView tabSelected="1" workbookViewId="0">
      <pane xSplit="2" ySplit="2" topLeftCell="F51" activePane="bottomRight" state="frozen"/>
      <selection pane="topRight" activeCell="C1" sqref="C1"/>
      <selection pane="bottomLeft" activeCell="A3" sqref="A3"/>
      <selection pane="bottomRight" activeCell="X71" sqref="X71"/>
    </sheetView>
  </sheetViews>
  <sheetFormatPr defaultRowHeight="15" x14ac:dyDescent="0.25"/>
  <cols>
    <col min="1" max="1" width="5.5703125" customWidth="1"/>
    <col min="2" max="2" width="23.28515625" customWidth="1"/>
  </cols>
  <sheetData>
    <row r="1" spans="1:32" x14ac:dyDescent="0.25">
      <c r="A1" s="1" t="s">
        <v>8</v>
      </c>
    </row>
    <row r="2" spans="1:32" x14ac:dyDescent="0.25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AA2">
        <v>2018</v>
      </c>
      <c r="AB2">
        <v>2019</v>
      </c>
      <c r="AC2">
        <v>2020</v>
      </c>
      <c r="AD2">
        <v>2021</v>
      </c>
      <c r="AE2">
        <v>2022</v>
      </c>
      <c r="AF2">
        <v>2023</v>
      </c>
    </row>
    <row r="3" spans="1:32" x14ac:dyDescent="0.25">
      <c r="B3" t="s">
        <v>29</v>
      </c>
      <c r="C3" s="4">
        <v>3062.9</v>
      </c>
      <c r="D3" s="4">
        <v>3175.2</v>
      </c>
      <c r="E3" s="4">
        <v>3244</v>
      </c>
      <c r="F3" s="4">
        <f>AB3-E3-D3-C3</f>
        <v>3125.7999999999997</v>
      </c>
      <c r="G3" s="4">
        <v>3343.3</v>
      </c>
      <c r="H3" s="4">
        <v>3017</v>
      </c>
      <c r="I3" s="4">
        <v>3001.6</v>
      </c>
      <c r="J3" s="4">
        <f>AC3-I3-H3-G3</f>
        <v>3410.4999999999991</v>
      </c>
      <c r="K3" s="4">
        <v>4067.4</v>
      </c>
      <c r="L3" s="4">
        <v>4686</v>
      </c>
      <c r="M3" s="4">
        <v>6244.7</v>
      </c>
      <c r="N3" s="4">
        <f>AD3-M3-L3-K3</f>
        <v>7275.4</v>
      </c>
      <c r="O3" s="4">
        <v>7976.6</v>
      </c>
      <c r="P3" s="4">
        <v>8993.4</v>
      </c>
      <c r="Q3" s="4">
        <v>9741.2000000000007</v>
      </c>
      <c r="R3" s="4">
        <f>AE3-Q3-P3-O3</f>
        <v>7831.4999999999964</v>
      </c>
      <c r="S3" s="4">
        <v>5619</v>
      </c>
      <c r="T3" s="4">
        <v>4417.1000000000004</v>
      </c>
      <c r="U3" s="4">
        <v>4099.3</v>
      </c>
      <c r="AB3" s="4">
        <v>12607.9</v>
      </c>
      <c r="AC3" s="4">
        <v>12772.4</v>
      </c>
      <c r="AD3" s="4">
        <v>22273.5</v>
      </c>
      <c r="AE3" s="4">
        <v>34542.699999999997</v>
      </c>
    </row>
    <row r="4" spans="1:32" x14ac:dyDescent="0.25">
      <c r="B4" t="s">
        <v>43</v>
      </c>
      <c r="C4" s="4">
        <v>2343</v>
      </c>
      <c r="D4" s="4">
        <v>2482.4</v>
      </c>
      <c r="E4" s="4">
        <v>2461.4</v>
      </c>
      <c r="F4" s="4">
        <f>AB4-E4-D4-C4</f>
        <v>2420.2000000000007</v>
      </c>
      <c r="G4" s="4">
        <v>2644.9</v>
      </c>
      <c r="H4" s="4">
        <v>2085.3000000000002</v>
      </c>
      <c r="I4" s="4">
        <v>2115.5</v>
      </c>
      <c r="J4" s="4">
        <f>AC4-I4-H4-G4</f>
        <v>2294.5000000000005</v>
      </c>
      <c r="K4" s="4">
        <v>2270.4</v>
      </c>
      <c r="L4" s="4">
        <v>2488.5</v>
      </c>
      <c r="M4" s="4">
        <v>2675.3</v>
      </c>
      <c r="N4" s="4">
        <f>AD4-M4-L4-K4</f>
        <v>2889.099999999999</v>
      </c>
      <c r="O4" s="4">
        <v>2950.7</v>
      </c>
      <c r="P4" s="4">
        <v>3427.4</v>
      </c>
      <c r="Q4" s="4">
        <v>3770</v>
      </c>
      <c r="R4" s="4">
        <f>AE4-Q4-P4-O4</f>
        <v>3582.6000000000013</v>
      </c>
      <c r="S4" s="4">
        <v>3038.2</v>
      </c>
      <c r="T4" s="4">
        <v>2818.2</v>
      </c>
      <c r="U4" s="4">
        <v>3036.3</v>
      </c>
      <c r="AB4" s="4">
        <v>9707</v>
      </c>
      <c r="AC4" s="4">
        <v>9140.2000000000007</v>
      </c>
      <c r="AD4" s="4">
        <v>10323.299999999999</v>
      </c>
      <c r="AE4" s="4">
        <v>13730.7</v>
      </c>
    </row>
    <row r="5" spans="1:32" x14ac:dyDescent="0.25">
      <c r="B5" t="s">
        <v>44</v>
      </c>
      <c r="C5" s="4">
        <v>166.7</v>
      </c>
      <c r="D5" s="4">
        <v>165.1</v>
      </c>
      <c r="E5" s="4">
        <v>172.5</v>
      </c>
      <c r="F5" s="4">
        <f>AB5-E5-D5-C5</f>
        <v>178.2</v>
      </c>
      <c r="G5" s="4">
        <v>172.9</v>
      </c>
      <c r="H5" s="4">
        <v>167.4</v>
      </c>
      <c r="I5" s="4">
        <v>172</v>
      </c>
      <c r="J5" s="4">
        <f>AC5-I5-H5-G5</f>
        <v>170.70000000000002</v>
      </c>
      <c r="K5" s="4">
        <v>164.3</v>
      </c>
      <c r="L5" s="4">
        <v>193</v>
      </c>
      <c r="M5" s="4">
        <v>175</v>
      </c>
      <c r="N5" s="4">
        <f>AD5-M5-L5-K5</f>
        <v>277.7</v>
      </c>
      <c r="O5" s="4">
        <v>210</v>
      </c>
      <c r="P5" s="4">
        <v>217</v>
      </c>
      <c r="Q5" s="4">
        <v>222.5</v>
      </c>
      <c r="R5" s="4">
        <f>AE5-Q5-P5-O5</f>
        <v>332.5</v>
      </c>
      <c r="S5" s="4">
        <v>241.4</v>
      </c>
      <c r="T5" s="4">
        <v>234.3</v>
      </c>
      <c r="U5" s="4">
        <v>269.3</v>
      </c>
      <c r="AB5" s="4">
        <v>682.5</v>
      </c>
      <c r="AC5" s="4">
        <v>683</v>
      </c>
      <c r="AD5" s="4">
        <v>810</v>
      </c>
      <c r="AE5" s="4">
        <v>982</v>
      </c>
    </row>
    <row r="6" spans="1:32" x14ac:dyDescent="0.25">
      <c r="B6" t="s">
        <v>42</v>
      </c>
      <c r="C6" s="4">
        <v>275.60000000000002</v>
      </c>
      <c r="D6" s="4">
        <v>291.2</v>
      </c>
      <c r="E6" s="4">
        <v>300.89999999999998</v>
      </c>
      <c r="F6" s="4">
        <f>AB6-E6-D6-C6</f>
        <v>306.70000000000016</v>
      </c>
      <c r="G6" s="4">
        <v>309.60000000000002</v>
      </c>
      <c r="H6" s="4">
        <v>347.8</v>
      </c>
      <c r="I6" s="4">
        <v>302.10000000000002</v>
      </c>
      <c r="J6" s="4">
        <f>AC6-I6-H6-G6</f>
        <v>425.69999999999993</v>
      </c>
      <c r="K6" s="4">
        <v>306.89999999999998</v>
      </c>
      <c r="L6" s="4">
        <v>317.2</v>
      </c>
      <c r="M6" s="4">
        <v>399.5</v>
      </c>
      <c r="N6" s="4">
        <f>AD6-M6-L6-K6</f>
        <v>439.19999999999993</v>
      </c>
      <c r="O6" s="4">
        <v>459.5</v>
      </c>
      <c r="P6" s="4">
        <v>475.8</v>
      </c>
      <c r="Q6" s="4">
        <v>479.3</v>
      </c>
      <c r="R6" s="4">
        <f>AE6-Q6-P6-O6</f>
        <v>489.60000000000014</v>
      </c>
      <c r="S6" s="4">
        <v>470.5</v>
      </c>
      <c r="T6" s="4">
        <v>467.3</v>
      </c>
      <c r="U6" s="4">
        <v>474.4</v>
      </c>
      <c r="AB6" s="4">
        <v>1174.4000000000001</v>
      </c>
      <c r="AC6" s="4">
        <v>1385.2</v>
      </c>
      <c r="AD6" s="4">
        <v>1462.8</v>
      </c>
      <c r="AE6" s="4">
        <v>1904.2</v>
      </c>
    </row>
    <row r="7" spans="1:32" x14ac:dyDescent="0.25">
      <c r="B7" t="s">
        <v>30</v>
      </c>
      <c r="C7" s="4">
        <v>-72.599999999999994</v>
      </c>
      <c r="D7" s="4">
        <v>-70</v>
      </c>
      <c r="E7" s="4">
        <v>-67</v>
      </c>
      <c r="F7" s="4">
        <f>AB7-E7-D7-C7</f>
        <v>-59.200000000000017</v>
      </c>
      <c r="G7" s="4">
        <v>-65.2</v>
      </c>
      <c r="H7" s="4">
        <v>-71.3</v>
      </c>
      <c r="I7" s="4">
        <v>-74.2</v>
      </c>
      <c r="J7" s="4">
        <f>AC7-I7-H7-G7</f>
        <v>-68.999999999999986</v>
      </c>
      <c r="K7" s="4">
        <v>-49.9</v>
      </c>
      <c r="L7" s="4">
        <v>-81.8</v>
      </c>
      <c r="M7" s="4">
        <v>-95.7</v>
      </c>
      <c r="N7" s="4">
        <f>AD7-M7-L7-K7</f>
        <v>-87.700000000000017</v>
      </c>
      <c r="O7" s="4">
        <v>-100.9</v>
      </c>
      <c r="P7" s="4">
        <v>-133.5</v>
      </c>
      <c r="Q7" s="4">
        <v>-122.7</v>
      </c>
      <c r="R7" s="4">
        <f>AE7-Q7-P7-O7</f>
        <v>-134.20000000000002</v>
      </c>
      <c r="S7" s="4">
        <v>-137.6</v>
      </c>
      <c r="T7" s="4">
        <v>-96.5</v>
      </c>
      <c r="U7" s="4">
        <v>-113.6</v>
      </c>
      <c r="AB7" s="4">
        <v>-268.8</v>
      </c>
      <c r="AC7" s="4">
        <v>-279.7</v>
      </c>
      <c r="AD7" s="4">
        <v>-315.10000000000002</v>
      </c>
      <c r="AE7" s="4">
        <v>-491.3</v>
      </c>
    </row>
    <row r="8" spans="1:32" s="5" customFormat="1" x14ac:dyDescent="0.25">
      <c r="B8" s="5" t="s">
        <v>31</v>
      </c>
      <c r="C8" s="6">
        <f t="shared" ref="C8:E8" si="0">C3-C4-C5-C6+C7</f>
        <v>205.00000000000003</v>
      </c>
      <c r="D8" s="6">
        <f t="shared" si="0"/>
        <v>166.49999999999972</v>
      </c>
      <c r="E8" s="6">
        <f t="shared" si="0"/>
        <v>242.19999999999993</v>
      </c>
      <c r="F8" s="6">
        <f t="shared" ref="F8:H8" si="1">F3-F4-F5-F6+F7</f>
        <v>161.49999999999878</v>
      </c>
      <c r="G8" s="6">
        <f t="shared" si="1"/>
        <v>150.7000000000001</v>
      </c>
      <c r="H8" s="6">
        <f t="shared" si="1"/>
        <v>345.19999999999982</v>
      </c>
      <c r="I8" s="6">
        <f t="shared" ref="I8:U8" si="2">I3-I4-I5-I6+I7</f>
        <v>337.7999999999999</v>
      </c>
      <c r="J8" s="6">
        <f t="shared" si="2"/>
        <v>450.59999999999866</v>
      </c>
      <c r="K8" s="6">
        <f t="shared" si="2"/>
        <v>1275.9000000000001</v>
      </c>
      <c r="L8" s="6">
        <f t="shared" si="2"/>
        <v>1605.5</v>
      </c>
      <c r="M8" s="6">
        <f t="shared" si="2"/>
        <v>2899.2</v>
      </c>
      <c r="N8" s="6">
        <f t="shared" si="2"/>
        <v>3581.7000000000016</v>
      </c>
      <c r="O8" s="6">
        <f t="shared" si="2"/>
        <v>4255.5000000000009</v>
      </c>
      <c r="P8" s="6">
        <f t="shared" si="2"/>
        <v>4739.7</v>
      </c>
      <c r="Q8" s="6">
        <f t="shared" si="2"/>
        <v>5146.7000000000007</v>
      </c>
      <c r="R8" s="6">
        <f t="shared" si="2"/>
        <v>3292.5999999999949</v>
      </c>
      <c r="S8" s="6">
        <f t="shared" si="2"/>
        <v>1731.3000000000002</v>
      </c>
      <c r="T8" s="6">
        <f t="shared" si="2"/>
        <v>800.80000000000064</v>
      </c>
      <c r="U8" s="6">
        <f t="shared" si="2"/>
        <v>205.70000000000007</v>
      </c>
      <c r="AB8" s="6">
        <f>AB3-AB4-AB5-AB6+AB7</f>
        <v>775.19999999999959</v>
      </c>
      <c r="AC8" s="6">
        <f>AC3-AC4-AC5-AC6+AC7</f>
        <v>1284.2999999999988</v>
      </c>
      <c r="AD8" s="6">
        <f>AD3-AD4-AD5-AD6+AD7</f>
        <v>9362.3000000000011</v>
      </c>
      <c r="AE8" s="6">
        <f>AE3-AE4-AE5-AE6+AE7</f>
        <v>17434.499999999996</v>
      </c>
    </row>
    <row r="9" spans="1:32" x14ac:dyDescent="0.25">
      <c r="B9" t="s">
        <v>32</v>
      </c>
      <c r="C9" s="4">
        <f>8.5+0.1</f>
        <v>8.6</v>
      </c>
      <c r="D9" s="4">
        <f>9+0.1</f>
        <v>9.1</v>
      </c>
      <c r="E9" s="4">
        <v>11.3</v>
      </c>
      <c r="F9" s="4">
        <f>AB9-E9-D9-C9</f>
        <v>7.2000000000000028</v>
      </c>
      <c r="G9" s="4">
        <v>9</v>
      </c>
      <c r="H9" s="4">
        <f>6.5-0.1</f>
        <v>6.4</v>
      </c>
      <c r="I9" s="4">
        <v>9.1999999999999993</v>
      </c>
      <c r="J9" s="4">
        <f>AC9-I9-H9-G9</f>
        <v>6.3000000000000025</v>
      </c>
      <c r="K9" s="4">
        <v>1.3</v>
      </c>
      <c r="L9" s="4">
        <f>10.7</f>
        <v>10.7</v>
      </c>
      <c r="M9" s="4">
        <f>6.5-0.4</f>
        <v>6.1</v>
      </c>
      <c r="N9" s="4">
        <f>AD9-M9-L9-K9</f>
        <v>9.5</v>
      </c>
      <c r="O9" s="4">
        <v>11.5</v>
      </c>
      <c r="P9" s="4">
        <f>57.5+4</f>
        <v>61.5</v>
      </c>
      <c r="Q9" s="4">
        <f>12.1-3.8</f>
        <v>8.3000000000000007</v>
      </c>
      <c r="R9" s="4">
        <f>AE9-Q9-P9-O9</f>
        <v>8.7000000000000028</v>
      </c>
      <c r="S9" s="4">
        <v>15.5</v>
      </c>
      <c r="T9">
        <f>5.3+2.2</f>
        <v>7.5</v>
      </c>
      <c r="U9">
        <f>-1.2-0.1</f>
        <v>-1.3</v>
      </c>
      <c r="AB9" s="4">
        <f>35.5+0.7</f>
        <v>36.200000000000003</v>
      </c>
      <c r="AC9" s="4">
        <f>32.1-1.2</f>
        <v>30.900000000000002</v>
      </c>
      <c r="AD9" s="4">
        <f>28.8-1.2</f>
        <v>27.6</v>
      </c>
      <c r="AE9" s="4">
        <v>90</v>
      </c>
    </row>
    <row r="10" spans="1:32" s="5" customFormat="1" x14ac:dyDescent="0.25">
      <c r="B10" s="5" t="s">
        <v>39</v>
      </c>
      <c r="C10" s="6">
        <f>C8+C9+C6</f>
        <v>489.20000000000005</v>
      </c>
      <c r="D10" s="6">
        <f t="shared" ref="C10:U10" si="3">D8+D9+D6</f>
        <v>466.79999999999973</v>
      </c>
      <c r="E10" s="6">
        <f t="shared" si="3"/>
        <v>554.39999999999986</v>
      </c>
      <c r="F10" s="6">
        <f t="shared" si="3"/>
        <v>475.39999999999895</v>
      </c>
      <c r="G10" s="6">
        <f t="shared" si="3"/>
        <v>469.30000000000013</v>
      </c>
      <c r="H10" s="6">
        <f t="shared" si="3"/>
        <v>699.39999999999986</v>
      </c>
      <c r="I10" s="6">
        <f t="shared" si="3"/>
        <v>649.09999999999991</v>
      </c>
      <c r="J10" s="6">
        <f t="shared" si="3"/>
        <v>882.59999999999854</v>
      </c>
      <c r="K10" s="6">
        <f t="shared" si="3"/>
        <v>1584.1</v>
      </c>
      <c r="L10" s="6">
        <f t="shared" si="3"/>
        <v>1933.4</v>
      </c>
      <c r="M10" s="6">
        <f t="shared" si="3"/>
        <v>3304.7999999999997</v>
      </c>
      <c r="N10" s="6">
        <f t="shared" si="3"/>
        <v>4030.4000000000015</v>
      </c>
      <c r="O10" s="6">
        <f t="shared" si="3"/>
        <v>4726.5000000000009</v>
      </c>
      <c r="P10" s="6">
        <f t="shared" si="3"/>
        <v>5277</v>
      </c>
      <c r="Q10" s="6">
        <f t="shared" si="3"/>
        <v>5634.3000000000011</v>
      </c>
      <c r="R10" s="6">
        <f t="shared" si="3"/>
        <v>3790.8999999999951</v>
      </c>
      <c r="S10" s="6">
        <f t="shared" si="3"/>
        <v>2217.3000000000002</v>
      </c>
      <c r="T10" s="6">
        <f t="shared" si="3"/>
        <v>1275.6000000000006</v>
      </c>
      <c r="U10" s="6">
        <f t="shared" si="3"/>
        <v>678.80000000000007</v>
      </c>
      <c r="AB10" s="6">
        <f>AB8+AB9+AB6</f>
        <v>1985.7999999999997</v>
      </c>
      <c r="AC10" s="6">
        <f>AC8+AC9+AC6</f>
        <v>2700.3999999999987</v>
      </c>
      <c r="AD10" s="6">
        <f>AD8+AD9+AD6</f>
        <v>10852.7</v>
      </c>
      <c r="AE10" s="6">
        <f>AE8+AE9+AE6</f>
        <v>19428.699999999997</v>
      </c>
    </row>
    <row r="11" spans="1:32" s="5" customFormat="1" x14ac:dyDescent="0.25">
      <c r="B11" s="5" t="s">
        <v>33</v>
      </c>
      <c r="C11" s="6">
        <f>C8+C9</f>
        <v>213.60000000000002</v>
      </c>
      <c r="D11" s="6">
        <f t="shared" ref="C11:U11" si="4">D8+D9</f>
        <v>175.59999999999971</v>
      </c>
      <c r="E11" s="6">
        <f t="shared" si="4"/>
        <v>253.49999999999994</v>
      </c>
      <c r="F11" s="6">
        <f t="shared" si="4"/>
        <v>168.69999999999879</v>
      </c>
      <c r="G11" s="6">
        <f t="shared" si="4"/>
        <v>159.7000000000001</v>
      </c>
      <c r="H11" s="6">
        <f t="shared" si="4"/>
        <v>351.5999999999998</v>
      </c>
      <c r="I11" s="6">
        <f t="shared" si="4"/>
        <v>346.99999999999989</v>
      </c>
      <c r="J11" s="6">
        <f t="shared" si="4"/>
        <v>456.89999999999867</v>
      </c>
      <c r="K11" s="6">
        <f t="shared" si="4"/>
        <v>1277.2</v>
      </c>
      <c r="L11" s="6">
        <f t="shared" si="4"/>
        <v>1616.2</v>
      </c>
      <c r="M11" s="6">
        <f t="shared" si="4"/>
        <v>2905.2999999999997</v>
      </c>
      <c r="N11" s="6">
        <f t="shared" si="4"/>
        <v>3591.2000000000016</v>
      </c>
      <c r="O11" s="6">
        <f t="shared" si="4"/>
        <v>4267.0000000000009</v>
      </c>
      <c r="P11" s="6">
        <f t="shared" si="4"/>
        <v>4801.2</v>
      </c>
      <c r="Q11" s="6">
        <f t="shared" si="4"/>
        <v>5155.0000000000009</v>
      </c>
      <c r="R11" s="6">
        <f t="shared" si="4"/>
        <v>3301.2999999999947</v>
      </c>
      <c r="S11" s="6">
        <f t="shared" si="4"/>
        <v>1746.8000000000002</v>
      </c>
      <c r="T11" s="6">
        <f t="shared" si="4"/>
        <v>808.30000000000064</v>
      </c>
      <c r="U11" s="6">
        <f t="shared" si="4"/>
        <v>204.40000000000006</v>
      </c>
      <c r="AB11" s="6">
        <f>AB8+AB9</f>
        <v>811.39999999999964</v>
      </c>
      <c r="AC11" s="6">
        <f>AC8+AC9</f>
        <v>1315.1999999999989</v>
      </c>
      <c r="AD11" s="6">
        <f>AD8+AD9</f>
        <v>9389.9000000000015</v>
      </c>
      <c r="AE11" s="6">
        <f>AE8+AE9</f>
        <v>17524.499999999996</v>
      </c>
    </row>
    <row r="12" spans="1:32" x14ac:dyDescent="0.25">
      <c r="B12" t="s">
        <v>34</v>
      </c>
      <c r="C12" s="4">
        <f>2.9-109.1</f>
        <v>-106.19999999999999</v>
      </c>
      <c r="D12" s="4">
        <f>4.6-123.3</f>
        <v>-118.7</v>
      </c>
      <c r="E12" s="4">
        <f>2.6-95.6</f>
        <v>-93</v>
      </c>
      <c r="F12" s="4">
        <f>AB12-E12-D12-C12</f>
        <v>-78.800000000000011</v>
      </c>
      <c r="G12" s="4">
        <f>1.4-125.6</f>
        <v>-124.19999999999999</v>
      </c>
      <c r="H12" s="4">
        <f>1.7-81.4</f>
        <v>-79.7</v>
      </c>
      <c r="I12" s="4">
        <f>2.3-81.6</f>
        <v>-79.3</v>
      </c>
      <c r="J12" s="4">
        <f>AC12-I12-H12-G12</f>
        <v>-47.300000000000011</v>
      </c>
      <c r="K12" s="4">
        <f>3.8-68.1</f>
        <v>-64.3</v>
      </c>
      <c r="L12" s="4">
        <f>2.1-80.9</f>
        <v>-78.800000000000011</v>
      </c>
      <c r="M12" s="4">
        <f>2.5-56.2</f>
        <v>-53.7</v>
      </c>
      <c r="N12" s="4">
        <f>AD12-M12-L12-K12</f>
        <v>-48.399999999999991</v>
      </c>
      <c r="O12" s="4">
        <v>-48</v>
      </c>
      <c r="P12" s="4">
        <f>17.4-54.4</f>
        <v>-37</v>
      </c>
      <c r="Q12" s="4">
        <f>70-61.7</f>
        <v>8.2999999999999972</v>
      </c>
      <c r="R12" s="4">
        <f>AE12-Q12-P12-O12</f>
        <v>99.300000000000011</v>
      </c>
      <c r="S12" s="4">
        <v>151.69999999999999</v>
      </c>
      <c r="T12">
        <v>101.1</v>
      </c>
      <c r="U12">
        <v>48.4</v>
      </c>
      <c r="AB12" s="4">
        <v>-396.7</v>
      </c>
      <c r="AC12" s="4">
        <f>-330.5</f>
        <v>-330.5</v>
      </c>
      <c r="AD12" s="4">
        <v>-245.2</v>
      </c>
      <c r="AE12" s="4">
        <v>22.6</v>
      </c>
    </row>
    <row r="13" spans="1:32" x14ac:dyDescent="0.25">
      <c r="B13" t="s">
        <v>35</v>
      </c>
      <c r="C13" s="4">
        <v>0.2</v>
      </c>
      <c r="D13" s="4">
        <v>-1.1000000000000001</v>
      </c>
      <c r="E13" s="4">
        <v>3</v>
      </c>
      <c r="F13" s="4">
        <f>AB13-E13-D13-C13</f>
        <v>-0.49999999999999983</v>
      </c>
      <c r="G13" s="4">
        <v>4.3</v>
      </c>
      <c r="H13" s="4">
        <v>-1.7</v>
      </c>
      <c r="I13" s="4">
        <v>-4.3</v>
      </c>
      <c r="J13" s="4">
        <f>AC13-I13-H13-G13</f>
        <v>-1.7999999999999998</v>
      </c>
      <c r="K13" s="4">
        <v>1.8</v>
      </c>
      <c r="L13" s="4">
        <v>-3.6</v>
      </c>
      <c r="M13" s="4">
        <v>1.3</v>
      </c>
      <c r="N13" s="4">
        <f>AD13-M13-L13-K13</f>
        <v>2.2000000000000002</v>
      </c>
      <c r="O13" s="4">
        <v>-31</v>
      </c>
      <c r="P13" s="4">
        <v>-260.60000000000002</v>
      </c>
      <c r="Q13" s="4">
        <v>-4.0999999999999996</v>
      </c>
      <c r="R13" s="4">
        <f>AE13-Q13-P13-O13</f>
        <v>-8.1999999999999318</v>
      </c>
      <c r="S13" s="4">
        <v>58.3</v>
      </c>
      <c r="T13" s="4">
        <v>94.1</v>
      </c>
      <c r="U13" s="4">
        <v>1.7</v>
      </c>
      <c r="AB13" s="4">
        <v>1.6</v>
      </c>
      <c r="AC13" s="4">
        <v>-3.5</v>
      </c>
      <c r="AD13" s="4">
        <v>1.7</v>
      </c>
      <c r="AE13" s="4">
        <v>-303.89999999999998</v>
      </c>
    </row>
    <row r="14" spans="1:32" x14ac:dyDescent="0.25">
      <c r="B14" t="s">
        <v>36</v>
      </c>
      <c r="C14" s="4">
        <v>11.4</v>
      </c>
      <c r="D14" s="4">
        <v>5.9</v>
      </c>
      <c r="E14" s="4">
        <v>13</v>
      </c>
      <c r="F14" s="4">
        <f>AB14-E14-D14-C14</f>
        <v>12.6</v>
      </c>
      <c r="G14" s="4">
        <v>15.1</v>
      </c>
      <c r="H14" s="4">
        <v>9.4</v>
      </c>
      <c r="I14" s="4">
        <v>10.9</v>
      </c>
      <c r="J14" s="4">
        <f>AC14-I14-H14-G14</f>
        <v>10.4</v>
      </c>
      <c r="K14" s="4">
        <v>11</v>
      </c>
      <c r="L14" s="4">
        <v>12.7</v>
      </c>
      <c r="M14" s="4">
        <v>15.5</v>
      </c>
      <c r="N14" s="4">
        <f>AD14-M14-L14-K14</f>
        <v>22.099999999999994</v>
      </c>
      <c r="O14" s="4">
        <v>16.600000000000001</v>
      </c>
      <c r="P14" s="4">
        <v>20.8</v>
      </c>
      <c r="Q14" s="4">
        <v>39.9</v>
      </c>
      <c r="R14" s="4">
        <f>AE14-Q14-P14-O14</f>
        <v>123.29999999999998</v>
      </c>
      <c r="S14" s="4">
        <v>63.6</v>
      </c>
      <c r="T14" s="4">
        <v>-1.8</v>
      </c>
      <c r="U14" s="4">
        <v>-9.3000000000000007</v>
      </c>
      <c r="AB14" s="4">
        <v>42.9</v>
      </c>
      <c r="AC14" s="4">
        <v>45.8</v>
      </c>
      <c r="AD14" s="4">
        <v>61.3</v>
      </c>
      <c r="AE14" s="4">
        <v>200.6</v>
      </c>
    </row>
    <row r="15" spans="1:32" s="5" customFormat="1" x14ac:dyDescent="0.25">
      <c r="B15" s="5" t="s">
        <v>37</v>
      </c>
      <c r="C15" s="6">
        <f t="shared" ref="C15:U15" si="5">C11+C12+C13-C14</f>
        <v>96.200000000000031</v>
      </c>
      <c r="D15" s="6">
        <f t="shared" si="5"/>
        <v>49.899999999999707</v>
      </c>
      <c r="E15" s="6">
        <f t="shared" si="5"/>
        <v>150.49999999999994</v>
      </c>
      <c r="F15" s="6">
        <f t="shared" si="5"/>
        <v>76.799999999998789</v>
      </c>
      <c r="G15" s="6">
        <f t="shared" si="5"/>
        <v>24.700000000000109</v>
      </c>
      <c r="H15" s="6">
        <f t="shared" si="5"/>
        <v>260.79999999999984</v>
      </c>
      <c r="I15" s="6">
        <f t="shared" si="5"/>
        <v>252.49999999999986</v>
      </c>
      <c r="J15" s="6">
        <f t="shared" si="5"/>
        <v>397.39999999999867</v>
      </c>
      <c r="K15" s="6">
        <f t="shared" si="5"/>
        <v>1203.7</v>
      </c>
      <c r="L15" s="6">
        <f t="shared" si="5"/>
        <v>1521.1000000000001</v>
      </c>
      <c r="M15" s="6">
        <f t="shared" si="5"/>
        <v>2837.4</v>
      </c>
      <c r="N15" s="6">
        <f t="shared" si="5"/>
        <v>3522.9000000000015</v>
      </c>
      <c r="O15" s="6">
        <f t="shared" si="5"/>
        <v>4171.4000000000005</v>
      </c>
      <c r="P15" s="6">
        <f t="shared" si="5"/>
        <v>4482.7999999999993</v>
      </c>
      <c r="Q15" s="6">
        <f t="shared" si="5"/>
        <v>5119.3000000000011</v>
      </c>
      <c r="R15" s="6">
        <f t="shared" si="5"/>
        <v>3269.0999999999949</v>
      </c>
      <c r="S15" s="6">
        <f t="shared" si="5"/>
        <v>1893.2000000000003</v>
      </c>
      <c r="T15" s="6">
        <f t="shared" si="5"/>
        <v>1005.3000000000006</v>
      </c>
      <c r="U15" s="6">
        <f t="shared" si="5"/>
        <v>263.80000000000007</v>
      </c>
      <c r="AB15" s="6">
        <f>AB11+AB12+AB13-AB14</f>
        <v>373.39999999999969</v>
      </c>
      <c r="AC15" s="6">
        <f>AC11+AC12+AC13-AC14</f>
        <v>935.39999999999895</v>
      </c>
      <c r="AD15" s="6">
        <f>AD11+AD12+AD13-AD14</f>
        <v>9085.1000000000022</v>
      </c>
      <c r="AE15" s="6">
        <f>AE11+AE12+AE13-AE14</f>
        <v>17042.599999999995</v>
      </c>
    </row>
    <row r="16" spans="1:32" x14ac:dyDescent="0.25">
      <c r="B16" t="s">
        <v>1</v>
      </c>
      <c r="C16" s="4">
        <f>C15/C17</f>
        <v>185.00000000000006</v>
      </c>
      <c r="D16" s="4">
        <f>D15/D17</f>
        <v>191.9230769230758</v>
      </c>
      <c r="E16" s="4">
        <f>E15/E17</f>
        <v>177.05882352941171</v>
      </c>
      <c r="F16" s="4">
        <v>177</v>
      </c>
      <c r="G16" s="4">
        <f>G15/G17</f>
        <v>205.83333333333425</v>
      </c>
      <c r="H16" s="4">
        <f>H15/H17</f>
        <v>178.63013698630127</v>
      </c>
      <c r="I16" s="4">
        <f>I15/I17</f>
        <v>176.57342657342647</v>
      </c>
      <c r="J16" s="4">
        <v>176</v>
      </c>
      <c r="K16" s="4">
        <f>K15/K17</f>
        <v>176.23718887262081</v>
      </c>
      <c r="L16" s="4">
        <f>L15/L17</f>
        <v>176.05324074074073</v>
      </c>
      <c r="M16" s="4">
        <f>M15/M17</f>
        <v>175.90824550526969</v>
      </c>
      <c r="N16">
        <v>176</v>
      </c>
      <c r="O16" s="4">
        <f>O15/O17</f>
        <v>175.93420497680304</v>
      </c>
      <c r="P16" s="4">
        <f>P15/P17</f>
        <v>175.9340659340659</v>
      </c>
      <c r="Q16" s="4">
        <f>Q15/Q17</f>
        <v>175.86052902782552</v>
      </c>
      <c r="R16">
        <v>176</v>
      </c>
      <c r="S16" s="4">
        <f>S15/S17</f>
        <v>175.94795539033461</v>
      </c>
      <c r="T16" s="4">
        <f>T15/T17</f>
        <v>176.05954465849399</v>
      </c>
      <c r="U16" s="4">
        <f>U15/U17</f>
        <v>179.45578231292521</v>
      </c>
      <c r="AB16" s="4">
        <v>176</v>
      </c>
      <c r="AC16" s="4">
        <v>176</v>
      </c>
      <c r="AD16" s="4">
        <f>AD15/AD17</f>
        <v>175.96552392020146</v>
      </c>
      <c r="AE16" s="4">
        <v>176</v>
      </c>
    </row>
    <row r="17" spans="2:31" x14ac:dyDescent="0.25">
      <c r="B17" t="s">
        <v>38</v>
      </c>
      <c r="C17" s="3">
        <v>0.52</v>
      </c>
      <c r="D17" s="3">
        <v>0.26</v>
      </c>
      <c r="E17" s="3">
        <v>0.85</v>
      </c>
      <c r="F17" s="3">
        <f>F15/F16</f>
        <v>0.43389830508473892</v>
      </c>
      <c r="G17" s="3">
        <v>0.12</v>
      </c>
      <c r="H17" s="3">
        <v>1.46</v>
      </c>
      <c r="I17" s="3">
        <v>1.43</v>
      </c>
      <c r="J17" s="3">
        <f>J15/J16</f>
        <v>2.2579545454545378</v>
      </c>
      <c r="K17" s="3">
        <v>6.83</v>
      </c>
      <c r="L17" s="3">
        <v>8.64</v>
      </c>
      <c r="M17" s="3">
        <v>16.13</v>
      </c>
      <c r="N17" s="3">
        <f>N15/N16</f>
        <v>20.016477272727283</v>
      </c>
      <c r="O17" s="3">
        <v>23.71</v>
      </c>
      <c r="P17" s="3">
        <v>25.48</v>
      </c>
      <c r="Q17" s="3">
        <v>29.11</v>
      </c>
      <c r="R17" s="3">
        <f>R15/R16</f>
        <v>18.57443181818179</v>
      </c>
      <c r="S17" s="3">
        <v>10.76</v>
      </c>
      <c r="T17" s="3">
        <v>5.71</v>
      </c>
      <c r="U17" s="3">
        <v>1.47</v>
      </c>
      <c r="AA17" s="3"/>
      <c r="AB17" s="3">
        <f>AB15/AB16</f>
        <v>2.1215909090909073</v>
      </c>
      <c r="AC17" s="3">
        <f>AC15/AC16</f>
        <v>5.3147727272727217</v>
      </c>
      <c r="AD17" s="3">
        <v>51.63</v>
      </c>
      <c r="AE17" s="3">
        <f>AE15/AE16</f>
        <v>96.832954545454513</v>
      </c>
    </row>
    <row r="19" spans="2:31" x14ac:dyDescent="0.25">
      <c r="B19" t="s">
        <v>82</v>
      </c>
      <c r="K19" s="7">
        <f t="shared" ref="K19:U19" si="6">1-K4/K3</f>
        <v>0.44180557604366422</v>
      </c>
      <c r="L19" s="7">
        <f t="shared" si="6"/>
        <v>0.46895006402048656</v>
      </c>
      <c r="M19" s="7">
        <f t="shared" si="6"/>
        <v>0.57158870722372568</v>
      </c>
      <c r="N19" s="7">
        <f t="shared" si="6"/>
        <v>0.60289468620282061</v>
      </c>
      <c r="O19" s="7">
        <f t="shared" si="6"/>
        <v>0.63008048541985318</v>
      </c>
      <c r="P19" s="7">
        <f t="shared" si="6"/>
        <v>0.61889830320012451</v>
      </c>
      <c r="Q19" s="7">
        <f t="shared" si="6"/>
        <v>0.61298402660863138</v>
      </c>
      <c r="R19" s="7">
        <f t="shared" si="6"/>
        <v>0.54253974334418653</v>
      </c>
      <c r="S19" s="7">
        <f t="shared" si="6"/>
        <v>0.45929880761701369</v>
      </c>
      <c r="T19" s="7">
        <f t="shared" si="6"/>
        <v>0.36197957936202496</v>
      </c>
      <c r="U19" s="7">
        <f t="shared" si="6"/>
        <v>0.25931256555997362</v>
      </c>
      <c r="AB19" s="7">
        <f>1-AB4/AB3</f>
        <v>0.23008589852394135</v>
      </c>
      <c r="AC19" s="7">
        <f>1-AC4/AC3</f>
        <v>0.28437881682377619</v>
      </c>
      <c r="AD19" s="7">
        <f>1-AD4/AD3</f>
        <v>0.53652097784362585</v>
      </c>
      <c r="AE19" s="7">
        <f>1-AE4/AE3</f>
        <v>0.60250067307998501</v>
      </c>
    </row>
    <row r="20" spans="2:31" x14ac:dyDescent="0.25">
      <c r="B20" t="s">
        <v>40</v>
      </c>
      <c r="C20" s="7">
        <f t="shared" ref="C20:F20" si="7">C10/C3</f>
        <v>0.15971791439485455</v>
      </c>
      <c r="D20" s="7">
        <f t="shared" si="7"/>
        <v>0.1470143613000755</v>
      </c>
      <c r="E20" s="7">
        <f t="shared" si="7"/>
        <v>0.17090012330456222</v>
      </c>
      <c r="F20" s="7">
        <f t="shared" si="7"/>
        <v>0.15208906519930865</v>
      </c>
      <c r="G20" s="7">
        <f t="shared" ref="G20:U20" si="8">G10/G3</f>
        <v>0.1403702928244549</v>
      </c>
      <c r="H20" s="7">
        <f t="shared" si="8"/>
        <v>0.2318196884322174</v>
      </c>
      <c r="I20" s="7">
        <f t="shared" si="8"/>
        <v>0.21625133262260127</v>
      </c>
      <c r="J20" s="7">
        <f t="shared" si="8"/>
        <v>0.25878903386600172</v>
      </c>
      <c r="K20" s="7">
        <f t="shared" si="8"/>
        <v>0.3894625559325367</v>
      </c>
      <c r="L20" s="7">
        <f t="shared" si="8"/>
        <v>0.41259069568928725</v>
      </c>
      <c r="M20" s="7">
        <f t="shared" si="8"/>
        <v>0.52921677582590032</v>
      </c>
      <c r="N20" s="7">
        <f t="shared" si="8"/>
        <v>0.55397641366797723</v>
      </c>
      <c r="O20" s="7">
        <f t="shared" si="8"/>
        <v>0.59254569616127184</v>
      </c>
      <c r="P20" s="7">
        <f t="shared" si="8"/>
        <v>0.5867636266595504</v>
      </c>
      <c r="Q20" s="7">
        <f t="shared" si="8"/>
        <v>0.57839896521989087</v>
      </c>
      <c r="R20" s="7">
        <f t="shared" si="8"/>
        <v>0.48405797101449233</v>
      </c>
      <c r="S20" s="7">
        <f t="shared" si="8"/>
        <v>0.39460758142018154</v>
      </c>
      <c r="T20" s="7">
        <f t="shared" si="8"/>
        <v>0.28878676054424862</v>
      </c>
      <c r="U20" s="7">
        <f t="shared" si="8"/>
        <v>0.16558924694460031</v>
      </c>
      <c r="AB20" s="7">
        <f>AB10/AB3</f>
        <v>0.15750442183075689</v>
      </c>
      <c r="AC20" s="7">
        <f>AC10/AC3</f>
        <v>0.21142463436785561</v>
      </c>
      <c r="AD20" s="7">
        <f>AD10/AD3</f>
        <v>0.48724717713875237</v>
      </c>
      <c r="AE20" s="7">
        <f>AE10/AE3</f>
        <v>0.56245458519455627</v>
      </c>
    </row>
    <row r="21" spans="2:31" x14ac:dyDescent="0.25">
      <c r="B21" t="s">
        <v>41</v>
      </c>
      <c r="C21" s="7">
        <f t="shared" ref="C21:F21" si="9">C11/C3</f>
        <v>6.973783016095858E-2</v>
      </c>
      <c r="D21" s="7">
        <f t="shared" si="9"/>
        <v>5.5303602922650456E-2</v>
      </c>
      <c r="E21" s="7">
        <f t="shared" si="9"/>
        <v>7.8144266337854484E-2</v>
      </c>
      <c r="F21" s="7">
        <f t="shared" si="9"/>
        <v>5.3970183632989575E-2</v>
      </c>
      <c r="G21" s="7">
        <f t="shared" ref="G21:U21" si="10">G11/G3</f>
        <v>4.7767176143331466E-2</v>
      </c>
      <c r="H21" s="7">
        <f t="shared" si="10"/>
        <v>0.11653960888299629</v>
      </c>
      <c r="I21" s="7">
        <f t="shared" si="10"/>
        <v>0.11560501066098078</v>
      </c>
      <c r="J21" s="7">
        <f t="shared" si="10"/>
        <v>0.13396862630112852</v>
      </c>
      <c r="K21" s="7">
        <f t="shared" si="10"/>
        <v>0.31400894920588091</v>
      </c>
      <c r="L21" s="7">
        <f t="shared" si="10"/>
        <v>0.34489970123772939</v>
      </c>
      <c r="M21" s="7">
        <f t="shared" si="10"/>
        <v>0.46524252566176116</v>
      </c>
      <c r="N21" s="7">
        <f t="shared" si="10"/>
        <v>0.49360859883992658</v>
      </c>
      <c r="O21" s="7">
        <f t="shared" si="10"/>
        <v>0.53493969861845914</v>
      </c>
      <c r="P21" s="7">
        <f t="shared" si="10"/>
        <v>0.53385816265261188</v>
      </c>
      <c r="Q21" s="7">
        <f t="shared" si="10"/>
        <v>0.52919558165318448</v>
      </c>
      <c r="R21" s="7">
        <f t="shared" si="10"/>
        <v>0.42154121177296766</v>
      </c>
      <c r="S21" s="7">
        <f t="shared" si="10"/>
        <v>0.31087382096458449</v>
      </c>
      <c r="T21" s="7">
        <f t="shared" si="10"/>
        <v>0.18299336668855143</v>
      </c>
      <c r="U21" s="7">
        <f t="shared" si="10"/>
        <v>4.9862171590271523E-2</v>
      </c>
      <c r="AB21" s="7">
        <f>AB11/AB3</f>
        <v>6.4356474908589034E-2</v>
      </c>
      <c r="AC21" s="7">
        <f>AC11/AC3</f>
        <v>0.10297203344712028</v>
      </c>
      <c r="AD21" s="7">
        <f>AD11/AD3</f>
        <v>0.42157272094641624</v>
      </c>
      <c r="AE21" s="7">
        <f>AE11/AE3</f>
        <v>0.50732861067606172</v>
      </c>
    </row>
    <row r="22" spans="2:31" x14ac:dyDescent="0.25">
      <c r="B22" t="s">
        <v>81</v>
      </c>
      <c r="C22" s="8">
        <f t="shared" ref="C22:J22" si="11">C14/C15</f>
        <v>0.11850311850311847</v>
      </c>
      <c r="D22" s="8">
        <f t="shared" si="11"/>
        <v>0.11823647294589248</v>
      </c>
      <c r="E22" s="8">
        <f t="shared" si="11"/>
        <v>8.6378737541528278E-2</v>
      </c>
      <c r="F22" s="8">
        <f t="shared" si="11"/>
        <v>0.16406250000000258</v>
      </c>
      <c r="G22" s="8">
        <f>G14/G15</f>
        <v>0.6113360323886613</v>
      </c>
      <c r="H22" s="8">
        <f t="shared" si="11"/>
        <v>3.6042944785276095E-2</v>
      </c>
      <c r="I22" s="8">
        <f t="shared" si="11"/>
        <v>4.3168316831683193E-2</v>
      </c>
      <c r="J22" s="8">
        <f t="shared" si="11"/>
        <v>2.6170105686965362E-2</v>
      </c>
      <c r="K22" s="8">
        <f t="shared" ref="K22:U22" si="12">K14/K15</f>
        <v>9.1384896568912511E-3</v>
      </c>
      <c r="L22" s="8">
        <f t="shared" si="12"/>
        <v>8.3492209585168623E-3</v>
      </c>
      <c r="M22" s="8">
        <f t="shared" si="12"/>
        <v>5.4627475858180022E-3</v>
      </c>
      <c r="N22" s="8">
        <f t="shared" si="12"/>
        <v>6.2732407959351626E-3</v>
      </c>
      <c r="O22" s="8">
        <f t="shared" si="12"/>
        <v>3.9794793115021333E-3</v>
      </c>
      <c r="P22" s="8">
        <f t="shared" si="12"/>
        <v>4.6399571696261275E-3</v>
      </c>
      <c r="Q22" s="8">
        <f t="shared" si="12"/>
        <v>7.7940343406325066E-3</v>
      </c>
      <c r="R22" s="8">
        <f t="shared" si="12"/>
        <v>3.7716802789758704E-2</v>
      </c>
      <c r="S22" s="8">
        <f t="shared" si="12"/>
        <v>3.3593915064441156E-2</v>
      </c>
      <c r="T22" s="8">
        <f t="shared" si="12"/>
        <v>-1.7905102954341977E-3</v>
      </c>
      <c r="U22" s="8">
        <f t="shared" si="12"/>
        <v>-3.5253980288097037E-2</v>
      </c>
      <c r="AB22" s="8">
        <f>AB14/AB15</f>
        <v>0.11489019817889672</v>
      </c>
      <c r="AC22" s="8">
        <f>AC14/AC15</f>
        <v>4.8963010476801419E-2</v>
      </c>
      <c r="AD22" s="8">
        <f>AD14/AD15</f>
        <v>6.7473115320689902E-3</v>
      </c>
      <c r="AE22" s="8">
        <f>AE14/AE15</f>
        <v>1.1770504500487017E-2</v>
      </c>
    </row>
    <row r="23" spans="2:31" x14ac:dyDescent="0.25">
      <c r="B23" t="s">
        <v>45</v>
      </c>
      <c r="G23" s="7">
        <f t="shared" ref="G23:R23" si="13">G3/C3-1</f>
        <v>9.1547226484704147E-2</v>
      </c>
      <c r="H23" s="7">
        <f t="shared" si="13"/>
        <v>-4.9823633156966474E-2</v>
      </c>
      <c r="I23" s="7">
        <f t="shared" si="13"/>
        <v>-7.4722564734895247E-2</v>
      </c>
      <c r="J23" s="7">
        <f t="shared" si="13"/>
        <v>9.1080683345063473E-2</v>
      </c>
      <c r="K23" s="7">
        <f t="shared" si="13"/>
        <v>0.21658241856848015</v>
      </c>
      <c r="L23" s="7">
        <f t="shared" si="13"/>
        <v>0.5531985415976135</v>
      </c>
      <c r="M23" s="7">
        <f t="shared" si="13"/>
        <v>1.080457089552239</v>
      </c>
      <c r="N23" s="7">
        <f t="shared" si="13"/>
        <v>1.1332355959536731</v>
      </c>
      <c r="O23" s="7">
        <f t="shared" si="13"/>
        <v>0.96110537444067479</v>
      </c>
      <c r="P23" s="7">
        <f t="shared" si="13"/>
        <v>0.91920614596670935</v>
      </c>
      <c r="Q23" s="7">
        <f t="shared" si="13"/>
        <v>0.55991480775697799</v>
      </c>
      <c r="R23" s="7">
        <f t="shared" si="13"/>
        <v>7.6435659894988239E-2</v>
      </c>
      <c r="S23" s="7">
        <f>S3/O3-1</f>
        <v>-0.29556452623924989</v>
      </c>
      <c r="T23" s="7">
        <f>T3/P3-1</f>
        <v>-0.50885093513020652</v>
      </c>
      <c r="U23" s="7">
        <f>U3/Q3-1</f>
        <v>-0.57917915657208563</v>
      </c>
      <c r="AB23" s="7"/>
      <c r="AC23" s="7">
        <f>AC3/AB3-1</f>
        <v>1.3047375058495181E-2</v>
      </c>
      <c r="AD23" s="7">
        <f>AD3/AC3-1</f>
        <v>0.74387742319376149</v>
      </c>
      <c r="AE23" s="7">
        <f>AE3/AD3-1</f>
        <v>0.55084292993916528</v>
      </c>
    </row>
    <row r="24" spans="2:31" x14ac:dyDescent="0.25">
      <c r="B24" t="s">
        <v>46</v>
      </c>
      <c r="G24" s="7">
        <f t="shared" ref="G24:R24" si="14">G11/C11-1</f>
        <v>-0.2523408239700371</v>
      </c>
      <c r="H24" s="7">
        <f>H11/D11-1</f>
        <v>1.0022779043280203</v>
      </c>
      <c r="I24" s="7">
        <f t="shared" si="14"/>
        <v>0.36883629191321488</v>
      </c>
      <c r="J24" s="7">
        <f t="shared" si="14"/>
        <v>1.7083580320094955</v>
      </c>
      <c r="K24" s="7">
        <f t="shared" si="14"/>
        <v>6.9974953036944223</v>
      </c>
      <c r="L24" s="7">
        <f t="shared" si="14"/>
        <v>3.5967007963595021</v>
      </c>
      <c r="M24" s="7">
        <f t="shared" si="14"/>
        <v>7.3726224783861696</v>
      </c>
      <c r="N24" s="7">
        <f t="shared" si="14"/>
        <v>6.8599255854673062</v>
      </c>
      <c r="O24" s="7">
        <f t="shared" si="14"/>
        <v>2.3409019730660825</v>
      </c>
      <c r="P24" s="7">
        <f t="shared" si="14"/>
        <v>1.9706719465412696</v>
      </c>
      <c r="Q24" s="7">
        <f t="shared" si="14"/>
        <v>0.77434344129694055</v>
      </c>
      <c r="R24" s="7">
        <f t="shared" si="14"/>
        <v>-8.0725105814214437E-2</v>
      </c>
      <c r="S24" s="7">
        <f>S11/O11-1</f>
        <v>-0.5906257323646591</v>
      </c>
      <c r="T24" s="7">
        <f>T11/P11-1</f>
        <v>-0.83164625510289081</v>
      </c>
      <c r="U24" s="7">
        <f>U11/Q11-1</f>
        <v>-0.96034917555771093</v>
      </c>
      <c r="AB24" s="7"/>
      <c r="AC24" s="7">
        <f>AC11/AB11-1</f>
        <v>0.62090214444170511</v>
      </c>
      <c r="AD24" s="7">
        <f>AD11/AC11-1</f>
        <v>6.1395225060827325</v>
      </c>
      <c r="AE24" s="7">
        <f>AE11/AD11-1</f>
        <v>0.86631380525884127</v>
      </c>
    </row>
    <row r="25" spans="2:31" x14ac:dyDescent="0.25">
      <c r="AB25" s="7"/>
      <c r="AC25" s="7"/>
      <c r="AD25" s="7"/>
      <c r="AE25" s="7"/>
    </row>
    <row r="29" spans="2:31" s="5" customFormat="1" x14ac:dyDescent="0.25">
      <c r="B29" s="5" t="s">
        <v>5</v>
      </c>
      <c r="N29" s="6">
        <f>N30-N46-N42</f>
        <v>4649.2999999999993</v>
      </c>
      <c r="Q29" s="6">
        <f>Q30-Q46-Q42</f>
        <v>11988.300000000001</v>
      </c>
      <c r="R29" s="6">
        <f>R30-R46-R42</f>
        <v>12459.400000000001</v>
      </c>
      <c r="S29" s="6">
        <f>S30-S46-S42</f>
        <v>15070.6</v>
      </c>
      <c r="T29" s="6">
        <f>T30-T46-T42</f>
        <v>4200.0000000000009</v>
      </c>
      <c r="U29" s="6">
        <f>U30-U46-U42</f>
        <v>3413.6</v>
      </c>
      <c r="AA29" s="6">
        <f>AA30-AA46-AA42</f>
        <v>0</v>
      </c>
      <c r="AB29" s="6">
        <f>AB30-AB46-AB42</f>
        <v>-4692.2000000000007</v>
      </c>
      <c r="AC29" s="6">
        <f>AC30-AC46-AC42</f>
        <v>-3054.5000000000005</v>
      </c>
      <c r="AD29" s="6">
        <f>AD30-AD46-AD42</f>
        <v>4649.2999999999993</v>
      </c>
      <c r="AE29" s="6">
        <f>AE30-AE46-AE42</f>
        <v>12459.400000000001</v>
      </c>
    </row>
    <row r="30" spans="2:31" x14ac:dyDescent="0.25">
      <c r="B30" t="s">
        <v>3</v>
      </c>
      <c r="N30" s="4">
        <v>7723.4</v>
      </c>
      <c r="Q30" s="4">
        <v>15136.6</v>
      </c>
      <c r="R30" s="4">
        <v>15236.1</v>
      </c>
      <c r="S30" s="4">
        <v>17689.400000000001</v>
      </c>
      <c r="T30" s="4">
        <v>6791.6</v>
      </c>
      <c r="U30" s="4">
        <v>6357.9</v>
      </c>
      <c r="AB30" s="4">
        <v>511.6</v>
      </c>
      <c r="AC30" s="4">
        <v>681.3</v>
      </c>
      <c r="AD30" s="4">
        <v>7723.4</v>
      </c>
      <c r="AE30" s="4">
        <v>15236.1</v>
      </c>
    </row>
    <row r="31" spans="2:31" x14ac:dyDescent="0.25">
      <c r="B31" t="s">
        <v>47</v>
      </c>
      <c r="N31" s="4">
        <v>2999.2</v>
      </c>
      <c r="Q31" s="4">
        <v>4065.2</v>
      </c>
      <c r="R31" s="4">
        <v>2895</v>
      </c>
      <c r="S31" s="4">
        <v>2265.6</v>
      </c>
      <c r="T31" s="4">
        <v>1952.8</v>
      </c>
      <c r="U31" s="4">
        <v>1822.5</v>
      </c>
      <c r="AB31" s="4">
        <v>1239.8</v>
      </c>
      <c r="AC31" s="4">
        <v>1362.6</v>
      </c>
      <c r="AD31" s="4">
        <v>2999.2</v>
      </c>
      <c r="AE31" s="4">
        <v>2895</v>
      </c>
    </row>
    <row r="32" spans="2:31" x14ac:dyDescent="0.25">
      <c r="B32" t="s">
        <v>48</v>
      </c>
      <c r="N32" s="4">
        <v>337.2</v>
      </c>
      <c r="Q32" s="4">
        <v>568.4</v>
      </c>
      <c r="R32" s="4">
        <v>440</v>
      </c>
      <c r="S32" s="4">
        <v>387.8</v>
      </c>
      <c r="T32" s="4">
        <v>399.5</v>
      </c>
      <c r="U32" s="4">
        <v>452.2</v>
      </c>
      <c r="AB32" s="4">
        <v>248.5</v>
      </c>
      <c r="AC32" s="4">
        <v>172.3</v>
      </c>
      <c r="AD32" s="4">
        <v>337.2</v>
      </c>
      <c r="AE32" s="4">
        <v>440</v>
      </c>
    </row>
    <row r="33" spans="2:31" x14ac:dyDescent="0.25">
      <c r="B33" t="s">
        <v>52</v>
      </c>
      <c r="N33" s="4">
        <f>353.6+0.3+16.8</f>
        <v>370.70000000000005</v>
      </c>
      <c r="Q33" s="4">
        <f>1279.4+2.8+20.9</f>
        <v>1303.1000000000001</v>
      </c>
      <c r="R33" s="4">
        <f>3067.1+132.5+5.5+16.4</f>
        <v>3221.5</v>
      </c>
      <c r="S33" s="4">
        <f>2110.6+165.9+112.8+16</f>
        <v>2405.3000000000002</v>
      </c>
      <c r="T33">
        <f>2055.5+184.9+9.5+8.2+15.7</f>
        <v>2273.7999999999997</v>
      </c>
      <c r="U33">
        <f>2153.8+223.4+8.6+32.9+5.2</f>
        <v>2423.9</v>
      </c>
      <c r="AB33" s="4">
        <f>2388.6-AB30-AB31-AB32</f>
        <v>388.70000000000005</v>
      </c>
      <c r="AC33" s="4">
        <f>2551.2-AC30-AC31-AC32</f>
        <v>334.99999999999994</v>
      </c>
      <c r="AD33" s="4">
        <f>353.6+0.3+16.8</f>
        <v>370.70000000000005</v>
      </c>
      <c r="AE33" s="4">
        <f>3067.1+132.5+5.5+16.4</f>
        <v>3221.5</v>
      </c>
    </row>
    <row r="34" spans="2:31" x14ac:dyDescent="0.25">
      <c r="B34" t="s">
        <v>49</v>
      </c>
      <c r="N34" s="4">
        <v>11764.8</v>
      </c>
      <c r="Q34" s="4">
        <v>14177.9</v>
      </c>
      <c r="R34" s="4">
        <v>13140.2</v>
      </c>
      <c r="S34" s="4">
        <v>12843.8</v>
      </c>
      <c r="T34" s="4">
        <v>13077.9</v>
      </c>
      <c r="U34" s="4">
        <v>14041.9</v>
      </c>
      <c r="AB34" s="4">
        <v>10064.9</v>
      </c>
      <c r="AC34" s="4">
        <v>9300.6</v>
      </c>
      <c r="AD34" s="4">
        <v>11764.8</v>
      </c>
      <c r="AE34" s="4">
        <v>13140.2</v>
      </c>
    </row>
    <row r="35" spans="2:31" x14ac:dyDescent="0.25">
      <c r="B35" t="s">
        <v>50</v>
      </c>
      <c r="N35" s="4">
        <v>332.4</v>
      </c>
      <c r="Q35" s="4">
        <v>329.3</v>
      </c>
      <c r="R35" s="4">
        <v>353.4</v>
      </c>
      <c r="S35" s="4">
        <v>634.4</v>
      </c>
      <c r="T35" s="4">
        <v>1212.3</v>
      </c>
      <c r="U35" s="4">
        <v>1404.9</v>
      </c>
      <c r="AB35" s="4">
        <v>333.6</v>
      </c>
      <c r="AC35" s="4">
        <v>329.2</v>
      </c>
      <c r="AD35" s="4">
        <v>332.4</v>
      </c>
      <c r="AE35" s="4">
        <v>353.4</v>
      </c>
    </row>
    <row r="36" spans="2:31" x14ac:dyDescent="0.25">
      <c r="B36" t="s">
        <v>51</v>
      </c>
      <c r="N36" s="4">
        <v>1597.2</v>
      </c>
      <c r="Q36" s="4">
        <v>1873.7</v>
      </c>
      <c r="R36" s="4">
        <v>1712.1</v>
      </c>
      <c r="S36" s="4">
        <v>1681.2</v>
      </c>
      <c r="T36" s="4">
        <v>1683.9</v>
      </c>
      <c r="U36" s="4">
        <v>2009.3</v>
      </c>
      <c r="AB36" s="4">
        <v>1600.7</v>
      </c>
      <c r="AC36" s="4">
        <v>1466.8</v>
      </c>
      <c r="AD36" s="4">
        <v>1597.2</v>
      </c>
      <c r="AE36" s="4">
        <v>1712.1</v>
      </c>
    </row>
    <row r="37" spans="2:31" x14ac:dyDescent="0.25">
      <c r="B37" t="s">
        <v>53</v>
      </c>
      <c r="N37" s="4">
        <f>15284-N34-N35-N36</f>
        <v>1589.6000000000006</v>
      </c>
      <c r="Q37" s="4">
        <f>18213.2-Q34-Q35-Q36</f>
        <v>1832.3000000000009</v>
      </c>
      <c r="R37" s="4">
        <f>16894.7-R34-R35-R36</f>
        <v>1689</v>
      </c>
      <c r="S37" s="4">
        <f>16793-S34-S35-S36</f>
        <v>1633.6000000000006</v>
      </c>
      <c r="T37" s="4">
        <f>17566.2-T34-T35-T36</f>
        <v>1592.1000000000008</v>
      </c>
      <c r="U37" s="4">
        <f>19414.9-U36-U35-U34</f>
        <v>1958.8000000000029</v>
      </c>
      <c r="AB37" s="4">
        <f>13811.8-AB34-AB35-AB36</f>
        <v>1812.5999999999997</v>
      </c>
      <c r="AC37" s="4">
        <f>12633-AC34-AC35-AC36</f>
        <v>1536.3999999999999</v>
      </c>
      <c r="AD37" s="4">
        <f>15284-AD34-AD35-AD36</f>
        <v>1589.6000000000006</v>
      </c>
      <c r="AE37" s="4">
        <f>16894.7-AE34-AE35-AE36</f>
        <v>1689</v>
      </c>
    </row>
    <row r="38" spans="2:31" s="5" customFormat="1" x14ac:dyDescent="0.25">
      <c r="B38" s="5" t="s">
        <v>63</v>
      </c>
      <c r="N38" s="6">
        <f>SUM(N30:N37)</f>
        <v>26714.500000000004</v>
      </c>
      <c r="Q38" s="6">
        <f>SUM(Q30:Q37)</f>
        <v>39286.5</v>
      </c>
      <c r="R38" s="6">
        <f>SUM(R30:R37)</f>
        <v>38687.300000000003</v>
      </c>
      <c r="S38" s="6">
        <f>SUM(S30:S37)</f>
        <v>39541.099999999991</v>
      </c>
      <c r="T38" s="6">
        <f>SUM(T30:T37)</f>
        <v>28983.9</v>
      </c>
      <c r="U38" s="6">
        <f>SUM(U30:U37)</f>
        <v>30471.400000000005</v>
      </c>
      <c r="AB38" s="6">
        <f>SUM(AB30:AB37)</f>
        <v>16200.400000000001</v>
      </c>
      <c r="AC38" s="6">
        <f>SUM(AC30:AC37)</f>
        <v>15184.199999999999</v>
      </c>
      <c r="AD38" s="6">
        <f>SUM(AD30:AD37)</f>
        <v>26714.500000000004</v>
      </c>
      <c r="AE38" s="6">
        <f>SUM(AE30:AE37)</f>
        <v>38687.300000000003</v>
      </c>
    </row>
    <row r="39" spans="2:31" x14ac:dyDescent="0.25">
      <c r="B39" t="s">
        <v>58</v>
      </c>
      <c r="N39" s="4">
        <v>2323.9</v>
      </c>
      <c r="Q39" s="4">
        <v>2881.3</v>
      </c>
      <c r="R39" s="4">
        <v>2615.6999999999998</v>
      </c>
      <c r="S39" s="4">
        <v>2770.4</v>
      </c>
      <c r="T39" s="4">
        <v>2639.3</v>
      </c>
      <c r="U39" s="4">
        <v>2647.2</v>
      </c>
      <c r="AB39" s="4">
        <v>1779.4</v>
      </c>
      <c r="AC39" s="4">
        <v>1748.1</v>
      </c>
      <c r="AD39" s="4">
        <v>2323.9</v>
      </c>
      <c r="AE39" s="4">
        <v>2615.6999999999998</v>
      </c>
    </row>
    <row r="40" spans="2:31" x14ac:dyDescent="0.25">
      <c r="B40" t="s">
        <v>55</v>
      </c>
      <c r="N40" s="4">
        <v>598.6</v>
      </c>
      <c r="Q40" s="4">
        <v>761.1</v>
      </c>
      <c r="R40" s="4">
        <v>964.6</v>
      </c>
      <c r="S40" s="4">
        <v>956.1</v>
      </c>
      <c r="T40" s="4">
        <v>922</v>
      </c>
      <c r="U40" s="4">
        <v>1061.5</v>
      </c>
      <c r="AB40" s="4">
        <v>399.3</v>
      </c>
      <c r="AC40" s="4">
        <v>369.2</v>
      </c>
      <c r="AD40" s="4">
        <v>598.6</v>
      </c>
      <c r="AE40" s="4">
        <v>964.6</v>
      </c>
    </row>
    <row r="41" spans="2:31" x14ac:dyDescent="0.25">
      <c r="B41" t="s">
        <v>36</v>
      </c>
      <c r="N41" s="4">
        <v>49.6</v>
      </c>
      <c r="Q41" s="4">
        <v>84.6</v>
      </c>
      <c r="R41" s="4">
        <v>165.9</v>
      </c>
      <c r="S41" s="4">
        <v>209.1</v>
      </c>
      <c r="T41" s="4">
        <v>143.4</v>
      </c>
      <c r="U41" s="4">
        <v>218.3</v>
      </c>
      <c r="AB41" s="4">
        <v>50</v>
      </c>
      <c r="AC41" s="4">
        <v>39.1</v>
      </c>
      <c r="AD41" s="4">
        <v>49.6</v>
      </c>
      <c r="AE41" s="4">
        <v>165.9</v>
      </c>
    </row>
    <row r="42" spans="2:31" x14ac:dyDescent="0.25">
      <c r="B42" t="s">
        <v>56</v>
      </c>
      <c r="N42" s="4">
        <v>502</v>
      </c>
      <c r="Q42" s="4">
        <v>567.79999999999995</v>
      </c>
      <c r="R42" s="4">
        <v>457.3</v>
      </c>
      <c r="S42" s="4">
        <v>487.2</v>
      </c>
      <c r="T42" s="4">
        <v>380.2</v>
      </c>
      <c r="U42" s="4">
        <v>451.2</v>
      </c>
      <c r="AB42" s="4">
        <v>758.7</v>
      </c>
      <c r="AC42" s="4">
        <v>505.9</v>
      </c>
      <c r="AD42" s="4">
        <v>502</v>
      </c>
      <c r="AE42" s="4">
        <v>457.3</v>
      </c>
    </row>
    <row r="43" spans="2:31" x14ac:dyDescent="0.25">
      <c r="B43" t="s">
        <v>57</v>
      </c>
      <c r="N43" s="4">
        <v>856.7</v>
      </c>
      <c r="Q43" s="4">
        <v>1034.3</v>
      </c>
      <c r="R43" s="4">
        <v>934.7</v>
      </c>
      <c r="S43" s="4">
        <v>905.6</v>
      </c>
      <c r="T43" s="4">
        <v>906.4</v>
      </c>
      <c r="U43" s="4">
        <v>909.7</v>
      </c>
      <c r="AB43" s="4">
        <v>482.4</v>
      </c>
      <c r="AC43" s="4">
        <v>459.8</v>
      </c>
      <c r="AD43" s="4">
        <v>856.7</v>
      </c>
      <c r="AE43" s="4">
        <v>934.7</v>
      </c>
    </row>
    <row r="44" spans="2:31" x14ac:dyDescent="0.25">
      <c r="B44" t="s">
        <v>59</v>
      </c>
      <c r="N44" s="4">
        <v>1445.8</v>
      </c>
      <c r="Q44" s="4">
        <v>1503.6</v>
      </c>
      <c r="R44" s="4">
        <v>952.9</v>
      </c>
      <c r="S44" s="4">
        <v>600</v>
      </c>
      <c r="T44" s="4">
        <v>586.70000000000005</v>
      </c>
      <c r="U44" s="4">
        <v>503.1</v>
      </c>
      <c r="AB44" s="4">
        <v>372.9</v>
      </c>
      <c r="AC44" s="4">
        <v>545.70000000000005</v>
      </c>
      <c r="AD44" s="4">
        <v>1445.8</v>
      </c>
      <c r="AE44" s="4">
        <v>952.9</v>
      </c>
    </row>
    <row r="45" spans="2:31" x14ac:dyDescent="0.25">
      <c r="B45" t="s">
        <v>62</v>
      </c>
      <c r="N45" s="4">
        <f>5958.3-N39-N40-N41-N42-N43-N44</f>
        <v>181.70000000000027</v>
      </c>
      <c r="Q45" s="4">
        <f>7179.3-Q39-Q40-Q41-Q42-Q43-Q44</f>
        <v>346.60000000000014</v>
      </c>
      <c r="R45" s="4">
        <f>6397-R39-R40-R41-R42-R43-R44</f>
        <v>305.89999999999998</v>
      </c>
      <c r="S45" s="4">
        <f>6198-S39-S40-S41-S42-S43-S44</f>
        <v>269.60000000000002</v>
      </c>
      <c r="T45" s="4">
        <f>5819.2-T39-T40-T41-T42-T43-T44</f>
        <v>241.19999999999948</v>
      </c>
      <c r="U45" s="4">
        <f>6061.8-U44-U43-U42-U41-U40-U39</f>
        <v>270.80000000000018</v>
      </c>
      <c r="AB45" s="4">
        <f>3993.6-AB39-AB40-AB41-AB42-AB43-AB44</f>
        <v>150.89999999999986</v>
      </c>
      <c r="AC45" s="4">
        <f>3792.9-AC39-AC40-AC41-AC42-AC43-AC44</f>
        <v>125.10000000000036</v>
      </c>
      <c r="AD45" s="4">
        <f>5958.3-AD39-AD40-AD41-AD42-AD43-AD44</f>
        <v>181.70000000000027</v>
      </c>
      <c r="AE45" s="4">
        <f>6397-AE39-AE40-AE41-AE42-AE43-AE44</f>
        <v>305.89999999999998</v>
      </c>
    </row>
    <row r="46" spans="2:31" x14ac:dyDescent="0.25">
      <c r="B46" t="s">
        <v>4</v>
      </c>
      <c r="N46" s="4">
        <v>2572.1</v>
      </c>
      <c r="Q46" s="4">
        <v>2580.5</v>
      </c>
      <c r="R46" s="4">
        <v>2319.4</v>
      </c>
      <c r="S46" s="4">
        <v>2131.6</v>
      </c>
      <c r="T46" s="4">
        <v>2211.4</v>
      </c>
      <c r="U46" s="4">
        <v>2493.1</v>
      </c>
      <c r="AB46" s="4">
        <v>4445.1000000000004</v>
      </c>
      <c r="AC46" s="4">
        <v>3229.9</v>
      </c>
      <c r="AD46" s="4">
        <v>2572.1</v>
      </c>
      <c r="AE46" s="4">
        <v>2319.4</v>
      </c>
    </row>
    <row r="47" spans="2:31" x14ac:dyDescent="0.25">
      <c r="B47" t="s">
        <v>54</v>
      </c>
      <c r="N47" s="4">
        <v>1566.4</v>
      </c>
      <c r="Q47" s="4">
        <v>2015.3</v>
      </c>
      <c r="R47" s="4">
        <v>1725.4</v>
      </c>
      <c r="S47" s="4">
        <v>1600.8</v>
      </c>
      <c r="T47" s="4">
        <v>1562.4</v>
      </c>
      <c r="U47" s="4">
        <v>1608.5</v>
      </c>
      <c r="AB47" s="4">
        <v>710.9</v>
      </c>
      <c r="AC47" s="4">
        <v>940.5</v>
      </c>
      <c r="AD47" s="4">
        <v>1566.4</v>
      </c>
      <c r="AE47" s="4">
        <v>1725.4</v>
      </c>
    </row>
    <row r="48" spans="2:31" x14ac:dyDescent="0.25">
      <c r="B48" t="s">
        <v>61</v>
      </c>
      <c r="N48" s="4">
        <f>4594.2-N47-N46</f>
        <v>455.69999999999982</v>
      </c>
      <c r="Q48" s="4">
        <f>4868.8-Q47-Q46</f>
        <v>273</v>
      </c>
      <c r="R48" s="4">
        <f>4379.3-R47-R46</f>
        <v>334.5</v>
      </c>
      <c r="S48" s="4">
        <f>4073.3-S47-S46</f>
        <v>340.90000000000009</v>
      </c>
      <c r="T48" s="4">
        <f>4118.7-T47-T46</f>
        <v>344.89999999999964</v>
      </c>
      <c r="U48" s="4">
        <f>4599.5-U47-U46</f>
        <v>497.90000000000009</v>
      </c>
      <c r="AB48" s="4">
        <f>5586.2-AB47-AB46</f>
        <v>430.19999999999982</v>
      </c>
      <c r="AC48" s="4">
        <f>4668.7-AC47-AC46</f>
        <v>498.29999999999973</v>
      </c>
      <c r="AD48" s="4">
        <f>4594.2-AD47-AD46</f>
        <v>455.69999999999982</v>
      </c>
      <c r="AE48" s="4">
        <f>4379.3-AE47-AE46</f>
        <v>334.5</v>
      </c>
    </row>
    <row r="49" spans="2:32" s="5" customFormat="1" x14ac:dyDescent="0.25">
      <c r="B49" s="5" t="s">
        <v>64</v>
      </c>
      <c r="N49" s="5">
        <f>SUM(N39:N48)</f>
        <v>10552.5</v>
      </c>
      <c r="Q49" s="5">
        <f>SUM(Q39:Q48)</f>
        <v>12048.1</v>
      </c>
      <c r="R49" s="5">
        <f>SUM(R39:R48)</f>
        <v>10776.3</v>
      </c>
      <c r="S49" s="5">
        <f>SUM(S39:S48)</f>
        <v>10271.299999999999</v>
      </c>
      <c r="T49" s="5">
        <f>SUM(T39:T48)</f>
        <v>9937.9</v>
      </c>
      <c r="U49" s="5">
        <f>SUM(U39:U48)</f>
        <v>10661.3</v>
      </c>
      <c r="AB49" s="5">
        <f>SUM(AB39:AB48)</f>
        <v>9579.7999999999993</v>
      </c>
      <c r="AC49" s="5">
        <f>SUM(AC39:AC48)</f>
        <v>8461.6</v>
      </c>
      <c r="AD49" s="5">
        <f>SUM(AD39:AD48)</f>
        <v>10552.5</v>
      </c>
      <c r="AE49" s="5">
        <f>SUM(AE39:AE48)</f>
        <v>10776.3</v>
      </c>
    </row>
    <row r="50" spans="2:32" x14ac:dyDescent="0.25">
      <c r="B50" t="s">
        <v>65</v>
      </c>
      <c r="N50">
        <v>16162</v>
      </c>
      <c r="Q50">
        <v>27238.400000000001</v>
      </c>
      <c r="R50">
        <v>27911.1</v>
      </c>
      <c r="S50">
        <v>29269.7</v>
      </c>
      <c r="T50">
        <v>19046</v>
      </c>
      <c r="U50">
        <v>19810.099999999999</v>
      </c>
      <c r="AB50">
        <v>6620.6</v>
      </c>
      <c r="AC50">
        <v>6722.7</v>
      </c>
      <c r="AD50">
        <v>16162</v>
      </c>
      <c r="AE50">
        <v>27911.1</v>
      </c>
    </row>
    <row r="53" spans="2:32" s="5" customFormat="1" x14ac:dyDescent="0.25">
      <c r="B53" s="5" t="s">
        <v>66</v>
      </c>
      <c r="O53" s="6">
        <v>7723.4</v>
      </c>
      <c r="P53" s="6">
        <f>O77</f>
        <v>11637.3</v>
      </c>
      <c r="Q53" s="6">
        <f>P77</f>
        <v>10000.299999999997</v>
      </c>
      <c r="S53" s="6">
        <v>15236.1</v>
      </c>
      <c r="T53" s="6">
        <f>S77</f>
        <v>17688.900000000001</v>
      </c>
      <c r="U53" s="6">
        <f>T77</f>
        <v>6790.9999999999991</v>
      </c>
      <c r="AB53" s="6">
        <v>657.1</v>
      </c>
      <c r="AC53" s="6">
        <f>AB77</f>
        <v>511.5</v>
      </c>
      <c r="AD53" s="6">
        <f>AC77</f>
        <v>681.29999999999905</v>
      </c>
      <c r="AE53" s="6">
        <f>AD77</f>
        <v>7723.1999999999962</v>
      </c>
    </row>
    <row r="54" spans="2:32" x14ac:dyDescent="0.25">
      <c r="B54" t="s">
        <v>67</v>
      </c>
      <c r="O54" s="4">
        <v>4171.3</v>
      </c>
      <c r="P54">
        <v>4482.8999999999996</v>
      </c>
      <c r="Q54">
        <v>5119.6000000000004</v>
      </c>
      <c r="S54" s="4">
        <v>1893.2</v>
      </c>
      <c r="T54">
        <v>1005.2</v>
      </c>
      <c r="AB54" s="4">
        <v>373.4</v>
      </c>
      <c r="AC54" s="4">
        <v>935.4</v>
      </c>
      <c r="AD54" s="4">
        <v>9085</v>
      </c>
      <c r="AE54" s="4">
        <v>17042.599999999999</v>
      </c>
    </row>
    <row r="55" spans="2:32" x14ac:dyDescent="0.25">
      <c r="B55" t="s">
        <v>36</v>
      </c>
      <c r="O55" s="4">
        <v>16.600000000000001</v>
      </c>
      <c r="P55">
        <v>20.8</v>
      </c>
      <c r="Q55">
        <v>39.6</v>
      </c>
      <c r="S55" s="4">
        <v>63.6</v>
      </c>
      <c r="T55">
        <v>-1.8</v>
      </c>
      <c r="AB55" s="4">
        <v>42.9</v>
      </c>
      <c r="AC55" s="4">
        <v>45.8</v>
      </c>
      <c r="AD55" s="4">
        <v>61.3</v>
      </c>
      <c r="AE55" s="4">
        <v>200.6</v>
      </c>
    </row>
    <row r="56" spans="2:32" x14ac:dyDescent="0.25">
      <c r="B56" t="s">
        <v>35</v>
      </c>
      <c r="O56" s="4">
        <v>31</v>
      </c>
      <c r="P56">
        <v>260.60000000000002</v>
      </c>
      <c r="Q56">
        <v>4.0999999999999996</v>
      </c>
      <c r="S56" s="4">
        <v>-58.3</v>
      </c>
      <c r="T56">
        <v>-94.1</v>
      </c>
      <c r="AB56" s="4">
        <v>-1.6</v>
      </c>
      <c r="AC56" s="4">
        <v>3.5</v>
      </c>
      <c r="AD56" s="4">
        <v>-1.7</v>
      </c>
      <c r="AE56" s="4">
        <v>303.89999999999998</v>
      </c>
    </row>
    <row r="57" spans="2:32" x14ac:dyDescent="0.25">
      <c r="B57" t="s">
        <v>68</v>
      </c>
      <c r="O57" s="4">
        <v>48</v>
      </c>
      <c r="P57">
        <v>37</v>
      </c>
      <c r="Q57">
        <v>-8.4</v>
      </c>
      <c r="S57" s="4">
        <v>-151.69999999999999</v>
      </c>
      <c r="T57">
        <v>-101.1</v>
      </c>
      <c r="AB57" s="4">
        <v>396.7</v>
      </c>
      <c r="AC57" s="4">
        <v>330.5</v>
      </c>
      <c r="AD57" s="4">
        <v>245.2</v>
      </c>
      <c r="AE57" s="4">
        <v>-22.6</v>
      </c>
    </row>
    <row r="58" spans="2:32" x14ac:dyDescent="0.25">
      <c r="B58" t="s">
        <v>42</v>
      </c>
      <c r="O58" s="4">
        <v>459.5</v>
      </c>
      <c r="P58">
        <v>475.8</v>
      </c>
      <c r="Q58">
        <v>479.3</v>
      </c>
      <c r="S58" s="4">
        <v>470.5</v>
      </c>
      <c r="T58">
        <v>467.3</v>
      </c>
      <c r="AB58" s="4">
        <v>1174.4000000000001</v>
      </c>
      <c r="AC58" s="4">
        <v>1385.2</v>
      </c>
      <c r="AD58" s="4">
        <v>1462.8</v>
      </c>
      <c r="AE58" s="4">
        <v>1904.2</v>
      </c>
    </row>
    <row r="59" spans="2:32" x14ac:dyDescent="0.25">
      <c r="B59" t="s">
        <v>30</v>
      </c>
      <c r="O59" s="4">
        <f>-11.9-11.5-2.1</f>
        <v>-25.5</v>
      </c>
      <c r="P59">
        <f>-18.1-57.8-36.7</f>
        <v>-112.60000000000001</v>
      </c>
      <c r="Q59">
        <f>-19.4-12-18.3</f>
        <v>-49.7</v>
      </c>
      <c r="S59" s="4">
        <f>-11-15.5-4</f>
        <v>-30.5</v>
      </c>
      <c r="T59">
        <f>-16.3-7.5+8.5</f>
        <v>-15.3</v>
      </c>
      <c r="AB59" s="4">
        <f>-18.5-35.7-0.8</f>
        <v>-55</v>
      </c>
      <c r="AC59" s="4">
        <f>0.1-12.2-32.2+39.5</f>
        <v>-4.8000000000000043</v>
      </c>
      <c r="AD59" s="4">
        <f>-12.5-28.9-34.8</f>
        <v>-76.199999999999989</v>
      </c>
      <c r="AE59" s="4">
        <f>-64.8-90.8-37.3</f>
        <v>-192.89999999999998</v>
      </c>
    </row>
    <row r="60" spans="2:32" x14ac:dyDescent="0.25">
      <c r="B60" t="s">
        <v>48</v>
      </c>
      <c r="O60" s="4">
        <v>-79.8</v>
      </c>
      <c r="P60">
        <v>-118</v>
      </c>
      <c r="Q60">
        <v>37.299999999999997</v>
      </c>
      <c r="S60" s="4">
        <v>44.8</v>
      </c>
      <c r="T60">
        <v>-11.5</v>
      </c>
      <c r="AB60" s="4">
        <v>-5.6</v>
      </c>
      <c r="AC60" s="4">
        <v>59.1</v>
      </c>
      <c r="AD60" s="4">
        <v>-139.5</v>
      </c>
      <c r="AE60" s="4">
        <v>-81.8</v>
      </c>
    </row>
    <row r="61" spans="2:32" x14ac:dyDescent="0.25">
      <c r="B61" t="s">
        <v>69</v>
      </c>
      <c r="O61" s="4">
        <v>-335.4</v>
      </c>
      <c r="P61">
        <v>-318.3</v>
      </c>
      <c r="Q61">
        <v>100.9</v>
      </c>
      <c r="S61" s="4">
        <v>560.70000000000005</v>
      </c>
      <c r="T61">
        <v>298.10000000000002</v>
      </c>
      <c r="AB61" s="4">
        <v>-54</v>
      </c>
      <c r="AC61" s="4">
        <v>-225.4</v>
      </c>
      <c r="AD61" s="4">
        <v>-1383.4</v>
      </c>
      <c r="AE61" s="4">
        <v>302.3</v>
      </c>
    </row>
    <row r="62" spans="2:32" x14ac:dyDescent="0.25">
      <c r="B62" t="s">
        <v>55</v>
      </c>
      <c r="O62" s="4">
        <v>79.900000000000006</v>
      </c>
      <c r="P62">
        <v>-99.2</v>
      </c>
      <c r="Q62">
        <v>79.7</v>
      </c>
      <c r="S62" s="4">
        <v>49.1</v>
      </c>
      <c r="T62">
        <v>-97.2</v>
      </c>
      <c r="AB62" s="4">
        <v>69.8</v>
      </c>
      <c r="AC62" s="4">
        <v>17.899999999999999</v>
      </c>
      <c r="AD62" s="4">
        <v>180</v>
      </c>
      <c r="AE62" s="4">
        <v>421.2</v>
      </c>
    </row>
    <row r="63" spans="2:32" x14ac:dyDescent="0.25">
      <c r="B63" t="s">
        <v>70</v>
      </c>
      <c r="O63" s="4">
        <v>130.4</v>
      </c>
      <c r="P63">
        <v>184.9</v>
      </c>
      <c r="Q63">
        <v>-191.3</v>
      </c>
      <c r="S63" s="4">
        <v>-248.1</v>
      </c>
      <c r="T63">
        <v>-132.4</v>
      </c>
      <c r="AB63" s="4">
        <v>110.8</v>
      </c>
      <c r="AC63" s="4">
        <v>355.5</v>
      </c>
      <c r="AD63" s="4">
        <v>998.4</v>
      </c>
      <c r="AE63" s="4">
        <v>-313.3</v>
      </c>
    </row>
    <row r="64" spans="2:32" x14ac:dyDescent="0.25">
      <c r="B64" t="s">
        <v>71</v>
      </c>
      <c r="O64" s="4">
        <v>-8.4</v>
      </c>
      <c r="P64">
        <v>-8.3000000000000007</v>
      </c>
      <c r="Q64">
        <v>-1.6</v>
      </c>
      <c r="S64" s="4">
        <v>-26</v>
      </c>
      <c r="T64">
        <v>-47.5</v>
      </c>
      <c r="AB64" s="4">
        <v>-29.4</v>
      </c>
      <c r="AC64" s="4">
        <f>-21.9</f>
        <v>-21.9</v>
      </c>
      <c r="AD64" s="4">
        <v>-26.4</v>
      </c>
      <c r="AE64" s="4">
        <v>-60.9</v>
      </c>
      <c r="AF64" s="4"/>
    </row>
    <row r="65" spans="2:31" x14ac:dyDescent="0.25">
      <c r="B65" t="s">
        <v>49</v>
      </c>
      <c r="O65" s="4">
        <f>15.7-384.7</f>
        <v>-369</v>
      </c>
      <c r="P65">
        <f>-206.9+29.6</f>
        <v>-177.3</v>
      </c>
      <c r="S65" s="4">
        <f>24.8-218.7</f>
        <v>-193.89999999999998</v>
      </c>
      <c r="T65">
        <f>29.2-462.6</f>
        <v>-433.40000000000003</v>
      </c>
      <c r="AB65" s="4">
        <f>41.6-426.1</f>
        <v>-384.5</v>
      </c>
      <c r="AC65" s="4">
        <f>31-534.1</f>
        <v>-503.1</v>
      </c>
      <c r="AD65" s="4">
        <f>20.2-1252.7</f>
        <v>-1232.5</v>
      </c>
      <c r="AE65" s="4">
        <f>112.6-1440.6</f>
        <v>-1328</v>
      </c>
    </row>
    <row r="66" spans="2:31" x14ac:dyDescent="0.25">
      <c r="B66" t="s">
        <v>72</v>
      </c>
      <c r="O66" s="4">
        <v>0</v>
      </c>
      <c r="P66">
        <v>-8</v>
      </c>
      <c r="S66" s="4">
        <v>-0.7</v>
      </c>
      <c r="T66">
        <v>0</v>
      </c>
      <c r="AB66" s="4">
        <v>-4.7</v>
      </c>
      <c r="AC66" s="4">
        <v>-10.4</v>
      </c>
      <c r="AD66" s="4">
        <v>10.5</v>
      </c>
      <c r="AE66" s="4">
        <v>0</v>
      </c>
    </row>
    <row r="67" spans="2:31" x14ac:dyDescent="0.25">
      <c r="B67" t="s">
        <v>73</v>
      </c>
      <c r="O67" s="4">
        <v>0</v>
      </c>
      <c r="P67">
        <v>-166</v>
      </c>
      <c r="S67" s="4">
        <f>5.3-265.6</f>
        <v>-260.3</v>
      </c>
      <c r="T67">
        <v>0</v>
      </c>
      <c r="AB67" s="4">
        <v>-10.6</v>
      </c>
      <c r="AC67" s="4">
        <v>0</v>
      </c>
      <c r="AD67" s="4">
        <v>-69.7</v>
      </c>
      <c r="AE67" s="4">
        <v>-169.8</v>
      </c>
    </row>
    <row r="68" spans="2:31" x14ac:dyDescent="0.25">
      <c r="B68" t="s">
        <v>32</v>
      </c>
      <c r="O68" s="4">
        <v>0</v>
      </c>
      <c r="P68">
        <v>50.8</v>
      </c>
      <c r="S68" s="4">
        <v>909.8</v>
      </c>
      <c r="T68">
        <f>-579.2+16.6</f>
        <v>-562.6</v>
      </c>
      <c r="AB68" s="4">
        <v>0</v>
      </c>
      <c r="AC68" s="4">
        <v>0</v>
      </c>
      <c r="AD68" s="4">
        <f>1.3+25.9+33.6-0.9</f>
        <v>59.9</v>
      </c>
      <c r="AE68" s="4">
        <f>35.1-8+50.6-15.9-2824.1</f>
        <v>-2762.2999999999997</v>
      </c>
    </row>
    <row r="69" spans="2:31" x14ac:dyDescent="0.25">
      <c r="B69" t="s">
        <v>34</v>
      </c>
      <c r="O69" s="4">
        <v>3.3</v>
      </c>
      <c r="P69">
        <v>13.5</v>
      </c>
      <c r="S69" s="4">
        <v>205</v>
      </c>
      <c r="T69">
        <v>173.7</v>
      </c>
      <c r="AB69" s="4">
        <v>5.8</v>
      </c>
      <c r="AC69" s="4">
        <v>17.100000000000001</v>
      </c>
      <c r="AD69" s="4">
        <v>4.3</v>
      </c>
      <c r="AE69" s="4">
        <v>194.6</v>
      </c>
    </row>
    <row r="70" spans="2:31" x14ac:dyDescent="0.25">
      <c r="B70" t="s">
        <v>74</v>
      </c>
      <c r="O70" s="4">
        <v>-1</v>
      </c>
      <c r="P70">
        <v>-6159.3</v>
      </c>
      <c r="S70" s="4">
        <v>0</v>
      </c>
      <c r="T70">
        <f>15-11083.4</f>
        <v>-11068.4</v>
      </c>
      <c r="AB70" s="4">
        <f>30.2-39.5</f>
        <v>-9.3000000000000007</v>
      </c>
      <c r="AC70" s="4">
        <f>36-203.5</f>
        <v>-167.5</v>
      </c>
      <c r="AD70" s="4">
        <v>-633.5</v>
      </c>
      <c r="AE70" s="4">
        <v>-6165</v>
      </c>
    </row>
    <row r="71" spans="2:31" x14ac:dyDescent="0.25">
      <c r="B71" t="s">
        <v>4</v>
      </c>
      <c r="O71" s="4">
        <f>0.2-112.7</f>
        <v>-112.5</v>
      </c>
      <c r="P71">
        <f>-143.1-0.1</f>
        <v>-143.19999999999999</v>
      </c>
      <c r="S71" s="4">
        <v>-121.7</v>
      </c>
      <c r="T71">
        <f>143.8-168.5</f>
        <v>-24.699999999999989</v>
      </c>
      <c r="AB71" s="4">
        <f>924.3-1733.2</f>
        <v>-808.90000000000009</v>
      </c>
      <c r="AC71" s="4">
        <f>1593.8-2742.3</f>
        <v>-1148.5000000000002</v>
      </c>
      <c r="AD71" s="4">
        <f>497.7-1411.6</f>
        <v>-913.89999999999986</v>
      </c>
      <c r="AE71" s="4">
        <f>46.8-530.4</f>
        <v>-483.59999999999997</v>
      </c>
    </row>
    <row r="72" spans="2:31" x14ac:dyDescent="0.25">
      <c r="B72" t="s">
        <v>75</v>
      </c>
      <c r="O72" s="4">
        <v>-239.1</v>
      </c>
      <c r="P72">
        <v>-268.7</v>
      </c>
      <c r="S72" s="4">
        <v>-244</v>
      </c>
      <c r="T72">
        <v>-249.7</v>
      </c>
      <c r="AB72" s="4">
        <f>-456.7-18.1</f>
        <v>-474.8</v>
      </c>
      <c r="AC72" s="4">
        <f>-514.3-26.3</f>
        <v>-540.59999999999991</v>
      </c>
      <c r="AD72" s="4">
        <v>-678.5</v>
      </c>
      <c r="AE72" s="4">
        <v>-1055.3</v>
      </c>
    </row>
    <row r="73" spans="2:31" x14ac:dyDescent="0.25">
      <c r="B73" t="s">
        <v>76</v>
      </c>
      <c r="O73" s="4">
        <v>-45.1</v>
      </c>
      <c r="P73">
        <v>-50.7</v>
      </c>
      <c r="S73" s="4">
        <v>-51.8</v>
      </c>
      <c r="T73">
        <v>-58.7</v>
      </c>
      <c r="AB73" s="4">
        <v>-397.3</v>
      </c>
      <c r="AC73" s="4">
        <f>-315.6</f>
        <v>-315.60000000000002</v>
      </c>
      <c r="AD73" s="4">
        <v>-224.8</v>
      </c>
      <c r="AE73" s="4">
        <v>-209.3</v>
      </c>
    </row>
    <row r="74" spans="2:31" x14ac:dyDescent="0.25">
      <c r="B74" t="s">
        <v>77</v>
      </c>
      <c r="O74" s="4">
        <v>-2.2999999999999998</v>
      </c>
      <c r="P74">
        <v>-266.10000000000002</v>
      </c>
      <c r="S74" s="4">
        <v>-43.3</v>
      </c>
      <c r="T74">
        <v>200</v>
      </c>
      <c r="AB74" s="4">
        <f>-103.7+6.6</f>
        <v>-97.100000000000009</v>
      </c>
      <c r="AC74" s="4">
        <v>16.100000000000001</v>
      </c>
      <c r="AD74" s="4">
        <f>-0.5-0.3-29.4</f>
        <v>-30.2</v>
      </c>
      <c r="AE74" s="4">
        <f>-280-36.5</f>
        <v>-316.5</v>
      </c>
    </row>
    <row r="75" spans="2:31" s="5" customFormat="1" x14ac:dyDescent="0.25">
      <c r="B75" s="5" t="s">
        <v>79</v>
      </c>
      <c r="O75" s="6">
        <f>SUM(O54:O74)</f>
        <v>3721.9000000000005</v>
      </c>
      <c r="P75" s="6">
        <f>SUM(P54:P74)</f>
        <v>-2369.4000000000005</v>
      </c>
      <c r="Q75" s="6">
        <f>SUM(Q54:Q74)</f>
        <v>5609.5000000000009</v>
      </c>
      <c r="S75" s="6">
        <f>SUM(S54:S74)</f>
        <v>2766.3999999999996</v>
      </c>
      <c r="T75" s="6">
        <f>SUM(T54:T74)</f>
        <v>-10754.100000000002</v>
      </c>
      <c r="U75" s="6">
        <f>SUM(U54:U74)</f>
        <v>0</v>
      </c>
      <c r="V75" s="5" t="s">
        <v>60</v>
      </c>
      <c r="AB75" s="6">
        <f>SUM(AB54:AB74)</f>
        <v>-159</v>
      </c>
      <c r="AC75" s="6">
        <f>SUM(AC54:AC74)</f>
        <v>228.29999999999902</v>
      </c>
      <c r="AD75" s="6">
        <f>SUM(AD54:AD74)</f>
        <v>6697.0999999999967</v>
      </c>
      <c r="AE75" s="6">
        <f>SUM(AE54:AE74)</f>
        <v>7208.1</v>
      </c>
    </row>
    <row r="76" spans="2:31" x14ac:dyDescent="0.25">
      <c r="B76" t="s">
        <v>80</v>
      </c>
      <c r="O76" s="4">
        <v>192</v>
      </c>
      <c r="P76">
        <v>732.4</v>
      </c>
      <c r="S76" s="4">
        <v>-313.60000000000002</v>
      </c>
      <c r="T76">
        <v>-143.80000000000001</v>
      </c>
      <c r="AB76" s="4">
        <v>13.4</v>
      </c>
      <c r="AC76" s="4">
        <v>-58.5</v>
      </c>
      <c r="AD76" s="4">
        <v>344.8</v>
      </c>
      <c r="AE76" s="4">
        <v>304.5</v>
      </c>
    </row>
    <row r="77" spans="2:31" s="5" customFormat="1" x14ac:dyDescent="0.25">
      <c r="B77" s="5" t="s">
        <v>78</v>
      </c>
      <c r="O77" s="6">
        <f>O53+SUM(O54:O74)+O76</f>
        <v>11637.3</v>
      </c>
      <c r="P77" s="6">
        <f>P53+SUM(P54:P74)+P76</f>
        <v>10000.299999999997</v>
      </c>
      <c r="Q77" s="6">
        <f>Q53+SUM(Q54:Q74)+Q76</f>
        <v>15609.8</v>
      </c>
      <c r="S77" s="6">
        <f>S53+SUM(S54:S74)+S76</f>
        <v>17688.900000000001</v>
      </c>
      <c r="T77" s="6">
        <f>T53+SUM(T54:T74)+T76</f>
        <v>6790.9999999999991</v>
      </c>
      <c r="U77" s="6">
        <f>U53+SUM(U54:U74)+U76</f>
        <v>6790.9999999999991</v>
      </c>
      <c r="AB77" s="6">
        <f>AB53+SUM(AB54:AB74)+AB76</f>
        <v>511.5</v>
      </c>
      <c r="AC77" s="6">
        <f>AC53+SUM(AC54:AC74)+AC76</f>
        <v>681.29999999999905</v>
      </c>
      <c r="AD77" s="6">
        <f>AD53+SUM(AD54:AD74)+AD76</f>
        <v>7723.1999999999962</v>
      </c>
      <c r="AE77" s="6">
        <f>AE53+SUM(AE54:AE74)+AE76</f>
        <v>15235.799999999996</v>
      </c>
    </row>
  </sheetData>
  <hyperlinks>
    <hyperlink ref="A1" location="Main!A1" display="Main" xr:uid="{AEF814D1-AB10-4C85-9A8C-29CADC5E6517}"/>
  </hyperlinks>
  <pageMargins left="0.7" right="0.7" top="0.75" bottom="0.75" header="0.3" footer="0.3"/>
  <pageSetup paperSize="9" orientation="portrait" r:id="rId1"/>
  <ignoredErrors>
    <ignoredError sqref="R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155F-28DD-4056-ABE3-FB6172E07486}">
  <dimension ref="B2:L16"/>
  <sheetViews>
    <sheetView workbookViewId="0">
      <selection activeCell="Q30" sqref="Q30"/>
    </sheetView>
  </sheetViews>
  <sheetFormatPr defaultRowHeight="15" x14ac:dyDescent="0.25"/>
  <sheetData>
    <row r="2" spans="2:12" x14ac:dyDescent="0.25"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</row>
    <row r="3" spans="2:12" s="5" customFormat="1" x14ac:dyDescent="0.25">
      <c r="B3" s="5" t="s">
        <v>102</v>
      </c>
      <c r="H3" s="5">
        <v>253</v>
      </c>
      <c r="J3" s="5">
        <v>251</v>
      </c>
      <c r="L3" s="5">
        <v>258</v>
      </c>
    </row>
    <row r="4" spans="2:12" x14ac:dyDescent="0.25">
      <c r="C4" t="s">
        <v>107</v>
      </c>
      <c r="H4">
        <v>119</v>
      </c>
      <c r="J4">
        <v>121</v>
      </c>
      <c r="L4">
        <v>124</v>
      </c>
    </row>
    <row r="5" spans="2:12" x14ac:dyDescent="0.25">
      <c r="C5" t="s">
        <v>108</v>
      </c>
      <c r="H5">
        <v>134</v>
      </c>
      <c r="J5">
        <v>130</v>
      </c>
      <c r="L5">
        <v>134</v>
      </c>
    </row>
    <row r="6" spans="2:12" x14ac:dyDescent="0.25">
      <c r="B6" t="s">
        <v>103</v>
      </c>
      <c r="H6">
        <v>1771</v>
      </c>
      <c r="J6">
        <v>1797</v>
      </c>
      <c r="L6">
        <v>1865</v>
      </c>
    </row>
    <row r="7" spans="2:12" x14ac:dyDescent="0.25">
      <c r="B7" t="s">
        <v>104</v>
      </c>
      <c r="H7">
        <v>3030</v>
      </c>
      <c r="J7">
        <v>2972</v>
      </c>
      <c r="L7">
        <v>2876</v>
      </c>
    </row>
    <row r="8" spans="2:12" x14ac:dyDescent="0.25">
      <c r="B8" t="s">
        <v>105</v>
      </c>
      <c r="H8">
        <v>2935</v>
      </c>
      <c r="L8">
        <v>1533</v>
      </c>
    </row>
    <row r="9" spans="2:12" x14ac:dyDescent="0.25">
      <c r="B9" t="s">
        <v>106</v>
      </c>
      <c r="H9">
        <v>3024</v>
      </c>
      <c r="L9">
        <v>2965</v>
      </c>
    </row>
    <row r="13" spans="2:12" s="5" customFormat="1" x14ac:dyDescent="0.25">
      <c r="B13" s="5" t="s">
        <v>109</v>
      </c>
      <c r="H13" s="5">
        <f>SUM(H14:H16)</f>
        <v>14321</v>
      </c>
      <c r="I13" s="5">
        <f>SUM(I14:I16)</f>
        <v>0</v>
      </c>
      <c r="J13" s="5">
        <f>SUM(J14:J16)</f>
        <v>14248</v>
      </c>
      <c r="K13" s="5">
        <f>SUM(K14:K16)</f>
        <v>0</v>
      </c>
      <c r="L13" s="5">
        <f>SUM(L14:L16)</f>
        <v>13849</v>
      </c>
    </row>
    <row r="14" spans="2:12" x14ac:dyDescent="0.25">
      <c r="B14" t="s">
        <v>110</v>
      </c>
      <c r="H14">
        <v>1868</v>
      </c>
      <c r="J14">
        <v>1704</v>
      </c>
      <c r="L14">
        <v>1222</v>
      </c>
    </row>
    <row r="15" spans="2:12" x14ac:dyDescent="0.25">
      <c r="B15" t="s">
        <v>111</v>
      </c>
      <c r="H15">
        <v>12240</v>
      </c>
      <c r="J15">
        <v>12316</v>
      </c>
      <c r="L15">
        <v>12429</v>
      </c>
    </row>
    <row r="16" spans="2:12" x14ac:dyDescent="0.25">
      <c r="B16" t="s">
        <v>112</v>
      </c>
      <c r="H16">
        <v>213</v>
      </c>
      <c r="J16">
        <v>228</v>
      </c>
      <c r="L16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B029-0B2C-4291-B4A8-76E704119A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KPIs</vt:lpstr>
      <vt:lpstr>Shanghai Container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2024-02-26T17:25:40Z</dcterms:modified>
</cp:coreProperties>
</file>