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282BADE9-96E9-4222-80DB-AC4BAEA62A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Model!$B$24</definedName>
    <definedName name="_xlchart.v1.1" hidden="1">Model!$B$25</definedName>
    <definedName name="_xlchart.v1.2" hidden="1">Model!$L$24:$X$24</definedName>
    <definedName name="_xlchart.v1.3" hidden="1">Model!$L$25:$X$25</definedName>
    <definedName name="_xlchart.v1.4" hidden="1">Model!$L$2:$X$2</definedName>
    <definedName name="_xlchart.v1.5" hidden="1">Model!$B$5</definedName>
    <definedName name="_xlchart.v1.6" hidden="1">Model!$B$6</definedName>
    <definedName name="_xlchart.v1.7" hidden="1">Model!$L$2:$X$2</definedName>
    <definedName name="_xlchart.v1.8" hidden="1">Model!$L$5:$X$5</definedName>
    <definedName name="_xlchart.v1.9" hidden="1">Model!$L$6:$X$6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0" i="1"/>
  <c r="C9" i="1"/>
  <c r="C7" i="1"/>
  <c r="E38" i="2"/>
  <c r="F38" i="2"/>
  <c r="G38" i="2"/>
  <c r="E39" i="2"/>
  <c r="F39" i="2"/>
  <c r="G39" i="2"/>
  <c r="E40" i="2"/>
  <c r="F40" i="2"/>
  <c r="G40" i="2"/>
  <c r="D40" i="2"/>
  <c r="D39" i="2"/>
  <c r="D38" i="2"/>
  <c r="G37" i="2"/>
  <c r="F37" i="2"/>
  <c r="E37" i="2"/>
  <c r="D37" i="2"/>
  <c r="C11" i="2"/>
  <c r="E67" i="2"/>
  <c r="F68" i="2"/>
  <c r="I32" i="2"/>
  <c r="S21" i="2"/>
  <c r="S20" i="2"/>
  <c r="S18" i="2"/>
  <c r="S17" i="2"/>
  <c r="S15" i="2"/>
  <c r="S14" i="2"/>
  <c r="S13" i="2"/>
  <c r="S12" i="2"/>
  <c r="S10" i="2"/>
  <c r="S9" i="2"/>
  <c r="S8" i="2"/>
  <c r="S7" i="2"/>
  <c r="S4" i="2"/>
  <c r="S3" i="2"/>
  <c r="W21" i="2"/>
  <c r="W20" i="2"/>
  <c r="W18" i="2"/>
  <c r="W17" i="2"/>
  <c r="W15" i="2"/>
  <c r="W14" i="2"/>
  <c r="W13" i="2"/>
  <c r="W12" i="2"/>
  <c r="W10" i="2"/>
  <c r="W9" i="2"/>
  <c r="W8" i="2"/>
  <c r="W7" i="2"/>
  <c r="W4" i="2"/>
  <c r="W3" i="2"/>
  <c r="W5" i="2" s="1"/>
  <c r="P23" i="6"/>
  <c r="P20" i="6"/>
  <c r="P19" i="6"/>
  <c r="P2" i="6"/>
  <c r="I20" i="6"/>
  <c r="I19" i="6"/>
  <c r="O9" i="6"/>
  <c r="N9" i="6"/>
  <c r="M9" i="6"/>
  <c r="P9" i="6"/>
  <c r="Q11" i="2"/>
  <c r="P22" i="6"/>
  <c r="M22" i="6"/>
  <c r="N22" i="6"/>
  <c r="O22" i="6"/>
  <c r="J19" i="6"/>
  <c r="J20" i="6" s="1"/>
  <c r="Q5" i="2"/>
  <c r="Q33" i="2" s="1"/>
  <c r="P5" i="2"/>
  <c r="P33" i="2" s="1"/>
  <c r="U5" i="2"/>
  <c r="U33" i="2" s="1"/>
  <c r="T5" i="2"/>
  <c r="T33" i="2" s="1"/>
  <c r="R5" i="2"/>
  <c r="R33" i="2" s="1"/>
  <c r="U31" i="2"/>
  <c r="T31" i="2"/>
  <c r="U30" i="2"/>
  <c r="T30" i="2"/>
  <c r="V31" i="2"/>
  <c r="V30" i="2"/>
  <c r="V5" i="2"/>
  <c r="V33" i="2" s="1"/>
  <c r="W63" i="2"/>
  <c r="W62" i="2"/>
  <c r="W61" i="2"/>
  <c r="W60" i="2"/>
  <c r="W58" i="2"/>
  <c r="W57" i="2"/>
  <c r="W56" i="2"/>
  <c r="W55" i="2"/>
  <c r="W54" i="2"/>
  <c r="W52" i="2"/>
  <c r="W51" i="2"/>
  <c r="W50" i="2"/>
  <c r="W49" i="2"/>
  <c r="W47" i="2"/>
  <c r="W46" i="2"/>
  <c r="W45" i="2"/>
  <c r="W44" i="2"/>
  <c r="W43" i="2"/>
  <c r="M42" i="2"/>
  <c r="N42" i="2"/>
  <c r="O42" i="2"/>
  <c r="P42" i="2"/>
  <c r="Q42" i="2"/>
  <c r="R42" i="2"/>
  <c r="T42" i="2"/>
  <c r="U42" i="2"/>
  <c r="V42" i="2"/>
  <c r="L42" i="2"/>
  <c r="S63" i="2"/>
  <c r="S62" i="2"/>
  <c r="S61" i="2"/>
  <c r="S60" i="2"/>
  <c r="S58" i="2"/>
  <c r="S57" i="2"/>
  <c r="S56" i="2"/>
  <c r="S55" i="2"/>
  <c r="S54" i="2"/>
  <c r="S52" i="2"/>
  <c r="S51" i="2"/>
  <c r="S50" i="2"/>
  <c r="S49" i="2"/>
  <c r="S47" i="2"/>
  <c r="S46" i="2"/>
  <c r="S45" i="2"/>
  <c r="S44" i="2"/>
  <c r="S43" i="2"/>
  <c r="N19" i="6"/>
  <c r="N20" i="6" s="1"/>
  <c r="M19" i="6"/>
  <c r="M20" i="6" s="1"/>
  <c r="L19" i="6"/>
  <c r="K19" i="6"/>
  <c r="K20" i="6" s="1"/>
  <c r="O19" i="6"/>
  <c r="O20" i="6" s="1"/>
  <c r="G31" i="2"/>
  <c r="G67" i="2"/>
  <c r="C67" i="2"/>
  <c r="D67" i="2"/>
  <c r="F67" i="2"/>
  <c r="E42" i="2"/>
  <c r="D42" i="2"/>
  <c r="C42" i="2"/>
  <c r="F42" i="2"/>
  <c r="G42" i="2"/>
  <c r="G68" i="2"/>
  <c r="H42" i="2"/>
  <c r="F19" i="6"/>
  <c r="F20" i="6" s="1"/>
  <c r="E19" i="6"/>
  <c r="E20" i="6" s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1" i="2"/>
  <c r="M16" i="2" s="1"/>
  <c r="M19" i="2" s="1"/>
  <c r="M22" i="2" s="1"/>
  <c r="N11" i="2"/>
  <c r="N16" i="2" s="1"/>
  <c r="N19" i="2" s="1"/>
  <c r="N22" i="2" s="1"/>
  <c r="N24" i="2" s="1"/>
  <c r="O11" i="2"/>
  <c r="O16" i="2" s="1"/>
  <c r="O19" i="2" s="1"/>
  <c r="O22" i="2" s="1"/>
  <c r="O24" i="2" s="1"/>
  <c r="P11" i="2"/>
  <c r="P16" i="2" s="1"/>
  <c r="P19" i="2" s="1"/>
  <c r="P22" i="2" s="1"/>
  <c r="P24" i="2" s="1"/>
  <c r="R11" i="2"/>
  <c r="T11" i="2"/>
  <c r="U11" i="2"/>
  <c r="V11" i="2"/>
  <c r="X11" i="2"/>
  <c r="X16" i="2" s="1"/>
  <c r="X19" i="2" s="1"/>
  <c r="X22" i="2" s="1"/>
  <c r="Y11" i="2"/>
  <c r="Y16" i="2" s="1"/>
  <c r="Y19" i="2" s="1"/>
  <c r="Y22" i="2" s="1"/>
  <c r="L11" i="2"/>
  <c r="L16" i="2" s="1"/>
  <c r="L19" i="2" s="1"/>
  <c r="L22" i="2" s="1"/>
  <c r="D11" i="2"/>
  <c r="E11" i="2"/>
  <c r="F11" i="2"/>
  <c r="G11" i="2"/>
  <c r="H11" i="2"/>
  <c r="H16" i="2" s="1"/>
  <c r="H19" i="2" s="1"/>
  <c r="I11" i="2"/>
  <c r="I16" i="2" s="1"/>
  <c r="I19" i="2" s="1"/>
  <c r="W30" i="2" l="1"/>
  <c r="W42" i="2"/>
  <c r="S42" i="2"/>
  <c r="S11" i="2"/>
  <c r="W11" i="2"/>
  <c r="W16" i="2" s="1"/>
  <c r="W19" i="2" s="1"/>
  <c r="W22" i="2" s="1"/>
  <c r="W24" i="2" s="1"/>
  <c r="R16" i="2"/>
  <c r="P34" i="2"/>
  <c r="W33" i="2"/>
  <c r="U16" i="2"/>
  <c r="T16" i="2"/>
  <c r="S5" i="2"/>
  <c r="S16" i="2" s="1"/>
  <c r="S19" i="2" s="1"/>
  <c r="S22" i="2" s="1"/>
  <c r="S24" i="2" s="1"/>
  <c r="W31" i="2"/>
  <c r="L20" i="6"/>
  <c r="N23" i="6"/>
  <c r="M23" i="6"/>
  <c r="O23" i="6"/>
  <c r="Q16" i="2"/>
  <c r="V16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S33" i="2" l="1"/>
  <c r="U19" i="2"/>
  <c r="U22" i="2" s="1"/>
  <c r="U24" i="2" s="1"/>
  <c r="U34" i="2"/>
  <c r="R19" i="2"/>
  <c r="R22" i="2" s="1"/>
  <c r="R24" i="2" s="1"/>
  <c r="R34" i="2"/>
  <c r="Q19" i="2"/>
  <c r="Q22" i="2" s="1"/>
  <c r="Q24" i="2" s="1"/>
  <c r="Q34" i="2"/>
  <c r="S34" i="2"/>
  <c r="T19" i="2"/>
  <c r="T22" i="2" s="1"/>
  <c r="T24" i="2" s="1"/>
  <c r="T34" i="2"/>
  <c r="V19" i="2"/>
  <c r="V22" i="2" s="1"/>
  <c r="V34" i="2"/>
  <c r="W34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C16" i="2" s="1"/>
  <c r="D5" i="2"/>
  <c r="D16" i="2" s="1"/>
  <c r="E5" i="2"/>
  <c r="E33" i="2" s="1"/>
  <c r="F5" i="2"/>
  <c r="G5" i="2"/>
  <c r="M27" i="2"/>
  <c r="N27" i="2"/>
  <c r="O27" i="2"/>
  <c r="L26" i="2"/>
  <c r="M26" i="2"/>
  <c r="N26" i="2"/>
  <c r="O26" i="2"/>
  <c r="P26" i="2"/>
  <c r="Q26" i="2"/>
  <c r="R26" i="2"/>
  <c r="S26" i="2"/>
  <c r="T26" i="2"/>
  <c r="U26" i="2"/>
  <c r="V26" i="2"/>
  <c r="W26" i="2"/>
  <c r="T28" i="2"/>
  <c r="U28" i="2"/>
  <c r="V28" i="2"/>
  <c r="W28" i="2"/>
  <c r="X28" i="2"/>
  <c r="Y28" i="2"/>
  <c r="L29" i="2"/>
  <c r="M29" i="2"/>
  <c r="N29" i="2"/>
  <c r="O29" i="2"/>
  <c r="P29" i="2"/>
  <c r="Q29" i="2"/>
  <c r="R29" i="2"/>
  <c r="S29" i="2"/>
  <c r="T29" i="2"/>
  <c r="U29" i="2"/>
  <c r="V29" i="2"/>
  <c r="W29" i="2"/>
  <c r="L48" i="2"/>
  <c r="L53" i="2" s="1"/>
  <c r="M48" i="2"/>
  <c r="M53" i="2" s="1"/>
  <c r="N48" i="2"/>
  <c r="N53" i="2" s="1"/>
  <c r="O48" i="2"/>
  <c r="O53" i="2" s="1"/>
  <c r="P48" i="2"/>
  <c r="P53" i="2" s="1"/>
  <c r="Q48" i="2"/>
  <c r="Q53" i="2" s="1"/>
  <c r="R48" i="2"/>
  <c r="R53" i="2" s="1"/>
  <c r="S48" i="2"/>
  <c r="S53" i="2" s="1"/>
  <c r="T48" i="2"/>
  <c r="T53" i="2" s="1"/>
  <c r="U48" i="2"/>
  <c r="U53" i="2" s="1"/>
  <c r="V48" i="2"/>
  <c r="V53" i="2" s="1"/>
  <c r="W48" i="2"/>
  <c r="W53" i="2" s="1"/>
  <c r="L59" i="2"/>
  <c r="L64" i="2" s="1"/>
  <c r="M59" i="2"/>
  <c r="M64" i="2" s="1"/>
  <c r="N59" i="2"/>
  <c r="N64" i="2" s="1"/>
  <c r="O59" i="2"/>
  <c r="O64" i="2" s="1"/>
  <c r="P59" i="2"/>
  <c r="P64" i="2" s="1"/>
  <c r="Q59" i="2"/>
  <c r="Q64" i="2" s="1"/>
  <c r="R59" i="2"/>
  <c r="R64" i="2" s="1"/>
  <c r="S59" i="2"/>
  <c r="S64" i="2" s="1"/>
  <c r="T59" i="2"/>
  <c r="T64" i="2" s="1"/>
  <c r="U59" i="2"/>
  <c r="U64" i="2" s="1"/>
  <c r="V59" i="2"/>
  <c r="V64" i="2" s="1"/>
  <c r="W59" i="2"/>
  <c r="W64" i="2" s="1"/>
  <c r="I33" i="2"/>
  <c r="H33" i="2"/>
  <c r="C48" i="2"/>
  <c r="C53" i="2" s="1"/>
  <c r="D48" i="2"/>
  <c r="D53" i="2" s="1"/>
  <c r="E48" i="2"/>
  <c r="E53" i="2" s="1"/>
  <c r="I27" i="2"/>
  <c r="H27" i="2"/>
  <c r="I28" i="2"/>
  <c r="E31" i="2"/>
  <c r="F31" i="2"/>
  <c r="E30" i="2"/>
  <c r="F30" i="2"/>
  <c r="G30" i="2"/>
  <c r="P65" i="2" l="1"/>
  <c r="S65" i="2"/>
  <c r="R65" i="2"/>
  <c r="G16" i="2"/>
  <c r="G33" i="2"/>
  <c r="Q65" i="2"/>
  <c r="F16" i="2"/>
  <c r="F33" i="2"/>
  <c r="V24" i="2"/>
  <c r="V32" i="2"/>
  <c r="C19" i="2"/>
  <c r="C22" i="2" s="1"/>
  <c r="C34" i="2"/>
  <c r="D19" i="2"/>
  <c r="D22" i="2" s="1"/>
  <c r="D34" i="2"/>
  <c r="T65" i="2"/>
  <c r="U65" i="2"/>
  <c r="V65" i="2"/>
  <c r="W65" i="2"/>
  <c r="E16" i="2"/>
  <c r="E29" i="2"/>
  <c r="K11" i="5"/>
  <c r="L27" i="2"/>
  <c r="G29" i="2"/>
  <c r="D29" i="2"/>
  <c r="C29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7" i="2"/>
  <c r="X32" i="2"/>
  <c r="T32" i="2"/>
  <c r="P27" i="2"/>
  <c r="S27" i="2"/>
  <c r="W32" i="2"/>
  <c r="W27" i="2"/>
  <c r="V27" i="2"/>
  <c r="U27" i="2"/>
  <c r="U32" i="2"/>
  <c r="R27" i="2"/>
  <c r="Q27" i="2"/>
  <c r="C26" i="2"/>
  <c r="H34" i="2"/>
  <c r="I34" i="2"/>
  <c r="D33" i="2"/>
  <c r="C33" i="2"/>
  <c r="H28" i="2"/>
  <c r="F26" i="2"/>
  <c r="F29" i="2"/>
  <c r="E26" i="2"/>
  <c r="D26" i="2"/>
  <c r="G26" i="2"/>
  <c r="G28" i="2"/>
  <c r="G59" i="2"/>
  <c r="G64" i="2" s="1"/>
  <c r="G48" i="2"/>
  <c r="G53" i="2" s="1"/>
  <c r="E28" i="2"/>
  <c r="F28" i="2"/>
  <c r="D28" i="2"/>
  <c r="D59" i="2"/>
  <c r="D64" i="2" s="1"/>
  <c r="D65" i="2" s="1"/>
  <c r="E59" i="2"/>
  <c r="F48" i="2"/>
  <c r="F53" i="2" s="1"/>
  <c r="F19" i="2" l="1"/>
  <c r="F22" i="2" s="1"/>
  <c r="F34" i="2"/>
  <c r="G19" i="2"/>
  <c r="G22" i="2" s="1"/>
  <c r="G34" i="2"/>
  <c r="E19" i="2"/>
  <c r="E22" i="2" s="1"/>
  <c r="E34" i="2"/>
  <c r="G65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9" i="2"/>
  <c r="F64" i="2" s="1"/>
  <c r="F65" i="2" s="1"/>
  <c r="E64" i="2"/>
  <c r="E65" i="2" s="1"/>
  <c r="C59" i="2"/>
  <c r="C64" i="2" s="1"/>
  <c r="F32" i="2" l="1"/>
  <c r="C24" i="2"/>
  <c r="E24" i="2"/>
  <c r="D27" i="2"/>
  <c r="G24" i="2"/>
  <c r="H32" i="2" s="1"/>
  <c r="G27" i="2"/>
  <c r="C27" i="2" l="1"/>
  <c r="D32" i="2"/>
  <c r="E27" i="2"/>
  <c r="F24" i="2"/>
  <c r="E32" i="2"/>
  <c r="D24" i="2"/>
  <c r="F27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<sst xmlns="http://schemas.openxmlformats.org/spreadsheetml/2006/main" count="263" uniqueCount="233">
  <si>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</si>
  <si>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</si>
  <si>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</si>
  <si>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</si>
  <si>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</si>
  <si>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</si>
  <si>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</si>
  <si>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</si>
  <si>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</si>
  <si>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</si>
  <si>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</si>
  <si>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</si>
  <si>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</si>
  <si>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</si>
  <si>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</si>
  <si>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</si>
  <si>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</si>
  <si>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</si>
  <si>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</si>
  <si>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</si>
  <si>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</si>
  <si>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</si>
  <si>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</si>
  <si>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</si>
  <si>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</si>
  <si>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</si>
  <si>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</si>
  <si>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</si>
  <si>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</si>
  <si>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</si>
  <si>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</si>
  <si>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</si>
  <si>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</si>
  <si>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</si>
  <si>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</si>
  <si>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</si>
  <si>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</si>
  <si>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</si>
  <si>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</si>
  <si>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</si>
  <si>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</si>
  <si>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</si>
  <si>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</si>
  <si>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</si>
  <si>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</si>
  <si>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</si>
  <si>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</si>
  <si>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</si>
  <si>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</si>
  <si>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</si>
  <si>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</si>
  <si>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</si>
  <si>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</si>
  <si>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</si>
  <si>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</si>
  <si>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</si>
  <si>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</si>
  <si>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</si>
  <si>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</si>
  <si>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</si>
  <si>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</si>
  <si>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</si>
  <si>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</si>
  <si>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</si>
  <si>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</si>
  <si>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</si>
  <si>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</si>
  <si>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</si>
  <si>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</si>
  <si>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</si>
  <si>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</si>
  <si>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</si>
  <si>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</si>
  <si>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</si>
  <si>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</si>
  <si>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NI Noncontrolling Interest</t>
  </si>
  <si>
    <t>Notes</t>
  </si>
  <si>
    <t>Prepaid Expense</t>
  </si>
  <si>
    <t>PP&amp;E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</si>
  <si>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</si>
  <si>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</si>
  <si>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</si>
  <si>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</si>
  <si>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</si>
  <si>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</si>
  <si>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</si>
  <si>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</si>
  <si>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</si>
  <si>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</si>
  <si>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</si>
  <si>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</si>
  <si>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</si>
  <si>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</si>
  <si>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</si>
  <si>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</si>
  <si>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</si>
  <si>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</si>
  <si>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</si>
  <si>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</si>
  <si>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</si>
  <si>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</si>
  <si>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</si>
  <si>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</si>
  <si>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</si>
  <si>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</si>
  <si>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</si>
  <si>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</si>
  <si>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</si>
  <si>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</si>
  <si>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</si>
  <si>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</si>
  <si>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</si>
  <si>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</si>
  <si>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</si>
  <si>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</si>
  <si>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</si>
  <si>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</si>
  <si>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</si>
  <si>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</si>
  <si>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</si>
  <si>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</si>
  <si>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</si>
  <si>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</si>
  <si>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</si>
  <si>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</si>
  <si>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</si>
  <si>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</si>
  <si>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</si>
  <si>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</si>
  <si>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</si>
  <si>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</si>
  <si>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</si>
  <si>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</si>
  <si>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</si>
  <si>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</si>
  <si>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</si>
  <si>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</si>
  <si>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</si>
  <si>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Mr. Daniel Harris Meyer</t>
  </si>
  <si>
    <t>Founder &amp; Chairman of the Board of Directors</t>
  </si>
  <si>
    <t>Mr. Randall J. Garutti</t>
  </si>
  <si>
    <t>CEO &amp; Director</t>
  </si>
  <si>
    <t>Ms. Katherine Irene Fogertey</t>
  </si>
  <si>
    <t>Chief Financial Officer</t>
  </si>
  <si>
    <t>Mr. Dave Harris</t>
  </si>
  <si>
    <t>Chief Information Officer</t>
  </si>
  <si>
    <t>Mr. Michael Oriolo</t>
  </si>
  <si>
    <t>Senior Director of FP&amp;A and IR</t>
  </si>
  <si>
    <t>Mr. Ronald Palmese Jr., Esq.</t>
  </si>
  <si>
    <t>Chief Legal Officer</t>
  </si>
  <si>
    <t>Mr. Jay Livingston</t>
  </si>
  <si>
    <t>Chief Marketing Officer</t>
  </si>
  <si>
    <t>Ms. Diane Neville</t>
  </si>
  <si>
    <t>Chief People Officer</t>
  </si>
  <si>
    <t>Mr. Michael Kark</t>
  </si>
  <si>
    <t>President of Global Licensing</t>
  </si>
  <si>
    <t>Mr. Andrew McCaughan</t>
  </si>
  <si>
    <t>Chief Development Officer</t>
  </si>
  <si>
    <t>Blackrock Inc.</t>
  </si>
  <si>
    <t>15.57%</t>
  </si>
  <si>
    <t>Vanguard Group Inc</t>
  </si>
  <si>
    <t>11.32%</t>
  </si>
  <si>
    <t>12 West Capital Management Lp</t>
  </si>
  <si>
    <t>4.98%</t>
  </si>
  <si>
    <t>Gilder, Gagnon, Howe &amp; Co.</t>
  </si>
  <si>
    <t>4.32%</t>
  </si>
  <si>
    <t>Engaged Capital, LLC</t>
  </si>
  <si>
    <t>3.46%</t>
  </si>
  <si>
    <t>State Street Corporation</t>
  </si>
  <si>
    <t>3.44%</t>
  </si>
  <si>
    <t>Invesco Ltd.</t>
  </si>
  <si>
    <t>3.34%</t>
  </si>
  <si>
    <t>Champlain Investment Partners, LLC</t>
  </si>
  <si>
    <t>3.16%</t>
  </si>
  <si>
    <t>Van Berkom &amp; Associates Inc.</t>
  </si>
  <si>
    <t>2.80%</t>
  </si>
  <si>
    <t>Wellington Management Group, LLP</t>
  </si>
  <si>
    <t>2.47%</t>
  </si>
  <si>
    <t>CHAPMAN CHARLES J III</t>
  </si>
  <si>
    <t>FLUG JEFFREY S</t>
  </si>
  <si>
    <t>FOGERTEY KATHERINE IRENE</t>
  </si>
  <si>
    <t>GARUTTI RANDALL J</t>
  </si>
  <si>
    <t>LAWRENCE JEFFREY D</t>
  </si>
  <si>
    <t>LYONS JENNA</t>
  </si>
  <si>
    <t>MEYER DANIEL HARRIS</t>
  </si>
  <si>
    <t>SILVERMAN JOSHUA G</t>
  </si>
  <si>
    <t>SOKOLOFF JONATHAN D</t>
  </si>
  <si>
    <t>VIVIAN ROBERT THOMAS</t>
  </si>
  <si>
    <t>Opening of new Shacks</t>
  </si>
  <si>
    <t>Same-Shack Sales (SSS)</t>
  </si>
  <si>
    <t>Average Weekly Sales (AWS)</t>
  </si>
  <si>
    <t>500 global units</t>
  </si>
  <si>
    <t>System-wide Sales</t>
  </si>
  <si>
    <t>Planning to open 80 shacks in FY24</t>
  </si>
  <si>
    <t>Company or Licensing/Franchising</t>
  </si>
  <si>
    <t>Average Weekly Sales</t>
  </si>
  <si>
    <t>Same-Shack Sales</t>
  </si>
  <si>
    <t>Q324</t>
  </si>
  <si>
    <t>Q424</t>
  </si>
  <si>
    <t>Licensed Sales</t>
  </si>
  <si>
    <t>Locations</t>
  </si>
  <si>
    <t>Shacks comparable Base</t>
  </si>
  <si>
    <t>Company operated</t>
  </si>
  <si>
    <t>Licensed</t>
  </si>
  <si>
    <t>Domestic</t>
  </si>
  <si>
    <t>International</t>
  </si>
  <si>
    <t>Total</t>
  </si>
  <si>
    <t>Shack Sales</t>
  </si>
  <si>
    <t>Licensing Revenue</t>
  </si>
  <si>
    <t>Food &amp; Paper</t>
  </si>
  <si>
    <t>Labor &amp; related</t>
  </si>
  <si>
    <t>Occupancy</t>
  </si>
  <si>
    <t>Pre-opening Cost</t>
  </si>
  <si>
    <t>Impairment</t>
  </si>
  <si>
    <t>Other income</t>
  </si>
  <si>
    <t>Interest Expense</t>
  </si>
  <si>
    <t>Marketable Securities</t>
  </si>
  <si>
    <t>Deferred income tax</t>
  </si>
  <si>
    <t>Accrued Expense</t>
  </si>
  <si>
    <t>Accrued Wages</t>
  </si>
  <si>
    <t>Operating lease</t>
  </si>
  <si>
    <t>Long-term debt</t>
  </si>
  <si>
    <t>Long-term operating lease</t>
  </si>
  <si>
    <t>Liab under tax</t>
  </si>
  <si>
    <t>Debt y/y</t>
  </si>
  <si>
    <t>Other opex</t>
  </si>
  <si>
    <t>Shack Sales y/y</t>
  </si>
  <si>
    <t>Licensing Revenue y/y</t>
  </si>
  <si>
    <t>Company Operated y/y</t>
  </si>
  <si>
    <t>Licensing y/y</t>
  </si>
  <si>
    <t>Licensed Sales y/y</t>
  </si>
  <si>
    <t>COGS Breakdown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</si>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</sst>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6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6" borderId="0" xfId="0" applyFill="1"/>
    <xf numFmtId="10" fontId="0" fillId="0" borderId="2" xfId="1" applyNumberFormat="1" applyFont="1" applyBorder="1"/>
    <xf numFmtId="10" fontId="2" fillId="0" borderId="0" xfId="1" applyNumberFormat="1" applyFont="1" applyBorder="1"/>
    <xf numFmtId="3" fontId="0" fillId="0" borderId="0" xfId="0" applyNumberFormat="1" applyBorder="1"/>
    <xf numFmtId="3" fontId="5" fillId="0" borderId="0" xfId="0" applyNumberFormat="1" applyFont="1" applyFill="1"/>
    <xf numFmtId="10" fontId="0" fillId="7" borderId="0" xfId="1" applyNumberFormat="1" applyFont="1" applyFill="1" applyBorder="1"/>
    <xf numFmtId="10" fontId="0" fillId="7" borderId="2" xfId="1" applyNumberFormat="1" applyFont="1" applyFill="1" applyBorder="1"/>
    <xf numFmtId="3" fontId="0" fillId="0" borderId="0" xfId="0" applyNumberFormat="1" applyFont="1"/>
    <xf numFmtId="9" fontId="0" fillId="0" borderId="0" xfId="1" applyNumberFormat="1" applyFont="1"/>
    <xf numFmtId="9" fontId="0" fillId="3" borderId="0" xfId="1" applyNumberFormat="1" applyFont="1" applyFill="1"/>
    <xf numFmtId="10" fontId="0" fillId="0" borderId="0" xfId="1" applyNumberFormat="1" applyFont="1" applyBorder="1"/>
    <xf numFmtId="9" fontId="0" fillId="0" borderId="0" xfId="1" applyFont="1" applyFill="1" applyBorder="1"/>
    <xf numFmtId="10" fontId="0" fillId="0" borderId="0" xfId="1" applyNumberFormat="1" applyFont="1" applyFill="1" applyBorder="1"/>
    <xf numFmtId="0" fontId="0" fillId="12" borderId="0" xfId="0" applyFill="1"/>
    <xf numFmtId="0" fontId="0" fillId="12" borderId="1" xfId="0" applyFill="1" applyBorder="1"/>
    <xf numFmtId="9" fontId="0" fillId="12" borderId="2" xfId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Model!$L$5:$X$5</c:f>
              <c:numCache>
                <c:formatCode>#,##0</c:formatCode>
                <c:ptCount val="13"/>
                <c:pt idx="4">
                  <c:v>203.39099999999999</c:v>
                </c:pt>
                <c:pt idx="5">
                  <c:v>230.75200000000001</c:v>
                </c:pt>
                <c:pt idx="6">
                  <c:v>227.81399999999999</c:v>
                </c:pt>
                <c:pt idx="7">
                  <c:v>238.52900000000002</c:v>
                </c:pt>
                <c:pt idx="8">
                  <c:v>253.27799999999999</c:v>
                </c:pt>
                <c:pt idx="9">
                  <c:v>271.80500000000001</c:v>
                </c:pt>
                <c:pt idx="10">
                  <c:v>276.20699999999999</c:v>
                </c:pt>
                <c:pt idx="11">
                  <c:v>286.24299999999999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Model!$L$28:$X$28</c:f>
              <c:numCache>
                <c:formatCode>0%</c:formatCode>
                <c:ptCount val="13"/>
                <c:pt idx="8">
                  <c:v>0.24527633966104689</c:v>
                </c:pt>
                <c:pt idx="9">
                  <c:v>0.1779096172514214</c:v>
                </c:pt>
                <c:pt idx="10">
                  <c:v>0.21242329268613869</c:v>
                </c:pt>
                <c:pt idx="11">
                  <c:v>0.20003437737130492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Model!$C$5:$H$5</c:f>
              <c:numCache>
                <c:formatCode>#,##0</c:formatCode>
                <c:ptCount val="6"/>
                <c:pt idx="0">
                  <c:v>594.51900000000001</c:v>
                </c:pt>
                <c:pt idx="1">
                  <c:v>522.86699999999996</c:v>
                </c:pt>
                <c:pt idx="2">
                  <c:v>739.89300000000003</c:v>
                </c:pt>
                <c:pt idx="3">
                  <c:v>900.48599999999999</c:v>
                </c:pt>
                <c:pt idx="4">
                  <c:v>1087.5329999999999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Model!$C$28:$H$28</c:f>
              <c:numCache>
                <c:formatCode>0%</c:formatCode>
                <c:ptCount val="6"/>
                <c:pt idx="1">
                  <c:v>-0.12052095896010062</c:v>
                </c:pt>
                <c:pt idx="2">
                  <c:v>0.41506922410479152</c:v>
                </c:pt>
                <c:pt idx="3">
                  <c:v>0.21704895167274185</c:v>
                </c:pt>
                <c:pt idx="4">
                  <c:v>0.20771783237051977</c:v>
                </c:pt>
                <c:pt idx="5">
                  <c:v>0.14939040930252245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Model!$L$22:$X$22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-10.162000000000003</c:v>
                </c:pt>
                <c:pt idx="5">
                  <c:v>-1.1879999999999882</c:v>
                </c:pt>
                <c:pt idx="6">
                  <c:v>-2.0240000000000218</c:v>
                </c:pt>
                <c:pt idx="7">
                  <c:v>-7.8550000000000217</c:v>
                </c:pt>
                <c:pt idx="8">
                  <c:v>-1.5339999999999927</c:v>
                </c:pt>
                <c:pt idx="9">
                  <c:v>6.9479999999999906</c:v>
                </c:pt>
                <c:pt idx="10">
                  <c:v>7.6269999999999243</c:v>
                </c:pt>
                <c:pt idx="11">
                  <c:v>7.222999999999983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Model!$L$26:$X$26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0.17992438210146944</c:v>
                </c:pt>
                <c:pt idx="5">
                  <c:v>0.21714221328525862</c:v>
                </c:pt>
                <c:pt idx="6">
                  <c:v>0.19482999288893565</c:v>
                </c:pt>
                <c:pt idx="7">
                  <c:v>0.21926055112795506</c:v>
                </c:pt>
                <c:pt idx="8">
                  <c:v>0.2121108031491088</c:v>
                </c:pt>
                <c:pt idx="9">
                  <c:v>0.23891024815584705</c:v>
                </c:pt>
                <c:pt idx="10">
                  <c:v>0.2360077767761134</c:v>
                </c:pt>
                <c:pt idx="11">
                  <c:v>0.22741516823118824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Model!$C$22:$H$22</c:f>
              <c:numCache>
                <c:formatCode>#,##0</c:formatCode>
                <c:ptCount val="6"/>
                <c:pt idx="0">
                  <c:v>19.827000000000059</c:v>
                </c:pt>
                <c:pt idx="1">
                  <c:v>-42.158000000000087</c:v>
                </c:pt>
                <c:pt idx="2">
                  <c:v>-4.560999999999952</c:v>
                </c:pt>
                <c:pt idx="3">
                  <c:v>-21.229000000000003</c:v>
                </c:pt>
                <c:pt idx="4">
                  <c:v>20.263999999999591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Model!$C$32:$H$32</c:f>
              <c:numCache>
                <c:formatCode>0%</c:formatCode>
                <c:ptCount val="6"/>
                <c:pt idx="1">
                  <c:v>3.1262924295153054</c:v>
                </c:pt>
                <c:pt idx="2">
                  <c:v>0.891811755775892</c:v>
                </c:pt>
                <c:pt idx="3">
                  <c:v>-5.6544617408463553</c:v>
                </c:pt>
                <c:pt idx="4">
                  <c:v>1</c:v>
                </c:pt>
                <c:pt idx="5">
                  <c:v>0.3227852348993554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Model!$B$29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Model!$L$29:$V$29</c15:sqref>
                  </c15:fullRef>
                </c:ext>
              </c:extLst>
              <c:f>Model!$N$29:$V$29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0.154313612696727</c:v>
                </c:pt>
                <c:pt idx="3">
                  <c:v>0.12778654139509082</c:v>
                </c:pt>
                <c:pt idx="4">
                  <c:v>0.11821485949063711</c:v>
                </c:pt>
                <c:pt idx="5">
                  <c:v>0.13501502961904008</c:v>
                </c:pt>
                <c:pt idx="6">
                  <c:v>0.1236230545092744</c:v>
                </c:pt>
                <c:pt idx="7">
                  <c:v>0.11580360920512867</c:v>
                </c:pt>
                <c:pt idx="8">
                  <c:v>0.11201381572516265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-21,52%</c:v>
                </c:pt>
                <c:pt idx="1">
                  <c:v>-21,52% to -17,13%</c:v>
                </c:pt>
                <c:pt idx="2">
                  <c:v>-17,13% to -12,75%</c:v>
                </c:pt>
                <c:pt idx="3">
                  <c:v>-12,75% to -8,36%</c:v>
                </c:pt>
                <c:pt idx="4">
                  <c:v>-8,36% to -3,97%</c:v>
                </c:pt>
                <c:pt idx="5">
                  <c:v>-3,97% to 0,41%</c:v>
                </c:pt>
                <c:pt idx="6">
                  <c:v>0,41% to 4,80%</c:v>
                </c:pt>
                <c:pt idx="7">
                  <c:v>4,80% to 9,19%</c:v>
                </c:pt>
                <c:pt idx="8">
                  <c:v>9,19% to 13,57%</c:v>
                </c:pt>
                <c:pt idx="9">
                  <c:v>13,57% to 17,96%</c:v>
                </c:pt>
                <c:pt idx="10">
                  <c:v>17,96% to 22,35%</c:v>
                </c:pt>
                <c:pt idx="11">
                  <c:v>Greater than 22,35%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24</c:v>
                </c:pt>
                <c:pt idx="4">
                  <c:v>69</c:v>
                </c:pt>
                <c:pt idx="5">
                  <c:v>153</c:v>
                </c:pt>
                <c:pt idx="6">
                  <c:v>125</c:v>
                </c:pt>
                <c:pt idx="7">
                  <c:v>52</c:v>
                </c:pt>
                <c:pt idx="8">
                  <c:v>26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G23" sqref="G2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2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45400</v>
      </c>
      <c r="E3" s="5" t="s">
        <v>158</v>
      </c>
      <c r="F3" s="28" t="s">
        <v>159</v>
      </c>
      <c r="H3" t="s">
        <v>178</v>
      </c>
      <c r="I3" s="10">
        <v>1619</v>
      </c>
      <c r="J3" s="39"/>
      <c r="L3" s="5" t="s">
        <v>138</v>
      </c>
      <c r="M3" t="s">
        <v>139</v>
      </c>
      <c r="N3" s="38"/>
    </row>
    <row r="4" spans="2:14" x14ac:dyDescent="0.25">
      <c r="B4" s="5"/>
      <c r="C4" s="21">
        <v>0.75763888888888886</v>
      </c>
      <c r="E4" s="5" t="s">
        <v>160</v>
      </c>
      <c r="F4" s="28" t="s">
        <v>161</v>
      </c>
      <c r="H4" t="s">
        <v>179</v>
      </c>
      <c r="I4" s="10">
        <v>3754</v>
      </c>
      <c r="J4" s="39"/>
      <c r="L4" s="5" t="s">
        <v>140</v>
      </c>
      <c r="M4" t="s">
        <v>141</v>
      </c>
      <c r="N4" s="13"/>
    </row>
    <row r="5" spans="2:14" x14ac:dyDescent="0.25">
      <c r="B5" s="5"/>
      <c r="C5" s="13"/>
      <c r="E5" s="5" t="s">
        <v>162</v>
      </c>
      <c r="F5" s="28" t="s">
        <v>163</v>
      </c>
      <c r="H5" t="s">
        <v>180</v>
      </c>
      <c r="I5" s="10">
        <v>40664</v>
      </c>
      <c r="J5" s="39"/>
      <c r="L5" s="5" t="s">
        <v>142</v>
      </c>
      <c r="M5" t="s">
        <v>143</v>
      </c>
      <c r="N5" s="13"/>
    </row>
    <row r="6" spans="2:14" x14ac:dyDescent="0.25">
      <c r="B6" s="5" t="s">
        <v>0</v>
      </c>
      <c r="C6" s="13">
        <v>96.53</v>
      </c>
      <c r="E6" s="5" t="s">
        <v>164</v>
      </c>
      <c r="F6" s="28" t="s">
        <v>165</v>
      </c>
      <c r="H6" t="s">
        <v>181</v>
      </c>
      <c r="I6" s="10">
        <v>293523</v>
      </c>
      <c r="J6" s="39"/>
      <c r="L6" s="5" t="s">
        <v>144</v>
      </c>
      <c r="M6" t="s">
        <v>145</v>
      </c>
      <c r="N6" s="13"/>
    </row>
    <row r="7" spans="2:14" x14ac:dyDescent="0.25">
      <c r="B7" s="5" t="s">
        <v>1</v>
      </c>
      <c r="C7" s="15">
        <f>Model!G23</f>
        <v>39.418999999999997</v>
      </c>
      <c r="E7" s="5" t="s">
        <v>166</v>
      </c>
      <c r="F7" s="28" t="s">
        <v>167</v>
      </c>
      <c r="H7" t="s">
        <v>182</v>
      </c>
      <c r="I7" s="10">
        <v>1610</v>
      </c>
      <c r="J7" s="39"/>
      <c r="L7" s="5" t="s">
        <v>146</v>
      </c>
      <c r="M7" t="s">
        <v>147</v>
      </c>
      <c r="N7" s="13"/>
    </row>
    <row r="8" spans="2:14" x14ac:dyDescent="0.25">
      <c r="B8" s="5" t="s">
        <v>2</v>
      </c>
      <c r="C8" s="15">
        <f>C6*C7</f>
        <v>3805.1160699999996</v>
      </c>
      <c r="E8" s="5" t="s">
        <v>168</v>
      </c>
      <c r="F8" s="28" t="s">
        <v>169</v>
      </c>
      <c r="H8" t="s">
        <v>183</v>
      </c>
      <c r="I8" s="10">
        <v>8273</v>
      </c>
      <c r="J8" s="39"/>
      <c r="L8" s="5" t="s">
        <v>148</v>
      </c>
      <c r="M8" t="s">
        <v>149</v>
      </c>
      <c r="N8" s="13"/>
    </row>
    <row r="9" spans="2:14" x14ac:dyDescent="0.25">
      <c r="B9" s="5" t="s">
        <v>3</v>
      </c>
      <c r="C9" s="15">
        <f>Model!G43+Model!G44</f>
        <v>293.214</v>
      </c>
      <c r="E9" s="5" t="s">
        <v>170</v>
      </c>
      <c r="F9" s="28" t="s">
        <v>171</v>
      </c>
      <c r="H9" t="s">
        <v>184</v>
      </c>
      <c r="I9" s="10">
        <v>0</v>
      </c>
      <c r="J9" s="39"/>
      <c r="L9" s="5" t="s">
        <v>150</v>
      </c>
      <c r="M9" t="s">
        <v>151</v>
      </c>
      <c r="N9" s="13"/>
    </row>
    <row r="10" spans="2:14" x14ac:dyDescent="0.25">
      <c r="B10" s="5" t="s">
        <v>4</v>
      </c>
      <c r="C10" s="15">
        <f>Model!G60</f>
        <v>245.636</v>
      </c>
      <c r="E10" s="5" t="s">
        <v>172</v>
      </c>
      <c r="F10" s="28" t="s">
        <v>173</v>
      </c>
      <c r="H10" t="s">
        <v>185</v>
      </c>
      <c r="I10" s="10">
        <v>7865</v>
      </c>
      <c r="J10" s="39"/>
      <c r="L10" s="5" t="s">
        <v>152</v>
      </c>
      <c r="M10" t="s">
        <v>153</v>
      </c>
      <c r="N10" s="13"/>
    </row>
    <row r="11" spans="2:14" x14ac:dyDescent="0.25">
      <c r="B11" s="5" t="s">
        <v>39</v>
      </c>
      <c r="C11" s="15">
        <f>C9-C10</f>
        <v>47.578000000000003</v>
      </c>
      <c r="E11" s="5" t="s">
        <v>174</v>
      </c>
      <c r="F11" s="28" t="s">
        <v>175</v>
      </c>
      <c r="H11" t="s">
        <v>186</v>
      </c>
      <c r="I11" s="10">
        <v>5616</v>
      </c>
      <c r="J11" s="39"/>
      <c r="L11" s="5" t="s">
        <v>154</v>
      </c>
      <c r="M11" t="s">
        <v>155</v>
      </c>
      <c r="N11" s="13"/>
    </row>
    <row r="12" spans="2:14" x14ac:dyDescent="0.25">
      <c r="B12" s="5" t="s">
        <v>5</v>
      </c>
      <c r="C12" s="15">
        <f>C8-C9+C10</f>
        <v>3757.5380699999996</v>
      </c>
      <c r="E12" s="5" t="s">
        <v>176</v>
      </c>
      <c r="F12" s="28" t="s">
        <v>177</v>
      </c>
      <c r="H12" t="s">
        <v>187</v>
      </c>
      <c r="I12" s="10">
        <v>33487</v>
      </c>
      <c r="J12" s="13"/>
      <c r="L12" s="5" t="s">
        <v>156</v>
      </c>
      <c r="M12" t="s">
        <v>157</v>
      </c>
      <c r="N12" s="13"/>
    </row>
    <row r="13" spans="2:14" x14ac:dyDescent="0.25">
      <c r="B13" s="5" t="s">
        <v>50</v>
      </c>
      <c r="C13" s="36">
        <f>C6/Model!G24</f>
        <v>187.77714518358056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C6/Model!H25</f>
        <v>141.95588235294116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>
        <f>C6/Model!I25</f>
        <v>101.61052631578949</v>
      </c>
    </row>
    <row r="16" spans="2:14" x14ac:dyDescent="0.25">
      <c r="B16" s="5" t="s">
        <v>46</v>
      </c>
      <c r="C16" s="6">
        <f>Model!H25/Model!G24-1</f>
        <v>0.3227852348993554</v>
      </c>
    </row>
    <row r="17" spans="2:14" x14ac:dyDescent="0.25">
      <c r="B17" s="5" t="s">
        <v>47</v>
      </c>
      <c r="C17" s="6">
        <f>Model!I25/Model!H25-1</f>
        <v>0.39705882352941169</v>
      </c>
      <c r="E17" s="33" t="s">
        <v>57</v>
      </c>
      <c r="L17" s="127"/>
      <c r="M17" s="128"/>
      <c r="N17" s="129"/>
    </row>
    <row r="18" spans="2:14" x14ac:dyDescent="0.25">
      <c r="B18" s="5" t="s">
        <v>71</v>
      </c>
      <c r="C18" s="53">
        <f>C14/(C16*100)</f>
        <v>4.3978431168700478</v>
      </c>
      <c r="E18" t="s">
        <v>188</v>
      </c>
      <c r="L18" s="130"/>
      <c r="M18" s="131"/>
      <c r="N18" s="132"/>
    </row>
    <row r="19" spans="2:14" x14ac:dyDescent="0.25">
      <c r="B19" s="5" t="s">
        <v>72</v>
      </c>
      <c r="C19" s="53">
        <f>C15/(C17*100)</f>
        <v>2.5590799220272915</v>
      </c>
      <c r="E19" t="s">
        <v>189</v>
      </c>
      <c r="L19" s="130"/>
      <c r="M19" s="131"/>
      <c r="N19" s="132"/>
    </row>
    <row r="20" spans="2:14" x14ac:dyDescent="0.25">
      <c r="B20" s="5" t="s">
        <v>84</v>
      </c>
      <c r="C20" s="6">
        <f>Model!H6/Model!G5-1</f>
        <v>0.14939040930252245</v>
      </c>
      <c r="E20" t="s">
        <v>190</v>
      </c>
      <c r="L20" s="130"/>
      <c r="M20" s="131"/>
      <c r="N20" s="132"/>
    </row>
    <row r="21" spans="2:14" x14ac:dyDescent="0.25">
      <c r="B21" s="5" t="s">
        <v>85</v>
      </c>
      <c r="C21" s="6">
        <f>Model!I6/Model!H6-1</f>
        <v>0.15199999999999991</v>
      </c>
      <c r="L21" s="130"/>
      <c r="M21" s="131"/>
      <c r="N21" s="132"/>
    </row>
    <row r="22" spans="2:14" x14ac:dyDescent="0.25">
      <c r="B22" s="5" t="s">
        <v>73</v>
      </c>
      <c r="C22" s="15">
        <f>Model!G16+Model!G13</f>
        <v>97.162999999999599</v>
      </c>
      <c r="L22" s="130"/>
      <c r="M22" s="131"/>
      <c r="N22" s="132"/>
    </row>
    <row r="23" spans="2:14" x14ac:dyDescent="0.25">
      <c r="B23" s="5" t="s">
        <v>19</v>
      </c>
      <c r="C23" s="15">
        <f>Model!G19</f>
        <v>16.979999999999592</v>
      </c>
      <c r="L23" s="130"/>
      <c r="M23" s="131"/>
      <c r="N23" s="132"/>
    </row>
    <row r="24" spans="2:14" x14ac:dyDescent="0.25">
      <c r="B24" s="5" t="s">
        <v>31</v>
      </c>
      <c r="C24" s="7">
        <f>Model!G26</f>
        <v>0.2289061573303981</v>
      </c>
      <c r="L24" s="130"/>
      <c r="M24" s="131"/>
      <c r="N24" s="132"/>
    </row>
    <row r="25" spans="2:14" x14ac:dyDescent="0.25">
      <c r="B25" s="5" t="s">
        <v>32</v>
      </c>
      <c r="C25" s="7">
        <f>Model!G27</f>
        <v>1.8632997803284677E-2</v>
      </c>
      <c r="L25" s="130"/>
      <c r="M25" s="131"/>
      <c r="N25" s="132"/>
    </row>
    <row r="26" spans="2:14" x14ac:dyDescent="0.25">
      <c r="B26" s="5" t="s">
        <v>74</v>
      </c>
      <c r="C26" s="36">
        <f>C12/C23</f>
        <v>221.29199469965195</v>
      </c>
      <c r="L26" s="130"/>
      <c r="M26" s="131"/>
      <c r="N26" s="132"/>
    </row>
    <row r="27" spans="2:14" x14ac:dyDescent="0.25">
      <c r="B27" s="5" t="s">
        <v>86</v>
      </c>
      <c r="C27" s="122">
        <f>Model!G60/Model!G65</f>
        <v>0.52333127383514055</v>
      </c>
      <c r="E27" t="s">
        <v>76</v>
      </c>
      <c r="L27" s="130"/>
      <c r="M27" s="131"/>
      <c r="N27" s="132"/>
    </row>
    <row r="28" spans="2:14" x14ac:dyDescent="0.25">
      <c r="B28" s="5" t="s">
        <v>87</v>
      </c>
      <c r="C28" s="36">
        <f>Model!G22/-Model!G18</f>
        <v>11.801980198019564</v>
      </c>
      <c r="E28" t="s">
        <v>191</v>
      </c>
      <c r="L28" s="133"/>
      <c r="M28" s="134"/>
      <c r="N28" s="135"/>
    </row>
    <row r="29" spans="2:14" x14ac:dyDescent="0.25">
      <c r="B29" s="5" t="s">
        <v>88</v>
      </c>
      <c r="C29" s="36">
        <f>Model!G48/Model!G59</f>
        <v>2.038386756629913</v>
      </c>
      <c r="E29" t="s">
        <v>193</v>
      </c>
    </row>
    <row r="30" spans="2:14" x14ac:dyDescent="0.25">
      <c r="B30" s="5" t="s">
        <v>89</v>
      </c>
      <c r="C30" s="36">
        <f>(Model!G43+Model!G44+Model!G45)/Model!G59</f>
        <v>1.8898437833324189</v>
      </c>
      <c r="E30" t="s">
        <v>194</v>
      </c>
    </row>
    <row r="31" spans="2:14" x14ac:dyDescent="0.25">
      <c r="B31" s="160" t="s">
        <v>90</v>
      </c>
      <c r="C31" s="161">
        <f>(Model!G48-Model!G59)/Model!G53</f>
        <v>0.10608977013519881</v>
      </c>
    </row>
    <row r="32" spans="2:14" x14ac:dyDescent="0.25">
      <c r="B32" s="5" t="s">
        <v>91</v>
      </c>
      <c r="C32" s="36">
        <f>(Model!G53-Model!G64)/Main!C7</f>
        <v>11.907202110657302</v>
      </c>
    </row>
    <row r="33" spans="2:3" x14ac:dyDescent="0.25">
      <c r="B33" s="5" t="s">
        <v>92</v>
      </c>
      <c r="C33" s="36">
        <f>Model!G5/Model!G53</f>
        <v>0.67722904343288348</v>
      </c>
    </row>
    <row r="34" spans="2:3" x14ac:dyDescent="0.25">
      <c r="B34" s="5" t="s">
        <v>93</v>
      </c>
      <c r="C34" s="39">
        <f>Model!G22/Model!G53</f>
        <v>1.2618807278605499E-2</v>
      </c>
    </row>
    <row r="35" spans="2:3" x14ac:dyDescent="0.25">
      <c r="B35" s="5" t="s">
        <v>94</v>
      </c>
      <c r="C35" s="39">
        <f>Model!G22/Model!G65</f>
        <v>4.3172763491487708E-2</v>
      </c>
    </row>
    <row r="36" spans="2:3" x14ac:dyDescent="0.25">
      <c r="B36" s="22" t="s">
        <v>95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6"/>
  <sheetViews>
    <sheetView zoomScaleNormal="100" workbookViewId="0">
      <pane xSplit="2" ySplit="2" topLeftCell="C39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40</v>
      </c>
    </row>
    <row r="2" spans="1:25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70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3" t="s">
        <v>43</v>
      </c>
      <c r="X2" t="s">
        <v>66</v>
      </c>
      <c r="Y2" t="s">
        <v>69</v>
      </c>
    </row>
    <row r="3" spans="1:25" x14ac:dyDescent="0.25">
      <c r="B3" s="9" t="s">
        <v>207</v>
      </c>
      <c r="C3" s="149">
        <v>574.625</v>
      </c>
      <c r="D3" s="149">
        <v>506.339</v>
      </c>
      <c r="E3" s="149">
        <v>714.98900000000003</v>
      </c>
      <c r="F3" s="149">
        <v>869.27</v>
      </c>
      <c r="G3" s="15">
        <v>1046.819</v>
      </c>
      <c r="P3" s="10">
        <v>196.791</v>
      </c>
      <c r="Q3" s="10">
        <v>223.054</v>
      </c>
      <c r="R3" s="10">
        <v>219.501</v>
      </c>
      <c r="S3" s="10">
        <f>F3-R3-Q3-P3</f>
        <v>229.92400000000004</v>
      </c>
      <c r="T3" s="10">
        <v>244.25399999999999</v>
      </c>
      <c r="U3" s="10">
        <v>261.81</v>
      </c>
      <c r="V3" s="10">
        <v>264.98</v>
      </c>
      <c r="W3" s="15">
        <f>G3-V3-U3-T3</f>
        <v>275.77499999999998</v>
      </c>
    </row>
    <row r="4" spans="1:25" x14ac:dyDescent="0.25">
      <c r="B4" s="9" t="s">
        <v>208</v>
      </c>
      <c r="C4" s="149">
        <v>19.893999999999998</v>
      </c>
      <c r="D4" s="149">
        <v>16.527999999999999</v>
      </c>
      <c r="E4" s="149">
        <v>24.904</v>
      </c>
      <c r="F4" s="149">
        <v>31.216000000000001</v>
      </c>
      <c r="G4" s="15">
        <v>40.713999999999999</v>
      </c>
      <c r="P4" s="10">
        <v>6.6</v>
      </c>
      <c r="Q4" s="10">
        <v>7.6980000000000004</v>
      </c>
      <c r="R4" s="10">
        <v>8.3130000000000006</v>
      </c>
      <c r="S4" s="10">
        <f>F4-R4-Q4-P4</f>
        <v>8.6049999999999986</v>
      </c>
      <c r="T4" s="10">
        <v>9.0239999999999991</v>
      </c>
      <c r="U4" s="10">
        <v>9.9949999999999992</v>
      </c>
      <c r="V4" s="10">
        <v>11.227</v>
      </c>
      <c r="W4" s="15">
        <f>G4-V4-U4-T4</f>
        <v>10.467999999999998</v>
      </c>
    </row>
    <row r="5" spans="1:25" s="1" customFormat="1" x14ac:dyDescent="0.25">
      <c r="B5" s="1" t="s">
        <v>17</v>
      </c>
      <c r="C5" s="11">
        <f>SUM(C3:C4)</f>
        <v>594.51900000000001</v>
      </c>
      <c r="D5" s="11">
        <f>SUM(D3:D4)</f>
        <v>522.86699999999996</v>
      </c>
      <c r="E5" s="11">
        <f>SUM(E3:E4)</f>
        <v>739.89300000000003</v>
      </c>
      <c r="F5" s="11">
        <f>SUM(F3:F4)</f>
        <v>900.48599999999999</v>
      </c>
      <c r="G5" s="14">
        <f>SUM(G3:G4)</f>
        <v>1087.5329999999999</v>
      </c>
      <c r="H5" s="44"/>
      <c r="I5" s="44"/>
      <c r="L5" s="11"/>
      <c r="M5" s="11"/>
      <c r="N5" s="11"/>
      <c r="O5" s="11"/>
      <c r="P5" s="11">
        <f t="shared" ref="P5:Q5" si="0">SUM(P3:P4)</f>
        <v>203.39099999999999</v>
      </c>
      <c r="Q5" s="11">
        <f t="shared" si="0"/>
        <v>230.75200000000001</v>
      </c>
      <c r="R5" s="11">
        <f>SUM(R3:R4)</f>
        <v>227.81399999999999</v>
      </c>
      <c r="S5" s="11">
        <f t="shared" ref="S5:U5" si="1">SUM(S3:S4)</f>
        <v>238.52900000000002</v>
      </c>
      <c r="T5" s="11">
        <f t="shared" si="1"/>
        <v>253.27799999999999</v>
      </c>
      <c r="U5" s="11">
        <f t="shared" si="1"/>
        <v>271.80500000000001</v>
      </c>
      <c r="V5" s="11">
        <f>SUM(V3:V4)</f>
        <v>276.20699999999999</v>
      </c>
      <c r="W5" s="11">
        <f>SUM(W3:W4)</f>
        <v>286.24299999999999</v>
      </c>
      <c r="X5" s="11"/>
    </row>
    <row r="6" spans="1:25" x14ac:dyDescent="0.25">
      <c r="B6" s="9" t="s">
        <v>68</v>
      </c>
      <c r="C6" s="10"/>
      <c r="D6" s="10"/>
      <c r="E6" s="10"/>
      <c r="F6" s="10"/>
      <c r="G6" s="15"/>
      <c r="H6" s="43">
        <v>1250</v>
      </c>
      <c r="I6" s="43">
        <v>1440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15"/>
      <c r="X6" s="10"/>
      <c r="Y6" s="41"/>
    </row>
    <row r="7" spans="1:25" x14ac:dyDescent="0.25">
      <c r="B7" s="9" t="s">
        <v>209</v>
      </c>
      <c r="C7" s="10">
        <v>168.17599999999999</v>
      </c>
      <c r="D7" s="10">
        <v>153.33500000000001</v>
      </c>
      <c r="E7" s="10">
        <v>218.262</v>
      </c>
      <c r="F7" s="10">
        <v>261.584</v>
      </c>
      <c r="G7" s="15">
        <v>305.041</v>
      </c>
      <c r="H7" s="150"/>
      <c r="I7" s="150"/>
      <c r="L7" s="41"/>
      <c r="M7" s="153"/>
      <c r="N7" s="153"/>
      <c r="O7" s="153"/>
      <c r="P7" s="153">
        <v>59.884</v>
      </c>
      <c r="Q7" s="153">
        <v>65.986999999999995</v>
      </c>
      <c r="R7" s="153">
        <v>67.774000000000001</v>
      </c>
      <c r="S7" s="10">
        <f t="shared" ref="S7:S10" si="2">F7-R7-Q7-P7</f>
        <v>67.939000000000007</v>
      </c>
      <c r="T7" s="153">
        <v>71.772000000000006</v>
      </c>
      <c r="U7" s="153">
        <v>75.8</v>
      </c>
      <c r="V7" s="153">
        <v>77.180000000000007</v>
      </c>
      <c r="W7" s="15">
        <f t="shared" ref="W7:W10" si="3">G7-V7-U7-T7</f>
        <v>80.288999999999973</v>
      </c>
      <c r="X7" s="10"/>
      <c r="Y7" s="41"/>
    </row>
    <row r="8" spans="1:25" x14ac:dyDescent="0.25">
      <c r="B8" s="9" t="s">
        <v>210</v>
      </c>
      <c r="C8" s="10">
        <v>160.81100000000001</v>
      </c>
      <c r="D8" s="10">
        <v>156.81399999999999</v>
      </c>
      <c r="E8" s="10">
        <v>215.114</v>
      </c>
      <c r="F8" s="10">
        <v>257.358</v>
      </c>
      <c r="G8" s="15">
        <v>304.25400000000002</v>
      </c>
      <c r="H8" s="150"/>
      <c r="I8" s="150"/>
      <c r="L8" s="41"/>
      <c r="M8" s="153"/>
      <c r="N8" s="153"/>
      <c r="O8" s="153"/>
      <c r="P8" s="153">
        <v>60.465000000000003</v>
      </c>
      <c r="Q8" s="153">
        <v>65.850999999999999</v>
      </c>
      <c r="R8" s="153">
        <v>64.638000000000005</v>
      </c>
      <c r="S8" s="10">
        <f t="shared" si="2"/>
        <v>66.403999999999996</v>
      </c>
      <c r="T8" s="153">
        <v>74.263999999999996</v>
      </c>
      <c r="U8" s="153">
        <v>75.158000000000001</v>
      </c>
      <c r="V8" s="153">
        <v>76.233000000000004</v>
      </c>
      <c r="W8" s="15">
        <f t="shared" si="3"/>
        <v>78.599000000000004</v>
      </c>
      <c r="X8" s="10"/>
      <c r="Y8" s="41"/>
    </row>
    <row r="9" spans="1:25" x14ac:dyDescent="0.25">
      <c r="B9" s="9" t="s">
        <v>225</v>
      </c>
      <c r="C9" s="10">
        <v>69.168999999999997</v>
      </c>
      <c r="D9" s="10">
        <v>73.22</v>
      </c>
      <c r="E9" s="10">
        <v>102.032</v>
      </c>
      <c r="F9" s="10">
        <v>129.65</v>
      </c>
      <c r="G9" s="15">
        <v>149.44900000000001</v>
      </c>
      <c r="H9" s="150"/>
      <c r="I9" s="150"/>
      <c r="L9" s="41"/>
      <c r="M9" s="153"/>
      <c r="N9" s="153"/>
      <c r="O9" s="153"/>
      <c r="P9" s="153">
        <v>30.170999999999999</v>
      </c>
      <c r="Q9" s="153">
        <v>32.151000000000003</v>
      </c>
      <c r="R9" s="153">
        <v>33.68</v>
      </c>
      <c r="S9" s="10">
        <f t="shared" si="2"/>
        <v>33.647999999999996</v>
      </c>
      <c r="T9" s="153">
        <v>34.936</v>
      </c>
      <c r="U9" s="153">
        <v>36.109000000000002</v>
      </c>
      <c r="V9" s="153">
        <v>37.307000000000002</v>
      </c>
      <c r="W9" s="15">
        <f t="shared" si="3"/>
        <v>41.097000000000016</v>
      </c>
      <c r="X9" s="10"/>
      <c r="Y9" s="41"/>
    </row>
    <row r="10" spans="1:25" x14ac:dyDescent="0.25">
      <c r="B10" s="9" t="s">
        <v>211</v>
      </c>
      <c r="C10" s="10">
        <v>48.451000000000001</v>
      </c>
      <c r="D10" s="10">
        <v>51.591999999999999</v>
      </c>
      <c r="E10" s="10">
        <v>59.228000000000002</v>
      </c>
      <c r="F10" s="10">
        <v>68.507999999999996</v>
      </c>
      <c r="G10" s="15">
        <v>79.846000000000004</v>
      </c>
      <c r="H10" s="150"/>
      <c r="I10" s="150"/>
      <c r="L10" s="41"/>
      <c r="M10" s="153"/>
      <c r="N10" s="153"/>
      <c r="O10" s="153"/>
      <c r="P10" s="153">
        <v>16.276</v>
      </c>
      <c r="Q10" s="153">
        <v>16.657</v>
      </c>
      <c r="R10" s="153">
        <v>17.337</v>
      </c>
      <c r="S10" s="10">
        <f t="shared" si="2"/>
        <v>18.237999999999996</v>
      </c>
      <c r="T10" s="153">
        <v>18.582999999999998</v>
      </c>
      <c r="U10" s="153">
        <v>19.800999999999998</v>
      </c>
      <c r="V10" s="153">
        <v>20.3</v>
      </c>
      <c r="W10" s="15">
        <f t="shared" si="3"/>
        <v>21.162000000000006</v>
      </c>
      <c r="X10" s="10"/>
      <c r="Y10" s="41"/>
    </row>
    <row r="11" spans="1:25" s="1" customFormat="1" x14ac:dyDescent="0.25">
      <c r="B11" s="1" t="s">
        <v>62</v>
      </c>
      <c r="C11" s="11">
        <f>SUM(C7:C10)</f>
        <v>446.60699999999997</v>
      </c>
      <c r="D11" s="11">
        <f t="shared" ref="D11:I11" si="4">SUM(D7:D10)</f>
        <v>434.96100000000001</v>
      </c>
      <c r="E11" s="11">
        <f t="shared" si="4"/>
        <v>594.63599999999997</v>
      </c>
      <c r="F11" s="11">
        <f t="shared" si="4"/>
        <v>717.1</v>
      </c>
      <c r="G11" s="14">
        <f t="shared" si="4"/>
        <v>838.59000000000015</v>
      </c>
      <c r="H11" s="11">
        <f t="shared" si="4"/>
        <v>0</v>
      </c>
      <c r="I11" s="11">
        <f t="shared" si="4"/>
        <v>0</v>
      </c>
      <c r="L11" s="11">
        <f t="shared" ref="L11" si="5">SUM(L7:L10)</f>
        <v>0</v>
      </c>
      <c r="M11" s="11">
        <f t="shared" ref="M11" si="6">SUM(M7:M10)</f>
        <v>0</v>
      </c>
      <c r="N11" s="11">
        <f t="shared" ref="N11" si="7">SUM(N7:N10)</f>
        <v>0</v>
      </c>
      <c r="O11" s="11">
        <f t="shared" ref="O11" si="8">SUM(O7:O10)</f>
        <v>0</v>
      </c>
      <c r="P11" s="11">
        <f t="shared" ref="P11" si="9">SUM(P7:P10)</f>
        <v>166.79600000000002</v>
      </c>
      <c r="Q11" s="11">
        <f t="shared" ref="Q11" si="10">SUM(Q7:Q10)</f>
        <v>180.64600000000002</v>
      </c>
      <c r="R11" s="11">
        <f t="shared" ref="R11" si="11">SUM(R7:R10)</f>
        <v>183.429</v>
      </c>
      <c r="S11" s="11">
        <f t="shared" ref="S11" si="12">SUM(S7:S10)</f>
        <v>186.22900000000001</v>
      </c>
      <c r="T11" s="11">
        <f t="shared" ref="T11" si="13">SUM(T7:T10)</f>
        <v>199.55500000000001</v>
      </c>
      <c r="U11" s="11">
        <f t="shared" ref="U11" si="14">SUM(U7:U10)</f>
        <v>206.86799999999999</v>
      </c>
      <c r="V11" s="11">
        <f t="shared" ref="V11" si="15">SUM(V7:V10)</f>
        <v>211.02000000000004</v>
      </c>
      <c r="W11" s="14">
        <f t="shared" ref="W11" si="16">SUM(W7:W10)</f>
        <v>221.14699999999999</v>
      </c>
      <c r="X11" s="11">
        <f t="shared" ref="X11" si="17">SUM(X7:X10)</f>
        <v>0</v>
      </c>
      <c r="Y11" s="11">
        <f t="shared" ref="Y11" si="18">SUM(Y7:Y10)</f>
        <v>0</v>
      </c>
    </row>
    <row r="12" spans="1:25" x14ac:dyDescent="0.25">
      <c r="B12" t="s">
        <v>137</v>
      </c>
      <c r="C12" s="10">
        <v>65.649000000000001</v>
      </c>
      <c r="D12" s="10">
        <v>64.25</v>
      </c>
      <c r="E12" s="10">
        <v>87.195999999999998</v>
      </c>
      <c r="F12" s="10">
        <v>120.009</v>
      </c>
      <c r="G12" s="15">
        <v>129.542</v>
      </c>
      <c r="H12" s="41"/>
      <c r="I12" s="41"/>
      <c r="L12" s="10"/>
      <c r="M12" s="10"/>
      <c r="N12" s="10"/>
      <c r="O12" s="10"/>
      <c r="P12" s="10">
        <v>31.385999999999999</v>
      </c>
      <c r="Q12" s="10">
        <v>29.486999999999998</v>
      </c>
      <c r="R12" s="10">
        <v>26.931000000000001</v>
      </c>
      <c r="S12" s="10">
        <f>F12-R12-Q12-P12</f>
        <v>32.205000000000013</v>
      </c>
      <c r="T12" s="10">
        <v>31.311</v>
      </c>
      <c r="U12" s="10">
        <v>31.475999999999999</v>
      </c>
      <c r="V12" s="10">
        <v>30.939</v>
      </c>
      <c r="W12" s="15">
        <f t="shared" ref="W12:W15" si="19">G12-V12-U12-T12</f>
        <v>35.81600000000001</v>
      </c>
    </row>
    <row r="13" spans="1:25" x14ac:dyDescent="0.25">
      <c r="B13" t="s">
        <v>24</v>
      </c>
      <c r="C13" s="10">
        <v>40.392000000000003</v>
      </c>
      <c r="D13" s="10">
        <v>48.801000000000002</v>
      </c>
      <c r="E13" s="10">
        <v>58.991</v>
      </c>
      <c r="F13" s="10">
        <v>72.796000000000006</v>
      </c>
      <c r="G13" s="15">
        <v>91.242000000000004</v>
      </c>
      <c r="H13" s="41"/>
      <c r="I13" s="41"/>
      <c r="L13" s="10"/>
      <c r="M13" s="10"/>
      <c r="N13" s="10"/>
      <c r="O13" s="10"/>
      <c r="P13" s="10">
        <v>16.855</v>
      </c>
      <c r="Q13" s="10">
        <v>18.087</v>
      </c>
      <c r="R13" s="10">
        <v>18.646999999999998</v>
      </c>
      <c r="S13" s="10">
        <f t="shared" ref="S13:S15" si="20">F13-R13-Q13-P13</f>
        <v>19.207000000000011</v>
      </c>
      <c r="T13" s="10">
        <v>21.321999999999999</v>
      </c>
      <c r="U13" s="10">
        <v>22.251999999999999</v>
      </c>
      <c r="V13" s="10">
        <v>23.13</v>
      </c>
      <c r="W13" s="15">
        <f t="shared" si="19"/>
        <v>24.538000000000014</v>
      </c>
    </row>
    <row r="14" spans="1:25" x14ac:dyDescent="0.25">
      <c r="B14" t="s">
        <v>212</v>
      </c>
      <c r="C14" s="10">
        <v>14.834</v>
      </c>
      <c r="D14" s="10">
        <v>8.58</v>
      </c>
      <c r="E14" s="10">
        <v>13.291</v>
      </c>
      <c r="F14" s="10">
        <v>15.05</v>
      </c>
      <c r="G14" s="15">
        <v>19.231000000000002</v>
      </c>
      <c r="H14" s="10"/>
      <c r="I14" s="10"/>
      <c r="L14" s="10"/>
      <c r="M14" s="10"/>
      <c r="N14" s="10"/>
      <c r="O14" s="10"/>
      <c r="P14" s="10">
        <v>2.7120000000000002</v>
      </c>
      <c r="Q14" s="10">
        <v>2.823</v>
      </c>
      <c r="R14" s="10">
        <v>3.0409999999999999</v>
      </c>
      <c r="S14" s="10">
        <f t="shared" si="20"/>
        <v>6.4740000000000002</v>
      </c>
      <c r="T14" s="10">
        <v>3.5569999999999999</v>
      </c>
      <c r="U14" s="10">
        <v>5.577</v>
      </c>
      <c r="V14" s="10">
        <v>4.9690000000000003</v>
      </c>
      <c r="W14" s="15">
        <f t="shared" si="19"/>
        <v>5.1280000000000001</v>
      </c>
    </row>
    <row r="15" spans="1:25" x14ac:dyDescent="0.25">
      <c r="B15" t="s">
        <v>213</v>
      </c>
      <c r="C15" s="10">
        <v>1.3520000000000001</v>
      </c>
      <c r="D15" s="10">
        <v>10.151</v>
      </c>
      <c r="E15" s="10">
        <v>1.6319999999999999</v>
      </c>
      <c r="F15" s="10">
        <v>2.4249999999999998</v>
      </c>
      <c r="G15" s="15">
        <v>3.0070000000000001</v>
      </c>
      <c r="H15" s="41"/>
      <c r="I15" s="41"/>
      <c r="L15" s="10"/>
      <c r="M15" s="10"/>
      <c r="N15" s="10"/>
      <c r="O15" s="10"/>
      <c r="P15" s="10">
        <v>0.57699999999999996</v>
      </c>
      <c r="Q15" s="10">
        <v>0.52800000000000002</v>
      </c>
      <c r="R15" s="10">
        <v>0.59199999999999997</v>
      </c>
      <c r="S15" s="10">
        <f t="shared" si="20"/>
        <v>0.72799999999999976</v>
      </c>
      <c r="T15" s="10">
        <v>0.72199999999999998</v>
      </c>
      <c r="U15" s="10">
        <v>0.88400000000000001</v>
      </c>
      <c r="V15" s="10">
        <v>0.49199999999999999</v>
      </c>
      <c r="W15" s="15">
        <f t="shared" si="19"/>
        <v>0.90900000000000025</v>
      </c>
    </row>
    <row r="16" spans="1:25" s="1" customFormat="1" x14ac:dyDescent="0.25">
      <c r="B16" s="1" t="s">
        <v>23</v>
      </c>
      <c r="C16" s="11">
        <f>C5-SUM(C11:C15)</f>
        <v>25.685000000000059</v>
      </c>
      <c r="D16" s="11">
        <f t="shared" ref="D16:I16" si="21">D5-SUM(D11:D15)</f>
        <v>-43.87600000000009</v>
      </c>
      <c r="E16" s="11">
        <f t="shared" si="21"/>
        <v>-15.852999999999952</v>
      </c>
      <c r="F16" s="11">
        <f t="shared" si="21"/>
        <v>-26.894000000000005</v>
      </c>
      <c r="G16" s="14">
        <f t="shared" si="21"/>
        <v>5.9209999999995944</v>
      </c>
      <c r="H16" s="11">
        <f t="shared" si="21"/>
        <v>0</v>
      </c>
      <c r="I16" s="11">
        <f t="shared" si="21"/>
        <v>0</v>
      </c>
      <c r="J16" s="11"/>
      <c r="K16" s="11"/>
      <c r="L16" s="11">
        <f t="shared" ref="L16" si="22">L5-SUM(L11:L15)</f>
        <v>0</v>
      </c>
      <c r="M16" s="11">
        <f t="shared" ref="M16" si="23">M5-SUM(M11:M15)</f>
        <v>0</v>
      </c>
      <c r="N16" s="11">
        <f t="shared" ref="N16" si="24">N5-SUM(N11:N15)</f>
        <v>0</v>
      </c>
      <c r="O16" s="11">
        <f t="shared" ref="O16" si="25">O5-SUM(O11:O15)</f>
        <v>0</v>
      </c>
      <c r="P16" s="11">
        <f t="shared" ref="P16" si="26">P5-SUM(P11:P15)</f>
        <v>-14.935000000000002</v>
      </c>
      <c r="Q16" s="11">
        <f t="shared" ref="Q16" si="27">Q5-SUM(Q11:Q15)</f>
        <v>-0.8189999999999884</v>
      </c>
      <c r="R16" s="11">
        <f t="shared" ref="R16" si="28">R5-SUM(R11:R15)</f>
        <v>-4.8260000000000218</v>
      </c>
      <c r="S16" s="11">
        <f t="shared" ref="S16" si="29">S5-SUM(S11:S15)</f>
        <v>-6.3140000000000214</v>
      </c>
      <c r="T16" s="11">
        <f t="shared" ref="T16" si="30">T5-SUM(T11:T15)</f>
        <v>-3.188999999999993</v>
      </c>
      <c r="U16" s="11">
        <f t="shared" ref="U16" si="31">U5-SUM(U11:U15)</f>
        <v>4.7479999999999905</v>
      </c>
      <c r="V16" s="11">
        <f t="shared" ref="V16" si="32">V5-SUM(V11:V15)</f>
        <v>5.6569999999999254</v>
      </c>
      <c r="W16" s="14">
        <f t="shared" ref="W16" si="33">W5-SUM(W11:W15)</f>
        <v>-1.2950000000000159</v>
      </c>
      <c r="X16" s="11">
        <f t="shared" ref="X16" si="34">X5-SUM(X11:X15)</f>
        <v>0</v>
      </c>
      <c r="Y16" s="11">
        <f t="shared" ref="Y16" si="35">Y5-SUM(Y11:Y15)</f>
        <v>0</v>
      </c>
    </row>
    <row r="17" spans="2:25" x14ac:dyDescent="0.25">
      <c r="B17" t="s">
        <v>214</v>
      </c>
      <c r="C17" s="10">
        <v>2.2629999999999999</v>
      </c>
      <c r="D17" s="10">
        <v>-0.78600000000000003</v>
      </c>
      <c r="E17" s="10">
        <v>9.5000000000000001E-2</v>
      </c>
      <c r="F17" s="10">
        <v>4.1269999999999998</v>
      </c>
      <c r="G17" s="15">
        <v>12.776</v>
      </c>
      <c r="H17" s="41"/>
      <c r="I17" s="41"/>
      <c r="L17" s="10"/>
      <c r="M17" s="10"/>
      <c r="N17" s="10"/>
      <c r="O17" s="10"/>
      <c r="P17" s="10">
        <v>-0.28899999999999998</v>
      </c>
      <c r="Q17" s="10">
        <v>0.53800000000000003</v>
      </c>
      <c r="R17" s="10">
        <v>1.482</v>
      </c>
      <c r="S17" s="10">
        <f t="shared" ref="S17:S18" si="36">F17-R17-Q17-P17</f>
        <v>2.3959999999999995</v>
      </c>
      <c r="T17" s="10">
        <v>2.8370000000000002</v>
      </c>
      <c r="U17" s="10">
        <v>3.2269999999999999</v>
      </c>
      <c r="V17" s="10">
        <v>3.4409999999999998</v>
      </c>
      <c r="W17" s="15">
        <f t="shared" ref="W17:W18" si="37">G17-V17-U17-T17</f>
        <v>3.2710000000000004</v>
      </c>
    </row>
    <row r="18" spans="2:25" x14ac:dyDescent="0.25">
      <c r="B18" t="s">
        <v>215</v>
      </c>
      <c r="C18" s="10">
        <v>-0.434</v>
      </c>
      <c r="D18" s="10">
        <v>-0.81499999999999995</v>
      </c>
      <c r="E18" s="10">
        <v>-1.577</v>
      </c>
      <c r="F18" s="10">
        <v>-1.518</v>
      </c>
      <c r="G18" s="15">
        <v>-1.7170000000000001</v>
      </c>
      <c r="H18" s="41"/>
      <c r="I18" s="41"/>
      <c r="L18" s="10"/>
      <c r="M18" s="10"/>
      <c r="N18" s="10"/>
      <c r="O18" s="10"/>
      <c r="P18" s="10">
        <v>-0.35499999999999998</v>
      </c>
      <c r="Q18" s="10">
        <v>-0.315</v>
      </c>
      <c r="R18" s="10">
        <v>-0.47499999999999998</v>
      </c>
      <c r="S18" s="10">
        <f t="shared" si="36"/>
        <v>-0.37300000000000022</v>
      </c>
      <c r="T18" s="10">
        <v>-0.40300000000000002</v>
      </c>
      <c r="U18" s="10">
        <v>-0.40500000000000003</v>
      </c>
      <c r="V18" s="10">
        <v>-0.433</v>
      </c>
      <c r="W18" s="15">
        <f t="shared" si="37"/>
        <v>-0.47599999999999998</v>
      </c>
    </row>
    <row r="19" spans="2:25" s="1" customFormat="1" x14ac:dyDescent="0.25">
      <c r="B19" s="1" t="s">
        <v>19</v>
      </c>
      <c r="C19" s="11">
        <f>C16+SUM(C17:C18)</f>
        <v>27.51400000000006</v>
      </c>
      <c r="D19" s="11">
        <f>D16+SUM(D17:D18)</f>
        <v>-45.477000000000089</v>
      </c>
      <c r="E19" s="11">
        <f>E16+SUM(E17:E18)</f>
        <v>-17.334999999999951</v>
      </c>
      <c r="F19" s="11">
        <f>F16+SUM(F17:F18)</f>
        <v>-24.285000000000004</v>
      </c>
      <c r="G19" s="14">
        <f>G16+SUM(G17:G18)</f>
        <v>16.979999999999592</v>
      </c>
      <c r="H19" s="11">
        <f>H16+SUM(H17:H18)</f>
        <v>0</v>
      </c>
      <c r="I19" s="11">
        <f>I16+SUM(I17:I18)</f>
        <v>0</v>
      </c>
      <c r="L19" s="11">
        <f>L16+SUM(L17:L18)</f>
        <v>0</v>
      </c>
      <c r="M19" s="11">
        <f>M16+SUM(M17:M18)</f>
        <v>0</v>
      </c>
      <c r="N19" s="11">
        <f>N16+SUM(N17:N18)</f>
        <v>0</v>
      </c>
      <c r="O19" s="11">
        <f>O16+SUM(O17:O18)</f>
        <v>0</v>
      </c>
      <c r="P19" s="11">
        <f>P16+SUM(P17:P18)</f>
        <v>-15.579000000000002</v>
      </c>
      <c r="Q19" s="11">
        <f>Q16+SUM(Q17:Q18)</f>
        <v>-0.59599999999998832</v>
      </c>
      <c r="R19" s="11">
        <f>R16+SUM(R17:R18)</f>
        <v>-3.8190000000000217</v>
      </c>
      <c r="S19" s="11">
        <f>S16+SUM(S17:S18)</f>
        <v>-4.2910000000000217</v>
      </c>
      <c r="T19" s="11">
        <f>T16+SUM(T17:T18)</f>
        <v>-0.75499999999999279</v>
      </c>
      <c r="U19" s="11">
        <f>U16+SUM(U17:U18)</f>
        <v>7.5699999999999905</v>
      </c>
      <c r="V19" s="11">
        <f>V16+SUM(V17:V18)</f>
        <v>8.6649999999999245</v>
      </c>
      <c r="W19" s="14">
        <f>W16+SUM(W17:W18)</f>
        <v>1.4999999999999845</v>
      </c>
      <c r="X19" s="11">
        <f>X16+SUM(X17:X18)</f>
        <v>0</v>
      </c>
      <c r="Y19" s="11">
        <f>Y16+SUM(Y17:Y18)</f>
        <v>0</v>
      </c>
    </row>
    <row r="20" spans="2:25" x14ac:dyDescent="0.25">
      <c r="B20" t="s">
        <v>20</v>
      </c>
      <c r="C20" s="10">
        <v>3.3860000000000001</v>
      </c>
      <c r="D20" s="10">
        <v>5.7000000000000002E-2</v>
      </c>
      <c r="E20" s="10">
        <v>-11.318</v>
      </c>
      <c r="F20" s="10">
        <v>-1.18</v>
      </c>
      <c r="G20" s="15">
        <v>-4.01</v>
      </c>
      <c r="H20" s="41"/>
      <c r="I20" s="41"/>
      <c r="L20" s="10"/>
      <c r="M20" s="10"/>
      <c r="N20" s="10"/>
      <c r="O20" s="10"/>
      <c r="P20" s="10">
        <v>-4.2969999999999997</v>
      </c>
      <c r="Q20" s="10">
        <v>0.70699999999999996</v>
      </c>
      <c r="R20" s="10">
        <v>-1.508</v>
      </c>
      <c r="S20" s="10">
        <f t="shared" ref="S20:S21" si="38">F20-R20-Q20-P20</f>
        <v>3.9179999999999997</v>
      </c>
      <c r="T20" s="10">
        <v>0.86699999999999999</v>
      </c>
      <c r="U20" s="10">
        <v>0.34699999999999998</v>
      </c>
      <c r="V20" s="10">
        <v>0.52900000000000003</v>
      </c>
      <c r="W20" s="15">
        <f t="shared" ref="W20:W21" si="39">G20-V20-U20-T20</f>
        <v>-5.7529999999999992</v>
      </c>
    </row>
    <row r="21" spans="2:25" x14ac:dyDescent="0.25">
      <c r="B21" t="s">
        <v>75</v>
      </c>
      <c r="C21" s="10">
        <v>4.3010000000000002</v>
      </c>
      <c r="D21" s="10">
        <v>-3.3759999999999999</v>
      </c>
      <c r="E21" s="10">
        <v>-1.456</v>
      </c>
      <c r="F21" s="10">
        <v>-1.8759999999999999</v>
      </c>
      <c r="G21" s="15">
        <v>0.72599999999999998</v>
      </c>
      <c r="H21" s="41"/>
      <c r="I21" s="41"/>
      <c r="L21" s="10"/>
      <c r="M21" s="10"/>
      <c r="N21" s="10"/>
      <c r="O21" s="10"/>
      <c r="P21" s="10">
        <v>-1.1200000000000001</v>
      </c>
      <c r="Q21" s="10">
        <v>-0.115</v>
      </c>
      <c r="R21" s="10">
        <v>-0.28699999999999998</v>
      </c>
      <c r="S21" s="10">
        <f t="shared" si="38"/>
        <v>-0.35399999999999987</v>
      </c>
      <c r="T21" s="10">
        <v>-8.7999999999999995E-2</v>
      </c>
      <c r="U21" s="10">
        <v>0.27500000000000002</v>
      </c>
      <c r="V21" s="10">
        <v>0.50900000000000001</v>
      </c>
      <c r="W21" s="15">
        <f t="shared" si="39"/>
        <v>2.9999999999999943E-2</v>
      </c>
    </row>
    <row r="22" spans="2:25" s="1" customFormat="1" x14ac:dyDescent="0.25">
      <c r="B22" s="1" t="s">
        <v>21</v>
      </c>
      <c r="C22" s="11">
        <f>C19-SUM(C20:C21)</f>
        <v>19.827000000000059</v>
      </c>
      <c r="D22" s="11">
        <f t="shared" ref="D22:G22" si="40">D19-SUM(D20:D21)</f>
        <v>-42.158000000000087</v>
      </c>
      <c r="E22" s="11">
        <f t="shared" si="40"/>
        <v>-4.560999999999952</v>
      </c>
      <c r="F22" s="11">
        <f t="shared" si="40"/>
        <v>-21.229000000000003</v>
      </c>
      <c r="G22" s="14">
        <f t="shared" si="40"/>
        <v>20.263999999999591</v>
      </c>
      <c r="H22" s="61"/>
      <c r="I22" s="61"/>
      <c r="L22" s="11">
        <f t="shared" ref="L22" si="41">L19-SUM(L20:L21)</f>
        <v>0</v>
      </c>
      <c r="M22" s="11">
        <f t="shared" ref="M22" si="42">M19-SUM(M20:M21)</f>
        <v>0</v>
      </c>
      <c r="N22" s="11">
        <f t="shared" ref="N22" si="43">N19-SUM(N20:N21)</f>
        <v>0</v>
      </c>
      <c r="O22" s="11">
        <f t="shared" ref="O22" si="44">O19-SUM(O20:O21)</f>
        <v>0</v>
      </c>
      <c r="P22" s="11">
        <f t="shared" ref="P22" si="45">P19-SUM(P20:P21)</f>
        <v>-10.162000000000003</v>
      </c>
      <c r="Q22" s="11">
        <f t="shared" ref="Q22" si="46">Q19-SUM(Q20:Q21)</f>
        <v>-1.1879999999999882</v>
      </c>
      <c r="R22" s="11">
        <f t="shared" ref="R22" si="47">R19-SUM(R20:R21)</f>
        <v>-2.0240000000000218</v>
      </c>
      <c r="S22" s="11">
        <f t="shared" ref="S22" si="48">S19-SUM(S20:S21)</f>
        <v>-7.8550000000000217</v>
      </c>
      <c r="T22" s="11">
        <f t="shared" ref="T22" si="49">T19-SUM(T20:T21)</f>
        <v>-1.5339999999999927</v>
      </c>
      <c r="U22" s="11">
        <f t="shared" ref="U22" si="50">U19-SUM(U20:U21)</f>
        <v>6.9479999999999906</v>
      </c>
      <c r="V22" s="11">
        <f t="shared" ref="V22" si="51">V19-SUM(V20:V21)</f>
        <v>7.6269999999999243</v>
      </c>
      <c r="W22" s="14">
        <f t="shared" ref="W22" si="52">W19-SUM(W20:W21)</f>
        <v>7.222999999999983</v>
      </c>
      <c r="X22" s="11">
        <f t="shared" ref="X22" si="53">X19-SUM(X20:X21)</f>
        <v>0</v>
      </c>
      <c r="Y22" s="11">
        <f t="shared" ref="Y22" si="54">Y19-SUM(Y20:Y21)</f>
        <v>0</v>
      </c>
    </row>
    <row r="23" spans="2:25" x14ac:dyDescent="0.25">
      <c r="B23" t="s">
        <v>1</v>
      </c>
      <c r="C23" s="10">
        <v>31.381</v>
      </c>
      <c r="D23" s="10">
        <v>37.128999999999998</v>
      </c>
      <c r="E23" s="10">
        <v>39.085000000000001</v>
      </c>
      <c r="F23" s="10">
        <v>39.237000000000002</v>
      </c>
      <c r="G23" s="15">
        <v>39.418999999999997</v>
      </c>
      <c r="H23" s="41"/>
      <c r="I23" s="41"/>
      <c r="L23" s="10"/>
      <c r="M23" s="10"/>
      <c r="N23" s="10"/>
      <c r="O23" s="10"/>
      <c r="P23" s="10">
        <v>39.162999999999997</v>
      </c>
      <c r="Q23" s="10">
        <v>39.226999999999997</v>
      </c>
      <c r="R23" s="10">
        <v>39.274000000000001</v>
      </c>
      <c r="S23" s="10">
        <v>39.274000000000001</v>
      </c>
      <c r="T23" s="10">
        <v>39.274000000000001</v>
      </c>
      <c r="U23" s="10">
        <v>39.415999999999997</v>
      </c>
      <c r="V23" s="10">
        <v>39.46</v>
      </c>
      <c r="W23" s="15">
        <v>39.46</v>
      </c>
      <c r="X23" s="10"/>
      <c r="Y23" s="10"/>
    </row>
    <row r="24" spans="2:25" s="1" customFormat="1" x14ac:dyDescent="0.25">
      <c r="B24" s="1" t="s">
        <v>22</v>
      </c>
      <c r="C24" s="2">
        <f>C22/C23</f>
        <v>0.63181542971862137</v>
      </c>
      <c r="D24" s="2">
        <f>D22/D23</f>
        <v>-1.1354466858789649</v>
      </c>
      <c r="E24" s="2">
        <f>E22/E23</f>
        <v>-0.11669438403479472</v>
      </c>
      <c r="F24" s="2">
        <f>F22/F23</f>
        <v>-0.54104544180238046</v>
      </c>
      <c r="G24" s="57">
        <f>G22/G23</f>
        <v>0.51406682056875097</v>
      </c>
      <c r="H24" s="58"/>
      <c r="I24" s="59"/>
      <c r="L24" s="2"/>
      <c r="M24" s="2"/>
      <c r="N24" s="2" t="e">
        <f t="shared" ref="N24:U24" si="55">N22/N23</f>
        <v>#DIV/0!</v>
      </c>
      <c r="O24" s="2" t="e">
        <f t="shared" si="55"/>
        <v>#DIV/0!</v>
      </c>
      <c r="P24" s="2">
        <f t="shared" si="55"/>
        <v>-0.25947961085718674</v>
      </c>
      <c r="Q24" s="2">
        <f t="shared" si="55"/>
        <v>-3.0285262701710256E-2</v>
      </c>
      <c r="R24" s="2">
        <f t="shared" si="55"/>
        <v>-5.1535366909406265E-2</v>
      </c>
      <c r="S24" s="2">
        <f t="shared" si="55"/>
        <v>-0.20000509242756076</v>
      </c>
      <c r="T24" s="2">
        <f t="shared" si="55"/>
        <v>-3.9058919386871532E-2</v>
      </c>
      <c r="U24" s="2">
        <f t="shared" si="55"/>
        <v>0.176273594479399</v>
      </c>
      <c r="V24" s="2">
        <f>V22/V23</f>
        <v>0.1932843385707026</v>
      </c>
      <c r="W24" s="35">
        <f>W22/W23</f>
        <v>0.1830461226558536</v>
      </c>
      <c r="X24" s="51"/>
      <c r="Y24" s="51"/>
    </row>
    <row r="25" spans="2:25" s="1" customFormat="1" x14ac:dyDescent="0.25">
      <c r="B25" s="9" t="s">
        <v>67</v>
      </c>
      <c r="C25" s="2"/>
      <c r="D25" s="2"/>
      <c r="E25" s="2"/>
      <c r="F25" s="2"/>
      <c r="G25" s="35"/>
      <c r="H25" s="45">
        <v>0.68</v>
      </c>
      <c r="I25" s="46">
        <v>0.95</v>
      </c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0"/>
      <c r="X25" s="51"/>
      <c r="Y25" s="51"/>
    </row>
    <row r="26" spans="2:25" s="1" customFormat="1" x14ac:dyDescent="0.25">
      <c r="B26" t="s">
        <v>31</v>
      </c>
      <c r="C26" s="3">
        <f>1-C11/C5</f>
        <v>0.24879272151100307</v>
      </c>
      <c r="D26" s="3">
        <f>1-D11/D5</f>
        <v>0.1681230599750988</v>
      </c>
      <c r="E26" s="3">
        <f>1-E11/E5</f>
        <v>0.19632163028978522</v>
      </c>
      <c r="F26" s="3">
        <f>1-F11/F5</f>
        <v>0.20365225000721832</v>
      </c>
      <c r="G26" s="6">
        <f>1-G11/G5</f>
        <v>0.2289061573303981</v>
      </c>
      <c r="H26" s="47"/>
      <c r="I26" s="47"/>
      <c r="L26" s="3" t="e">
        <f>1-L11/L5</f>
        <v>#DIV/0!</v>
      </c>
      <c r="M26" s="3" t="e">
        <f>1-M11/M5</f>
        <v>#DIV/0!</v>
      </c>
      <c r="N26" s="3" t="e">
        <f>1-N11/N5</f>
        <v>#DIV/0!</v>
      </c>
      <c r="O26" s="3" t="e">
        <f>1-O11/O5</f>
        <v>#DIV/0!</v>
      </c>
      <c r="P26" s="3">
        <f>1-P11/P5</f>
        <v>0.17992438210146944</v>
      </c>
      <c r="Q26" s="3">
        <f>1-Q11/Q5</f>
        <v>0.21714221328525862</v>
      </c>
      <c r="R26" s="3">
        <f>1-R11/R5</f>
        <v>0.19482999288893565</v>
      </c>
      <c r="S26" s="3">
        <f>1-S11/S5</f>
        <v>0.21926055112795506</v>
      </c>
      <c r="T26" s="3">
        <f>1-T11/T5</f>
        <v>0.2121108031491088</v>
      </c>
      <c r="U26" s="3">
        <f>1-U11/U5</f>
        <v>0.23891024815584705</v>
      </c>
      <c r="V26" s="3">
        <f>1-V11/V5</f>
        <v>0.2360077767761134</v>
      </c>
      <c r="W26" s="6">
        <f>1-W11/W5</f>
        <v>0.22741516823118824</v>
      </c>
    </row>
    <row r="27" spans="2:25" x14ac:dyDescent="0.25">
      <c r="B27" t="s">
        <v>32</v>
      </c>
      <c r="C27" s="4">
        <f>C22/C5</f>
        <v>3.3349649044017195E-2</v>
      </c>
      <c r="D27" s="4">
        <f>D22/D5</f>
        <v>-8.0628534598664842E-2</v>
      </c>
      <c r="E27" s="4">
        <f>E22/E5</f>
        <v>-6.1644048531341042E-3</v>
      </c>
      <c r="F27" s="4">
        <f>F22/F5</f>
        <v>-2.3575047252261561E-2</v>
      </c>
      <c r="G27" s="7">
        <f>G22/G5</f>
        <v>1.8632997803284677E-2</v>
      </c>
      <c r="H27" s="48">
        <f>H22/H6</f>
        <v>0</v>
      </c>
      <c r="I27" s="48">
        <f>I22/I6</f>
        <v>0</v>
      </c>
      <c r="L27" s="4" t="e">
        <f>L22/L5</f>
        <v>#DIV/0!</v>
      </c>
      <c r="M27" s="4" t="e">
        <f>M22/M5</f>
        <v>#DIV/0!</v>
      </c>
      <c r="N27" s="4" t="e">
        <f>N22/N5</f>
        <v>#DIV/0!</v>
      </c>
      <c r="O27" s="4" t="e">
        <f>O22/O5</f>
        <v>#DIV/0!</v>
      </c>
      <c r="P27" s="4">
        <f>P22/P5</f>
        <v>-4.9962879380110244E-2</v>
      </c>
      <c r="Q27" s="4">
        <f>Q22/Q5</f>
        <v>-5.1483844127027641E-3</v>
      </c>
      <c r="R27" s="4">
        <f>R22/R5</f>
        <v>-8.8844408157532986E-3</v>
      </c>
      <c r="S27" s="4">
        <f>S22/S5</f>
        <v>-3.293100629273598E-2</v>
      </c>
      <c r="T27" s="4">
        <f>T22/T5</f>
        <v>-6.0565860437937474E-3</v>
      </c>
      <c r="U27" s="4">
        <f>U22/U5</f>
        <v>2.5562443663655895E-2</v>
      </c>
      <c r="V27" s="4">
        <f>V22/V5</f>
        <v>2.7613347960044186E-2</v>
      </c>
      <c r="W27" s="7">
        <f>W22/W5</f>
        <v>2.5233804844135867E-2</v>
      </c>
    </row>
    <row r="28" spans="2:25" x14ac:dyDescent="0.25">
      <c r="B28" t="s">
        <v>33</v>
      </c>
      <c r="C28" s="3"/>
      <c r="D28" s="3">
        <f>D5/C5-1</f>
        <v>-0.12052095896010062</v>
      </c>
      <c r="E28" s="3">
        <f>E5/D5-1</f>
        <v>0.41506922410479152</v>
      </c>
      <c r="F28" s="40">
        <f>F5/E5-1</f>
        <v>0.21704895167274185</v>
      </c>
      <c r="G28" s="6">
        <f>G5/F5-1</f>
        <v>0.20771783237051977</v>
      </c>
      <c r="H28" s="49">
        <f>H6/G5-1</f>
        <v>0.14939040930252245</v>
      </c>
      <c r="I28" s="49">
        <f>I6/H6-1</f>
        <v>0.15199999999999991</v>
      </c>
      <c r="L28" s="4"/>
      <c r="M28" s="4"/>
      <c r="N28" s="4"/>
      <c r="O28" s="4"/>
      <c r="P28" s="4"/>
      <c r="Q28" s="4"/>
      <c r="R28" s="4"/>
      <c r="S28" s="4"/>
      <c r="T28" s="4">
        <f>T5/P5-1</f>
        <v>0.24527633966104689</v>
      </c>
      <c r="U28" s="4">
        <f>U5/Q5-1</f>
        <v>0.1779096172514214</v>
      </c>
      <c r="V28" s="4">
        <f>V5/R5-1</f>
        <v>0.21242329268613869</v>
      </c>
      <c r="W28" s="7">
        <f>W5/S5-1</f>
        <v>0.20003437737130492</v>
      </c>
      <c r="X28" s="37">
        <f>X6/T5-1</f>
        <v>-1</v>
      </c>
      <c r="Y28" s="37">
        <f>Y6/U5-1</f>
        <v>-1</v>
      </c>
    </row>
    <row r="29" spans="2:25" x14ac:dyDescent="0.25">
      <c r="B29" t="s">
        <v>136</v>
      </c>
      <c r="C29" s="4">
        <f>C12/C5</f>
        <v>0.11042372068848935</v>
      </c>
      <c r="D29" s="4">
        <f>D12/D5</f>
        <v>0.12288019706732306</v>
      </c>
      <c r="E29" s="4">
        <f>E12/E5</f>
        <v>0.11784947282917935</v>
      </c>
      <c r="F29" s="4">
        <f>F12/F5</f>
        <v>0.13327136679526388</v>
      </c>
      <c r="G29" s="7">
        <f>G12/G5</f>
        <v>0.11911546592149388</v>
      </c>
      <c r="H29" s="123"/>
      <c r="I29" s="123"/>
      <c r="L29" s="4" t="e">
        <f>L12/L5</f>
        <v>#DIV/0!</v>
      </c>
      <c r="M29" s="4" t="e">
        <f>M12/M5</f>
        <v>#DIV/0!</v>
      </c>
      <c r="N29" s="4" t="e">
        <f>N12/N5</f>
        <v>#DIV/0!</v>
      </c>
      <c r="O29" s="4" t="e">
        <f>O12/O5</f>
        <v>#DIV/0!</v>
      </c>
      <c r="P29" s="4">
        <f>P12/P5</f>
        <v>0.154313612696727</v>
      </c>
      <c r="Q29" s="4">
        <f>Q12/Q5</f>
        <v>0.12778654139509082</v>
      </c>
      <c r="R29" s="4">
        <f>R12/R5</f>
        <v>0.11821485949063711</v>
      </c>
      <c r="S29" s="4">
        <f>S12/S5</f>
        <v>0.13501502961904008</v>
      </c>
      <c r="T29" s="4">
        <f>T12/T5</f>
        <v>0.1236230545092744</v>
      </c>
      <c r="U29" s="4">
        <f>U12/U5</f>
        <v>0.11580360920512867</v>
      </c>
      <c r="V29" s="4">
        <f>V12/V5</f>
        <v>0.11201381572516265</v>
      </c>
      <c r="W29" s="7">
        <f>W12/W5</f>
        <v>0.1251244571919663</v>
      </c>
      <c r="X29" s="4"/>
    </row>
    <row r="30" spans="2:25" x14ac:dyDescent="0.25">
      <c r="B30" t="s">
        <v>226</v>
      </c>
      <c r="C30" s="4"/>
      <c r="D30" s="4"/>
      <c r="E30" s="4">
        <f>E3/D3-1</f>
        <v>0.41207570422187523</v>
      </c>
      <c r="F30" s="4">
        <f>F3/E3-1</f>
        <v>0.21578094208442367</v>
      </c>
      <c r="G30" s="7">
        <f>G3/F3-1</f>
        <v>0.20425069311031097</v>
      </c>
      <c r="H30" s="123"/>
      <c r="I30" s="123"/>
      <c r="L30" s="4"/>
      <c r="M30" s="4"/>
      <c r="N30" s="4"/>
      <c r="O30" s="4"/>
      <c r="P30" s="4"/>
      <c r="Q30" s="4"/>
      <c r="R30" s="4"/>
      <c r="S30" s="4"/>
      <c r="T30" s="4">
        <f t="shared" ref="T30:U30" si="56">T3/P3-1</f>
        <v>0.24118481028095795</v>
      </c>
      <c r="U30" s="4">
        <f t="shared" si="56"/>
        <v>0.17375164758309647</v>
      </c>
      <c r="V30" s="4">
        <f>V3/R3-1</f>
        <v>0.20719267793768603</v>
      </c>
      <c r="W30" s="7">
        <f>W3/S3-1</f>
        <v>0.19941806857918243</v>
      </c>
      <c r="X30" s="4"/>
    </row>
    <row r="31" spans="2:25" x14ac:dyDescent="0.25">
      <c r="B31" t="s">
        <v>227</v>
      </c>
      <c r="C31" s="4"/>
      <c r="D31" s="4"/>
      <c r="E31" s="4">
        <f>E4/D4-1</f>
        <v>0.50677637947725085</v>
      </c>
      <c r="F31" s="4">
        <f>F4/E4-1</f>
        <v>0.25345326052039829</v>
      </c>
      <c r="G31" s="7">
        <f>G4/F4-1</f>
        <v>0.30426704254228598</v>
      </c>
      <c r="H31" s="123"/>
      <c r="I31" s="123"/>
      <c r="L31" s="4"/>
      <c r="M31" s="4"/>
      <c r="N31" s="4"/>
      <c r="O31" s="4"/>
      <c r="P31" s="4"/>
      <c r="Q31" s="4"/>
      <c r="R31" s="4"/>
      <c r="S31" s="4"/>
      <c r="T31" s="4">
        <f t="shared" ref="T31:U31" si="57">T4/P4-1</f>
        <v>0.3672727272727272</v>
      </c>
      <c r="U31" s="4">
        <f t="shared" si="57"/>
        <v>0.29838919199792135</v>
      </c>
      <c r="V31" s="4">
        <f>V4/R4-1</f>
        <v>0.35053530614699868</v>
      </c>
      <c r="W31" s="7">
        <f>W4/S4-1</f>
        <v>0.21650203370133636</v>
      </c>
      <c r="X31" s="4"/>
    </row>
    <row r="32" spans="2:25" x14ac:dyDescent="0.25">
      <c r="B32" t="s">
        <v>37</v>
      </c>
      <c r="C32" s="3"/>
      <c r="D32" s="3">
        <f>-(D22/C22-1)</f>
        <v>3.1262924295153054</v>
      </c>
      <c r="E32" s="3">
        <f>-(E22/D22-1)</f>
        <v>0.891811755775892</v>
      </c>
      <c r="F32" s="40">
        <f>-F22/E22-1</f>
        <v>-5.6544617408463553</v>
      </c>
      <c r="G32" s="6">
        <v>1</v>
      </c>
      <c r="H32" s="60">
        <f>H25/G24-1</f>
        <v>0.3227852348993554</v>
      </c>
      <c r="I32" s="60">
        <f>I25/H25-1</f>
        <v>0.39705882352941169</v>
      </c>
      <c r="L32" s="4"/>
      <c r="M32" s="4"/>
      <c r="N32" s="4"/>
      <c r="O32" s="4"/>
      <c r="P32" s="4"/>
      <c r="Q32" s="4"/>
      <c r="R32" s="4"/>
      <c r="S32" s="4"/>
      <c r="T32" s="4">
        <f>T22/P22-1</f>
        <v>-0.8490454634914395</v>
      </c>
      <c r="U32" s="4">
        <f>U22/Q22-1</f>
        <v>-6.8484848484848992</v>
      </c>
      <c r="V32" s="4">
        <f>V22/R22-1</f>
        <v>-4.7682806324109892</v>
      </c>
      <c r="W32" s="7">
        <f>W22/S22-1</f>
        <v>-1.9195416931890468</v>
      </c>
      <c r="X32" s="4">
        <f>X22/T22-1</f>
        <v>-1</v>
      </c>
    </row>
    <row r="33" spans="2:24" x14ac:dyDescent="0.25">
      <c r="B33" t="s">
        <v>80</v>
      </c>
      <c r="C33" s="54">
        <f>C17/C5</f>
        <v>3.8064384822015778E-3</v>
      </c>
      <c r="D33" s="54">
        <f>D17/D5</f>
        <v>-1.5032503485590027E-3</v>
      </c>
      <c r="E33" s="151">
        <f>E18/E5</f>
        <v>-2.1313892684482754E-3</v>
      </c>
      <c r="F33" s="151">
        <f>F18/F5</f>
        <v>-1.6857563582332207E-3</v>
      </c>
      <c r="G33" s="152">
        <f>G18/G5</f>
        <v>-1.5788026662179448E-3</v>
      </c>
      <c r="H33" s="54">
        <f>H17/H6</f>
        <v>0</v>
      </c>
      <c r="I33" s="54">
        <f>I17/I6</f>
        <v>0</v>
      </c>
      <c r="L33" s="4"/>
      <c r="M33" s="4"/>
      <c r="N33" s="4"/>
      <c r="O33" s="4"/>
      <c r="P33" s="151">
        <f>P18/P5</f>
        <v>-1.7454066305785409E-3</v>
      </c>
      <c r="Q33" s="151">
        <f t="shared" ref="Q33:W33" si="58">Q18/Q5</f>
        <v>-1.365101927610595E-3</v>
      </c>
      <c r="R33" s="151">
        <f t="shared" si="58"/>
        <v>-2.0850342823531477E-3</v>
      </c>
      <c r="S33" s="151">
        <f t="shared" si="58"/>
        <v>-1.5637511581401012E-3</v>
      </c>
      <c r="T33" s="151">
        <f t="shared" si="58"/>
        <v>-1.5911370115051448E-3</v>
      </c>
      <c r="U33" s="151">
        <f t="shared" si="58"/>
        <v>-1.4900388145913431E-3</v>
      </c>
      <c r="V33" s="151">
        <f t="shared" si="58"/>
        <v>-1.5676648310868299E-3</v>
      </c>
      <c r="W33" s="152">
        <f t="shared" si="58"/>
        <v>-1.6629227614299738E-3</v>
      </c>
      <c r="X33" s="4"/>
    </row>
    <row r="34" spans="2:24" x14ac:dyDescent="0.25">
      <c r="B34" t="s">
        <v>81</v>
      </c>
      <c r="C34" s="54">
        <f>-C18/C16</f>
        <v>1.689702160794234E-2</v>
      </c>
      <c r="D34" s="54">
        <f>-D18/D16</f>
        <v>-1.8575075211960942E-2</v>
      </c>
      <c r="E34" s="54">
        <f>-E18/E16</f>
        <v>-9.9476439790576215E-2</v>
      </c>
      <c r="F34" s="54">
        <f>-F18/F16</f>
        <v>-5.6443816464638939E-2</v>
      </c>
      <c r="G34" s="55">
        <f>-G18/G16</f>
        <v>0.28998479986490755</v>
      </c>
      <c r="H34" s="54" t="e">
        <f>-H17/H16</f>
        <v>#DIV/0!</v>
      </c>
      <c r="I34" s="54" t="e">
        <f>-I17/I16</f>
        <v>#DIV/0!</v>
      </c>
      <c r="L34" s="4"/>
      <c r="M34" s="4"/>
      <c r="N34" s="4"/>
      <c r="O34" s="4"/>
      <c r="P34" s="54">
        <f>-P18/P16</f>
        <v>-2.376966856377636E-2</v>
      </c>
      <c r="Q34" s="54">
        <f t="shared" ref="Q34:W34" si="59">-Q18/Q16</f>
        <v>-0.38461538461539008</v>
      </c>
      <c r="R34" s="54">
        <f t="shared" si="59"/>
        <v>-9.8425196850393248E-2</v>
      </c>
      <c r="S34" s="54">
        <f t="shared" si="59"/>
        <v>-5.9075071270193055E-2</v>
      </c>
      <c r="T34" s="54">
        <f t="shared" si="59"/>
        <v>-0.12637190341799967</v>
      </c>
      <c r="U34" s="54">
        <f t="shared" si="59"/>
        <v>8.5299073294018715E-2</v>
      </c>
      <c r="V34" s="54">
        <f>-V18/V16</f>
        <v>7.6542336927701196E-2</v>
      </c>
      <c r="W34" s="55">
        <f t="shared" si="59"/>
        <v>-0.36756756756756304</v>
      </c>
      <c r="X34" s="4"/>
    </row>
    <row r="36" spans="2:24" x14ac:dyDescent="0.25">
      <c r="B36" s="159" t="s">
        <v>231</v>
      </c>
      <c r="I36" s="126"/>
    </row>
    <row r="37" spans="2:24" x14ac:dyDescent="0.25">
      <c r="B37" t="s">
        <v>209</v>
      </c>
      <c r="C37" s="3"/>
      <c r="D37" s="3">
        <f>(D7/D$5)/(C7/C$5)-1</f>
        <v>3.6696863491616272E-2</v>
      </c>
      <c r="E37" s="3">
        <f>(E7/E$5)/(D7/D$5)-1</f>
        <v>5.9100500165647496E-3</v>
      </c>
      <c r="F37" s="3">
        <f>(F7/F$5)/(E7/E$5)-1</f>
        <v>-1.5252244922036362E-2</v>
      </c>
      <c r="G37" s="6">
        <f>(G7/G$5)/(F7/F$5)-1</f>
        <v>-3.4434898456266905E-2</v>
      </c>
      <c r="I37" s="158"/>
    </row>
    <row r="38" spans="2:24" x14ac:dyDescent="0.25">
      <c r="B38" t="s">
        <v>232</v>
      </c>
      <c r="C38" s="3"/>
      <c r="D38" s="3">
        <f>(D8/D$5)/(C8/C$5)-1</f>
        <v>0.10877541091920295</v>
      </c>
      <c r="E38" s="3">
        <f t="shared" ref="E38:G38" si="60">(E8/E$5)/(D8/D$5)-1</f>
        <v>-3.0592986791405319E-2</v>
      </c>
      <c r="F38" s="3">
        <f t="shared" si="60"/>
        <v>-1.6983176862881311E-2</v>
      </c>
      <c r="G38" s="6">
        <f t="shared" si="60"/>
        <v>-2.1111683943088155E-2</v>
      </c>
      <c r="I38" s="157"/>
    </row>
    <row r="39" spans="2:24" x14ac:dyDescent="0.25">
      <c r="B39" t="s">
        <v>27</v>
      </c>
      <c r="C39" s="3"/>
      <c r="D39" s="3">
        <f>(D9/D$5)/(C9/C$5)-1</f>
        <v>0.20362925045158642</v>
      </c>
      <c r="E39" s="3">
        <f t="shared" ref="E39:G39" si="61">(E9/E$5)/(D9/D$5)-1</f>
        <v>-1.524319783110395E-2</v>
      </c>
      <c r="F39" s="3">
        <f t="shared" si="61"/>
        <v>4.4066292475023694E-2</v>
      </c>
      <c r="G39" s="6">
        <f t="shared" si="61"/>
        <v>-4.5545975644918357E-2</v>
      </c>
    </row>
    <row r="40" spans="2:24" x14ac:dyDescent="0.25">
      <c r="B40" t="s">
        <v>211</v>
      </c>
      <c r="C40" s="3"/>
      <c r="D40" s="3">
        <f>(D10/D$5)/(C10/C$5)-1</f>
        <v>0.21074901575374061</v>
      </c>
      <c r="E40" s="3">
        <f t="shared" ref="E40:G40" si="62">(E10/E$5)/(D10/D$5)-1</f>
        <v>-0.1887270082206195</v>
      </c>
      <c r="F40" s="3">
        <f t="shared" si="62"/>
        <v>-4.9600553446799589E-2</v>
      </c>
      <c r="G40" s="6">
        <f t="shared" si="62"/>
        <v>-3.4957596389441514E-2</v>
      </c>
    </row>
    <row r="42" spans="2:24" s="1" customFormat="1" x14ac:dyDescent="0.25">
      <c r="B42" s="1" t="s">
        <v>41</v>
      </c>
      <c r="C42" s="11">
        <f t="shared" ref="C42:E42" si="63">C43+C44-C60</f>
        <v>0</v>
      </c>
      <c r="D42" s="11">
        <f t="shared" si="63"/>
        <v>183.76</v>
      </c>
      <c r="E42" s="11">
        <f t="shared" si="63"/>
        <v>138.864</v>
      </c>
      <c r="F42" s="11">
        <f>F43+F44-F60</f>
        <v>66.638999999999953</v>
      </c>
      <c r="G42" s="14">
        <f>G43+G44-G60</f>
        <v>47.578000000000003</v>
      </c>
      <c r="H42" s="11">
        <f>H43+H44-H60-H61</f>
        <v>0</v>
      </c>
      <c r="L42" s="11">
        <f>L43+L44-L60</f>
        <v>0</v>
      </c>
      <c r="M42" s="11">
        <f t="shared" ref="M42:W42" si="64">M43+M44-M60</f>
        <v>0</v>
      </c>
      <c r="N42" s="11">
        <f t="shared" si="64"/>
        <v>0</v>
      </c>
      <c r="O42" s="11">
        <f t="shared" si="64"/>
        <v>0</v>
      </c>
      <c r="P42" s="11">
        <f t="shared" si="64"/>
        <v>0</v>
      </c>
      <c r="Q42" s="11">
        <f t="shared" si="64"/>
        <v>0</v>
      </c>
      <c r="R42" s="11">
        <f t="shared" si="64"/>
        <v>0</v>
      </c>
      <c r="S42" s="11">
        <f t="shared" si="64"/>
        <v>66.638999999999953</v>
      </c>
      <c r="T42" s="11">
        <f t="shared" si="64"/>
        <v>48.579000000000008</v>
      </c>
      <c r="U42" s="11">
        <f t="shared" si="64"/>
        <v>50.121000000000038</v>
      </c>
      <c r="V42" s="11">
        <f t="shared" si="64"/>
        <v>39.601999999999975</v>
      </c>
      <c r="W42" s="14">
        <f t="shared" si="64"/>
        <v>47.578000000000003</v>
      </c>
    </row>
    <row r="43" spans="2:24" x14ac:dyDescent="0.25">
      <c r="B43" t="s">
        <v>25</v>
      </c>
      <c r="C43" s="10"/>
      <c r="D43" s="10">
        <v>146.87299999999999</v>
      </c>
      <c r="E43" s="10">
        <v>302.40600000000001</v>
      </c>
      <c r="F43" s="10">
        <v>230.52099999999999</v>
      </c>
      <c r="G43" s="15">
        <v>224.65299999999999</v>
      </c>
      <c r="L43" s="10"/>
      <c r="M43" s="10"/>
      <c r="N43" s="10"/>
      <c r="O43" s="10"/>
      <c r="P43" s="10"/>
      <c r="Q43" s="10"/>
      <c r="R43" s="10"/>
      <c r="S43" s="10">
        <f>F43</f>
        <v>230.52099999999999</v>
      </c>
      <c r="T43" s="10">
        <v>293.43</v>
      </c>
      <c r="U43" s="10">
        <v>203.697</v>
      </c>
      <c r="V43" s="10">
        <v>190.02</v>
      </c>
      <c r="W43" s="15">
        <f>G43</f>
        <v>224.65299999999999</v>
      </c>
    </row>
    <row r="44" spans="2:24" x14ac:dyDescent="0.25">
      <c r="B44" t="s">
        <v>216</v>
      </c>
      <c r="C44" s="10"/>
      <c r="D44" s="10">
        <v>36.887</v>
      </c>
      <c r="E44" s="10">
        <v>80</v>
      </c>
      <c r="F44" s="10">
        <v>80.706999999999994</v>
      </c>
      <c r="G44" s="15">
        <v>68.561000000000007</v>
      </c>
      <c r="L44" s="10"/>
      <c r="M44" s="10"/>
      <c r="N44" s="10"/>
      <c r="O44" s="10"/>
      <c r="P44" s="10"/>
      <c r="Q44" s="10"/>
      <c r="R44" s="10"/>
      <c r="S44" s="10">
        <f t="shared" ref="S44:S47" si="65">F44</f>
        <v>80.706999999999994</v>
      </c>
      <c r="T44" s="10">
        <v>0</v>
      </c>
      <c r="U44" s="10">
        <v>91.537000000000006</v>
      </c>
      <c r="V44" s="10">
        <v>94.956999999999994</v>
      </c>
      <c r="W44" s="15">
        <f t="shared" ref="W44:W47" si="66">G44</f>
        <v>68.561000000000007</v>
      </c>
    </row>
    <row r="45" spans="2:24" x14ac:dyDescent="0.25">
      <c r="B45" t="s">
        <v>26</v>
      </c>
      <c r="C45" s="10"/>
      <c r="D45" s="10">
        <v>9.4640000000000004</v>
      </c>
      <c r="E45" s="10">
        <v>13.657</v>
      </c>
      <c r="F45" s="10">
        <v>13.877000000000001</v>
      </c>
      <c r="G45" s="15">
        <v>16.847000000000001</v>
      </c>
      <c r="L45" s="10"/>
      <c r="M45" s="10"/>
      <c r="N45" s="10"/>
      <c r="O45" s="10"/>
      <c r="P45" s="10"/>
      <c r="Q45" s="10"/>
      <c r="R45" s="10"/>
      <c r="S45" s="10">
        <f t="shared" si="65"/>
        <v>13.877000000000001</v>
      </c>
      <c r="T45" s="10">
        <v>14.175000000000001</v>
      </c>
      <c r="U45" s="10">
        <v>14.332000000000001</v>
      </c>
      <c r="V45" s="10">
        <v>13.888999999999999</v>
      </c>
      <c r="W45" s="15">
        <f t="shared" si="66"/>
        <v>16.847000000000001</v>
      </c>
    </row>
    <row r="46" spans="2:24" x14ac:dyDescent="0.25">
      <c r="B46" t="s">
        <v>82</v>
      </c>
      <c r="C46" s="10"/>
      <c r="D46" s="10">
        <v>2.8879999999999999</v>
      </c>
      <c r="E46" s="10">
        <v>3.85</v>
      </c>
      <c r="F46" s="10">
        <v>4.1840000000000002</v>
      </c>
      <c r="G46" s="15">
        <v>5.4039999999999999</v>
      </c>
      <c r="L46" s="10"/>
      <c r="M46" s="10"/>
      <c r="N46" s="10"/>
      <c r="O46" s="10"/>
      <c r="P46" s="10"/>
      <c r="Q46" s="10"/>
      <c r="R46" s="10"/>
      <c r="S46" s="10">
        <f t="shared" si="65"/>
        <v>4.1840000000000002</v>
      </c>
      <c r="T46" s="10">
        <v>4.3940000000000001</v>
      </c>
      <c r="U46" s="10">
        <v>4.6740000000000004</v>
      </c>
      <c r="V46" s="10">
        <v>4.6079999999999997</v>
      </c>
      <c r="W46" s="15">
        <f t="shared" si="66"/>
        <v>5.4039999999999999</v>
      </c>
    </row>
    <row r="47" spans="2:24" x14ac:dyDescent="0.25">
      <c r="B47" t="s">
        <v>77</v>
      </c>
      <c r="C47" s="10"/>
      <c r="D47" s="10">
        <v>7.0739999999999998</v>
      </c>
      <c r="E47" s="10">
        <v>9.7629999999999999</v>
      </c>
      <c r="F47" s="10">
        <v>14.699</v>
      </c>
      <c r="G47" s="15">
        <v>18.966999999999999</v>
      </c>
      <c r="L47" s="10"/>
      <c r="M47" s="10"/>
      <c r="N47" s="10"/>
      <c r="O47" s="10"/>
      <c r="P47" s="10"/>
      <c r="Q47" s="10"/>
      <c r="R47" s="10"/>
      <c r="S47" s="10">
        <f t="shared" si="65"/>
        <v>14.699</v>
      </c>
      <c r="T47" s="10">
        <v>18.074999999999999</v>
      </c>
      <c r="U47" s="10">
        <v>15.278</v>
      </c>
      <c r="V47" s="10">
        <v>19.762</v>
      </c>
      <c r="W47" s="15">
        <f t="shared" si="66"/>
        <v>18.966999999999999</v>
      </c>
    </row>
    <row r="48" spans="2:24" s="1" customFormat="1" x14ac:dyDescent="0.25">
      <c r="B48" s="1" t="s">
        <v>63</v>
      </c>
      <c r="C48" s="11">
        <f>SUM(C43:C47)</f>
        <v>0</v>
      </c>
      <c r="D48" s="11">
        <f>SUM(D43:D47)</f>
        <v>203.18600000000001</v>
      </c>
      <c r="E48" s="11">
        <f>SUM(E43:E47)</f>
        <v>409.67599999999999</v>
      </c>
      <c r="F48" s="11">
        <f>SUM(F43:F47)</f>
        <v>343.988</v>
      </c>
      <c r="G48" s="14">
        <f>SUM(G43:G47)</f>
        <v>334.43199999999996</v>
      </c>
      <c r="L48" s="11">
        <f>SUM(L43:L47)</f>
        <v>0</v>
      </c>
      <c r="M48" s="11">
        <f>SUM(M43:M47)</f>
        <v>0</v>
      </c>
      <c r="N48" s="11">
        <f>SUM(N43:N47)</f>
        <v>0</v>
      </c>
      <c r="O48" s="11">
        <f>SUM(O43:O47)</f>
        <v>0</v>
      </c>
      <c r="P48" s="11">
        <f>SUM(P43:P47)</f>
        <v>0</v>
      </c>
      <c r="Q48" s="11">
        <f>SUM(Q43:Q47)</f>
        <v>0</v>
      </c>
      <c r="R48" s="11">
        <f>SUM(R43:R47)</f>
        <v>0</v>
      </c>
      <c r="S48" s="11">
        <f>SUM(S43:S47)</f>
        <v>343.988</v>
      </c>
      <c r="T48" s="11">
        <f>SUM(T43:T47)</f>
        <v>330.07400000000001</v>
      </c>
      <c r="U48" s="11">
        <f>SUM(U43:U47)</f>
        <v>329.51800000000003</v>
      </c>
      <c r="V48" s="11">
        <f>SUM(V43:V47)</f>
        <v>323.23599999999999</v>
      </c>
      <c r="W48" s="14">
        <f>SUM(W43:W47)</f>
        <v>334.43199999999996</v>
      </c>
    </row>
    <row r="49" spans="2:25" x14ac:dyDescent="0.25">
      <c r="B49" t="s">
        <v>78</v>
      </c>
      <c r="C49" s="10"/>
      <c r="D49" s="10">
        <v>336.541</v>
      </c>
      <c r="E49" s="10">
        <v>389.38600000000002</v>
      </c>
      <c r="F49" s="10">
        <v>467.03100000000001</v>
      </c>
      <c r="G49" s="15">
        <v>530.995</v>
      </c>
      <c r="L49" s="10"/>
      <c r="M49" s="10"/>
      <c r="N49" s="10"/>
      <c r="O49" s="10"/>
      <c r="P49" s="10"/>
      <c r="Q49" s="10"/>
      <c r="R49" s="10"/>
      <c r="S49" s="10">
        <f t="shared" ref="S49:S52" si="67">F49</f>
        <v>467.03100000000001</v>
      </c>
      <c r="T49" s="10">
        <v>479.61700000000002</v>
      </c>
      <c r="U49" s="10">
        <v>500.08499999999998</v>
      </c>
      <c r="V49" s="10">
        <v>525.55700000000002</v>
      </c>
      <c r="W49" s="15">
        <f t="shared" ref="W49:W52" si="68">G49</f>
        <v>530.995</v>
      </c>
    </row>
    <row r="50" spans="2:25" x14ac:dyDescent="0.25">
      <c r="B50" t="s">
        <v>65</v>
      </c>
      <c r="C50" s="10"/>
      <c r="D50" s="10">
        <v>306.31700000000001</v>
      </c>
      <c r="E50" s="10">
        <v>347.27699999999999</v>
      </c>
      <c r="F50" s="10">
        <v>367.488</v>
      </c>
      <c r="G50" s="15">
        <v>398.29599999999999</v>
      </c>
      <c r="L50" s="10"/>
      <c r="M50" s="10"/>
      <c r="N50" s="10"/>
      <c r="O50" s="10"/>
      <c r="P50" s="10"/>
      <c r="Q50" s="10"/>
      <c r="R50" s="10"/>
      <c r="S50" s="10">
        <f t="shared" si="67"/>
        <v>367.488</v>
      </c>
      <c r="T50" s="10">
        <v>379.47500000000002</v>
      </c>
      <c r="U50" s="10">
        <v>385.38600000000002</v>
      </c>
      <c r="V50" s="10">
        <v>397.87</v>
      </c>
      <c r="W50" s="15">
        <f t="shared" si="68"/>
        <v>398.29599999999999</v>
      </c>
    </row>
    <row r="51" spans="2:25" x14ac:dyDescent="0.25">
      <c r="B51" t="s">
        <v>217</v>
      </c>
      <c r="C51" s="10"/>
      <c r="D51" s="10">
        <v>287.00700000000001</v>
      </c>
      <c r="E51" s="10">
        <v>298.66800000000001</v>
      </c>
      <c r="F51" s="10">
        <v>317.62599999999998</v>
      </c>
      <c r="G51" s="15">
        <v>326.20800000000003</v>
      </c>
      <c r="L51" s="10"/>
      <c r="M51" s="10"/>
      <c r="N51" s="10"/>
      <c r="O51" s="10"/>
      <c r="P51" s="10"/>
      <c r="Q51" s="10"/>
      <c r="R51" s="10"/>
      <c r="S51" s="10">
        <f t="shared" si="67"/>
        <v>317.62599999999998</v>
      </c>
      <c r="T51" s="10">
        <v>301.53800000000001</v>
      </c>
      <c r="U51" s="10">
        <v>302.02499999999998</v>
      </c>
      <c r="V51" s="10">
        <v>302.15600000000001</v>
      </c>
      <c r="W51" s="15">
        <f t="shared" si="68"/>
        <v>326.20800000000003</v>
      </c>
    </row>
    <row r="52" spans="2:25" x14ac:dyDescent="0.25">
      <c r="B52" t="s">
        <v>27</v>
      </c>
      <c r="C52" s="10"/>
      <c r="D52" s="10">
        <v>12.297000000000001</v>
      </c>
      <c r="E52" s="10">
        <v>12.563000000000001</v>
      </c>
      <c r="F52" s="10">
        <v>15.817</v>
      </c>
      <c r="G52" s="15">
        <v>15.926</v>
      </c>
      <c r="L52" s="10"/>
      <c r="M52" s="10"/>
      <c r="N52" s="10"/>
      <c r="O52" s="10"/>
      <c r="P52" s="10"/>
      <c r="Q52" s="10"/>
      <c r="R52" s="10"/>
      <c r="S52" s="10">
        <f t="shared" si="67"/>
        <v>15.817</v>
      </c>
      <c r="T52" s="10">
        <v>16.210999999999999</v>
      </c>
      <c r="U52" s="10">
        <v>15.802</v>
      </c>
      <c r="V52" s="10">
        <v>16.036999999999999</v>
      </c>
      <c r="W52" s="15">
        <f t="shared" si="68"/>
        <v>15.926</v>
      </c>
    </row>
    <row r="53" spans="2:25" x14ac:dyDescent="0.25">
      <c r="B53" s="1" t="s">
        <v>28</v>
      </c>
      <c r="C53" s="11">
        <f>SUM(C48:C52)</f>
        <v>0</v>
      </c>
      <c r="D53" s="11">
        <f>SUM(D48:D52)</f>
        <v>1145.348</v>
      </c>
      <c r="E53" s="11">
        <f>SUM(E48:E52)</f>
        <v>1457.5700000000002</v>
      </c>
      <c r="F53" s="11">
        <f>SUM(F48:F52)</f>
        <v>1511.95</v>
      </c>
      <c r="G53" s="14">
        <f>SUM(G48:G52)</f>
        <v>1605.857</v>
      </c>
      <c r="L53" s="11">
        <f>SUM(L48:L52)</f>
        <v>0</v>
      </c>
      <c r="M53" s="11">
        <f>SUM(M48:M52)</f>
        <v>0</v>
      </c>
      <c r="N53" s="11">
        <f>SUM(N48:N52)</f>
        <v>0</v>
      </c>
      <c r="O53" s="11">
        <f>SUM(O48:O52)</f>
        <v>0</v>
      </c>
      <c r="P53" s="11">
        <f>SUM(P48:P52)</f>
        <v>0</v>
      </c>
      <c r="Q53" s="11">
        <f>SUM(Q48:Q52)</f>
        <v>0</v>
      </c>
      <c r="R53" s="11">
        <f>SUM(R48:R52)</f>
        <v>0</v>
      </c>
      <c r="S53" s="11">
        <f>SUM(S48:S52)</f>
        <v>1511.95</v>
      </c>
      <c r="T53" s="11">
        <f>SUM(T48:T52)</f>
        <v>1506.9150000000002</v>
      </c>
      <c r="U53" s="11">
        <f>SUM(U48:U52)</f>
        <v>1532.816</v>
      </c>
      <c r="V53" s="11">
        <f>SUM(V48:V52)</f>
        <v>1564.856</v>
      </c>
      <c r="W53" s="14">
        <f>SUM(W48:W52)</f>
        <v>1605.857</v>
      </c>
    </row>
    <row r="54" spans="2:25" x14ac:dyDescent="0.25">
      <c r="B54" t="s">
        <v>30</v>
      </c>
      <c r="C54" s="10"/>
      <c r="D54" s="10">
        <v>23.486999999999998</v>
      </c>
      <c r="E54" s="10">
        <v>19.946999999999999</v>
      </c>
      <c r="F54" s="10">
        <v>20.407</v>
      </c>
      <c r="G54" s="15">
        <v>22.273</v>
      </c>
      <c r="L54" s="10"/>
      <c r="M54" s="10"/>
      <c r="N54" s="10"/>
      <c r="O54" s="10"/>
      <c r="P54" s="10"/>
      <c r="Q54" s="10"/>
      <c r="R54" s="10"/>
      <c r="S54" s="10">
        <f t="shared" ref="S54:S58" si="69">F54</f>
        <v>20.407</v>
      </c>
      <c r="T54" s="10">
        <v>16.001999999999999</v>
      </c>
      <c r="U54" s="10">
        <v>17.004999999999999</v>
      </c>
      <c r="V54" s="10">
        <v>21.251000000000001</v>
      </c>
      <c r="W54" s="15">
        <f t="shared" ref="W54:W58" si="70">G54</f>
        <v>22.273</v>
      </c>
    </row>
    <row r="55" spans="2:25" x14ac:dyDescent="0.25">
      <c r="B55" t="s">
        <v>218</v>
      </c>
      <c r="C55" s="10"/>
      <c r="D55" s="10">
        <v>25.92</v>
      </c>
      <c r="E55" s="10">
        <v>36.892000000000003</v>
      </c>
      <c r="F55" s="10">
        <v>47.945</v>
      </c>
      <c r="G55" s="15">
        <v>54.741999999999997</v>
      </c>
      <c r="L55" s="10"/>
      <c r="M55" s="10"/>
      <c r="N55" s="10"/>
      <c r="O55" s="10"/>
      <c r="P55" s="10"/>
      <c r="Q55" s="10"/>
      <c r="R55" s="10"/>
      <c r="S55" s="10">
        <f t="shared" si="69"/>
        <v>47.945</v>
      </c>
      <c r="T55" s="10">
        <v>45.677</v>
      </c>
      <c r="U55" s="10">
        <v>50.588000000000001</v>
      </c>
      <c r="V55" s="10">
        <v>47.63</v>
      </c>
      <c r="W55" s="15">
        <f t="shared" si="70"/>
        <v>54.741999999999997</v>
      </c>
    </row>
    <row r="56" spans="2:25" x14ac:dyDescent="0.25">
      <c r="B56" t="s">
        <v>219</v>
      </c>
      <c r="C56" s="10"/>
      <c r="D56" s="10">
        <v>10.441000000000001</v>
      </c>
      <c r="E56" s="10">
        <v>14.638</v>
      </c>
      <c r="F56" s="10">
        <v>17.576000000000001</v>
      </c>
      <c r="G56" s="15">
        <v>20.945</v>
      </c>
      <c r="L56" s="10"/>
      <c r="M56" s="10"/>
      <c r="N56" s="10"/>
      <c r="O56" s="10"/>
      <c r="P56" s="10"/>
      <c r="Q56" s="10"/>
      <c r="R56" s="10"/>
      <c r="S56" s="10">
        <f t="shared" si="69"/>
        <v>17.576000000000001</v>
      </c>
      <c r="T56" s="10">
        <v>18.678000000000001</v>
      </c>
      <c r="U56" s="10">
        <v>18.221</v>
      </c>
      <c r="V56" s="10">
        <v>18.164000000000001</v>
      </c>
      <c r="W56" s="15">
        <f t="shared" si="70"/>
        <v>20.945</v>
      </c>
    </row>
    <row r="57" spans="2:25" x14ac:dyDescent="0.25">
      <c r="B57" t="s">
        <v>220</v>
      </c>
      <c r="C57" s="10"/>
      <c r="D57" s="10">
        <v>35.656999999999996</v>
      </c>
      <c r="E57" s="10">
        <v>35.518999999999998</v>
      </c>
      <c r="F57" s="10">
        <v>42.238</v>
      </c>
      <c r="G57" s="15">
        <v>49.003999999999998</v>
      </c>
      <c r="L57" s="10"/>
      <c r="M57" s="10"/>
      <c r="N57" s="10"/>
      <c r="O57" s="10"/>
      <c r="P57" s="10"/>
      <c r="Q57" s="10"/>
      <c r="R57" s="10"/>
      <c r="S57" s="10">
        <f t="shared" si="69"/>
        <v>42.238</v>
      </c>
      <c r="T57" s="10">
        <v>44.578000000000003</v>
      </c>
      <c r="U57" s="10">
        <v>46.49</v>
      </c>
      <c r="V57" s="10">
        <v>47.61</v>
      </c>
      <c r="W57" s="15">
        <f t="shared" si="70"/>
        <v>49.003999999999998</v>
      </c>
    </row>
    <row r="58" spans="2:25" x14ac:dyDescent="0.25">
      <c r="B58" t="s">
        <v>27</v>
      </c>
      <c r="C58" s="10"/>
      <c r="D58" s="10">
        <v>14.2</v>
      </c>
      <c r="E58" s="10">
        <v>14.500999999999999</v>
      </c>
      <c r="F58" s="10">
        <v>19.552</v>
      </c>
      <c r="G58" s="15">
        <v>17.103000000000002</v>
      </c>
      <c r="L58" s="10"/>
      <c r="M58" s="10"/>
      <c r="N58" s="10"/>
      <c r="O58" s="10"/>
      <c r="P58" s="10"/>
      <c r="Q58" s="10"/>
      <c r="R58" s="10"/>
      <c r="S58" s="10">
        <f t="shared" si="69"/>
        <v>19.552</v>
      </c>
      <c r="T58" s="10">
        <v>18.117000000000001</v>
      </c>
      <c r="U58" s="10">
        <v>17.881</v>
      </c>
      <c r="V58" s="10">
        <v>17.521999999999998</v>
      </c>
      <c r="W58" s="15">
        <f t="shared" si="70"/>
        <v>17.103000000000002</v>
      </c>
    </row>
    <row r="59" spans="2:25" s="1" customFormat="1" x14ac:dyDescent="0.25">
      <c r="B59" s="1" t="s">
        <v>64</v>
      </c>
      <c r="C59" s="11">
        <f>SUM(C54:C58)</f>
        <v>0</v>
      </c>
      <c r="D59" s="11">
        <f>SUM(D54:D58)</f>
        <v>109.705</v>
      </c>
      <c r="E59" s="11">
        <f>SUM(E54:E58)</f>
        <v>121.49700000000001</v>
      </c>
      <c r="F59" s="11">
        <f>SUM(F54:F58)</f>
        <v>147.71799999999999</v>
      </c>
      <c r="G59" s="14">
        <f>SUM(G54:G58)</f>
        <v>164.06700000000001</v>
      </c>
      <c r="L59" s="11">
        <f t="shared" ref="L59:W59" si="71">SUM(L54:L58)</f>
        <v>0</v>
      </c>
      <c r="M59" s="11">
        <f t="shared" si="71"/>
        <v>0</v>
      </c>
      <c r="N59" s="11">
        <f t="shared" si="71"/>
        <v>0</v>
      </c>
      <c r="O59" s="11">
        <f t="shared" si="71"/>
        <v>0</v>
      </c>
      <c r="P59" s="11">
        <f t="shared" si="71"/>
        <v>0</v>
      </c>
      <c r="Q59" s="11">
        <f t="shared" si="71"/>
        <v>0</v>
      </c>
      <c r="R59" s="11">
        <f t="shared" si="71"/>
        <v>0</v>
      </c>
      <c r="S59" s="11">
        <f t="shared" si="71"/>
        <v>147.71799999999999</v>
      </c>
      <c r="T59" s="11">
        <f t="shared" si="71"/>
        <v>143.05199999999999</v>
      </c>
      <c r="U59" s="11">
        <f t="shared" si="71"/>
        <v>150.185</v>
      </c>
      <c r="V59" s="11">
        <f t="shared" si="71"/>
        <v>152.17699999999999</v>
      </c>
      <c r="W59" s="14">
        <f t="shared" si="71"/>
        <v>164.06700000000001</v>
      </c>
      <c r="X59" s="11"/>
      <c r="Y59" s="11"/>
    </row>
    <row r="60" spans="2:25" x14ac:dyDescent="0.25">
      <c r="B60" t="s">
        <v>221</v>
      </c>
      <c r="C60" s="10"/>
      <c r="D60" s="10">
        <v>0</v>
      </c>
      <c r="E60" s="10">
        <v>243.542</v>
      </c>
      <c r="F60" s="10">
        <v>244.589</v>
      </c>
      <c r="G60" s="15">
        <v>245.636</v>
      </c>
      <c r="L60" s="10"/>
      <c r="M60" s="10"/>
      <c r="N60" s="10"/>
      <c r="O60" s="10"/>
      <c r="P60" s="10"/>
      <c r="Q60" s="10"/>
      <c r="R60" s="10"/>
      <c r="S60" s="10">
        <f t="shared" ref="S60:S63" si="72">F60</f>
        <v>244.589</v>
      </c>
      <c r="T60" s="10">
        <v>244.851</v>
      </c>
      <c r="U60" s="10">
        <v>245.113</v>
      </c>
      <c r="V60" s="10">
        <v>245.375</v>
      </c>
      <c r="W60" s="15">
        <f t="shared" ref="W60:W63" si="73">G60</f>
        <v>245.636</v>
      </c>
    </row>
    <row r="61" spans="2:25" x14ac:dyDescent="0.25">
      <c r="B61" t="s">
        <v>222</v>
      </c>
      <c r="C61" s="10"/>
      <c r="D61" s="10">
        <v>343.73599999999999</v>
      </c>
      <c r="E61" s="10">
        <v>400.113</v>
      </c>
      <c r="F61" s="10">
        <v>427.22699999999998</v>
      </c>
      <c r="G61" s="15">
        <v>464.53300000000002</v>
      </c>
      <c r="L61" s="10"/>
      <c r="M61" s="10"/>
      <c r="N61" s="10"/>
      <c r="O61" s="10"/>
      <c r="P61" s="10"/>
      <c r="Q61" s="10"/>
      <c r="R61" s="10"/>
      <c r="S61" s="10">
        <f t="shared" si="72"/>
        <v>427.22699999999998</v>
      </c>
      <c r="T61" s="10">
        <v>441.55399999999997</v>
      </c>
      <c r="U61" s="10">
        <v>448.58</v>
      </c>
      <c r="V61" s="10">
        <v>463.37</v>
      </c>
      <c r="W61" s="15">
        <f t="shared" si="73"/>
        <v>464.53300000000002</v>
      </c>
    </row>
    <row r="62" spans="2:25" x14ac:dyDescent="0.25">
      <c r="B62" t="s">
        <v>223</v>
      </c>
      <c r="C62" s="10"/>
      <c r="D62" s="10">
        <v>232.95400000000001</v>
      </c>
      <c r="E62" s="10">
        <v>234.04499999999999</v>
      </c>
      <c r="F62" s="10">
        <v>234.893</v>
      </c>
      <c r="G62" s="15">
        <v>235.613</v>
      </c>
      <c r="L62" s="10"/>
      <c r="M62" s="10"/>
      <c r="N62" s="10"/>
      <c r="O62" s="10"/>
      <c r="P62" s="10"/>
      <c r="Q62" s="10"/>
      <c r="R62" s="10"/>
      <c r="S62" s="10">
        <f t="shared" si="72"/>
        <v>234.893</v>
      </c>
      <c r="T62" s="10">
        <v>235.36099999999999</v>
      </c>
      <c r="U62" s="10">
        <v>235.36099999999999</v>
      </c>
      <c r="V62" s="10">
        <v>235.614</v>
      </c>
      <c r="W62" s="15">
        <f t="shared" si="73"/>
        <v>235.613</v>
      </c>
    </row>
    <row r="63" spans="2:25" x14ac:dyDescent="0.25">
      <c r="B63" t="s">
        <v>27</v>
      </c>
      <c r="C63" s="10"/>
      <c r="D63" s="10">
        <v>24.46</v>
      </c>
      <c r="E63" s="10">
        <v>22.773</v>
      </c>
      <c r="F63" s="10">
        <v>20.687000000000001</v>
      </c>
      <c r="G63" s="15">
        <v>26.638000000000002</v>
      </c>
      <c r="L63" s="10"/>
      <c r="M63" s="10"/>
      <c r="N63" s="10"/>
      <c r="O63" s="10"/>
      <c r="P63" s="10"/>
      <c r="Q63" s="10"/>
      <c r="R63" s="10"/>
      <c r="S63" s="10">
        <f t="shared" si="72"/>
        <v>20.687000000000001</v>
      </c>
      <c r="T63" s="10">
        <v>22.192</v>
      </c>
      <c r="U63" s="10">
        <v>22.218</v>
      </c>
      <c r="V63" s="10">
        <v>26.321999999999999</v>
      </c>
      <c r="W63" s="15">
        <f t="shared" si="73"/>
        <v>26.638000000000002</v>
      </c>
    </row>
    <row r="64" spans="2:25" x14ac:dyDescent="0.25">
      <c r="B64" s="1" t="s">
        <v>29</v>
      </c>
      <c r="C64" s="11">
        <f>SUM(C59:C63)</f>
        <v>0</v>
      </c>
      <c r="D64" s="11">
        <f>SUM(D59:D63)</f>
        <v>710.85500000000002</v>
      </c>
      <c r="E64" s="11">
        <f>SUM(E59:E63)</f>
        <v>1021.97</v>
      </c>
      <c r="F64" s="11">
        <f>SUM(F59:F63)</f>
        <v>1075.1139999999998</v>
      </c>
      <c r="G64" s="14">
        <f>SUM(G59:G63)</f>
        <v>1136.4869999999999</v>
      </c>
      <c r="L64" s="11">
        <f t="shared" ref="L64:W64" si="74">SUM(L59:L63)</f>
        <v>0</v>
      </c>
      <c r="M64" s="11">
        <f t="shared" si="74"/>
        <v>0</v>
      </c>
      <c r="N64" s="11">
        <f t="shared" si="74"/>
        <v>0</v>
      </c>
      <c r="O64" s="11">
        <f t="shared" si="74"/>
        <v>0</v>
      </c>
      <c r="P64" s="11">
        <f t="shared" si="74"/>
        <v>0</v>
      </c>
      <c r="Q64" s="11">
        <f t="shared" si="74"/>
        <v>0</v>
      </c>
      <c r="R64" s="11">
        <f t="shared" si="74"/>
        <v>0</v>
      </c>
      <c r="S64" s="11">
        <f t="shared" si="74"/>
        <v>1075.1139999999998</v>
      </c>
      <c r="T64" s="11">
        <f t="shared" si="74"/>
        <v>1087.01</v>
      </c>
      <c r="U64" s="11">
        <f t="shared" si="74"/>
        <v>1101.4570000000001</v>
      </c>
      <c r="V64" s="11">
        <f t="shared" si="74"/>
        <v>1122.8579999999999</v>
      </c>
      <c r="W64" s="14">
        <f t="shared" si="74"/>
        <v>1136.4869999999999</v>
      </c>
    </row>
    <row r="65" spans="2:23" x14ac:dyDescent="0.25">
      <c r="B65" t="s">
        <v>79</v>
      </c>
      <c r="C65" s="10"/>
      <c r="D65" s="10">
        <f>D53-D64</f>
        <v>434.49299999999994</v>
      </c>
      <c r="E65" s="10">
        <f>E53-E64</f>
        <v>435.60000000000014</v>
      </c>
      <c r="F65" s="10">
        <f>F53-F64</f>
        <v>436.83600000000024</v>
      </c>
      <c r="G65" s="15">
        <f>G53-G64</f>
        <v>469.37000000000012</v>
      </c>
      <c r="P65" s="10">
        <f t="shared" ref="P65:R65" si="75">P53-P64</f>
        <v>0</v>
      </c>
      <c r="Q65" s="10">
        <f t="shared" si="75"/>
        <v>0</v>
      </c>
      <c r="R65" s="10">
        <f t="shared" si="75"/>
        <v>0</v>
      </c>
      <c r="S65" s="10">
        <f>S53-S64</f>
        <v>436.83600000000024</v>
      </c>
      <c r="T65" s="10">
        <f t="shared" ref="T65:W65" si="76">T53-T64</f>
        <v>419.9050000000002</v>
      </c>
      <c r="U65" s="10">
        <f t="shared" si="76"/>
        <v>431.35899999999992</v>
      </c>
      <c r="V65" s="10">
        <f t="shared" si="76"/>
        <v>441.99800000000005</v>
      </c>
      <c r="W65" s="15">
        <f t="shared" si="76"/>
        <v>469.37000000000012</v>
      </c>
    </row>
    <row r="67" spans="2:23" s="1" customFormat="1" x14ac:dyDescent="0.25">
      <c r="B67" s="1" t="s">
        <v>83</v>
      </c>
      <c r="C67" s="148" t="e">
        <f>-C18/(C63+C54)</f>
        <v>#DIV/0!</v>
      </c>
      <c r="D67" s="148">
        <f>-D18/(D63+D54)</f>
        <v>1.6997935220138902E-2</v>
      </c>
      <c r="E67" s="148">
        <f>-E18/(E63+E54)</f>
        <v>3.6914794007490634E-2</v>
      </c>
      <c r="F67" s="148">
        <f>-F18/(F63+F54)</f>
        <v>3.6939699226164406E-2</v>
      </c>
      <c r="G67" s="56">
        <f>-G18/(G63+G54)</f>
        <v>3.5104577702357344E-2</v>
      </c>
      <c r="W67" s="16"/>
    </row>
    <row r="68" spans="2:23" x14ac:dyDescent="0.25">
      <c r="B68" t="s">
        <v>224</v>
      </c>
      <c r="E68" s="156"/>
      <c r="F68" s="156">
        <f>F60/E60-1</f>
        <v>4.2990531407314236E-3</v>
      </c>
      <c r="G68" s="147">
        <f>G60/F60-1</f>
        <v>4.2806503971968279E-3</v>
      </c>
    </row>
    <row r="85" spans="7:23" s="9" customFormat="1" x14ac:dyDescent="0.25">
      <c r="G85" s="42"/>
      <c r="W85" s="42"/>
    </row>
    <row r="86" spans="7:23" s="1" customFormat="1" x14ac:dyDescent="0.25">
      <c r="G86" s="16"/>
      <c r="W8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6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0" sqref="R20"/>
    </sheetView>
  </sheetViews>
  <sheetFormatPr defaultRowHeight="15" x14ac:dyDescent="0.25"/>
  <cols>
    <col min="1" max="1" width="24.140625" bestFit="1" customWidth="1"/>
  </cols>
  <sheetData>
    <row r="1" spans="1:20" x14ac:dyDescent="0.25">
      <c r="B1">
        <v>2019</v>
      </c>
      <c r="C1">
        <v>2020</v>
      </c>
      <c r="D1">
        <v>2021</v>
      </c>
      <c r="E1">
        <v>2022</v>
      </c>
      <c r="F1">
        <v>2023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38</v>
      </c>
      <c r="O1" t="s">
        <v>42</v>
      </c>
      <c r="P1" t="s">
        <v>43</v>
      </c>
      <c r="Q1" t="s">
        <v>66</v>
      </c>
      <c r="R1" t="s">
        <v>69</v>
      </c>
      <c r="S1" t="s">
        <v>197</v>
      </c>
      <c r="T1" t="s">
        <v>198</v>
      </c>
    </row>
    <row r="2" spans="1:20" x14ac:dyDescent="0.25">
      <c r="A2" t="s">
        <v>192</v>
      </c>
      <c r="B2" s="10">
        <v>895</v>
      </c>
      <c r="C2" s="10">
        <v>779</v>
      </c>
      <c r="D2" s="10">
        <v>1120</v>
      </c>
      <c r="E2" s="10">
        <v>1380</v>
      </c>
      <c r="F2" s="10">
        <v>1700</v>
      </c>
      <c r="I2" s="10">
        <v>310</v>
      </c>
      <c r="J2">
        <v>352</v>
      </c>
      <c r="K2">
        <v>353</v>
      </c>
      <c r="L2">
        <v>364</v>
      </c>
      <c r="M2">
        <v>395</v>
      </c>
      <c r="N2">
        <v>426</v>
      </c>
      <c r="O2">
        <v>439</v>
      </c>
      <c r="P2" s="10">
        <f>F2-O2-N2-M2</f>
        <v>440</v>
      </c>
    </row>
    <row r="5" spans="1:20" x14ac:dyDescent="0.25">
      <c r="A5" t="s">
        <v>195</v>
      </c>
      <c r="I5">
        <v>68</v>
      </c>
      <c r="J5">
        <v>76</v>
      </c>
      <c r="K5">
        <v>73</v>
      </c>
      <c r="L5">
        <v>76</v>
      </c>
      <c r="M5">
        <v>73</v>
      </c>
      <c r="N5">
        <v>77</v>
      </c>
      <c r="O5">
        <v>74</v>
      </c>
      <c r="P5">
        <v>76</v>
      </c>
    </row>
    <row r="6" spans="1:20" x14ac:dyDescent="0.25">
      <c r="A6" t="s">
        <v>196</v>
      </c>
      <c r="I6" s="3">
        <v>0.12</v>
      </c>
      <c r="J6" s="3">
        <v>0.1</v>
      </c>
      <c r="K6" s="3">
        <v>0.06</v>
      </c>
      <c r="L6" s="3">
        <v>0.06</v>
      </c>
      <c r="M6" s="3">
        <v>0.1</v>
      </c>
      <c r="N6" s="3">
        <v>0.03</v>
      </c>
      <c r="O6" s="3">
        <v>0.02</v>
      </c>
      <c r="P6" s="3">
        <v>1.4E-2</v>
      </c>
      <c r="Q6" s="3"/>
    </row>
    <row r="7" spans="1:20" x14ac:dyDescent="0.25">
      <c r="A7" t="s">
        <v>199</v>
      </c>
      <c r="I7">
        <v>112.8</v>
      </c>
      <c r="J7">
        <v>128.6</v>
      </c>
      <c r="K7">
        <v>133.69999999999999</v>
      </c>
      <c r="L7">
        <v>134.1</v>
      </c>
      <c r="M7">
        <v>150.5</v>
      </c>
      <c r="N7">
        <v>164.5</v>
      </c>
      <c r="O7">
        <v>173.9</v>
      </c>
      <c r="P7">
        <v>166.4</v>
      </c>
    </row>
    <row r="9" spans="1:20" x14ac:dyDescent="0.25">
      <c r="A9" t="s">
        <v>230</v>
      </c>
      <c r="M9" s="3">
        <f t="shared" ref="M9:O9" si="0">M7/I7-1</f>
        <v>0.3342198581560285</v>
      </c>
      <c r="N9" s="3">
        <f t="shared" si="0"/>
        <v>0.27916018662519448</v>
      </c>
      <c r="O9" s="3">
        <f t="shared" si="0"/>
        <v>0.30067314884068819</v>
      </c>
      <c r="P9" s="3">
        <f>P7/L7-1</f>
        <v>0.24086502609992544</v>
      </c>
    </row>
    <row r="13" spans="1:20" x14ac:dyDescent="0.25">
      <c r="A13" s="146" t="s">
        <v>200</v>
      </c>
    </row>
    <row r="14" spans="1:20" x14ac:dyDescent="0.25">
      <c r="A14" t="s">
        <v>201</v>
      </c>
      <c r="E14">
        <v>179</v>
      </c>
      <c r="F14">
        <v>209</v>
      </c>
      <c r="I14">
        <v>164</v>
      </c>
      <c r="J14">
        <v>165</v>
      </c>
      <c r="K14">
        <v>171</v>
      </c>
      <c r="L14">
        <v>179</v>
      </c>
      <c r="M14">
        <v>186</v>
      </c>
      <c r="N14">
        <v>197</v>
      </c>
      <c r="O14">
        <v>202</v>
      </c>
      <c r="P14">
        <v>209</v>
      </c>
    </row>
    <row r="16" spans="1:20" x14ac:dyDescent="0.25">
      <c r="A16" t="s">
        <v>202</v>
      </c>
      <c r="E16">
        <v>254</v>
      </c>
      <c r="F16">
        <v>295</v>
      </c>
      <c r="I16">
        <v>225</v>
      </c>
      <c r="J16">
        <v>230</v>
      </c>
      <c r="K16">
        <v>232</v>
      </c>
      <c r="L16">
        <v>254</v>
      </c>
      <c r="M16">
        <v>260</v>
      </c>
      <c r="N16">
        <v>270</v>
      </c>
      <c r="O16">
        <v>280</v>
      </c>
      <c r="P16">
        <v>295</v>
      </c>
    </row>
    <row r="17" spans="1:16" x14ac:dyDescent="0.25">
      <c r="A17" t="s">
        <v>204</v>
      </c>
      <c r="E17">
        <v>33</v>
      </c>
      <c r="F17">
        <v>39</v>
      </c>
      <c r="I17">
        <v>27</v>
      </c>
      <c r="J17">
        <v>27</v>
      </c>
      <c r="K17">
        <v>30</v>
      </c>
      <c r="L17">
        <v>33</v>
      </c>
      <c r="M17">
        <v>35</v>
      </c>
      <c r="N17">
        <v>35</v>
      </c>
      <c r="O17">
        <v>39</v>
      </c>
      <c r="P17">
        <v>39</v>
      </c>
    </row>
    <row r="18" spans="1:16" x14ac:dyDescent="0.25">
      <c r="A18" t="s">
        <v>205</v>
      </c>
      <c r="E18">
        <v>149</v>
      </c>
      <c r="F18">
        <v>184</v>
      </c>
      <c r="I18">
        <v>130</v>
      </c>
      <c r="J18">
        <v>138</v>
      </c>
      <c r="K18">
        <v>140</v>
      </c>
      <c r="L18">
        <v>149</v>
      </c>
      <c r="M18">
        <v>154</v>
      </c>
      <c r="N18">
        <v>166</v>
      </c>
      <c r="O18">
        <v>176</v>
      </c>
      <c r="P18">
        <v>223</v>
      </c>
    </row>
    <row r="19" spans="1:16" s="1" customFormat="1" x14ac:dyDescent="0.25">
      <c r="A19" s="1" t="s">
        <v>203</v>
      </c>
      <c r="E19" s="1">
        <f>SUM(E17:E18)</f>
        <v>182</v>
      </c>
      <c r="F19" s="1">
        <f>SUM(F17:F18)</f>
        <v>223</v>
      </c>
      <c r="I19" s="1">
        <f t="shared" ref="I19:N19" si="1">SUM(I17:I18)</f>
        <v>157</v>
      </c>
      <c r="J19" s="1">
        <f t="shared" si="1"/>
        <v>165</v>
      </c>
      <c r="K19" s="1">
        <f t="shared" si="1"/>
        <v>170</v>
      </c>
      <c r="L19" s="1">
        <f t="shared" si="1"/>
        <v>182</v>
      </c>
      <c r="M19" s="1">
        <f t="shared" si="1"/>
        <v>189</v>
      </c>
      <c r="N19" s="1">
        <f t="shared" si="1"/>
        <v>201</v>
      </c>
      <c r="O19" s="1">
        <f>SUM(O17:O18)</f>
        <v>215</v>
      </c>
      <c r="P19" s="1">
        <f>SUM(P17:P18)</f>
        <v>262</v>
      </c>
    </row>
    <row r="20" spans="1:16" s="1" customFormat="1" x14ac:dyDescent="0.25">
      <c r="A20" s="1" t="s">
        <v>206</v>
      </c>
      <c r="E20" s="1">
        <f>E16+E19</f>
        <v>436</v>
      </c>
      <c r="F20" s="1">
        <f>F16+F19</f>
        <v>518</v>
      </c>
      <c r="I20" s="1">
        <f>I16+I19</f>
        <v>382</v>
      </c>
      <c r="J20" s="1">
        <f>J16+J19</f>
        <v>395</v>
      </c>
      <c r="K20" s="1">
        <f>K16+K19</f>
        <v>402</v>
      </c>
      <c r="L20" s="1">
        <f t="shared" ref="L20:N20" si="2">L16+L19</f>
        <v>436</v>
      </c>
      <c r="M20" s="1">
        <f t="shared" si="2"/>
        <v>449</v>
      </c>
      <c r="N20" s="1">
        <f t="shared" si="2"/>
        <v>471</v>
      </c>
      <c r="O20" s="1">
        <f>O16+O19</f>
        <v>495</v>
      </c>
      <c r="P20" s="1">
        <f>P16+P19</f>
        <v>557</v>
      </c>
    </row>
    <row r="22" spans="1:16" x14ac:dyDescent="0.25">
      <c r="A22" t="s">
        <v>228</v>
      </c>
      <c r="L22" s="154"/>
      <c r="M22" s="154">
        <f>M16/I16-1</f>
        <v>0.15555555555555545</v>
      </c>
      <c r="N22" s="154">
        <f>N16/J16-1</f>
        <v>0.17391304347826098</v>
      </c>
      <c r="O22" s="154">
        <f>O16/K16-1</f>
        <v>0.2068965517241379</v>
      </c>
      <c r="P22" s="154">
        <f>P16/L16-1</f>
        <v>0.1614173228346456</v>
      </c>
    </row>
    <row r="23" spans="1:16" x14ac:dyDescent="0.25">
      <c r="A23" t="s">
        <v>229</v>
      </c>
      <c r="L23" s="154"/>
      <c r="M23" s="154">
        <f>M19/I19-1</f>
        <v>0.20382165605095537</v>
      </c>
      <c r="N23" s="154">
        <f>N19/J19-1</f>
        <v>0.21818181818181825</v>
      </c>
      <c r="O23" s="154">
        <f>O19/K19-1</f>
        <v>0.26470588235294112</v>
      </c>
      <c r="P23" s="155">
        <f>P19/L19-1</f>
        <v>0.43956043956043955</v>
      </c>
    </row>
    <row r="25" spans="1:16" x14ac:dyDescent="0.25">
      <c r="I25" s="1"/>
    </row>
    <row r="26" spans="1:16" x14ac:dyDescent="0.25">
      <c r="I26" s="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483"/>
  <sheetViews>
    <sheetView topLeftCell="A394" workbookViewId="0">
      <selection activeCell="I467" sqref="I467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96</v>
      </c>
      <c r="H1" s="136" t="s">
        <v>97</v>
      </c>
      <c r="I1" s="137"/>
      <c r="J1" s="137"/>
      <c r="K1" s="137"/>
      <c r="L1" s="137"/>
      <c r="M1" s="138"/>
    </row>
    <row r="2" spans="1:13" ht="15.75" thickBot="1" x14ac:dyDescent="0.3">
      <c r="B2" s="12">
        <v>45397</v>
      </c>
      <c r="C2" s="18">
        <v>94.910004000000001</v>
      </c>
      <c r="D2" s="126">
        <f>C2/C3-1</f>
        <v>-2.3660066080239295E-2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45390</v>
      </c>
      <c r="C3" s="18">
        <v>97.209998999999996</v>
      </c>
      <c r="D3" s="126">
        <f t="shared" ref="D3:D66" si="0">C3/C4-1</f>
        <v>-3.9806391541019281E-2</v>
      </c>
      <c r="H3" s="66" t="s">
        <v>98</v>
      </c>
      <c r="I3" s="67" t="s">
        <v>99</v>
      </c>
      <c r="J3" s="68" t="s">
        <v>100</v>
      </c>
      <c r="K3" s="69" t="s">
        <v>101</v>
      </c>
      <c r="L3" s="69" t="s">
        <v>102</v>
      </c>
      <c r="M3" s="70" t="s">
        <v>103</v>
      </c>
    </row>
    <row r="4" spans="1:13" x14ac:dyDescent="0.25">
      <c r="B4" s="12">
        <v>45383</v>
      </c>
      <c r="C4" s="18">
        <v>101.239998</v>
      </c>
      <c r="D4" s="126">
        <f t="shared" si="0"/>
        <v>-2.6819196643460552E-2</v>
      </c>
      <c r="H4" s="71">
        <f>$I$19-3*$I$23</f>
        <v>-0.2152026084813152</v>
      </c>
      <c r="I4" s="72">
        <f>H4</f>
        <v>-0.2152026084813152</v>
      </c>
      <c r="J4" s="73">
        <f>COUNTIF(D:D,"&lt;="&amp;H4)</f>
        <v>3</v>
      </c>
      <c r="K4" s="73" t="str">
        <f>"Less than "&amp;TEXT(H4,"0,00%")</f>
        <v>Less than -21,52%</v>
      </c>
      <c r="L4" s="74">
        <f>J4/$I$31</f>
        <v>6.2370062370062374E-3</v>
      </c>
      <c r="M4" s="75">
        <f>L4</f>
        <v>6.2370062370062374E-3</v>
      </c>
    </row>
    <row r="5" spans="1:13" x14ac:dyDescent="0.25">
      <c r="B5" s="12">
        <v>45376</v>
      </c>
      <c r="C5" s="18">
        <v>104.029999</v>
      </c>
      <c r="D5" s="126">
        <f t="shared" si="0"/>
        <v>-4.7954590865413871E-2</v>
      </c>
      <c r="H5" s="76">
        <f>$I$19-2.4*$I$23</f>
        <v>-0.17133578018753828</v>
      </c>
      <c r="I5" s="77">
        <f>H5</f>
        <v>-0.17133578018753828</v>
      </c>
      <c r="J5" s="78">
        <f>COUNTIFS(D:D,"&lt;="&amp;H5,D:D,"&gt;"&amp;H4)</f>
        <v>5</v>
      </c>
      <c r="K5" s="79" t="str">
        <f t="shared" ref="K5:K14" si="1">TEXT(H4,"0,00%")&amp;" to "&amp;TEXT(H5,"0,00%")</f>
        <v>-21,52% to -17,13%</v>
      </c>
      <c r="L5" s="80">
        <f>J5/$I$31</f>
        <v>1.0395010395010396E-2</v>
      </c>
      <c r="M5" s="81">
        <f>M4+L5</f>
        <v>1.6632016632016633E-2</v>
      </c>
    </row>
    <row r="6" spans="1:13" x14ac:dyDescent="0.25">
      <c r="B6" s="12">
        <v>45369</v>
      </c>
      <c r="C6" s="18">
        <v>109.269997</v>
      </c>
      <c r="D6" s="126">
        <f t="shared" si="0"/>
        <v>5.3814204767784535E-2</v>
      </c>
      <c r="H6" s="76">
        <f>$I$19-1.8*$I$23</f>
        <v>-0.12746895189376137</v>
      </c>
      <c r="I6" s="77">
        <f t="shared" ref="I6:I14" si="2">H6</f>
        <v>-0.12746895189376137</v>
      </c>
      <c r="J6" s="78">
        <f t="shared" ref="J6:J14" si="3">COUNTIFS(D:D,"&lt;="&amp;H6,D:D,"&gt;"&amp;H5)</f>
        <v>5</v>
      </c>
      <c r="K6" s="79" t="str">
        <f t="shared" si="1"/>
        <v>-17,13% to -12,75%</v>
      </c>
      <c r="L6" s="80">
        <f t="shared" ref="L6:L15" si="4">J6/$I$31</f>
        <v>1.0395010395010396E-2</v>
      </c>
      <c r="M6" s="81">
        <f t="shared" ref="M6:M15" si="5">M5+L6</f>
        <v>2.7027027027027029E-2</v>
      </c>
    </row>
    <row r="7" spans="1:13" x14ac:dyDescent="0.25">
      <c r="B7" s="12">
        <v>45362</v>
      </c>
      <c r="C7" s="18">
        <v>103.69000200000001</v>
      </c>
      <c r="D7" s="126">
        <f t="shared" si="0"/>
        <v>5.7903118534308184E-4</v>
      </c>
      <c r="H7" s="76">
        <f>$I$19-1.2*$I$23</f>
        <v>-8.3602123599984424E-2</v>
      </c>
      <c r="I7" s="77">
        <f t="shared" si="2"/>
        <v>-8.3602123599984424E-2</v>
      </c>
      <c r="J7" s="78">
        <f t="shared" si="3"/>
        <v>24</v>
      </c>
      <c r="K7" s="79" t="str">
        <f t="shared" si="1"/>
        <v>-12,75% to -8,36%</v>
      </c>
      <c r="L7" s="80">
        <f t="shared" si="4"/>
        <v>4.9896049896049899E-2</v>
      </c>
      <c r="M7" s="81">
        <f t="shared" si="5"/>
        <v>7.6923076923076927E-2</v>
      </c>
    </row>
    <row r="8" spans="1:13" x14ac:dyDescent="0.25">
      <c r="B8" s="12">
        <v>45355</v>
      </c>
      <c r="C8" s="18">
        <v>103.629997</v>
      </c>
      <c r="D8" s="126">
        <f t="shared" si="0"/>
        <v>-3.3752941724941699E-2</v>
      </c>
      <c r="H8" s="76">
        <f>$I$19-0.6*$I$23</f>
        <v>-3.9735295306207494E-2</v>
      </c>
      <c r="I8" s="77">
        <f t="shared" si="2"/>
        <v>-3.9735295306207494E-2</v>
      </c>
      <c r="J8" s="78">
        <f t="shared" si="3"/>
        <v>69</v>
      </c>
      <c r="K8" s="79" t="str">
        <f t="shared" si="1"/>
        <v>-8,36% to -3,97%</v>
      </c>
      <c r="L8" s="80">
        <f t="shared" si="4"/>
        <v>0.14345114345114346</v>
      </c>
      <c r="M8" s="81">
        <f t="shared" si="5"/>
        <v>0.22037422037422039</v>
      </c>
    </row>
    <row r="9" spans="1:13" x14ac:dyDescent="0.25">
      <c r="B9" s="12">
        <v>45348</v>
      </c>
      <c r="C9" s="18">
        <v>107.25</v>
      </c>
      <c r="D9" s="126">
        <f t="shared" si="0"/>
        <v>9.3941237311900849E-2</v>
      </c>
      <c r="H9" s="76">
        <f>$I$19</f>
        <v>4.1315329875694353E-3</v>
      </c>
      <c r="I9" s="77">
        <f t="shared" si="2"/>
        <v>4.1315329875694353E-3</v>
      </c>
      <c r="J9" s="78">
        <f t="shared" si="3"/>
        <v>153</v>
      </c>
      <c r="K9" s="79" t="str">
        <f t="shared" si="1"/>
        <v>-3,97% to 0,41%</v>
      </c>
      <c r="L9" s="80">
        <f t="shared" si="4"/>
        <v>0.3180873180873181</v>
      </c>
      <c r="M9" s="81">
        <f t="shared" si="5"/>
        <v>0.53846153846153855</v>
      </c>
    </row>
    <row r="10" spans="1:13" x14ac:dyDescent="0.25">
      <c r="B10" s="12">
        <v>45341</v>
      </c>
      <c r="C10" s="18">
        <v>98.040001000000004</v>
      </c>
      <c r="D10" s="126">
        <f t="shared" si="0"/>
        <v>-2.5434937171279204E-3</v>
      </c>
      <c r="H10" s="76">
        <f>$I$19+0.6*$I$23</f>
        <v>4.7998361281346366E-2</v>
      </c>
      <c r="I10" s="77">
        <f t="shared" si="2"/>
        <v>4.7998361281346366E-2</v>
      </c>
      <c r="J10" s="78">
        <f t="shared" si="3"/>
        <v>125</v>
      </c>
      <c r="K10" s="79" t="str">
        <f t="shared" si="1"/>
        <v>0,41% to 4,80%</v>
      </c>
      <c r="L10" s="80">
        <f t="shared" si="4"/>
        <v>0.25987525987525989</v>
      </c>
      <c r="M10" s="81">
        <f t="shared" si="5"/>
        <v>0.79833679833679838</v>
      </c>
    </row>
    <row r="11" spans="1:13" x14ac:dyDescent="0.25">
      <c r="B11" s="12">
        <v>45334</v>
      </c>
      <c r="C11" s="18">
        <v>98.290001000000004</v>
      </c>
      <c r="D11" s="126">
        <f t="shared" si="0"/>
        <v>0.23495421459752319</v>
      </c>
      <c r="H11" s="76">
        <f>$I$19+1.2*$I$23</f>
        <v>9.1865189575123296E-2</v>
      </c>
      <c r="I11" s="77">
        <f t="shared" si="2"/>
        <v>9.1865189575123296E-2</v>
      </c>
      <c r="J11" s="78">
        <f t="shared" si="3"/>
        <v>52</v>
      </c>
      <c r="K11" s="79" t="str">
        <f t="shared" si="1"/>
        <v>4,80% to 9,19%</v>
      </c>
      <c r="L11" s="80">
        <f t="shared" si="4"/>
        <v>0.10810810810810811</v>
      </c>
      <c r="M11" s="81">
        <f t="shared" si="5"/>
        <v>0.9064449064449065</v>
      </c>
    </row>
    <row r="12" spans="1:13" x14ac:dyDescent="0.25">
      <c r="B12" s="12">
        <v>45327</v>
      </c>
      <c r="C12" s="18">
        <v>79.589995999999999</v>
      </c>
      <c r="D12" s="126">
        <f t="shared" si="0"/>
        <v>2.6967690322580617E-2</v>
      </c>
      <c r="H12" s="76">
        <f>$I$19+1.8*$I$23</f>
        <v>0.13573201786890024</v>
      </c>
      <c r="I12" s="77">
        <f t="shared" si="2"/>
        <v>0.13573201786890024</v>
      </c>
      <c r="J12" s="78">
        <f t="shared" si="3"/>
        <v>26</v>
      </c>
      <c r="K12" s="79" t="str">
        <f t="shared" si="1"/>
        <v>9,19% to 13,57%</v>
      </c>
      <c r="L12" s="80">
        <f t="shared" si="4"/>
        <v>5.4054054054054057E-2</v>
      </c>
      <c r="M12" s="81">
        <f t="shared" si="5"/>
        <v>0.96049896049896055</v>
      </c>
    </row>
    <row r="13" spans="1:13" x14ac:dyDescent="0.25">
      <c r="B13" s="12">
        <v>45320</v>
      </c>
      <c r="C13" s="18">
        <v>77.5</v>
      </c>
      <c r="D13" s="126">
        <f t="shared" si="0"/>
        <v>5.1845819761129119E-2</v>
      </c>
      <c r="H13" s="76">
        <f>$I$19+2.4*$I$23</f>
        <v>0.17959884616267716</v>
      </c>
      <c r="I13" s="77">
        <f t="shared" si="2"/>
        <v>0.17959884616267716</v>
      </c>
      <c r="J13" s="78">
        <f t="shared" si="3"/>
        <v>7</v>
      </c>
      <c r="K13" s="79" t="str">
        <f t="shared" si="1"/>
        <v>13,57% to 17,96%</v>
      </c>
      <c r="L13" s="80">
        <f t="shared" si="4"/>
        <v>1.4553014553014554E-2</v>
      </c>
      <c r="M13" s="81">
        <f t="shared" si="5"/>
        <v>0.97505197505197505</v>
      </c>
    </row>
    <row r="14" spans="1:13" x14ac:dyDescent="0.25">
      <c r="B14" s="12">
        <v>45313</v>
      </c>
      <c r="C14" s="18">
        <v>73.680000000000007</v>
      </c>
      <c r="D14" s="126">
        <f t="shared" si="0"/>
        <v>9.2040890884231841E-2</v>
      </c>
      <c r="H14" s="76">
        <f>$I$19+3*$I$23</f>
        <v>0.22346567445645407</v>
      </c>
      <c r="I14" s="77">
        <f t="shared" si="2"/>
        <v>0.22346567445645407</v>
      </c>
      <c r="J14" s="78">
        <f t="shared" si="3"/>
        <v>7</v>
      </c>
      <c r="K14" s="79" t="str">
        <f t="shared" si="1"/>
        <v>17,96% to 22,35%</v>
      </c>
      <c r="L14" s="80">
        <f t="shared" si="4"/>
        <v>1.4553014553014554E-2</v>
      </c>
      <c r="M14" s="81">
        <f t="shared" si="5"/>
        <v>0.98960498960498966</v>
      </c>
    </row>
    <row r="15" spans="1:13" ht="15.75" thickBot="1" x14ac:dyDescent="0.3">
      <c r="B15" s="12">
        <v>45306</v>
      </c>
      <c r="C15" s="18">
        <v>67.470000999999996</v>
      </c>
      <c r="D15" s="126">
        <f t="shared" si="0"/>
        <v>2.3823959823248586E-2</v>
      </c>
      <c r="H15" s="82"/>
      <c r="I15" s="83" t="s">
        <v>104</v>
      </c>
      <c r="J15" s="83">
        <f>COUNTIF(D:D,"&gt;"&amp;H14)</f>
        <v>5</v>
      </c>
      <c r="K15" s="83" t="str">
        <f>"Greater than "&amp;TEXT(H14,"0,00%")</f>
        <v>Greater than 22,35%</v>
      </c>
      <c r="L15" s="84">
        <f t="shared" si="4"/>
        <v>1.0395010395010396E-2</v>
      </c>
      <c r="M15" s="84">
        <f t="shared" si="5"/>
        <v>1</v>
      </c>
    </row>
    <row r="16" spans="1:13" ht="15.75" thickBot="1" x14ac:dyDescent="0.3">
      <c r="B16" s="12">
        <v>45299</v>
      </c>
      <c r="C16" s="18">
        <v>65.900002000000001</v>
      </c>
      <c r="D16" s="126">
        <f t="shared" si="0"/>
        <v>-5.8840262446740788E-2</v>
      </c>
      <c r="H16" s="85"/>
      <c r="M16" s="86"/>
    </row>
    <row r="17" spans="2:13" x14ac:dyDescent="0.25">
      <c r="B17" s="12">
        <v>45292</v>
      </c>
      <c r="C17" s="18">
        <v>70.019997000000004</v>
      </c>
      <c r="D17" s="126">
        <f t="shared" si="0"/>
        <v>-5.5315782974266647E-2</v>
      </c>
      <c r="H17" s="139" t="s">
        <v>135</v>
      </c>
      <c r="I17" s="140"/>
      <c r="M17" s="86"/>
    </row>
    <row r="18" spans="2:13" x14ac:dyDescent="0.25">
      <c r="B18" s="12">
        <v>45285</v>
      </c>
      <c r="C18" s="18">
        <v>74.120002999999997</v>
      </c>
      <c r="D18" s="126">
        <f t="shared" si="0"/>
        <v>-2.1539580257669E-3</v>
      </c>
      <c r="H18" s="141"/>
      <c r="I18" s="142"/>
      <c r="M18" s="86"/>
    </row>
    <row r="19" spans="2:13" x14ac:dyDescent="0.25">
      <c r="B19" s="12">
        <v>45278</v>
      </c>
      <c r="C19" s="18">
        <v>74.279999000000004</v>
      </c>
      <c r="D19" s="126">
        <f t="shared" si="0"/>
        <v>2.6959725509201782E-2</v>
      </c>
      <c r="H19" s="87" t="s">
        <v>105</v>
      </c>
      <c r="I19" s="124">
        <f>AVERAGE(D:D)</f>
        <v>4.1315329875694353E-3</v>
      </c>
      <c r="M19" s="86"/>
    </row>
    <row r="20" spans="2:13" x14ac:dyDescent="0.25">
      <c r="B20" s="12">
        <v>45271</v>
      </c>
      <c r="C20" s="18">
        <v>72.330001999999993</v>
      </c>
      <c r="D20" s="126">
        <f t="shared" si="0"/>
        <v>0.18612663168251875</v>
      </c>
      <c r="H20" s="87" t="s">
        <v>106</v>
      </c>
      <c r="I20" s="124">
        <f>_xlfn.STDEV.S(D:D)/SQRT(COUNT(D:D))</f>
        <v>3.3335920070765835E-3</v>
      </c>
      <c r="M20" s="86"/>
    </row>
    <row r="21" spans="2:13" x14ac:dyDescent="0.25">
      <c r="B21" s="12">
        <v>45264</v>
      </c>
      <c r="C21" s="18">
        <v>60.98</v>
      </c>
      <c r="D21" s="126">
        <f t="shared" si="0"/>
        <v>-1.1028219266947747E-2</v>
      </c>
      <c r="H21" s="87" t="s">
        <v>107</v>
      </c>
      <c r="I21" s="124">
        <f>MEDIAN(D:D)</f>
        <v>-5.7339447897386542E-4</v>
      </c>
      <c r="M21" s="86"/>
    </row>
    <row r="22" spans="2:13" x14ac:dyDescent="0.25">
      <c r="B22" s="12">
        <v>45257</v>
      </c>
      <c r="C22" s="18">
        <v>61.66</v>
      </c>
      <c r="D22" s="126">
        <f t="shared" si="0"/>
        <v>-1.3755598208573305E-2</v>
      </c>
      <c r="H22" s="87" t="s">
        <v>108</v>
      </c>
      <c r="I22" s="124" t="e">
        <f>MODE(D:D)</f>
        <v>#N/A</v>
      </c>
      <c r="M22" s="86"/>
    </row>
    <row r="23" spans="2:13" x14ac:dyDescent="0.25">
      <c r="B23" s="12">
        <v>45250</v>
      </c>
      <c r="C23" s="18">
        <v>62.52</v>
      </c>
      <c r="D23" s="126">
        <f t="shared" si="0"/>
        <v>2.6600951507357973E-2</v>
      </c>
      <c r="H23" s="87" t="s">
        <v>109</v>
      </c>
      <c r="I23" s="124">
        <f>_xlfn.STDEV.S(D:D)</f>
        <v>7.3111380489628217E-2</v>
      </c>
      <c r="M23" s="86"/>
    </row>
    <row r="24" spans="2:13" x14ac:dyDescent="0.25">
      <c r="B24" s="12">
        <v>45243</v>
      </c>
      <c r="C24" s="18">
        <v>60.900002000000001</v>
      </c>
      <c r="D24" s="126">
        <f t="shared" si="0"/>
        <v>0.10666914604159827</v>
      </c>
      <c r="H24" s="87" t="s">
        <v>110</v>
      </c>
      <c r="I24" s="124">
        <f>_xlfn.VAR.S(D:D)</f>
        <v>5.34527395709919E-3</v>
      </c>
      <c r="M24" s="86"/>
    </row>
    <row r="25" spans="2:13" x14ac:dyDescent="0.25">
      <c r="B25" s="12">
        <v>45236</v>
      </c>
      <c r="C25" s="18">
        <v>55.029998999999997</v>
      </c>
      <c r="D25" s="126">
        <f t="shared" si="0"/>
        <v>-7.5281451026094959E-2</v>
      </c>
      <c r="H25" s="87" t="s">
        <v>111</v>
      </c>
      <c r="I25" s="125">
        <f>KURT(D:D)</f>
        <v>3.2566962766145791</v>
      </c>
      <c r="M25" s="86"/>
    </row>
    <row r="26" spans="2:13" x14ac:dyDescent="0.25">
      <c r="B26" s="12">
        <v>45229</v>
      </c>
      <c r="C26" s="18">
        <v>59.509998000000003</v>
      </c>
      <c r="D26" s="126">
        <f t="shared" si="0"/>
        <v>8.2196687317814821E-2</v>
      </c>
      <c r="H26" s="87" t="s">
        <v>112</v>
      </c>
      <c r="I26" s="125">
        <f>SKEW(D:D)</f>
        <v>0.57271936999652717</v>
      </c>
      <c r="M26" s="86"/>
    </row>
    <row r="27" spans="2:13" x14ac:dyDescent="0.25">
      <c r="B27" s="12">
        <v>45222</v>
      </c>
      <c r="C27" s="18">
        <v>54.990001999999997</v>
      </c>
      <c r="D27" s="126">
        <f t="shared" si="0"/>
        <v>1.4569659442724703E-3</v>
      </c>
      <c r="H27" s="87" t="s">
        <v>101</v>
      </c>
      <c r="I27" s="124">
        <f>I29-I28</f>
        <v>0.60130066799849524</v>
      </c>
      <c r="M27" s="86"/>
    </row>
    <row r="28" spans="2:13" x14ac:dyDescent="0.25">
      <c r="B28" s="12">
        <v>45215</v>
      </c>
      <c r="C28" s="18">
        <v>54.91</v>
      </c>
      <c r="D28" s="126">
        <f t="shared" si="0"/>
        <v>2.5971599402092593E-2</v>
      </c>
      <c r="H28" s="87" t="s">
        <v>113</v>
      </c>
      <c r="I28" s="124">
        <f>MIN(D:D)</f>
        <v>-0.25933012440191383</v>
      </c>
      <c r="M28" s="86"/>
    </row>
    <row r="29" spans="2:13" x14ac:dyDescent="0.25">
      <c r="B29" s="12">
        <v>45208</v>
      </c>
      <c r="C29" s="18">
        <v>53.52</v>
      </c>
      <c r="D29" s="126">
        <f t="shared" si="0"/>
        <v>-4.8194913747109935E-2</v>
      </c>
      <c r="H29" s="87" t="s">
        <v>114</v>
      </c>
      <c r="I29" s="124">
        <f>MAX(D:D)</f>
        <v>0.34197054359658141</v>
      </c>
      <c r="M29" s="86"/>
    </row>
    <row r="30" spans="2:13" x14ac:dyDescent="0.25">
      <c r="B30" s="12">
        <v>45201</v>
      </c>
      <c r="C30" s="18">
        <v>56.23</v>
      </c>
      <c r="D30" s="126">
        <f t="shared" si="0"/>
        <v>-3.168589633201313E-2</v>
      </c>
      <c r="H30" s="87" t="s">
        <v>115</v>
      </c>
      <c r="I30" s="125">
        <f>SUM(D:D)</f>
        <v>1.9872673670208982</v>
      </c>
      <c r="M30" s="86"/>
    </row>
    <row r="31" spans="2:13" ht="15.75" thickBot="1" x14ac:dyDescent="0.3">
      <c r="B31" s="12">
        <v>45194</v>
      </c>
      <c r="C31" s="18">
        <v>58.07</v>
      </c>
      <c r="D31" s="126">
        <f t="shared" si="0"/>
        <v>3.6294330516863926E-3</v>
      </c>
      <c r="H31" s="88" t="s">
        <v>116</v>
      </c>
      <c r="I31" s="65">
        <f>COUNT(D:D)</f>
        <v>481</v>
      </c>
      <c r="M31" s="86"/>
    </row>
    <row r="32" spans="2:13" ht="15.75" thickBot="1" x14ac:dyDescent="0.3">
      <c r="B32" s="12">
        <v>45187</v>
      </c>
      <c r="C32" s="18">
        <v>57.860000999999997</v>
      </c>
      <c r="D32" s="126">
        <f t="shared" si="0"/>
        <v>-6.7976818041983966E-2</v>
      </c>
      <c r="H32" s="90"/>
      <c r="M32" s="86"/>
    </row>
    <row r="33" spans="2:13" x14ac:dyDescent="0.25">
      <c r="B33" s="12">
        <v>45180</v>
      </c>
      <c r="C33" s="18">
        <v>62.080002</v>
      </c>
      <c r="D33" s="126">
        <f t="shared" si="0"/>
        <v>-4.7852686250890453E-2</v>
      </c>
      <c r="H33" s="91"/>
      <c r="I33" s="92" t="s">
        <v>117</v>
      </c>
      <c r="J33" s="92" t="s">
        <v>116</v>
      </c>
      <c r="K33" s="92" t="s">
        <v>118</v>
      </c>
      <c r="L33" s="93" t="s">
        <v>119</v>
      </c>
      <c r="M33" s="86"/>
    </row>
    <row r="34" spans="2:13" x14ac:dyDescent="0.25">
      <c r="B34" s="12">
        <v>45173</v>
      </c>
      <c r="C34" s="18">
        <v>65.199996999999996</v>
      </c>
      <c r="D34" s="126">
        <f t="shared" si="0"/>
        <v>-6.9501969459112245E-2</v>
      </c>
      <c r="H34" s="94" t="s">
        <v>120</v>
      </c>
      <c r="I34" s="80">
        <f>AVERAGEIF(D:D,"&gt;0")</f>
        <v>5.7020811124778893E-2</v>
      </c>
      <c r="J34" s="78">
        <f>COUNTIF(D:D,"&gt;0")</f>
        <v>236</v>
      </c>
      <c r="K34" s="80">
        <f>J34/$I$31</f>
        <v>0.49064449064449067</v>
      </c>
      <c r="L34" s="81">
        <f>K34*I34</f>
        <v>2.7976946830452848E-2</v>
      </c>
      <c r="M34" s="86"/>
    </row>
    <row r="35" spans="2:13" x14ac:dyDescent="0.25">
      <c r="B35" s="12">
        <v>45166</v>
      </c>
      <c r="C35" s="18">
        <v>70.069999999999993</v>
      </c>
      <c r="D35" s="126">
        <f t="shared" si="0"/>
        <v>2.1453375899693761E-3</v>
      </c>
      <c r="H35" s="94" t="s">
        <v>121</v>
      </c>
      <c r="I35" s="80">
        <f>AVERAGEIF(D:D,"&lt;0")</f>
        <v>-4.6814873707864954E-2</v>
      </c>
      <c r="J35" s="78">
        <f>COUNTIF(D:D,"&lt;0")</f>
        <v>245</v>
      </c>
      <c r="K35" s="80">
        <f>J35/$I$31</f>
        <v>0.50935550935550933</v>
      </c>
      <c r="L35" s="81">
        <f t="shared" ref="L35:L36" si="6">K35*I35</f>
        <v>-2.3845413842883394E-2</v>
      </c>
      <c r="M35" s="86"/>
    </row>
    <row r="36" spans="2:13" ht="15.75" thickBot="1" x14ac:dyDescent="0.3">
      <c r="B36" s="12">
        <v>45159</v>
      </c>
      <c r="C36" s="18">
        <v>69.919998000000007</v>
      </c>
      <c r="D36" s="126">
        <f t="shared" si="0"/>
        <v>8.0737743934000683E-3</v>
      </c>
      <c r="H36" s="95" t="s">
        <v>122</v>
      </c>
      <c r="I36" s="83">
        <v>0</v>
      </c>
      <c r="J36" s="83">
        <f>COUNTIF(D:D,"0")</f>
        <v>0</v>
      </c>
      <c r="K36" s="96">
        <f>J36/$I$31</f>
        <v>0</v>
      </c>
      <c r="L36" s="84">
        <f t="shared" si="6"/>
        <v>0</v>
      </c>
      <c r="M36" s="86"/>
    </row>
    <row r="37" spans="2:13" ht="15.75" thickBot="1" x14ac:dyDescent="0.3">
      <c r="B37" s="12">
        <v>45152</v>
      </c>
      <c r="C37" s="18">
        <v>69.360000999999997</v>
      </c>
      <c r="D37" s="126">
        <f t="shared" si="0"/>
        <v>-8.952479653452361E-2</v>
      </c>
      <c r="H37" s="90"/>
      <c r="I37" s="97"/>
      <c r="J37" s="97"/>
      <c r="K37" s="97"/>
      <c r="L37" s="97"/>
      <c r="M37" s="86"/>
    </row>
    <row r="38" spans="2:13" x14ac:dyDescent="0.25">
      <c r="B38" s="12">
        <v>45145</v>
      </c>
      <c r="C38" s="18">
        <v>76.180000000000007</v>
      </c>
      <c r="D38" s="126">
        <f t="shared" si="0"/>
        <v>-3.4596424554736993E-2</v>
      </c>
      <c r="H38" s="71" t="s">
        <v>123</v>
      </c>
      <c r="I38" s="92" t="s">
        <v>124</v>
      </c>
      <c r="J38" s="92" t="s">
        <v>125</v>
      </c>
      <c r="K38" s="92" t="s">
        <v>126</v>
      </c>
      <c r="L38" s="92" t="s">
        <v>127</v>
      </c>
      <c r="M38" s="93" t="s">
        <v>128</v>
      </c>
    </row>
    <row r="39" spans="2:13" x14ac:dyDescent="0.25">
      <c r="B39" s="12">
        <v>45138</v>
      </c>
      <c r="C39" s="18">
        <v>78.910004000000001</v>
      </c>
      <c r="D39" s="126">
        <f t="shared" si="0"/>
        <v>3.8562791317604983E-2</v>
      </c>
      <c r="H39" s="98">
        <v>1</v>
      </c>
      <c r="I39" s="80">
        <f>$I$19+($H39*$I$23)</f>
        <v>7.7242913477197653E-2</v>
      </c>
      <c r="J39" s="80">
        <f>$I$19-($H39*$I$23)</f>
        <v>-6.897984750205878E-2</v>
      </c>
      <c r="K39" s="78">
        <f>COUNTIFS(D:D,"&lt;"&amp;I39,D:D,"&gt;"&amp;J39)</f>
        <v>365</v>
      </c>
      <c r="L39" s="80">
        <f>K39/$I$31</f>
        <v>0.75883575883575882</v>
      </c>
      <c r="M39" s="81">
        <v>0.68269999999999997</v>
      </c>
    </row>
    <row r="40" spans="2:13" x14ac:dyDescent="0.25">
      <c r="B40" s="12">
        <v>45131</v>
      </c>
      <c r="C40" s="18">
        <v>75.980002999999996</v>
      </c>
      <c r="D40" s="126">
        <f t="shared" si="0"/>
        <v>-2.4897267066151696E-2</v>
      </c>
      <c r="H40" s="98">
        <v>2</v>
      </c>
      <c r="I40" s="80">
        <f>$I$19+($H40*$I$23)</f>
        <v>0.15035429396682587</v>
      </c>
      <c r="J40" s="80">
        <f>$I$19-($H40*$I$23)</f>
        <v>-0.142091227991687</v>
      </c>
      <c r="K40" s="78">
        <f>COUNTIFS(D:D,"&lt;"&amp;I40,D:D,"&gt;"&amp;J40)</f>
        <v>454</v>
      </c>
      <c r="L40" s="80">
        <f>K40/$I$31</f>
        <v>0.94386694386694392</v>
      </c>
      <c r="M40" s="81">
        <v>0.95450000000000002</v>
      </c>
    </row>
    <row r="41" spans="2:13" x14ac:dyDescent="0.25">
      <c r="B41" s="12">
        <v>45124</v>
      </c>
      <c r="C41" s="18">
        <v>77.919998000000007</v>
      </c>
      <c r="D41" s="126">
        <f t="shared" si="0"/>
        <v>-1.0539707936507825E-2</v>
      </c>
      <c r="H41" s="98">
        <v>3</v>
      </c>
      <c r="I41" s="80">
        <f>$I$19+($H41*$I$23)</f>
        <v>0.22346567445645407</v>
      </c>
      <c r="J41" s="80">
        <f>$I$19-($H41*$I$23)</f>
        <v>-0.2152026084813152</v>
      </c>
      <c r="K41" s="78">
        <f>COUNTIFS(D:D,"&lt;"&amp;I41,D:D,"&gt;"&amp;J41)</f>
        <v>473</v>
      </c>
      <c r="L41" s="80">
        <f>K41/$I$31</f>
        <v>0.98336798336798337</v>
      </c>
      <c r="M41" s="99">
        <v>0.99729999999999996</v>
      </c>
    </row>
    <row r="42" spans="2:13" ht="15.75" thickBot="1" x14ac:dyDescent="0.3">
      <c r="B42" s="12">
        <v>45117</v>
      </c>
      <c r="C42" s="18">
        <v>78.75</v>
      </c>
      <c r="D42" s="126">
        <f t="shared" si="0"/>
        <v>3.2651428464426147E-2</v>
      </c>
      <c r="H42" s="76"/>
      <c r="M42" s="99"/>
    </row>
    <row r="43" spans="2:13" ht="15.75" thickBot="1" x14ac:dyDescent="0.3">
      <c r="B43" s="12">
        <v>45110</v>
      </c>
      <c r="C43" s="18">
        <v>76.260002</v>
      </c>
      <c r="D43" s="126">
        <f t="shared" si="0"/>
        <v>-1.8785370319282402E-2</v>
      </c>
      <c r="H43" s="143" t="s">
        <v>129</v>
      </c>
      <c r="I43" s="144"/>
      <c r="J43" s="144"/>
      <c r="K43" s="144"/>
      <c r="L43" s="144"/>
      <c r="M43" s="145"/>
    </row>
    <row r="44" spans="2:13" x14ac:dyDescent="0.25">
      <c r="B44" s="12">
        <v>45103</v>
      </c>
      <c r="C44" s="18">
        <v>77.720000999999996</v>
      </c>
      <c r="D44" s="126">
        <f t="shared" si="0"/>
        <v>5.0980448315636862E-2</v>
      </c>
      <c r="H44" s="100">
        <v>0.01</v>
      </c>
      <c r="I44" s="101">
        <f t="shared" ref="I44:I58" si="7">_xlfn.PERCENTILE.INC(D:D,H44)</f>
        <v>-0.18293269874055174</v>
      </c>
      <c r="J44" s="102">
        <v>0.2</v>
      </c>
      <c r="K44" s="101">
        <f t="shared" ref="K44:K56" si="8">_xlfn.PERCENTILE.INC(D:D,J44)</f>
        <v>-4.4037197920207882E-2</v>
      </c>
      <c r="L44" s="102">
        <v>0.85</v>
      </c>
      <c r="M44" s="103">
        <f t="shared" ref="M44:M58" si="9">_xlfn.PERCENTILE.INC(D:D,L44)</f>
        <v>6.7554337184256852E-2</v>
      </c>
    </row>
    <row r="45" spans="2:13" x14ac:dyDescent="0.25">
      <c r="B45" s="12">
        <v>45096</v>
      </c>
      <c r="C45" s="18">
        <v>73.949996999999996</v>
      </c>
      <c r="D45" s="126">
        <f t="shared" si="0"/>
        <v>3.9645720777972127E-2</v>
      </c>
      <c r="H45" s="104">
        <v>0.02</v>
      </c>
      <c r="I45" s="105">
        <f t="shared" si="7"/>
        <v>-0.14611532098167954</v>
      </c>
      <c r="J45" s="106">
        <v>0.25</v>
      </c>
      <c r="K45" s="105">
        <f t="shared" si="8"/>
        <v>-3.4396399735886152E-2</v>
      </c>
      <c r="L45" s="106">
        <v>0.86</v>
      </c>
      <c r="M45" s="107">
        <f t="shared" si="9"/>
        <v>6.9890339427371245E-2</v>
      </c>
    </row>
    <row r="46" spans="2:13" x14ac:dyDescent="0.25">
      <c r="B46" s="12">
        <v>45089</v>
      </c>
      <c r="C46" s="18">
        <v>71.129997000000003</v>
      </c>
      <c r="D46" s="126">
        <f t="shared" si="0"/>
        <v>3.4467640067840755E-2</v>
      </c>
      <c r="H46" s="104">
        <v>0.03</v>
      </c>
      <c r="I46" s="105">
        <f t="shared" si="7"/>
        <v>-0.12364103540511495</v>
      </c>
      <c r="J46" s="106">
        <v>0.3</v>
      </c>
      <c r="K46" s="105">
        <f t="shared" si="8"/>
        <v>-2.7793102154647253E-2</v>
      </c>
      <c r="L46" s="106">
        <v>0.87</v>
      </c>
      <c r="M46" s="107">
        <f t="shared" si="9"/>
        <v>7.5353961748675993E-2</v>
      </c>
    </row>
    <row r="47" spans="2:13" x14ac:dyDescent="0.25">
      <c r="B47" s="12">
        <v>45082</v>
      </c>
      <c r="C47" s="18">
        <v>68.760002</v>
      </c>
      <c r="D47" s="126">
        <f t="shared" si="0"/>
        <v>2.4785830283471366E-3</v>
      </c>
      <c r="H47" s="104">
        <v>0.04</v>
      </c>
      <c r="I47" s="105">
        <f t="shared" si="7"/>
        <v>-0.11137460839238333</v>
      </c>
      <c r="J47" s="106">
        <v>0.35</v>
      </c>
      <c r="K47" s="105">
        <f t="shared" si="8"/>
        <v>-2.0884092640017671E-2</v>
      </c>
      <c r="L47" s="106">
        <v>0.88</v>
      </c>
      <c r="M47" s="107">
        <f t="shared" si="9"/>
        <v>8.0561640548193869E-2</v>
      </c>
    </row>
    <row r="48" spans="2:13" x14ac:dyDescent="0.25">
      <c r="B48" s="12">
        <v>45075</v>
      </c>
      <c r="C48" s="18">
        <v>68.589995999999999</v>
      </c>
      <c r="D48" s="126">
        <f t="shared" si="0"/>
        <v>4.8776665175025435E-2</v>
      </c>
      <c r="H48" s="104">
        <v>0.05</v>
      </c>
      <c r="I48" s="105">
        <f t="shared" si="7"/>
        <v>-9.9738965319518536E-2</v>
      </c>
      <c r="J48" s="106">
        <v>0.4</v>
      </c>
      <c r="K48" s="105">
        <f t="shared" si="8"/>
        <v>-1.3847675568743778E-2</v>
      </c>
      <c r="L48" s="106">
        <v>0.89</v>
      </c>
      <c r="M48" s="107">
        <f t="shared" si="9"/>
        <v>8.2323767049069116E-2</v>
      </c>
    </row>
    <row r="49" spans="2:13" x14ac:dyDescent="0.25">
      <c r="B49" s="12">
        <v>45068</v>
      </c>
      <c r="C49" s="18">
        <v>65.400002000000001</v>
      </c>
      <c r="D49" s="126">
        <f t="shared" si="0"/>
        <v>-1.9343229289451869E-2</v>
      </c>
      <c r="H49" s="104">
        <v>0.06</v>
      </c>
      <c r="I49" s="105">
        <f t="shared" si="7"/>
        <v>-9.4126835707244116E-2</v>
      </c>
      <c r="J49" s="106">
        <v>0.45</v>
      </c>
      <c r="K49" s="105">
        <f t="shared" si="8"/>
        <v>-5.9486848481938859E-3</v>
      </c>
      <c r="L49" s="106">
        <v>0.9</v>
      </c>
      <c r="M49" s="107">
        <f t="shared" si="9"/>
        <v>8.8187842505180747E-2</v>
      </c>
    </row>
    <row r="50" spans="2:13" x14ac:dyDescent="0.25">
      <c r="B50" s="12">
        <v>45061</v>
      </c>
      <c r="C50" s="18">
        <v>66.690002000000007</v>
      </c>
      <c r="D50" s="126">
        <f t="shared" si="0"/>
        <v>2.2695951889218913E-2</v>
      </c>
      <c r="H50" s="104">
        <v>7.0000000000000007E-2</v>
      </c>
      <c r="I50" s="105">
        <f t="shared" si="7"/>
        <v>-8.6949237506654217E-2</v>
      </c>
      <c r="J50" s="106">
        <v>0.5</v>
      </c>
      <c r="K50" s="105">
        <f t="shared" si="8"/>
        <v>-5.7339447897386542E-4</v>
      </c>
      <c r="L50" s="106">
        <v>0.91</v>
      </c>
      <c r="M50" s="107">
        <f t="shared" si="9"/>
        <v>9.2106035983515563E-2</v>
      </c>
    </row>
    <row r="51" spans="2:13" x14ac:dyDescent="0.25">
      <c r="B51" s="12">
        <v>45054</v>
      </c>
      <c r="C51" s="18">
        <v>65.209998999999996</v>
      </c>
      <c r="D51" s="126">
        <f t="shared" si="0"/>
        <v>-4.8832596502863534E-3</v>
      </c>
      <c r="H51" s="104">
        <v>0.08</v>
      </c>
      <c r="I51" s="105">
        <f t="shared" si="7"/>
        <v>-8.1038957661588196E-2</v>
      </c>
      <c r="J51" s="106">
        <v>0.55000000000000004</v>
      </c>
      <c r="K51" s="105">
        <f t="shared" si="8"/>
        <v>5.591027540175153E-3</v>
      </c>
      <c r="L51" s="106">
        <v>0.92</v>
      </c>
      <c r="M51" s="107">
        <f t="shared" si="9"/>
        <v>9.5472016500059279E-2</v>
      </c>
    </row>
    <row r="52" spans="2:13" x14ac:dyDescent="0.25">
      <c r="B52" s="12">
        <v>45047</v>
      </c>
      <c r="C52" s="18">
        <v>65.529999000000004</v>
      </c>
      <c r="D52" s="126">
        <f t="shared" si="0"/>
        <v>0.19558470725078081</v>
      </c>
      <c r="H52" s="104">
        <v>0.09</v>
      </c>
      <c r="I52" s="105">
        <f t="shared" si="7"/>
        <v>-7.5195087641324349E-2</v>
      </c>
      <c r="J52" s="106">
        <v>0.6</v>
      </c>
      <c r="K52" s="105">
        <f t="shared" si="8"/>
        <v>1.2988375475167846E-2</v>
      </c>
      <c r="L52" s="106">
        <v>0.93</v>
      </c>
      <c r="M52" s="107">
        <f t="shared" si="9"/>
        <v>0.10023612719208114</v>
      </c>
    </row>
    <row r="53" spans="2:13" x14ac:dyDescent="0.25">
      <c r="B53" s="12">
        <v>45040</v>
      </c>
      <c r="C53" s="18">
        <v>54.810001</v>
      </c>
      <c r="D53" s="126">
        <f t="shared" si="0"/>
        <v>-1.5801724112079807E-2</v>
      </c>
      <c r="H53" s="104">
        <v>0.1</v>
      </c>
      <c r="I53" s="105">
        <f t="shared" si="7"/>
        <v>-7.2275686786035687E-2</v>
      </c>
      <c r="J53" s="106">
        <v>0.65</v>
      </c>
      <c r="K53" s="105">
        <f t="shared" si="8"/>
        <v>2.2030147418201196E-2</v>
      </c>
      <c r="L53" s="106">
        <v>0.94</v>
      </c>
      <c r="M53" s="107">
        <f t="shared" si="9"/>
        <v>0.10817157497379735</v>
      </c>
    </row>
    <row r="54" spans="2:13" x14ac:dyDescent="0.25">
      <c r="B54" s="12">
        <v>45033</v>
      </c>
      <c r="C54" s="18">
        <v>55.689999</v>
      </c>
      <c r="D54" s="126">
        <f t="shared" si="0"/>
        <v>3.0723672602696261E-2</v>
      </c>
      <c r="H54" s="104">
        <v>0.11</v>
      </c>
      <c r="I54" s="105">
        <f t="shared" si="7"/>
        <v>-6.9707583359223252E-2</v>
      </c>
      <c r="J54" s="106">
        <v>0.7</v>
      </c>
      <c r="K54" s="105">
        <f t="shared" si="8"/>
        <v>3.1316365888180986E-2</v>
      </c>
      <c r="L54" s="106">
        <v>0.95</v>
      </c>
      <c r="M54" s="107">
        <f t="shared" si="9"/>
        <v>0.12040131104899077</v>
      </c>
    </row>
    <row r="55" spans="2:13" x14ac:dyDescent="0.25">
      <c r="B55" s="12">
        <v>45026</v>
      </c>
      <c r="C55" s="18">
        <v>54.029998999999997</v>
      </c>
      <c r="D55" s="126">
        <f t="shared" si="0"/>
        <v>-2.0308303887278223E-2</v>
      </c>
      <c r="H55" s="104">
        <v>0.12</v>
      </c>
      <c r="I55" s="105">
        <f t="shared" si="7"/>
        <v>-6.658165590229756E-2</v>
      </c>
      <c r="J55" s="106">
        <v>0.75</v>
      </c>
      <c r="K55" s="105">
        <f t="shared" si="8"/>
        <v>3.7876401355662059E-2</v>
      </c>
      <c r="L55" s="106">
        <v>0.96</v>
      </c>
      <c r="M55" s="107">
        <f t="shared" si="9"/>
        <v>0.13505416165284137</v>
      </c>
    </row>
    <row r="56" spans="2:13" x14ac:dyDescent="0.25">
      <c r="B56" s="12">
        <v>45019</v>
      </c>
      <c r="C56" s="18">
        <v>55.150002000000001</v>
      </c>
      <c r="D56" s="126">
        <f t="shared" si="0"/>
        <v>-6.1272299107143491E-3</v>
      </c>
      <c r="H56" s="104">
        <v>0.13</v>
      </c>
      <c r="I56" s="105">
        <f t="shared" si="7"/>
        <v>-6.2058471288070634E-2</v>
      </c>
      <c r="J56" s="106">
        <v>0.8</v>
      </c>
      <c r="K56" s="105">
        <f t="shared" si="8"/>
        <v>4.8316811881188082E-2</v>
      </c>
      <c r="L56" s="106">
        <v>0.97</v>
      </c>
      <c r="M56" s="107">
        <f t="shared" si="9"/>
        <v>0.15922177448718974</v>
      </c>
    </row>
    <row r="57" spans="2:13" x14ac:dyDescent="0.25">
      <c r="B57" s="12">
        <v>45012</v>
      </c>
      <c r="C57" s="18">
        <v>55.490001999999997</v>
      </c>
      <c r="D57" s="126">
        <f t="shared" si="0"/>
        <v>5.5745832272720008E-2</v>
      </c>
      <c r="H57" s="104">
        <v>0.14000000000000001</v>
      </c>
      <c r="I57" s="105">
        <f t="shared" si="7"/>
        <v>-5.9101289478860466E-2</v>
      </c>
      <c r="J57" s="106"/>
      <c r="K57" s="105"/>
      <c r="L57" s="106">
        <v>0.98</v>
      </c>
      <c r="M57" s="107">
        <f t="shared" si="9"/>
        <v>0.18676258058431436</v>
      </c>
    </row>
    <row r="58" spans="2:13" ht="15.75" thickBot="1" x14ac:dyDescent="0.3">
      <c r="B58" s="12">
        <v>45005</v>
      </c>
      <c r="C58" s="18">
        <v>52.560001</v>
      </c>
      <c r="D58" s="126">
        <f t="shared" si="0"/>
        <v>-4.2797286468767015E-2</v>
      </c>
      <c r="H58" s="108">
        <v>0.15</v>
      </c>
      <c r="I58" s="109">
        <f t="shared" si="7"/>
        <v>-5.6404851249468924E-2</v>
      </c>
      <c r="J58" s="110"/>
      <c r="K58" s="89"/>
      <c r="L58" s="111">
        <v>0.99</v>
      </c>
      <c r="M58" s="112">
        <f t="shared" si="9"/>
        <v>0.22199358829136603</v>
      </c>
    </row>
    <row r="59" spans="2:13" ht="15.75" thickBot="1" x14ac:dyDescent="0.3">
      <c r="B59" s="12">
        <v>44998</v>
      </c>
      <c r="C59" s="18">
        <v>54.91</v>
      </c>
      <c r="D59" s="126">
        <f t="shared" si="0"/>
        <v>6.9686595813067687E-3</v>
      </c>
    </row>
    <row r="60" spans="2:13" x14ac:dyDescent="0.25">
      <c r="B60" s="12">
        <v>44991</v>
      </c>
      <c r="C60" s="18">
        <v>54.529998999999997</v>
      </c>
      <c r="D60" s="126">
        <f t="shared" si="0"/>
        <v>-5.9827603448275868E-2</v>
      </c>
      <c r="H60" s="113" t="s">
        <v>130</v>
      </c>
      <c r="I60" s="114">
        <v>8.3599999999999994E-2</v>
      </c>
    </row>
    <row r="61" spans="2:13" ht="15.75" thickBot="1" x14ac:dyDescent="0.3">
      <c r="B61" s="12">
        <v>44984</v>
      </c>
      <c r="C61" s="18">
        <v>58</v>
      </c>
      <c r="D61" s="126">
        <f t="shared" si="0"/>
        <v>2.5822408457332857E-2</v>
      </c>
      <c r="H61" s="115" t="s">
        <v>131</v>
      </c>
      <c r="I61" s="116">
        <v>0.21</v>
      </c>
    </row>
    <row r="62" spans="2:13" ht="15.75" thickBot="1" x14ac:dyDescent="0.3">
      <c r="B62" s="12">
        <v>44977</v>
      </c>
      <c r="C62" s="18">
        <v>56.540000999999997</v>
      </c>
      <c r="D62" s="126">
        <f t="shared" si="0"/>
        <v>2.8000018181818076E-2</v>
      </c>
      <c r="H62" s="117"/>
    </row>
    <row r="63" spans="2:13" x14ac:dyDescent="0.25">
      <c r="B63" s="12">
        <v>44970</v>
      </c>
      <c r="C63" s="18">
        <v>55</v>
      </c>
      <c r="D63" s="126">
        <f t="shared" si="0"/>
        <v>-8.8304556197348338E-3</v>
      </c>
      <c r="H63" s="113" t="s">
        <v>132</v>
      </c>
      <c r="I63" s="118">
        <v>96.45</v>
      </c>
    </row>
    <row r="64" spans="2:13" x14ac:dyDescent="0.25">
      <c r="B64" s="12">
        <v>44963</v>
      </c>
      <c r="C64" s="18">
        <v>55.490001999999997</v>
      </c>
      <c r="D64" s="126">
        <f t="shared" si="0"/>
        <v>-4.8035665671029903E-2</v>
      </c>
      <c r="H64" s="119" t="s">
        <v>133</v>
      </c>
      <c r="I64" s="120">
        <f>I63*(1-I60)</f>
        <v>88.386780000000002</v>
      </c>
    </row>
    <row r="65" spans="2:9" ht="15.75" thickBot="1" x14ac:dyDescent="0.3">
      <c r="B65" s="12">
        <v>44956</v>
      </c>
      <c r="C65" s="18">
        <v>58.290000999999997</v>
      </c>
      <c r="D65" s="126">
        <f t="shared" si="0"/>
        <v>3.1316365888180986E-2</v>
      </c>
      <c r="H65" s="115" t="s">
        <v>134</v>
      </c>
      <c r="I65" s="121">
        <f>I63*(1+I61)</f>
        <v>116.7045</v>
      </c>
    </row>
    <row r="66" spans="2:9" x14ac:dyDescent="0.25">
      <c r="B66" s="12">
        <v>44949</v>
      </c>
      <c r="C66" s="18">
        <v>56.52</v>
      </c>
      <c r="D66" s="126">
        <f t="shared" si="0"/>
        <v>3.2328767123287694E-2</v>
      </c>
    </row>
    <row r="67" spans="2:9" x14ac:dyDescent="0.25">
      <c r="B67" s="12">
        <v>44942</v>
      </c>
      <c r="C67" s="18">
        <v>54.75</v>
      </c>
      <c r="D67" s="126">
        <f t="shared" ref="D67:D130" si="10">C67/C68-1</f>
        <v>-2.8566376356167877E-2</v>
      </c>
    </row>
    <row r="68" spans="2:9" x14ac:dyDescent="0.25">
      <c r="B68" s="12">
        <v>44935</v>
      </c>
      <c r="C68" s="18">
        <v>56.360000999999997</v>
      </c>
      <c r="D68" s="126">
        <f t="shared" si="10"/>
        <v>0.21387036398880022</v>
      </c>
    </row>
    <row r="69" spans="2:9" x14ac:dyDescent="0.25">
      <c r="B69" s="12">
        <v>44928</v>
      </c>
      <c r="C69" s="18">
        <v>46.43</v>
      </c>
      <c r="D69" s="126">
        <f t="shared" si="10"/>
        <v>0.11798702427129859</v>
      </c>
    </row>
    <row r="70" spans="2:9" x14ac:dyDescent="0.25">
      <c r="B70" s="12">
        <v>44921</v>
      </c>
      <c r="C70" s="18">
        <v>41.529998999999997</v>
      </c>
      <c r="D70" s="126">
        <f t="shared" si="10"/>
        <v>-7.484963410224188E-2</v>
      </c>
    </row>
    <row r="71" spans="2:9" x14ac:dyDescent="0.25">
      <c r="B71" s="12">
        <v>44914</v>
      </c>
      <c r="C71" s="18">
        <v>44.889999000000003</v>
      </c>
      <c r="D71" s="126">
        <f t="shared" si="10"/>
        <v>-7.3477851940601524E-2</v>
      </c>
    </row>
    <row r="72" spans="2:9" x14ac:dyDescent="0.25">
      <c r="B72" s="12">
        <v>44907</v>
      </c>
      <c r="C72" s="18">
        <v>48.450001</v>
      </c>
      <c r="D72" s="126">
        <f t="shared" si="10"/>
        <v>2.6918206867316608E-2</v>
      </c>
    </row>
    <row r="73" spans="2:9" x14ac:dyDescent="0.25">
      <c r="B73" s="12">
        <v>44900</v>
      </c>
      <c r="C73" s="18">
        <v>47.18</v>
      </c>
      <c r="D73" s="126">
        <f t="shared" si="10"/>
        <v>-9.1469285576737946E-2</v>
      </c>
    </row>
    <row r="74" spans="2:9" x14ac:dyDescent="0.25">
      <c r="B74" s="12">
        <v>44893</v>
      </c>
      <c r="C74" s="18">
        <v>51.93</v>
      </c>
      <c r="D74" s="126">
        <f t="shared" si="10"/>
        <v>5.3560538576576722E-2</v>
      </c>
    </row>
    <row r="75" spans="2:9" x14ac:dyDescent="0.25">
      <c r="B75" s="12">
        <v>44886</v>
      </c>
      <c r="C75" s="18">
        <v>49.290000999999997</v>
      </c>
      <c r="D75" s="126">
        <f t="shared" si="10"/>
        <v>-1.0240923900420196E-2</v>
      </c>
    </row>
    <row r="76" spans="2:9" x14ac:dyDescent="0.25">
      <c r="B76" s="12">
        <v>44879</v>
      </c>
      <c r="C76" s="18">
        <v>49.799999</v>
      </c>
      <c r="D76" s="126">
        <f t="shared" si="10"/>
        <v>-3.7309124299246044E-2</v>
      </c>
    </row>
    <row r="77" spans="2:9" x14ac:dyDescent="0.25">
      <c r="B77" s="12">
        <v>44872</v>
      </c>
      <c r="C77" s="18">
        <v>51.73</v>
      </c>
      <c r="D77" s="126">
        <f t="shared" si="10"/>
        <v>0.10017014036580174</v>
      </c>
    </row>
    <row r="78" spans="2:9" x14ac:dyDescent="0.25">
      <c r="B78" s="12">
        <v>44865</v>
      </c>
      <c r="C78" s="18">
        <v>47.02</v>
      </c>
      <c r="D78" s="126">
        <f t="shared" si="10"/>
        <v>-0.15764958796130413</v>
      </c>
    </row>
    <row r="79" spans="2:9" x14ac:dyDescent="0.25">
      <c r="B79" s="12">
        <v>44858</v>
      </c>
      <c r="C79" s="18">
        <v>55.82</v>
      </c>
      <c r="D79" s="126">
        <f t="shared" si="10"/>
        <v>0.1003351074315002</v>
      </c>
    </row>
    <row r="80" spans="2:9" x14ac:dyDescent="0.25">
      <c r="B80" s="12">
        <v>44851</v>
      </c>
      <c r="C80" s="18">
        <v>50.73</v>
      </c>
      <c r="D80" s="126">
        <f t="shared" si="10"/>
        <v>6.0631358535172097E-2</v>
      </c>
    </row>
    <row r="81" spans="2:4" x14ac:dyDescent="0.25">
      <c r="B81" s="12">
        <v>44844</v>
      </c>
      <c r="C81" s="18">
        <v>47.830002</v>
      </c>
      <c r="D81" s="126">
        <f t="shared" si="10"/>
        <v>2.4416428023483094E-2</v>
      </c>
    </row>
    <row r="82" spans="2:4" x14ac:dyDescent="0.25">
      <c r="B82" s="12">
        <v>44837</v>
      </c>
      <c r="C82" s="18">
        <v>46.689999</v>
      </c>
      <c r="D82" s="126">
        <f t="shared" si="10"/>
        <v>3.8016874166296288E-2</v>
      </c>
    </row>
    <row r="83" spans="2:4" x14ac:dyDescent="0.25">
      <c r="B83" s="12">
        <v>44830</v>
      </c>
      <c r="C83" s="18">
        <v>44.98</v>
      </c>
      <c r="D83" s="126">
        <f t="shared" si="10"/>
        <v>3.5698348951360703E-3</v>
      </c>
    </row>
    <row r="84" spans="2:4" x14ac:dyDescent="0.25">
      <c r="B84" s="12">
        <v>44823</v>
      </c>
      <c r="C84" s="18">
        <v>44.82</v>
      </c>
      <c r="D84" s="126">
        <f t="shared" si="10"/>
        <v>-9.6553132502456451E-2</v>
      </c>
    </row>
    <row r="85" spans="2:4" x14ac:dyDescent="0.25">
      <c r="B85" s="12">
        <v>44816</v>
      </c>
      <c r="C85" s="18">
        <v>49.610000999999997</v>
      </c>
      <c r="D85" s="126">
        <f t="shared" si="10"/>
        <v>-2.2270416938493631E-2</v>
      </c>
    </row>
    <row r="86" spans="2:4" x14ac:dyDescent="0.25">
      <c r="B86" s="12">
        <v>44809</v>
      </c>
      <c r="C86" s="18">
        <v>50.740001999999997</v>
      </c>
      <c r="D86" s="126">
        <f t="shared" si="10"/>
        <v>9.2122322258336498E-2</v>
      </c>
    </row>
    <row r="87" spans="2:4" x14ac:dyDescent="0.25">
      <c r="B87" s="12">
        <v>44802</v>
      </c>
      <c r="C87" s="18">
        <v>46.459999000000003</v>
      </c>
      <c r="D87" s="126">
        <f t="shared" si="10"/>
        <v>-2.4769102115220432E-2</v>
      </c>
    </row>
    <row r="88" spans="2:4" x14ac:dyDescent="0.25">
      <c r="B88" s="12">
        <v>44795</v>
      </c>
      <c r="C88" s="18">
        <v>47.639999000000003</v>
      </c>
      <c r="D88" s="126">
        <f t="shared" si="10"/>
        <v>-3.9903265616752615E-2</v>
      </c>
    </row>
    <row r="89" spans="2:4" x14ac:dyDescent="0.25">
      <c r="B89" s="12">
        <v>44788</v>
      </c>
      <c r="C89" s="18">
        <v>49.619999</v>
      </c>
      <c r="D89" s="126">
        <f t="shared" si="10"/>
        <v>-6.5712708233614969E-2</v>
      </c>
    </row>
    <row r="90" spans="2:4" x14ac:dyDescent="0.25">
      <c r="B90" s="12">
        <v>44781</v>
      </c>
      <c r="C90" s="18">
        <v>53.110000999999997</v>
      </c>
      <c r="D90" s="126">
        <f t="shared" si="10"/>
        <v>3.0062063032155528E-2</v>
      </c>
    </row>
    <row r="91" spans="2:4" x14ac:dyDescent="0.25">
      <c r="B91" s="12">
        <v>44774</v>
      </c>
      <c r="C91" s="18">
        <v>51.560001</v>
      </c>
      <c r="D91" s="126">
        <f t="shared" si="10"/>
        <v>1.9432958014631296E-3</v>
      </c>
    </row>
    <row r="92" spans="2:4" x14ac:dyDescent="0.25">
      <c r="B92" s="12">
        <v>44767</v>
      </c>
      <c r="C92" s="18">
        <v>51.459999000000003</v>
      </c>
      <c r="D92" s="126">
        <f t="shared" si="10"/>
        <v>6.9187573879335718E-2</v>
      </c>
    </row>
    <row r="93" spans="2:4" x14ac:dyDescent="0.25">
      <c r="B93" s="12">
        <v>44760</v>
      </c>
      <c r="C93" s="18">
        <v>48.130001</v>
      </c>
      <c r="D93" s="126">
        <f t="shared" si="10"/>
        <v>3.5944942659167811E-2</v>
      </c>
    </row>
    <row r="94" spans="2:4" x14ac:dyDescent="0.25">
      <c r="B94" s="12">
        <v>44753</v>
      </c>
      <c r="C94" s="18">
        <v>46.459999000000003</v>
      </c>
      <c r="D94" s="126">
        <f t="shared" si="10"/>
        <v>0.13677514403658297</v>
      </c>
    </row>
    <row r="95" spans="2:4" x14ac:dyDescent="0.25">
      <c r="B95" s="12">
        <v>44746</v>
      </c>
      <c r="C95" s="18">
        <v>40.869999</v>
      </c>
      <c r="D95" s="126">
        <f t="shared" si="10"/>
        <v>1.9612159362292214E-3</v>
      </c>
    </row>
    <row r="96" spans="2:4" x14ac:dyDescent="0.25">
      <c r="B96" s="12">
        <v>44739</v>
      </c>
      <c r="C96" s="18">
        <v>40.790000999999997</v>
      </c>
      <c r="D96" s="126">
        <f t="shared" si="10"/>
        <v>-3.3412321483120455E-2</v>
      </c>
    </row>
    <row r="97" spans="2:4" x14ac:dyDescent="0.25">
      <c r="B97" s="12">
        <v>44732</v>
      </c>
      <c r="C97" s="18">
        <v>42.200001</v>
      </c>
      <c r="D97" s="126">
        <f t="shared" si="10"/>
        <v>6.7813790485829806E-2</v>
      </c>
    </row>
    <row r="98" spans="2:4" x14ac:dyDescent="0.25">
      <c r="B98" s="12">
        <v>44725</v>
      </c>
      <c r="C98" s="18">
        <v>39.520000000000003</v>
      </c>
      <c r="D98" s="126">
        <f t="shared" si="10"/>
        <v>-7.943163289075228E-2</v>
      </c>
    </row>
    <row r="99" spans="2:4" x14ac:dyDescent="0.25">
      <c r="B99" s="12">
        <v>44718</v>
      </c>
      <c r="C99" s="18">
        <v>42.93</v>
      </c>
      <c r="D99" s="126">
        <f t="shared" si="10"/>
        <v>-9.5067434550325403E-2</v>
      </c>
    </row>
    <row r="100" spans="2:4" x14ac:dyDescent="0.25">
      <c r="B100" s="12">
        <v>44711</v>
      </c>
      <c r="C100" s="18">
        <v>47.439999</v>
      </c>
      <c r="D100" s="126">
        <f t="shared" si="10"/>
        <v>-2.6871815384615361E-2</v>
      </c>
    </row>
    <row r="101" spans="2:4" x14ac:dyDescent="0.25">
      <c r="B101" s="12">
        <v>44704</v>
      </c>
      <c r="C101" s="18">
        <v>48.75</v>
      </c>
      <c r="D101" s="126">
        <f t="shared" si="10"/>
        <v>0.16126727012863284</v>
      </c>
    </row>
    <row r="102" spans="2:4" x14ac:dyDescent="0.25">
      <c r="B102" s="12">
        <v>44697</v>
      </c>
      <c r="C102" s="18">
        <v>41.98</v>
      </c>
      <c r="D102" s="126">
        <f t="shared" si="10"/>
        <v>-9.3891685996473795E-2</v>
      </c>
    </row>
    <row r="103" spans="2:4" x14ac:dyDescent="0.25">
      <c r="B103" s="12">
        <v>44690</v>
      </c>
      <c r="C103" s="18">
        <v>46.330002</v>
      </c>
      <c r="D103" s="126">
        <f t="shared" si="10"/>
        <v>-0.15301643230317308</v>
      </c>
    </row>
    <row r="104" spans="2:4" x14ac:dyDescent="0.25">
      <c r="B104" s="12">
        <v>44683</v>
      </c>
      <c r="C104" s="18">
        <v>54.700001</v>
      </c>
      <c r="D104" s="126">
        <f t="shared" si="10"/>
        <v>-5.412417243215728E-2</v>
      </c>
    </row>
    <row r="105" spans="2:4" x14ac:dyDescent="0.25">
      <c r="B105" s="12">
        <v>44676</v>
      </c>
      <c r="C105" s="18">
        <v>57.830002</v>
      </c>
      <c r="D105" s="126">
        <f t="shared" si="10"/>
        <v>-5.9674764227642285E-2</v>
      </c>
    </row>
    <row r="106" spans="2:4" x14ac:dyDescent="0.25">
      <c r="B106" s="12">
        <v>44669</v>
      </c>
      <c r="C106" s="18">
        <v>61.5</v>
      </c>
      <c r="D106" s="126">
        <f t="shared" si="10"/>
        <v>-8.5442367974243316E-3</v>
      </c>
    </row>
    <row r="107" spans="2:4" x14ac:dyDescent="0.25">
      <c r="B107" s="12">
        <v>44662</v>
      </c>
      <c r="C107" s="18">
        <v>62.029998999999997</v>
      </c>
      <c r="D107" s="126">
        <f t="shared" si="10"/>
        <v>1.1083961241530993E-2</v>
      </c>
    </row>
    <row r="108" spans="2:4" x14ac:dyDescent="0.25">
      <c r="B108" s="12">
        <v>44655</v>
      </c>
      <c r="C108" s="18">
        <v>61.349997999999999</v>
      </c>
      <c r="D108" s="126">
        <f t="shared" si="10"/>
        <v>-0.11510174195581291</v>
      </c>
    </row>
    <row r="109" spans="2:4" x14ac:dyDescent="0.25">
      <c r="B109" s="12">
        <v>44648</v>
      </c>
      <c r="C109" s="18">
        <v>69.330001999999993</v>
      </c>
      <c r="D109" s="126">
        <f t="shared" si="10"/>
        <v>-8.6463468604469629E-4</v>
      </c>
    </row>
    <row r="110" spans="2:4" x14ac:dyDescent="0.25">
      <c r="B110" s="12">
        <v>44641</v>
      </c>
      <c r="C110" s="18">
        <v>69.389999000000003</v>
      </c>
      <c r="D110" s="126">
        <f t="shared" si="10"/>
        <v>1.2992686131386932E-2</v>
      </c>
    </row>
    <row r="111" spans="2:4" x14ac:dyDescent="0.25">
      <c r="B111" s="12">
        <v>44634</v>
      </c>
      <c r="C111" s="18">
        <v>68.5</v>
      </c>
      <c r="D111" s="126">
        <f t="shared" si="10"/>
        <v>7.5353201328835162E-2</v>
      </c>
    </row>
    <row r="112" spans="2:4" x14ac:dyDescent="0.25">
      <c r="B112" s="12">
        <v>44627</v>
      </c>
      <c r="C112" s="18">
        <v>63.700001</v>
      </c>
      <c r="D112" s="126">
        <f t="shared" si="10"/>
        <v>-6.666665201465205E-2</v>
      </c>
    </row>
    <row r="113" spans="2:4" x14ac:dyDescent="0.25">
      <c r="B113" s="12">
        <v>44620</v>
      </c>
      <c r="C113" s="18">
        <v>68.25</v>
      </c>
      <c r="D113" s="126">
        <f t="shared" si="10"/>
        <v>-5.1688216594578007E-2</v>
      </c>
    </row>
    <row r="114" spans="2:4" x14ac:dyDescent="0.25">
      <c r="B114" s="12">
        <v>44613</v>
      </c>
      <c r="C114" s="18">
        <v>71.970000999999996</v>
      </c>
      <c r="D114" s="126">
        <f t="shared" si="10"/>
        <v>-1.3875260163729308E-3</v>
      </c>
    </row>
    <row r="115" spans="2:4" x14ac:dyDescent="0.25">
      <c r="B115" s="12">
        <v>44606</v>
      </c>
      <c r="C115" s="18">
        <v>72.069999999999993</v>
      </c>
      <c r="D115" s="126">
        <f t="shared" si="10"/>
        <v>-2.0388745412532328E-2</v>
      </c>
    </row>
    <row r="116" spans="2:4" x14ac:dyDescent="0.25">
      <c r="B116" s="12">
        <v>44599</v>
      </c>
      <c r="C116" s="18">
        <v>73.569999999999993</v>
      </c>
      <c r="D116" s="126">
        <f t="shared" si="10"/>
        <v>8.9925925925925743E-2</v>
      </c>
    </row>
    <row r="117" spans="2:4" x14ac:dyDescent="0.25">
      <c r="B117" s="12">
        <v>44592</v>
      </c>
      <c r="C117" s="18">
        <v>67.5</v>
      </c>
      <c r="D117" s="126">
        <f t="shared" si="10"/>
        <v>7.5354468695236543E-2</v>
      </c>
    </row>
    <row r="118" spans="2:4" x14ac:dyDescent="0.25">
      <c r="B118" s="12">
        <v>44585</v>
      </c>
      <c r="C118" s="18">
        <v>62.77</v>
      </c>
      <c r="D118" s="126">
        <f t="shared" si="10"/>
        <v>-1.4290201005025094E-2</v>
      </c>
    </row>
    <row r="119" spans="2:4" x14ac:dyDescent="0.25">
      <c r="B119" s="12">
        <v>44578</v>
      </c>
      <c r="C119" s="18">
        <v>63.68</v>
      </c>
      <c r="D119" s="126">
        <f t="shared" si="10"/>
        <v>-8.0964077342126184E-2</v>
      </c>
    </row>
    <row r="120" spans="2:4" x14ac:dyDescent="0.25">
      <c r="B120" s="12">
        <v>44571</v>
      </c>
      <c r="C120" s="18">
        <v>69.290001000000004</v>
      </c>
      <c r="D120" s="126">
        <f t="shared" si="10"/>
        <v>-3.8814980989503312E-3</v>
      </c>
    </row>
    <row r="121" spans="2:4" x14ac:dyDescent="0.25">
      <c r="B121" s="12">
        <v>44564</v>
      </c>
      <c r="C121" s="18">
        <v>69.559997999999993</v>
      </c>
      <c r="D121" s="126">
        <f t="shared" si="10"/>
        <v>-3.6031123279871347E-2</v>
      </c>
    </row>
    <row r="122" spans="2:4" x14ac:dyDescent="0.25">
      <c r="B122" s="12">
        <v>44557</v>
      </c>
      <c r="C122" s="18">
        <v>72.160004000000001</v>
      </c>
      <c r="D122" s="126">
        <f t="shared" si="10"/>
        <v>-3.1669257850345911E-2</v>
      </c>
    </row>
    <row r="123" spans="2:4" x14ac:dyDescent="0.25">
      <c r="B123" s="12">
        <v>44550</v>
      </c>
      <c r="C123" s="18">
        <v>74.519997000000004</v>
      </c>
      <c r="D123" s="126">
        <f t="shared" si="10"/>
        <v>4.0491397354451397E-2</v>
      </c>
    </row>
    <row r="124" spans="2:4" x14ac:dyDescent="0.25">
      <c r="B124" s="12">
        <v>44543</v>
      </c>
      <c r="C124" s="18">
        <v>71.620002999999997</v>
      </c>
      <c r="D124" s="126">
        <f t="shared" si="10"/>
        <v>-4.5448434565486306E-2</v>
      </c>
    </row>
    <row r="125" spans="2:4" x14ac:dyDescent="0.25">
      <c r="B125" s="12">
        <v>44536</v>
      </c>
      <c r="C125" s="18">
        <v>75.029999000000004</v>
      </c>
      <c r="D125" s="126">
        <f t="shared" si="10"/>
        <v>7.4620438269836775E-2</v>
      </c>
    </row>
    <row r="126" spans="2:4" x14ac:dyDescent="0.25">
      <c r="B126" s="12">
        <v>44529</v>
      </c>
      <c r="C126" s="18">
        <v>69.819999999999993</v>
      </c>
      <c r="D126" s="126">
        <f t="shared" si="10"/>
        <v>-7.9984175516987555E-2</v>
      </c>
    </row>
    <row r="127" spans="2:4" x14ac:dyDescent="0.25">
      <c r="B127" s="12">
        <v>44522</v>
      </c>
      <c r="C127" s="18">
        <v>75.889999000000003</v>
      </c>
      <c r="D127" s="126">
        <f t="shared" si="10"/>
        <v>-7.3721481752715756E-2</v>
      </c>
    </row>
    <row r="128" spans="2:4" x14ac:dyDescent="0.25">
      <c r="B128" s="12">
        <v>44515</v>
      </c>
      <c r="C128" s="18">
        <v>81.93</v>
      </c>
      <c r="D128" s="126">
        <f t="shared" si="10"/>
        <v>-3.0299420766940921E-2</v>
      </c>
    </row>
    <row r="129" spans="2:4" x14ac:dyDescent="0.25">
      <c r="B129" s="12">
        <v>44508</v>
      </c>
      <c r="C129" s="18">
        <v>84.489998</v>
      </c>
      <c r="D129" s="126">
        <f t="shared" si="10"/>
        <v>-7.1232306571041959E-2</v>
      </c>
    </row>
    <row r="130" spans="2:4" x14ac:dyDescent="0.25">
      <c r="B130" s="12">
        <v>44501</v>
      </c>
      <c r="C130" s="18">
        <v>90.970000999999996</v>
      </c>
      <c r="D130" s="126">
        <f t="shared" si="10"/>
        <v>0.31516558667530958</v>
      </c>
    </row>
    <row r="131" spans="2:4" x14ac:dyDescent="0.25">
      <c r="B131" s="12">
        <v>44494</v>
      </c>
      <c r="C131" s="18">
        <v>69.169998000000007</v>
      </c>
      <c r="D131" s="126">
        <f t="shared" ref="D131:D194" si="11">C131/C132-1</f>
        <v>-2.1363921901528027E-2</v>
      </c>
    </row>
    <row r="132" spans="2:4" x14ac:dyDescent="0.25">
      <c r="B132" s="12">
        <v>44487</v>
      </c>
      <c r="C132" s="18">
        <v>70.680000000000007</v>
      </c>
      <c r="D132" s="126">
        <f t="shared" si="11"/>
        <v>-6.2972292191435741E-2</v>
      </c>
    </row>
    <row r="133" spans="2:4" x14ac:dyDescent="0.25">
      <c r="B133" s="12">
        <v>44480</v>
      </c>
      <c r="C133" s="18">
        <v>75.430000000000007</v>
      </c>
      <c r="D133" s="126">
        <f t="shared" si="11"/>
        <v>-3.4804887145108321E-2</v>
      </c>
    </row>
    <row r="134" spans="2:4" x14ac:dyDescent="0.25">
      <c r="B134" s="12">
        <v>44473</v>
      </c>
      <c r="C134" s="18">
        <v>78.150002000000001</v>
      </c>
      <c r="D134" s="126">
        <f t="shared" si="11"/>
        <v>-4.0397837907715228E-2</v>
      </c>
    </row>
    <row r="135" spans="2:4" x14ac:dyDescent="0.25">
      <c r="B135" s="12">
        <v>44466</v>
      </c>
      <c r="C135" s="18">
        <v>81.440002000000007</v>
      </c>
      <c r="D135" s="126">
        <f t="shared" si="11"/>
        <v>-5.3023232558139455E-2</v>
      </c>
    </row>
    <row r="136" spans="2:4" x14ac:dyDescent="0.25">
      <c r="B136" s="12">
        <v>44459</v>
      </c>
      <c r="C136" s="18">
        <v>86</v>
      </c>
      <c r="D136" s="126">
        <f t="shared" si="11"/>
        <v>2.4175288505712933E-2</v>
      </c>
    </row>
    <row r="137" spans="2:4" x14ac:dyDescent="0.25">
      <c r="B137" s="12">
        <v>44452</v>
      </c>
      <c r="C137" s="18">
        <v>83.970000999999996</v>
      </c>
      <c r="D137" s="126">
        <f t="shared" si="11"/>
        <v>2.2030147418201196E-2</v>
      </c>
    </row>
    <row r="138" spans="2:4" x14ac:dyDescent="0.25">
      <c r="B138" s="12">
        <v>44445</v>
      </c>
      <c r="C138" s="18">
        <v>82.160004000000001</v>
      </c>
      <c r="D138" s="126">
        <f t="shared" si="11"/>
        <v>-3.7488249326519951E-2</v>
      </c>
    </row>
    <row r="139" spans="2:4" x14ac:dyDescent="0.25">
      <c r="B139" s="12">
        <v>44438</v>
      </c>
      <c r="C139" s="18">
        <v>85.360000999999997</v>
      </c>
      <c r="D139" s="126">
        <f t="shared" si="11"/>
        <v>-3.0330546749182674E-2</v>
      </c>
    </row>
    <row r="140" spans="2:4" x14ac:dyDescent="0.25">
      <c r="B140" s="12">
        <v>44431</v>
      </c>
      <c r="C140" s="18">
        <v>88.029999000000004</v>
      </c>
      <c r="D140" s="126">
        <f t="shared" si="11"/>
        <v>4.6108103479308271E-2</v>
      </c>
    </row>
    <row r="141" spans="2:4" x14ac:dyDescent="0.25">
      <c r="B141" s="12">
        <v>44424</v>
      </c>
      <c r="C141" s="18">
        <v>84.150002000000001</v>
      </c>
      <c r="D141" s="126">
        <f t="shared" si="11"/>
        <v>-5.9145794741820357E-2</v>
      </c>
    </row>
    <row r="142" spans="2:4" x14ac:dyDescent="0.25">
      <c r="B142" s="12">
        <v>44417</v>
      </c>
      <c r="C142" s="18">
        <v>89.440002000000007</v>
      </c>
      <c r="D142" s="126">
        <f t="shared" si="11"/>
        <v>-1.0181485057752404E-2</v>
      </c>
    </row>
    <row r="143" spans="2:4" x14ac:dyDescent="0.25">
      <c r="B143" s="12">
        <v>44410</v>
      </c>
      <c r="C143" s="18">
        <v>90.360000999999997</v>
      </c>
      <c r="D143" s="126">
        <f t="shared" si="11"/>
        <v>-0.10125323153716703</v>
      </c>
    </row>
    <row r="144" spans="2:4" x14ac:dyDescent="0.25">
      <c r="B144" s="12">
        <v>44403</v>
      </c>
      <c r="C144" s="18">
        <v>100.540001</v>
      </c>
      <c r="D144" s="126">
        <f t="shared" si="11"/>
        <v>-4.7514948946196789E-3</v>
      </c>
    </row>
    <row r="145" spans="2:4" x14ac:dyDescent="0.25">
      <c r="B145" s="12">
        <v>44396</v>
      </c>
      <c r="C145" s="18">
        <v>101.019997</v>
      </c>
      <c r="D145" s="126">
        <f t="shared" si="11"/>
        <v>8.9869401448497088E-2</v>
      </c>
    </row>
    <row r="146" spans="2:4" x14ac:dyDescent="0.25">
      <c r="B146" s="12">
        <v>44389</v>
      </c>
      <c r="C146" s="18">
        <v>92.690002000000007</v>
      </c>
      <c r="D146" s="126">
        <f t="shared" si="11"/>
        <v>-0.12606068500962997</v>
      </c>
    </row>
    <row r="147" spans="2:4" x14ac:dyDescent="0.25">
      <c r="B147" s="12">
        <v>44382</v>
      </c>
      <c r="C147" s="18">
        <v>106.05999799999999</v>
      </c>
      <c r="D147" s="126">
        <f t="shared" si="11"/>
        <v>1.7947940916634098E-2</v>
      </c>
    </row>
    <row r="148" spans="2:4" x14ac:dyDescent="0.25">
      <c r="B148" s="12">
        <v>44375</v>
      </c>
      <c r="C148" s="18">
        <v>104.19000200000001</v>
      </c>
      <c r="D148" s="126">
        <f t="shared" si="11"/>
        <v>-9.8831224018874897E-3</v>
      </c>
    </row>
    <row r="149" spans="2:4" x14ac:dyDescent="0.25">
      <c r="B149" s="12">
        <v>44368</v>
      </c>
      <c r="C149" s="18">
        <v>105.230003</v>
      </c>
      <c r="D149" s="126">
        <f t="shared" si="11"/>
        <v>0.11484271760613107</v>
      </c>
    </row>
    <row r="150" spans="2:4" x14ac:dyDescent="0.25">
      <c r="B150" s="12">
        <v>44361</v>
      </c>
      <c r="C150" s="18">
        <v>94.389999000000003</v>
      </c>
      <c r="D150" s="126">
        <f t="shared" si="11"/>
        <v>-5.8923268427020892E-2</v>
      </c>
    </row>
    <row r="151" spans="2:4" x14ac:dyDescent="0.25">
      <c r="B151" s="12">
        <v>44354</v>
      </c>
      <c r="C151" s="18">
        <v>100.300003</v>
      </c>
      <c r="D151" s="126">
        <f t="shared" si="11"/>
        <v>0.12343194582697081</v>
      </c>
    </row>
    <row r="152" spans="2:4" x14ac:dyDescent="0.25">
      <c r="B152" s="12">
        <v>44347</v>
      </c>
      <c r="C152" s="18">
        <v>89.279999000000004</v>
      </c>
      <c r="D152" s="126">
        <f t="shared" si="11"/>
        <v>-5.0010681527643652E-2</v>
      </c>
    </row>
    <row r="153" spans="2:4" x14ac:dyDescent="0.25">
      <c r="B153" s="12">
        <v>44340</v>
      </c>
      <c r="C153" s="18">
        <v>93.980002999999996</v>
      </c>
      <c r="D153" s="126">
        <f t="shared" si="11"/>
        <v>0.12308798996175896</v>
      </c>
    </row>
    <row r="154" spans="2:4" x14ac:dyDescent="0.25">
      <c r="B154" s="12">
        <v>44333</v>
      </c>
      <c r="C154" s="18">
        <v>83.68</v>
      </c>
      <c r="D154" s="126">
        <f t="shared" si="11"/>
        <v>5.1651651651651864E-3</v>
      </c>
    </row>
    <row r="155" spans="2:4" x14ac:dyDescent="0.25">
      <c r="B155" s="12">
        <v>44326</v>
      </c>
      <c r="C155" s="18">
        <v>83.25</v>
      </c>
      <c r="D155" s="126">
        <f t="shared" si="11"/>
        <v>-6.9624528287063114E-2</v>
      </c>
    </row>
    <row r="156" spans="2:4" x14ac:dyDescent="0.25">
      <c r="B156" s="12">
        <v>44319</v>
      </c>
      <c r="C156" s="18">
        <v>89.480002999999996</v>
      </c>
      <c r="D156" s="126">
        <f t="shared" si="11"/>
        <v>-0.17719537471264368</v>
      </c>
    </row>
    <row r="157" spans="2:4" x14ac:dyDescent="0.25">
      <c r="B157" s="12">
        <v>44312</v>
      </c>
      <c r="C157" s="18">
        <v>108.75</v>
      </c>
      <c r="D157" s="126">
        <f t="shared" si="11"/>
        <v>-1.4141945682928925E-2</v>
      </c>
    </row>
    <row r="158" spans="2:4" x14ac:dyDescent="0.25">
      <c r="B158" s="12">
        <v>44305</v>
      </c>
      <c r="C158" s="18">
        <v>110.30999799999999</v>
      </c>
      <c r="D158" s="126">
        <f t="shared" si="11"/>
        <v>-5.5403331524262245E-2</v>
      </c>
    </row>
    <row r="159" spans="2:4" x14ac:dyDescent="0.25">
      <c r="B159" s="12">
        <v>44298</v>
      </c>
      <c r="C159" s="18">
        <v>116.779999</v>
      </c>
      <c r="D159" s="126">
        <f t="shared" si="11"/>
        <v>1.8756015495664746E-2</v>
      </c>
    </row>
    <row r="160" spans="2:4" x14ac:dyDescent="0.25">
      <c r="B160" s="12">
        <v>44291</v>
      </c>
      <c r="C160" s="18">
        <v>114.629997</v>
      </c>
      <c r="D160" s="126">
        <f t="shared" si="11"/>
        <v>1.0401058009724018E-2</v>
      </c>
    </row>
    <row r="161" spans="2:4" x14ac:dyDescent="0.25">
      <c r="B161" s="12">
        <v>44284</v>
      </c>
      <c r="C161" s="18">
        <v>113.449997</v>
      </c>
      <c r="D161" s="126">
        <f t="shared" si="11"/>
        <v>-1.3478286956521757E-2</v>
      </c>
    </row>
    <row r="162" spans="2:4" x14ac:dyDescent="0.25">
      <c r="B162" s="12">
        <v>44277</v>
      </c>
      <c r="C162" s="18">
        <v>115</v>
      </c>
      <c r="D162" s="126">
        <f t="shared" si="11"/>
        <v>-6.0687739933023011E-2</v>
      </c>
    </row>
    <row r="163" spans="2:4" x14ac:dyDescent="0.25">
      <c r="B163" s="12">
        <v>44270</v>
      </c>
      <c r="C163" s="18">
        <v>122.43</v>
      </c>
      <c r="D163" s="126">
        <f t="shared" si="11"/>
        <v>5.0899105999493433E-3</v>
      </c>
    </row>
    <row r="164" spans="2:4" x14ac:dyDescent="0.25">
      <c r="B164" s="12">
        <v>44263</v>
      </c>
      <c r="C164" s="18">
        <v>121.80999799999999</v>
      </c>
      <c r="D164" s="126">
        <f t="shared" si="11"/>
        <v>8.0258920179870019E-2</v>
      </c>
    </row>
    <row r="165" spans="2:4" x14ac:dyDescent="0.25">
      <c r="B165" s="12">
        <v>44256</v>
      </c>
      <c r="C165" s="18">
        <v>112.760002</v>
      </c>
      <c r="D165" s="126">
        <f t="shared" si="11"/>
        <v>-4.8278197629687769E-2</v>
      </c>
    </row>
    <row r="166" spans="2:4" x14ac:dyDescent="0.25">
      <c r="B166" s="12">
        <v>44249</v>
      </c>
      <c r="C166" s="18">
        <v>118.480003</v>
      </c>
      <c r="D166" s="126">
        <f t="shared" si="11"/>
        <v>-4.8659048910719149E-2</v>
      </c>
    </row>
    <row r="167" spans="2:4" x14ac:dyDescent="0.25">
      <c r="B167" s="12">
        <v>44242</v>
      </c>
      <c r="C167" s="18">
        <v>124.540001</v>
      </c>
      <c r="D167" s="126">
        <f t="shared" si="11"/>
        <v>-3.299939615650116E-2</v>
      </c>
    </row>
    <row r="168" spans="2:4" x14ac:dyDescent="0.25">
      <c r="B168" s="12">
        <v>44235</v>
      </c>
      <c r="C168" s="18">
        <v>128.78999300000001</v>
      </c>
      <c r="D168" s="126">
        <f t="shared" si="11"/>
        <v>9.561879807012863E-2</v>
      </c>
    </row>
    <row r="169" spans="2:4" x14ac:dyDescent="0.25">
      <c r="B169" s="12">
        <v>44228</v>
      </c>
      <c r="C169" s="18">
        <v>117.550003</v>
      </c>
      <c r="D169" s="126">
        <f t="shared" si="11"/>
        <v>3.6413375708223894E-2</v>
      </c>
    </row>
    <row r="170" spans="2:4" x14ac:dyDescent="0.25">
      <c r="B170" s="12">
        <v>44221</v>
      </c>
      <c r="C170" s="18">
        <v>113.41999800000001</v>
      </c>
      <c r="D170" s="126">
        <f t="shared" si="11"/>
        <v>1.9872304827554421E-2</v>
      </c>
    </row>
    <row r="171" spans="2:4" x14ac:dyDescent="0.25">
      <c r="B171" s="12">
        <v>44214</v>
      </c>
      <c r="C171" s="18">
        <v>111.209999</v>
      </c>
      <c r="D171" s="126">
        <f t="shared" si="11"/>
        <v>-4.4942476272835652E-4</v>
      </c>
    </row>
    <row r="172" spans="2:4" x14ac:dyDescent="0.25">
      <c r="B172" s="12">
        <v>44207</v>
      </c>
      <c r="C172" s="18">
        <v>111.260002</v>
      </c>
      <c r="D172" s="126">
        <f t="shared" si="11"/>
        <v>0.21875343171482697</v>
      </c>
    </row>
    <row r="173" spans="2:4" x14ac:dyDescent="0.25">
      <c r="B173" s="12">
        <v>44200</v>
      </c>
      <c r="C173" s="18">
        <v>91.290001000000004</v>
      </c>
      <c r="D173" s="126">
        <f t="shared" si="11"/>
        <v>7.6787002557053619E-2</v>
      </c>
    </row>
    <row r="174" spans="2:4" x14ac:dyDescent="0.25">
      <c r="B174" s="12">
        <v>44193</v>
      </c>
      <c r="C174" s="18">
        <v>84.779999000000004</v>
      </c>
      <c r="D174" s="126">
        <f t="shared" si="11"/>
        <v>-3.4396399735886152E-2</v>
      </c>
    </row>
    <row r="175" spans="2:4" x14ac:dyDescent="0.25">
      <c r="B175" s="12">
        <v>44186</v>
      </c>
      <c r="C175" s="18">
        <v>87.800003000000004</v>
      </c>
      <c r="D175" s="126">
        <f t="shared" si="11"/>
        <v>-2.7793102154647253E-2</v>
      </c>
    </row>
    <row r="176" spans="2:4" x14ac:dyDescent="0.25">
      <c r="B176" s="12">
        <v>44179</v>
      </c>
      <c r="C176" s="18">
        <v>90.309997999999993</v>
      </c>
      <c r="D176" s="126">
        <f t="shared" si="11"/>
        <v>4.5738732680190575E-2</v>
      </c>
    </row>
    <row r="177" spans="2:4" x14ac:dyDescent="0.25">
      <c r="B177" s="12">
        <v>44172</v>
      </c>
      <c r="C177" s="18">
        <v>86.360000999999997</v>
      </c>
      <c r="D177" s="126">
        <f t="shared" si="11"/>
        <v>-1.6064669570400092E-2</v>
      </c>
    </row>
    <row r="178" spans="2:4" x14ac:dyDescent="0.25">
      <c r="B178" s="12">
        <v>44165</v>
      </c>
      <c r="C178" s="18">
        <v>87.769997000000004</v>
      </c>
      <c r="D178" s="126">
        <f t="shared" si="11"/>
        <v>6.1947911386620369E-2</v>
      </c>
    </row>
    <row r="179" spans="2:4" x14ac:dyDescent="0.25">
      <c r="B179" s="12">
        <v>44158</v>
      </c>
      <c r="C179" s="18">
        <v>82.650002000000001</v>
      </c>
      <c r="D179" s="126">
        <f t="shared" si="11"/>
        <v>8.9650681335548654E-2</v>
      </c>
    </row>
    <row r="180" spans="2:4" x14ac:dyDescent="0.25">
      <c r="B180" s="12">
        <v>44151</v>
      </c>
      <c r="C180" s="18">
        <v>75.849997999999999</v>
      </c>
      <c r="D180" s="126">
        <f t="shared" si="11"/>
        <v>-4.0602075401013682E-2</v>
      </c>
    </row>
    <row r="181" spans="2:4" x14ac:dyDescent="0.25">
      <c r="B181" s="12">
        <v>44144</v>
      </c>
      <c r="C181" s="18">
        <v>79.059997999999993</v>
      </c>
      <c r="D181" s="126">
        <f t="shared" si="11"/>
        <v>0.11054917514962259</v>
      </c>
    </row>
    <row r="182" spans="2:4" x14ac:dyDescent="0.25">
      <c r="B182" s="12">
        <v>44137</v>
      </c>
      <c r="C182" s="18">
        <v>71.190002000000007</v>
      </c>
      <c r="D182" s="126">
        <f t="shared" si="11"/>
        <v>5.4354341870009204E-2</v>
      </c>
    </row>
    <row r="183" spans="2:4" x14ac:dyDescent="0.25">
      <c r="B183" s="12">
        <v>44130</v>
      </c>
      <c r="C183" s="18">
        <v>67.519997000000004</v>
      </c>
      <c r="D183" s="126">
        <f t="shared" si="11"/>
        <v>-9.6601568011816075E-2</v>
      </c>
    </row>
    <row r="184" spans="2:4" x14ac:dyDescent="0.25">
      <c r="B184" s="12">
        <v>44123</v>
      </c>
      <c r="C184" s="18">
        <v>74.739998</v>
      </c>
      <c r="D184" s="126">
        <f t="shared" si="11"/>
        <v>6.361180006881173E-2</v>
      </c>
    </row>
    <row r="185" spans="2:4" x14ac:dyDescent="0.25">
      <c r="B185" s="12">
        <v>44116</v>
      </c>
      <c r="C185" s="18">
        <v>70.269997000000004</v>
      </c>
      <c r="D185" s="126">
        <f t="shared" si="11"/>
        <v>-2.6461665281241387E-2</v>
      </c>
    </row>
    <row r="186" spans="2:4" x14ac:dyDescent="0.25">
      <c r="B186" s="12">
        <v>44109</v>
      </c>
      <c r="C186" s="18">
        <v>72.180000000000007</v>
      </c>
      <c r="D186" s="126">
        <f t="shared" si="11"/>
        <v>8.1024460731966119E-2</v>
      </c>
    </row>
    <row r="187" spans="2:4" x14ac:dyDescent="0.25">
      <c r="B187" s="12">
        <v>44102</v>
      </c>
      <c r="C187" s="18">
        <v>66.769997000000004</v>
      </c>
      <c r="D187" s="126">
        <f t="shared" si="11"/>
        <v>7.8490113207547729E-3</v>
      </c>
    </row>
    <row r="188" spans="2:4" x14ac:dyDescent="0.25">
      <c r="B188" s="12">
        <v>44095</v>
      </c>
      <c r="C188" s="18">
        <v>66.25</v>
      </c>
      <c r="D188" s="126">
        <f t="shared" si="11"/>
        <v>-1.9680407822420531E-2</v>
      </c>
    </row>
    <row r="189" spans="2:4" x14ac:dyDescent="0.25">
      <c r="B189" s="12">
        <v>44088</v>
      </c>
      <c r="C189" s="18">
        <v>67.580001999999993</v>
      </c>
      <c r="D189" s="126">
        <f t="shared" si="11"/>
        <v>3.3965743054379605E-2</v>
      </c>
    </row>
    <row r="190" spans="2:4" x14ac:dyDescent="0.25">
      <c r="B190" s="12">
        <v>44081</v>
      </c>
      <c r="C190" s="18">
        <v>65.360000999999997</v>
      </c>
      <c r="D190" s="126">
        <f t="shared" si="11"/>
        <v>-2.3894833092814149E-2</v>
      </c>
    </row>
    <row r="191" spans="2:4" x14ac:dyDescent="0.25">
      <c r="B191" s="12">
        <v>44074</v>
      </c>
      <c r="C191" s="18">
        <v>66.959998999999996</v>
      </c>
      <c r="D191" s="126">
        <f t="shared" si="11"/>
        <v>-7.2646111459426788E-3</v>
      </c>
    </row>
    <row r="192" spans="2:4" x14ac:dyDescent="0.25">
      <c r="B192" s="12">
        <v>44067</v>
      </c>
      <c r="C192" s="18">
        <v>67.449996999999996</v>
      </c>
      <c r="D192" s="126">
        <f t="shared" si="11"/>
        <v>0.15615353102502549</v>
      </c>
    </row>
    <row r="193" spans="2:4" x14ac:dyDescent="0.25">
      <c r="B193" s="12">
        <v>44060</v>
      </c>
      <c r="C193" s="18">
        <v>58.34</v>
      </c>
      <c r="D193" s="126">
        <f t="shared" si="11"/>
        <v>7.006603081438012E-2</v>
      </c>
    </row>
    <row r="194" spans="2:4" x14ac:dyDescent="0.25">
      <c r="B194" s="12">
        <v>44053</v>
      </c>
      <c r="C194" s="18">
        <v>54.52</v>
      </c>
      <c r="D194" s="126">
        <f t="shared" si="11"/>
        <v>6.7554337184256852E-2</v>
      </c>
    </row>
    <row r="195" spans="2:4" x14ac:dyDescent="0.25">
      <c r="B195" s="12">
        <v>44046</v>
      </c>
      <c r="C195" s="18">
        <v>51.07</v>
      </c>
      <c r="D195" s="126">
        <f t="shared" ref="D195:D258" si="12">C195/C196-1</f>
        <v>5.1905273983630762E-2</v>
      </c>
    </row>
    <row r="196" spans="2:4" x14ac:dyDescent="0.25">
      <c r="B196" s="12">
        <v>44039</v>
      </c>
      <c r="C196" s="18">
        <v>48.549999</v>
      </c>
      <c r="D196" s="126">
        <f t="shared" si="12"/>
        <v>-6.3283867903381585E-2</v>
      </c>
    </row>
    <row r="197" spans="2:4" x14ac:dyDescent="0.25">
      <c r="B197" s="12">
        <v>44032</v>
      </c>
      <c r="C197" s="18">
        <v>51.830002</v>
      </c>
      <c r="D197" s="126">
        <f t="shared" si="12"/>
        <v>4.6436564636312738E-2</v>
      </c>
    </row>
    <row r="198" spans="2:4" x14ac:dyDescent="0.25">
      <c r="B198" s="12">
        <v>44025</v>
      </c>
      <c r="C198" s="18">
        <v>49.529998999999997</v>
      </c>
      <c r="D198" s="126">
        <f t="shared" si="12"/>
        <v>2.5678152294923429E-2</v>
      </c>
    </row>
    <row r="199" spans="2:4" x14ac:dyDescent="0.25">
      <c r="B199" s="12">
        <v>44018</v>
      </c>
      <c r="C199" s="18">
        <v>48.290000999999997</v>
      </c>
      <c r="D199" s="126">
        <f t="shared" si="12"/>
        <v>-9.9738965319518536E-2</v>
      </c>
    </row>
    <row r="200" spans="2:4" x14ac:dyDescent="0.25">
      <c r="B200" s="12">
        <v>44011</v>
      </c>
      <c r="C200" s="18">
        <v>53.639999000000003</v>
      </c>
      <c r="D200" s="126">
        <f t="shared" si="12"/>
        <v>8.1015721100679672E-2</v>
      </c>
    </row>
    <row r="201" spans="2:4" x14ac:dyDescent="0.25">
      <c r="B201" s="12">
        <v>44004</v>
      </c>
      <c r="C201" s="18">
        <v>49.619999</v>
      </c>
      <c r="D201" s="126">
        <f t="shared" si="12"/>
        <v>-8.9708295347946998E-2</v>
      </c>
    </row>
    <row r="202" spans="2:4" x14ac:dyDescent="0.25">
      <c r="B202" s="12">
        <v>43997</v>
      </c>
      <c r="C202" s="18">
        <v>54.509998000000003</v>
      </c>
      <c r="D202" s="126">
        <f t="shared" si="12"/>
        <v>-1.6483517087307886E-3</v>
      </c>
    </row>
    <row r="203" spans="2:4" x14ac:dyDescent="0.25">
      <c r="B203" s="12">
        <v>43990</v>
      </c>
      <c r="C203" s="18">
        <v>54.599997999999999</v>
      </c>
      <c r="D203" s="126">
        <f t="shared" si="12"/>
        <v>-8.6803862070515714E-2</v>
      </c>
    </row>
    <row r="204" spans="2:4" x14ac:dyDescent="0.25">
      <c r="B204" s="12">
        <v>43983</v>
      </c>
      <c r="C204" s="18">
        <v>59.790000999999997</v>
      </c>
      <c r="D204" s="126">
        <f t="shared" si="12"/>
        <v>7.6327670140912129E-2</v>
      </c>
    </row>
    <row r="205" spans="2:4" x14ac:dyDescent="0.25">
      <c r="B205" s="12">
        <v>43976</v>
      </c>
      <c r="C205" s="18">
        <v>55.549999</v>
      </c>
      <c r="D205" s="126">
        <f t="shared" si="12"/>
        <v>5.9103869225855643E-2</v>
      </c>
    </row>
    <row r="206" spans="2:4" x14ac:dyDescent="0.25">
      <c r="B206" s="12">
        <v>43969</v>
      </c>
      <c r="C206" s="18">
        <v>52.450001</v>
      </c>
      <c r="D206" s="126">
        <f t="shared" si="12"/>
        <v>7.3914844389844303E-2</v>
      </c>
    </row>
    <row r="207" spans="2:4" x14ac:dyDescent="0.25">
      <c r="B207" s="12">
        <v>43962</v>
      </c>
      <c r="C207" s="18">
        <v>48.84</v>
      </c>
      <c r="D207" s="126">
        <f t="shared" si="12"/>
        <v>-0.11216139291624772</v>
      </c>
    </row>
    <row r="208" spans="2:4" x14ac:dyDescent="0.25">
      <c r="B208" s="12">
        <v>43955</v>
      </c>
      <c r="C208" s="18">
        <v>55.009998000000003</v>
      </c>
      <c r="D208" s="126">
        <f t="shared" si="12"/>
        <v>6.4023151566283465E-2</v>
      </c>
    </row>
    <row r="209" spans="2:4" x14ac:dyDescent="0.25">
      <c r="B209" s="12">
        <v>43948</v>
      </c>
      <c r="C209" s="18">
        <v>51.700001</v>
      </c>
      <c r="D209" s="126">
        <f t="shared" si="12"/>
        <v>4.7194694089420564E-2</v>
      </c>
    </row>
    <row r="210" spans="2:4" x14ac:dyDescent="0.25">
      <c r="B210" s="12">
        <v>43941</v>
      </c>
      <c r="C210" s="18">
        <v>49.369999</v>
      </c>
      <c r="D210" s="126">
        <f t="shared" si="12"/>
        <v>0.13494250574712652</v>
      </c>
    </row>
    <row r="211" spans="2:4" x14ac:dyDescent="0.25">
      <c r="B211" s="12">
        <v>43934</v>
      </c>
      <c r="C211" s="18">
        <v>43.5</v>
      </c>
      <c r="D211" s="126">
        <f t="shared" si="12"/>
        <v>-2.3349819861925858E-2</v>
      </c>
    </row>
    <row r="212" spans="2:4" x14ac:dyDescent="0.25">
      <c r="B212" s="12">
        <v>43927</v>
      </c>
      <c r="C212" s="18">
        <v>44.540000999999997</v>
      </c>
      <c r="D212" s="126">
        <f t="shared" si="12"/>
        <v>0.34197054359658141</v>
      </c>
    </row>
    <row r="213" spans="2:4" x14ac:dyDescent="0.25">
      <c r="B213" s="12">
        <v>43920</v>
      </c>
      <c r="C213" s="18">
        <v>33.189999</v>
      </c>
      <c r="D213" s="126">
        <f t="shared" si="12"/>
        <v>-0.18331693364460966</v>
      </c>
    </row>
    <row r="214" spans="2:4" x14ac:dyDescent="0.25">
      <c r="B214" s="12">
        <v>43913</v>
      </c>
      <c r="C214" s="18">
        <v>40.639999000000003</v>
      </c>
      <c r="D214" s="126">
        <f t="shared" si="12"/>
        <v>0.16848764141712613</v>
      </c>
    </row>
    <row r="215" spans="2:4" x14ac:dyDescent="0.25">
      <c r="B215" s="12">
        <v>43906</v>
      </c>
      <c r="C215" s="18">
        <v>34.779998999999997</v>
      </c>
      <c r="D215" s="126">
        <f t="shared" si="12"/>
        <v>-0.10129203872630399</v>
      </c>
    </row>
    <row r="216" spans="2:4" x14ac:dyDescent="0.25">
      <c r="B216" s="12">
        <v>43899</v>
      </c>
      <c r="C216" s="18">
        <v>38.700001</v>
      </c>
      <c r="D216" s="126">
        <f t="shared" si="12"/>
        <v>-0.25933012440191383</v>
      </c>
    </row>
    <row r="217" spans="2:4" x14ac:dyDescent="0.25">
      <c r="B217" s="12">
        <v>43892</v>
      </c>
      <c r="C217" s="18">
        <v>52.25</v>
      </c>
      <c r="D217" s="126">
        <f t="shared" si="12"/>
        <v>-0.12096230015077891</v>
      </c>
    </row>
    <row r="218" spans="2:4" x14ac:dyDescent="0.25">
      <c r="B218" s="12">
        <v>43885</v>
      </c>
      <c r="C218" s="18">
        <v>59.439999</v>
      </c>
      <c r="D218" s="126">
        <f t="shared" si="12"/>
        <v>-0.2053476388229557</v>
      </c>
    </row>
    <row r="219" spans="2:4" x14ac:dyDescent="0.25">
      <c r="B219" s="12">
        <v>43878</v>
      </c>
      <c r="C219" s="18">
        <v>74.800003000000004</v>
      </c>
      <c r="D219" s="126">
        <f t="shared" si="12"/>
        <v>2.0742412946812339E-2</v>
      </c>
    </row>
    <row r="220" spans="2:4" x14ac:dyDescent="0.25">
      <c r="B220" s="12">
        <v>43871</v>
      </c>
      <c r="C220" s="18">
        <v>73.279999000000004</v>
      </c>
      <c r="D220" s="126">
        <f t="shared" si="12"/>
        <v>-9.5958780807102739E-3</v>
      </c>
    </row>
    <row r="221" spans="2:4" x14ac:dyDescent="0.25">
      <c r="B221" s="12">
        <v>43864</v>
      </c>
      <c r="C221" s="18">
        <v>73.989998</v>
      </c>
      <c r="D221" s="126">
        <f t="shared" si="12"/>
        <v>9.6960730776607829E-2</v>
      </c>
    </row>
    <row r="222" spans="2:4" x14ac:dyDescent="0.25">
      <c r="B222" s="12">
        <v>43857</v>
      </c>
      <c r="C222" s="18">
        <v>67.449996999999996</v>
      </c>
      <c r="D222" s="126">
        <f t="shared" si="12"/>
        <v>-1.4609204438679524E-2</v>
      </c>
    </row>
    <row r="223" spans="2:4" x14ac:dyDescent="0.25">
      <c r="B223" s="12">
        <v>43850</v>
      </c>
      <c r="C223" s="18">
        <v>68.449996999999996</v>
      </c>
      <c r="D223" s="126">
        <f t="shared" si="12"/>
        <v>-2.0884092640017671E-2</v>
      </c>
    </row>
    <row r="224" spans="2:4" x14ac:dyDescent="0.25">
      <c r="B224" s="12">
        <v>43843</v>
      </c>
      <c r="C224" s="18">
        <v>69.910004000000001</v>
      </c>
      <c r="D224" s="126">
        <f t="shared" si="12"/>
        <v>0.14381552918546348</v>
      </c>
    </row>
    <row r="225" spans="2:4" x14ac:dyDescent="0.25">
      <c r="B225" s="12">
        <v>43836</v>
      </c>
      <c r="C225" s="18">
        <v>61.119999</v>
      </c>
      <c r="D225" s="126">
        <f t="shared" si="12"/>
        <v>1.041489467962009E-2</v>
      </c>
    </row>
    <row r="226" spans="2:4" x14ac:dyDescent="0.25">
      <c r="B226" s="12">
        <v>43829</v>
      </c>
      <c r="C226" s="18">
        <v>60.490001999999997</v>
      </c>
      <c r="D226" s="126">
        <f t="shared" si="12"/>
        <v>-4.9567085261081889E-4</v>
      </c>
    </row>
    <row r="227" spans="2:4" x14ac:dyDescent="0.25">
      <c r="B227" s="12">
        <v>43822</v>
      </c>
      <c r="C227" s="18">
        <v>60.52</v>
      </c>
      <c r="D227" s="126">
        <f t="shared" si="12"/>
        <v>-1.5934959349593436E-2</v>
      </c>
    </row>
    <row r="228" spans="2:4" x14ac:dyDescent="0.25">
      <c r="B228" s="12">
        <v>43815</v>
      </c>
      <c r="C228" s="18">
        <v>61.5</v>
      </c>
      <c r="D228" s="126">
        <f t="shared" si="12"/>
        <v>4.2549549328715131E-2</v>
      </c>
    </row>
    <row r="229" spans="2:4" x14ac:dyDescent="0.25">
      <c r="B229" s="12">
        <v>43808</v>
      </c>
      <c r="C229" s="18">
        <v>58.990001999999997</v>
      </c>
      <c r="D229" s="126">
        <f t="shared" si="12"/>
        <v>5.6256733719741714E-3</v>
      </c>
    </row>
    <row r="230" spans="2:4" x14ac:dyDescent="0.25">
      <c r="B230" s="12">
        <v>43801</v>
      </c>
      <c r="C230" s="18">
        <v>58.66</v>
      </c>
      <c r="D230" s="126">
        <f t="shared" si="12"/>
        <v>-5.3565666343981966E-2</v>
      </c>
    </row>
    <row r="231" spans="2:4" x14ac:dyDescent="0.25">
      <c r="B231" s="12">
        <v>43794</v>
      </c>
      <c r="C231" s="18">
        <v>61.98</v>
      </c>
      <c r="D231" s="126">
        <f t="shared" si="12"/>
        <v>3.7843251208250939E-2</v>
      </c>
    </row>
    <row r="232" spans="2:4" x14ac:dyDescent="0.25">
      <c r="B232" s="12">
        <v>43787</v>
      </c>
      <c r="C232" s="18">
        <v>59.720001000000003</v>
      </c>
      <c r="D232" s="126">
        <f t="shared" si="12"/>
        <v>-4.6919869135014225E-2</v>
      </c>
    </row>
    <row r="233" spans="2:4" x14ac:dyDescent="0.25">
      <c r="B233" s="12">
        <v>43780</v>
      </c>
      <c r="C233" s="18">
        <v>62.66</v>
      </c>
      <c r="D233" s="126">
        <f t="shared" si="12"/>
        <v>9.6680468954553067E-3</v>
      </c>
    </row>
    <row r="234" spans="2:4" x14ac:dyDescent="0.25">
      <c r="B234" s="12">
        <v>43773</v>
      </c>
      <c r="C234" s="18">
        <v>62.060001</v>
      </c>
      <c r="D234" s="126">
        <f t="shared" si="12"/>
        <v>-0.25021139000403736</v>
      </c>
    </row>
    <row r="235" spans="2:4" x14ac:dyDescent="0.25">
      <c r="B235" s="12">
        <v>43766</v>
      </c>
      <c r="C235" s="18">
        <v>82.769997000000004</v>
      </c>
      <c r="D235" s="126">
        <f t="shared" si="12"/>
        <v>-2.3017044109808205E-2</v>
      </c>
    </row>
    <row r="236" spans="2:4" x14ac:dyDescent="0.25">
      <c r="B236" s="12">
        <v>43759</v>
      </c>
      <c r="C236" s="18">
        <v>84.720000999999996</v>
      </c>
      <c r="D236" s="126">
        <f t="shared" si="12"/>
        <v>-8.7167300660861979E-2</v>
      </c>
    </row>
    <row r="237" spans="2:4" x14ac:dyDescent="0.25">
      <c r="B237" s="12">
        <v>43752</v>
      </c>
      <c r="C237" s="18">
        <v>92.809997999999993</v>
      </c>
      <c r="D237" s="126">
        <f t="shared" si="12"/>
        <v>1.2988375475167846E-2</v>
      </c>
    </row>
    <row r="238" spans="2:4" x14ac:dyDescent="0.25">
      <c r="B238" s="12">
        <v>43745</v>
      </c>
      <c r="C238" s="18">
        <v>91.620002999999997</v>
      </c>
      <c r="D238" s="126">
        <f t="shared" si="12"/>
        <v>-3.211494687872618E-2</v>
      </c>
    </row>
    <row r="239" spans="2:4" x14ac:dyDescent="0.25">
      <c r="B239" s="12">
        <v>43738</v>
      </c>
      <c r="C239" s="18">
        <v>94.660004000000001</v>
      </c>
      <c r="D239" s="126">
        <f t="shared" si="12"/>
        <v>-9.0032770834362896E-3</v>
      </c>
    </row>
    <row r="240" spans="2:4" x14ac:dyDescent="0.25">
      <c r="B240" s="12">
        <v>43731</v>
      </c>
      <c r="C240" s="18">
        <v>95.519997000000004</v>
      </c>
      <c r="D240" s="126">
        <f t="shared" si="12"/>
        <v>-8.4004622976645793E-2</v>
      </c>
    </row>
    <row r="241" spans="2:4" x14ac:dyDescent="0.25">
      <c r="B241" s="12">
        <v>43724</v>
      </c>
      <c r="C241" s="18">
        <v>104.279999</v>
      </c>
      <c r="D241" s="126">
        <f t="shared" si="12"/>
        <v>4.3426024746327174E-2</v>
      </c>
    </row>
    <row r="242" spans="2:4" x14ac:dyDescent="0.25">
      <c r="B242" s="12">
        <v>43717</v>
      </c>
      <c r="C242" s="18">
        <v>99.940002000000007</v>
      </c>
      <c r="D242" s="126">
        <f t="shared" si="12"/>
        <v>-3.0837867605570057E-2</v>
      </c>
    </row>
    <row r="243" spans="2:4" x14ac:dyDescent="0.25">
      <c r="B243" s="12">
        <v>43710</v>
      </c>
      <c r="C243" s="18">
        <v>103.120003</v>
      </c>
      <c r="D243" s="126">
        <f t="shared" si="12"/>
        <v>3.9935446150244136E-2</v>
      </c>
    </row>
    <row r="244" spans="2:4" x14ac:dyDescent="0.25">
      <c r="B244" s="12">
        <v>43703</v>
      </c>
      <c r="C244" s="18">
        <v>99.160004000000001</v>
      </c>
      <c r="D244" s="126">
        <f t="shared" si="12"/>
        <v>1.3387900120345408E-2</v>
      </c>
    </row>
    <row r="245" spans="2:4" x14ac:dyDescent="0.25">
      <c r="B245" s="12">
        <v>43696</v>
      </c>
      <c r="C245" s="18">
        <v>97.849997999999999</v>
      </c>
      <c r="D245" s="126">
        <f t="shared" si="12"/>
        <v>7.827809571647304E-3</v>
      </c>
    </row>
    <row r="246" spans="2:4" x14ac:dyDescent="0.25">
      <c r="B246" s="12">
        <v>43689</v>
      </c>
      <c r="C246" s="18">
        <v>97.089995999999999</v>
      </c>
      <c r="D246" s="126">
        <f t="shared" si="12"/>
        <v>9.4218333340978289E-2</v>
      </c>
    </row>
    <row r="247" spans="2:4" x14ac:dyDescent="0.25">
      <c r="B247" s="12">
        <v>43682</v>
      </c>
      <c r="C247" s="18">
        <v>88.730002999999996</v>
      </c>
      <c r="D247" s="126">
        <f t="shared" si="12"/>
        <v>0.17835324654635132</v>
      </c>
    </row>
    <row r="248" spans="2:4" x14ac:dyDescent="0.25">
      <c r="B248" s="12">
        <v>43675</v>
      </c>
      <c r="C248" s="18">
        <v>75.300003000000004</v>
      </c>
      <c r="D248" s="126">
        <f t="shared" si="12"/>
        <v>1.5646129156273725E-2</v>
      </c>
    </row>
    <row r="249" spans="2:4" x14ac:dyDescent="0.25">
      <c r="B249" s="12">
        <v>43668</v>
      </c>
      <c r="C249" s="18">
        <v>74.139999000000003</v>
      </c>
      <c r="D249" s="126">
        <f t="shared" si="12"/>
        <v>-4.0446273168304181E-4</v>
      </c>
    </row>
    <row r="250" spans="2:4" x14ac:dyDescent="0.25">
      <c r="B250" s="12">
        <v>43661</v>
      </c>
      <c r="C250" s="18">
        <v>74.169998000000007</v>
      </c>
      <c r="D250" s="126">
        <f t="shared" si="12"/>
        <v>-1.7355656437904377E-2</v>
      </c>
    </row>
    <row r="251" spans="2:4" x14ac:dyDescent="0.25">
      <c r="B251" s="12">
        <v>43654</v>
      </c>
      <c r="C251" s="18">
        <v>75.480002999999996</v>
      </c>
      <c r="D251" s="126">
        <f t="shared" si="12"/>
        <v>2.5961709936115351E-2</v>
      </c>
    </row>
    <row r="252" spans="2:4" x14ac:dyDescent="0.25">
      <c r="B252" s="12">
        <v>43647</v>
      </c>
      <c r="C252" s="18">
        <v>73.569999999999993</v>
      </c>
      <c r="D252" s="126">
        <f t="shared" si="12"/>
        <v>1.8975111591763572E-2</v>
      </c>
    </row>
    <row r="253" spans="2:4" x14ac:dyDescent="0.25">
      <c r="B253" s="12">
        <v>43640</v>
      </c>
      <c r="C253" s="18">
        <v>72.199996999999996</v>
      </c>
      <c r="D253" s="126">
        <f t="shared" si="12"/>
        <v>8.1647895131086168E-2</v>
      </c>
    </row>
    <row r="254" spans="2:4" x14ac:dyDescent="0.25">
      <c r="B254" s="12">
        <v>43633</v>
      </c>
      <c r="C254" s="18">
        <v>66.75</v>
      </c>
      <c r="D254" s="126">
        <f t="shared" si="12"/>
        <v>-4.3257905082668691E-3</v>
      </c>
    </row>
    <row r="255" spans="2:4" x14ac:dyDescent="0.25">
      <c r="B255" s="12">
        <v>43626</v>
      </c>
      <c r="C255" s="18">
        <v>67.040001000000004</v>
      </c>
      <c r="D255" s="126">
        <f t="shared" si="12"/>
        <v>5.2763834798994935E-2</v>
      </c>
    </row>
    <row r="256" spans="2:4" x14ac:dyDescent="0.25">
      <c r="B256" s="12">
        <v>43619</v>
      </c>
      <c r="C256" s="18">
        <v>63.68</v>
      </c>
      <c r="D256" s="126">
        <f t="shared" si="12"/>
        <v>3.7978843943890617E-2</v>
      </c>
    </row>
    <row r="257" spans="2:4" x14ac:dyDescent="0.25">
      <c r="B257" s="12">
        <v>43612</v>
      </c>
      <c r="C257" s="18">
        <v>61.349997999999999</v>
      </c>
      <c r="D257" s="126">
        <f t="shared" si="12"/>
        <v>3.7018221771467186E-2</v>
      </c>
    </row>
    <row r="258" spans="2:4" x14ac:dyDescent="0.25">
      <c r="B258" s="12">
        <v>43605</v>
      </c>
      <c r="C258" s="18">
        <v>59.16</v>
      </c>
      <c r="D258" s="126">
        <f t="shared" si="12"/>
        <v>-1.0205788857286402E-2</v>
      </c>
    </row>
    <row r="259" spans="2:4" x14ac:dyDescent="0.25">
      <c r="B259" s="12">
        <v>43598</v>
      </c>
      <c r="C259" s="18">
        <v>59.77</v>
      </c>
      <c r="D259" s="126">
        <f t="shared" ref="D259:D322" si="13">C259/C260-1</f>
        <v>-1.0266584041506599E-2</v>
      </c>
    </row>
    <row r="260" spans="2:4" x14ac:dyDescent="0.25">
      <c r="B260" s="12">
        <v>43591</v>
      </c>
      <c r="C260" s="18">
        <v>60.389999000000003</v>
      </c>
      <c r="D260" s="126">
        <f t="shared" si="13"/>
        <v>3.1561129043835567E-3</v>
      </c>
    </row>
    <row r="261" spans="2:4" x14ac:dyDescent="0.25">
      <c r="B261" s="12">
        <v>43584</v>
      </c>
      <c r="C261" s="18">
        <v>60.200001</v>
      </c>
      <c r="D261" s="126">
        <f t="shared" si="13"/>
        <v>-2.856220705886392E-2</v>
      </c>
    </row>
    <row r="262" spans="2:4" x14ac:dyDescent="0.25">
      <c r="B262" s="12">
        <v>43577</v>
      </c>
      <c r="C262" s="18">
        <v>61.970001000000003</v>
      </c>
      <c r="D262" s="126">
        <f t="shared" si="13"/>
        <v>3.5941173520561698E-2</v>
      </c>
    </row>
    <row r="263" spans="2:4" x14ac:dyDescent="0.25">
      <c r="B263" s="12">
        <v>43570</v>
      </c>
      <c r="C263" s="18">
        <v>59.82</v>
      </c>
      <c r="D263" s="126">
        <f t="shared" si="13"/>
        <v>-1.3847675568743778E-2</v>
      </c>
    </row>
    <row r="264" spans="2:4" x14ac:dyDescent="0.25">
      <c r="B264" s="12">
        <v>43563</v>
      </c>
      <c r="C264" s="18">
        <v>60.66</v>
      </c>
      <c r="D264" s="126">
        <f t="shared" si="13"/>
        <v>8.8142190451649949E-3</v>
      </c>
    </row>
    <row r="265" spans="2:4" x14ac:dyDescent="0.25">
      <c r="B265" s="12">
        <v>43556</v>
      </c>
      <c r="C265" s="18">
        <v>60.130001</v>
      </c>
      <c r="D265" s="126">
        <f t="shared" si="13"/>
        <v>1.6568029870903445E-2</v>
      </c>
    </row>
    <row r="266" spans="2:4" x14ac:dyDescent="0.25">
      <c r="B266" s="12">
        <v>43549</v>
      </c>
      <c r="C266" s="18">
        <v>59.150002000000001</v>
      </c>
      <c r="D266" s="126">
        <f t="shared" si="13"/>
        <v>8.8116278732224496E-2</v>
      </c>
    </row>
    <row r="267" spans="2:4" x14ac:dyDescent="0.25">
      <c r="B267" s="12">
        <v>43542</v>
      </c>
      <c r="C267" s="18">
        <v>54.360000999999997</v>
      </c>
      <c r="D267" s="126">
        <f t="shared" si="13"/>
        <v>1.8931640822179574E-2</v>
      </c>
    </row>
    <row r="268" spans="2:4" x14ac:dyDescent="0.25">
      <c r="B268" s="12">
        <v>43535</v>
      </c>
      <c r="C268" s="18">
        <v>53.349997999999999</v>
      </c>
      <c r="D268" s="126">
        <f t="shared" si="13"/>
        <v>2.0466698937771755E-2</v>
      </c>
    </row>
    <row r="269" spans="2:4" x14ac:dyDescent="0.25">
      <c r="B269" s="12">
        <v>43528</v>
      </c>
      <c r="C269" s="18">
        <v>52.279998999999997</v>
      </c>
      <c r="D269" s="126">
        <f t="shared" si="13"/>
        <v>-3.6211548766695856E-3</v>
      </c>
    </row>
    <row r="270" spans="2:4" x14ac:dyDescent="0.25">
      <c r="B270" s="12">
        <v>43521</v>
      </c>
      <c r="C270" s="18">
        <v>52.470001000000003</v>
      </c>
      <c r="D270" s="126">
        <f t="shared" si="13"/>
        <v>-7.9409719784642174E-3</v>
      </c>
    </row>
    <row r="271" spans="2:4" x14ac:dyDescent="0.25">
      <c r="B271" s="12">
        <v>43514</v>
      </c>
      <c r="C271" s="18">
        <v>52.889999000000003</v>
      </c>
      <c r="D271" s="126">
        <f t="shared" si="13"/>
        <v>-2.451923802338718E-3</v>
      </c>
    </row>
    <row r="272" spans="2:4" x14ac:dyDescent="0.25">
      <c r="B272" s="12">
        <v>43507</v>
      </c>
      <c r="C272" s="18">
        <v>53.02</v>
      </c>
      <c r="D272" s="126">
        <f t="shared" si="13"/>
        <v>4.2879622344610624E-2</v>
      </c>
    </row>
    <row r="273" spans="2:4" x14ac:dyDescent="0.25">
      <c r="B273" s="12">
        <v>43500</v>
      </c>
      <c r="C273" s="18">
        <v>50.84</v>
      </c>
      <c r="D273" s="126">
        <f t="shared" si="13"/>
        <v>5.718444583073401E-2</v>
      </c>
    </row>
    <row r="274" spans="2:4" x14ac:dyDescent="0.25">
      <c r="B274" s="12">
        <v>43493</v>
      </c>
      <c r="C274" s="18">
        <v>48.09</v>
      </c>
      <c r="D274" s="126">
        <f t="shared" si="13"/>
        <v>-3.3160621761657572E-3</v>
      </c>
    </row>
    <row r="275" spans="2:4" x14ac:dyDescent="0.25">
      <c r="B275" s="12">
        <v>43486</v>
      </c>
      <c r="C275" s="18">
        <v>48.25</v>
      </c>
      <c r="D275" s="126">
        <f t="shared" si="13"/>
        <v>-2.3081575684988476E-2</v>
      </c>
    </row>
    <row r="276" spans="2:4" x14ac:dyDescent="0.25">
      <c r="B276" s="12">
        <v>43479</v>
      </c>
      <c r="C276" s="18">
        <v>49.389999000000003</v>
      </c>
      <c r="D276" s="126">
        <f t="shared" si="13"/>
        <v>-2.7564520032200668E-2</v>
      </c>
    </row>
    <row r="277" spans="2:4" x14ac:dyDescent="0.25">
      <c r="B277" s="12">
        <v>43472</v>
      </c>
      <c r="C277" s="18">
        <v>50.790000999999997</v>
      </c>
      <c r="D277" s="126">
        <f t="shared" si="13"/>
        <v>9.7450347827362727E-2</v>
      </c>
    </row>
    <row r="278" spans="2:4" x14ac:dyDescent="0.25">
      <c r="B278" s="12">
        <v>43465</v>
      </c>
      <c r="C278" s="18">
        <v>46.279998999999997</v>
      </c>
      <c r="D278" s="126">
        <f t="shared" si="13"/>
        <v>6.3663551535902085E-2</v>
      </c>
    </row>
    <row r="279" spans="2:4" x14ac:dyDescent="0.25">
      <c r="B279" s="12">
        <v>43458</v>
      </c>
      <c r="C279" s="18">
        <v>43.509998000000003</v>
      </c>
      <c r="D279" s="126">
        <f t="shared" si="13"/>
        <v>2.4246657250470927E-2</v>
      </c>
    </row>
    <row r="280" spans="2:4" x14ac:dyDescent="0.25">
      <c r="B280" s="12">
        <v>43451</v>
      </c>
      <c r="C280" s="18">
        <v>42.48</v>
      </c>
      <c r="D280" s="126">
        <f t="shared" si="13"/>
        <v>-7.1678281104820107E-2</v>
      </c>
    </row>
    <row r="281" spans="2:4" x14ac:dyDescent="0.25">
      <c r="B281" s="12">
        <v>43444</v>
      </c>
      <c r="C281" s="18">
        <v>45.759998000000003</v>
      </c>
      <c r="D281" s="126">
        <f t="shared" si="13"/>
        <v>-4.5274400166909978E-2</v>
      </c>
    </row>
    <row r="282" spans="2:4" x14ac:dyDescent="0.25">
      <c r="B282" s="12">
        <v>43437</v>
      </c>
      <c r="C282" s="18">
        <v>47.93</v>
      </c>
      <c r="D282" s="126">
        <f t="shared" si="13"/>
        <v>-0.13717370183931055</v>
      </c>
    </row>
    <row r="283" spans="2:4" x14ac:dyDescent="0.25">
      <c r="B283" s="12">
        <v>43430</v>
      </c>
      <c r="C283" s="18">
        <v>55.549999</v>
      </c>
      <c r="D283" s="126">
        <f t="shared" si="13"/>
        <v>8.1791648755273672E-2</v>
      </c>
    </row>
    <row r="284" spans="2:4" x14ac:dyDescent="0.25">
      <c r="B284" s="12">
        <v>43423</v>
      </c>
      <c r="C284" s="18">
        <v>51.349997999999999</v>
      </c>
      <c r="D284" s="126">
        <f t="shared" si="13"/>
        <v>1.5624940355519312E-2</v>
      </c>
    </row>
    <row r="285" spans="2:4" x14ac:dyDescent="0.25">
      <c r="B285" s="12">
        <v>43416</v>
      </c>
      <c r="C285" s="18">
        <v>50.560001</v>
      </c>
      <c r="D285" s="126">
        <f t="shared" si="13"/>
        <v>-7.459717460928883E-3</v>
      </c>
    </row>
    <row r="286" spans="2:4" x14ac:dyDescent="0.25">
      <c r="B286" s="12">
        <v>43409</v>
      </c>
      <c r="C286" s="18">
        <v>50.939999</v>
      </c>
      <c r="D286" s="126">
        <f t="shared" si="13"/>
        <v>7.9465990240855877E-2</v>
      </c>
    </row>
    <row r="287" spans="2:4" x14ac:dyDescent="0.25">
      <c r="B287" s="12">
        <v>43402</v>
      </c>
      <c r="C287" s="18">
        <v>47.189999</v>
      </c>
      <c r="D287" s="126">
        <f t="shared" si="13"/>
        <v>-9.6842124401913865E-2</v>
      </c>
    </row>
    <row r="288" spans="2:4" x14ac:dyDescent="0.25">
      <c r="B288" s="12">
        <v>43395</v>
      </c>
      <c r="C288" s="18">
        <v>52.25</v>
      </c>
      <c r="D288" s="126">
        <f t="shared" si="13"/>
        <v>-4.339068186361561E-2</v>
      </c>
    </row>
    <row r="289" spans="2:4" x14ac:dyDescent="0.25">
      <c r="B289" s="12">
        <v>43388</v>
      </c>
      <c r="C289" s="18">
        <v>54.619999</v>
      </c>
      <c r="D289" s="126">
        <f t="shared" si="13"/>
        <v>-4.3600104296968922E-2</v>
      </c>
    </row>
    <row r="290" spans="2:4" x14ac:dyDescent="0.25">
      <c r="B290" s="12">
        <v>43381</v>
      </c>
      <c r="C290" s="18">
        <v>57.110000999999997</v>
      </c>
      <c r="D290" s="126">
        <f t="shared" si="13"/>
        <v>-6.6524991827394575E-2</v>
      </c>
    </row>
    <row r="291" spans="2:4" x14ac:dyDescent="0.25">
      <c r="B291" s="12">
        <v>43374</v>
      </c>
      <c r="C291" s="18">
        <v>61.18</v>
      </c>
      <c r="D291" s="126">
        <f t="shared" si="13"/>
        <v>-2.9042978227042715E-2</v>
      </c>
    </row>
    <row r="292" spans="2:4" x14ac:dyDescent="0.25">
      <c r="B292" s="12">
        <v>43367</v>
      </c>
      <c r="C292" s="18">
        <v>63.009998000000003</v>
      </c>
      <c r="D292" s="126">
        <f t="shared" si="13"/>
        <v>8.2832085974086311E-2</v>
      </c>
    </row>
    <row r="293" spans="2:4" x14ac:dyDescent="0.25">
      <c r="B293" s="12">
        <v>43360</v>
      </c>
      <c r="C293" s="18">
        <v>58.189999</v>
      </c>
      <c r="D293" s="126">
        <f t="shared" si="13"/>
        <v>1.7307657040075863E-2</v>
      </c>
    </row>
    <row r="294" spans="2:4" x14ac:dyDescent="0.25">
      <c r="B294" s="12">
        <v>43353</v>
      </c>
      <c r="C294" s="18">
        <v>57.200001</v>
      </c>
      <c r="D294" s="126">
        <f t="shared" si="13"/>
        <v>-1.2089826870817721E-2</v>
      </c>
    </row>
    <row r="295" spans="2:4" x14ac:dyDescent="0.25">
      <c r="B295" s="12">
        <v>43346</v>
      </c>
      <c r="C295" s="18">
        <v>57.900002000000001</v>
      </c>
      <c r="D295" s="126">
        <f t="shared" si="13"/>
        <v>-4.218360558836054E-2</v>
      </c>
    </row>
    <row r="296" spans="2:4" x14ac:dyDescent="0.25">
      <c r="B296" s="12">
        <v>43339</v>
      </c>
      <c r="C296" s="18">
        <v>60.450001</v>
      </c>
      <c r="D296" s="126">
        <f t="shared" si="13"/>
        <v>3.2450931382594916E-2</v>
      </c>
    </row>
    <row r="297" spans="2:4" x14ac:dyDescent="0.25">
      <c r="B297" s="12">
        <v>43332</v>
      </c>
      <c r="C297" s="18">
        <v>58.549999</v>
      </c>
      <c r="D297" s="126">
        <f t="shared" si="13"/>
        <v>4.8051999313540872E-3</v>
      </c>
    </row>
    <row r="298" spans="2:4" x14ac:dyDescent="0.25">
      <c r="B298" s="12">
        <v>43325</v>
      </c>
      <c r="C298" s="18">
        <v>58.27</v>
      </c>
      <c r="D298" s="126">
        <f t="shared" si="13"/>
        <v>2.9869175331595166E-2</v>
      </c>
    </row>
    <row r="299" spans="2:4" x14ac:dyDescent="0.25">
      <c r="B299" s="12">
        <v>43318</v>
      </c>
      <c r="C299" s="18">
        <v>56.580002</v>
      </c>
      <c r="D299" s="126">
        <f t="shared" si="13"/>
        <v>4.2598864039757878E-3</v>
      </c>
    </row>
    <row r="300" spans="2:4" x14ac:dyDescent="0.25">
      <c r="B300" s="12">
        <v>43311</v>
      </c>
      <c r="C300" s="18">
        <v>56.34</v>
      </c>
      <c r="D300" s="126">
        <f t="shared" si="13"/>
        <v>-0.12542685890800565</v>
      </c>
    </row>
    <row r="301" spans="2:4" x14ac:dyDescent="0.25">
      <c r="B301" s="12">
        <v>43304</v>
      </c>
      <c r="C301" s="18">
        <v>64.419998000000007</v>
      </c>
      <c r="D301" s="126">
        <f t="shared" si="13"/>
        <v>-5.2228967894233036E-2</v>
      </c>
    </row>
    <row r="302" spans="2:4" x14ac:dyDescent="0.25">
      <c r="B302" s="12">
        <v>43297</v>
      </c>
      <c r="C302" s="18">
        <v>67.970000999999996</v>
      </c>
      <c r="D302" s="126">
        <f t="shared" si="13"/>
        <v>5.6419105155057769E-2</v>
      </c>
    </row>
    <row r="303" spans="2:4" x14ac:dyDescent="0.25">
      <c r="B303" s="12">
        <v>43290</v>
      </c>
      <c r="C303" s="18">
        <v>64.339995999999999</v>
      </c>
      <c r="D303" s="126">
        <f t="shared" si="13"/>
        <v>1.2448490119871813E-3</v>
      </c>
    </row>
    <row r="304" spans="2:4" x14ac:dyDescent="0.25">
      <c r="B304" s="12">
        <v>43283</v>
      </c>
      <c r="C304" s="18">
        <v>64.260002</v>
      </c>
      <c r="D304" s="126">
        <f t="shared" si="13"/>
        <v>-2.9011755817467622E-2</v>
      </c>
    </row>
    <row r="305" spans="2:4" x14ac:dyDescent="0.25">
      <c r="B305" s="12">
        <v>43276</v>
      </c>
      <c r="C305" s="18">
        <v>66.180000000000007</v>
      </c>
      <c r="D305" s="126">
        <f t="shared" si="13"/>
        <v>-3.8779928504863448E-2</v>
      </c>
    </row>
    <row r="306" spans="2:4" x14ac:dyDescent="0.25">
      <c r="B306" s="12">
        <v>43269</v>
      </c>
      <c r="C306" s="18">
        <v>68.849997999999999</v>
      </c>
      <c r="D306" s="126">
        <f t="shared" si="13"/>
        <v>5.3880237138214104E-2</v>
      </c>
    </row>
    <row r="307" spans="2:4" x14ac:dyDescent="0.25">
      <c r="B307" s="12">
        <v>43262</v>
      </c>
      <c r="C307" s="18">
        <v>65.330001999999993</v>
      </c>
      <c r="D307" s="126">
        <f t="shared" si="13"/>
        <v>2.3013501073947396E-3</v>
      </c>
    </row>
    <row r="308" spans="2:4" x14ac:dyDescent="0.25">
      <c r="B308" s="12">
        <v>43255</v>
      </c>
      <c r="C308" s="18">
        <v>65.180000000000007</v>
      </c>
      <c r="D308" s="126">
        <f t="shared" si="13"/>
        <v>8.3444148936170359E-2</v>
      </c>
    </row>
    <row r="309" spans="2:4" x14ac:dyDescent="0.25">
      <c r="B309" s="12">
        <v>43248</v>
      </c>
      <c r="C309" s="18">
        <v>60.16</v>
      </c>
      <c r="D309" s="126">
        <f t="shared" si="13"/>
        <v>3.1019743993821569E-2</v>
      </c>
    </row>
    <row r="310" spans="2:4" x14ac:dyDescent="0.25">
      <c r="B310" s="12">
        <v>43241</v>
      </c>
      <c r="C310" s="18">
        <v>58.349997999999999</v>
      </c>
      <c r="D310" s="126">
        <f t="shared" si="13"/>
        <v>-1.881645601807258E-3</v>
      </c>
    </row>
    <row r="311" spans="2:4" x14ac:dyDescent="0.25">
      <c r="B311" s="12">
        <v>43234</v>
      </c>
      <c r="C311" s="18">
        <v>58.459999000000003</v>
      </c>
      <c r="D311" s="126">
        <f t="shared" si="13"/>
        <v>-3.7491649625084333E-3</v>
      </c>
    </row>
    <row r="312" spans="2:4" x14ac:dyDescent="0.25">
      <c r="B312" s="12">
        <v>43227</v>
      </c>
      <c r="C312" s="18">
        <v>58.68</v>
      </c>
      <c r="D312" s="126">
        <f t="shared" si="13"/>
        <v>4.8793546938453058E-2</v>
      </c>
    </row>
    <row r="313" spans="2:4" x14ac:dyDescent="0.25">
      <c r="B313" s="12">
        <v>43220</v>
      </c>
      <c r="C313" s="18">
        <v>55.950001</v>
      </c>
      <c r="D313" s="126">
        <f t="shared" si="13"/>
        <v>0.18387649952926366</v>
      </c>
    </row>
    <row r="314" spans="2:4" x14ac:dyDescent="0.25">
      <c r="B314" s="12">
        <v>43213</v>
      </c>
      <c r="C314" s="18">
        <v>47.259998000000003</v>
      </c>
      <c r="D314" s="126">
        <f t="shared" si="13"/>
        <v>8.8187842505180747E-2</v>
      </c>
    </row>
    <row r="315" spans="2:4" x14ac:dyDescent="0.25">
      <c r="B315" s="12">
        <v>43206</v>
      </c>
      <c r="C315" s="18">
        <v>43.43</v>
      </c>
      <c r="D315" s="126">
        <f t="shared" si="13"/>
        <v>-2.3017956330984024E-4</v>
      </c>
    </row>
    <row r="316" spans="2:4" x14ac:dyDescent="0.25">
      <c r="B316" s="12">
        <v>43199</v>
      </c>
      <c r="C316" s="18">
        <v>43.439999</v>
      </c>
      <c r="D316" s="126">
        <f t="shared" si="13"/>
        <v>6.7206717626571155E-3</v>
      </c>
    </row>
    <row r="317" spans="2:4" x14ac:dyDescent="0.25">
      <c r="B317" s="12">
        <v>43192</v>
      </c>
      <c r="C317" s="18">
        <v>43.150002000000001</v>
      </c>
      <c r="D317" s="126">
        <f t="shared" si="13"/>
        <v>3.6512153819069137E-2</v>
      </c>
    </row>
    <row r="318" spans="2:4" x14ac:dyDescent="0.25">
      <c r="B318" s="12">
        <v>43185</v>
      </c>
      <c r="C318" s="18">
        <v>41.630001</v>
      </c>
      <c r="D318" s="126">
        <f t="shared" si="13"/>
        <v>3.5829859065186875E-2</v>
      </c>
    </row>
    <row r="319" spans="2:4" x14ac:dyDescent="0.25">
      <c r="B319" s="12">
        <v>43178</v>
      </c>
      <c r="C319" s="18">
        <v>40.189999</v>
      </c>
      <c r="D319" s="126">
        <f t="shared" si="13"/>
        <v>-2.0234056557776769E-2</v>
      </c>
    </row>
    <row r="320" spans="2:4" x14ac:dyDescent="0.25">
      <c r="B320" s="12">
        <v>43171</v>
      </c>
      <c r="C320" s="18">
        <v>41.02</v>
      </c>
      <c r="D320" s="126">
        <f t="shared" si="13"/>
        <v>-3.094736447213009E-2</v>
      </c>
    </row>
    <row r="321" spans="2:4" x14ac:dyDescent="0.25">
      <c r="B321" s="12">
        <v>43164</v>
      </c>
      <c r="C321" s="18">
        <v>42.330002</v>
      </c>
      <c r="D321" s="126">
        <f t="shared" si="13"/>
        <v>7.029084880634251E-2</v>
      </c>
    </row>
    <row r="322" spans="2:4" x14ac:dyDescent="0.25">
      <c r="B322" s="12">
        <v>43157</v>
      </c>
      <c r="C322" s="18">
        <v>39.549999</v>
      </c>
      <c r="D322" s="126">
        <f t="shared" si="13"/>
        <v>4.3811033090816354E-2</v>
      </c>
    </row>
    <row r="323" spans="2:4" x14ac:dyDescent="0.25">
      <c r="B323" s="12">
        <v>43150</v>
      </c>
      <c r="C323" s="18">
        <v>37.889999000000003</v>
      </c>
      <c r="D323" s="126">
        <f t="shared" ref="D323:D386" si="14">C323/C324-1</f>
        <v>-3.6813043302996729E-3</v>
      </c>
    </row>
    <row r="324" spans="2:4" x14ac:dyDescent="0.25">
      <c r="B324" s="12">
        <v>43143</v>
      </c>
      <c r="C324" s="18">
        <v>38.029998999999997</v>
      </c>
      <c r="D324" s="126">
        <f t="shared" si="14"/>
        <v>-3.916126633849093E-2</v>
      </c>
    </row>
    <row r="325" spans="2:4" x14ac:dyDescent="0.25">
      <c r="B325" s="12">
        <v>43136</v>
      </c>
      <c r="C325" s="18">
        <v>39.580002</v>
      </c>
      <c r="D325" s="126">
        <f t="shared" si="14"/>
        <v>-5.5595275590551108E-2</v>
      </c>
    </row>
    <row r="326" spans="2:4" x14ac:dyDescent="0.25">
      <c r="B326" s="12">
        <v>43129</v>
      </c>
      <c r="C326" s="18">
        <v>41.91</v>
      </c>
      <c r="D326" s="126">
        <f t="shared" si="14"/>
        <v>-4.3805656226071021E-2</v>
      </c>
    </row>
    <row r="327" spans="2:4" x14ac:dyDescent="0.25">
      <c r="B327" s="12">
        <v>43122</v>
      </c>
      <c r="C327" s="18">
        <v>43.830002</v>
      </c>
      <c r="D327" s="126">
        <f t="shared" si="14"/>
        <v>7.5862528735632928E-3</v>
      </c>
    </row>
    <row r="328" spans="2:4" x14ac:dyDescent="0.25">
      <c r="B328" s="12">
        <v>43115</v>
      </c>
      <c r="C328" s="18">
        <v>43.5</v>
      </c>
      <c r="D328" s="126">
        <f t="shared" si="14"/>
        <v>8.1111931350548172E-3</v>
      </c>
    </row>
    <row r="329" spans="2:4" x14ac:dyDescent="0.25">
      <c r="B329" s="12">
        <v>43108</v>
      </c>
      <c r="C329" s="18">
        <v>43.150002000000001</v>
      </c>
      <c r="D329" s="126">
        <f t="shared" si="14"/>
        <v>-2.3092507271564755E-2</v>
      </c>
    </row>
    <row r="330" spans="2:4" x14ac:dyDescent="0.25">
      <c r="B330" s="12">
        <v>43101</v>
      </c>
      <c r="C330" s="18">
        <v>44.169998</v>
      </c>
      <c r="D330" s="126">
        <f t="shared" si="14"/>
        <v>2.2453633739499157E-2</v>
      </c>
    </row>
    <row r="331" spans="2:4" x14ac:dyDescent="0.25">
      <c r="B331" s="12">
        <v>43094</v>
      </c>
      <c r="C331" s="18">
        <v>43.200001</v>
      </c>
      <c r="D331" s="126">
        <f t="shared" si="14"/>
        <v>-3.5498994518888161E-2</v>
      </c>
    </row>
    <row r="332" spans="2:4" x14ac:dyDescent="0.25">
      <c r="B332" s="12">
        <v>43087</v>
      </c>
      <c r="C332" s="18">
        <v>44.790000999999997</v>
      </c>
      <c r="D332" s="126">
        <f t="shared" si="14"/>
        <v>-1.7978513089705883E-2</v>
      </c>
    </row>
    <row r="333" spans="2:4" x14ac:dyDescent="0.25">
      <c r="B333" s="12">
        <v>43080</v>
      </c>
      <c r="C333" s="18">
        <v>45.610000999999997</v>
      </c>
      <c r="D333" s="126">
        <f t="shared" si="14"/>
        <v>-1.4902764900707743E-2</v>
      </c>
    </row>
    <row r="334" spans="2:4" x14ac:dyDescent="0.25">
      <c r="B334" s="12">
        <v>43073</v>
      </c>
      <c r="C334" s="18">
        <v>46.299999</v>
      </c>
      <c r="D334" s="126">
        <f t="shared" si="14"/>
        <v>0.1350820756292701</v>
      </c>
    </row>
    <row r="335" spans="2:4" x14ac:dyDescent="0.25">
      <c r="B335" s="12">
        <v>43066</v>
      </c>
      <c r="C335" s="18">
        <v>40.790000999999997</v>
      </c>
      <c r="D335" s="126">
        <f t="shared" si="14"/>
        <v>9.4739752804066102E-2</v>
      </c>
    </row>
    <row r="336" spans="2:4" x14ac:dyDescent="0.25">
      <c r="B336" s="12">
        <v>43059</v>
      </c>
      <c r="C336" s="18">
        <v>37.259998000000003</v>
      </c>
      <c r="D336" s="126">
        <f t="shared" si="14"/>
        <v>-1.8752744776171504E-3</v>
      </c>
    </row>
    <row r="337" spans="2:4" x14ac:dyDescent="0.25">
      <c r="B337" s="12">
        <v>43052</v>
      </c>
      <c r="C337" s="18">
        <v>37.330002</v>
      </c>
      <c r="D337" s="126">
        <f t="shared" si="14"/>
        <v>-2.6597028766468189E-2</v>
      </c>
    </row>
    <row r="338" spans="2:4" x14ac:dyDescent="0.25">
      <c r="B338" s="12">
        <v>43045</v>
      </c>
      <c r="C338" s="18">
        <v>38.349997999999999</v>
      </c>
      <c r="D338" s="126">
        <f t="shared" si="14"/>
        <v>3.7046998377501472E-2</v>
      </c>
    </row>
    <row r="339" spans="2:4" x14ac:dyDescent="0.25">
      <c r="B339" s="12">
        <v>43038</v>
      </c>
      <c r="C339" s="18">
        <v>36.979999999999997</v>
      </c>
      <c r="D339" s="126">
        <f t="shared" si="14"/>
        <v>2.5513005393427379E-2</v>
      </c>
    </row>
    <row r="340" spans="2:4" x14ac:dyDescent="0.25">
      <c r="B340" s="12">
        <v>43031</v>
      </c>
      <c r="C340" s="18">
        <v>36.060001</v>
      </c>
      <c r="D340" s="126">
        <f t="shared" si="14"/>
        <v>3.8893749319900417E-2</v>
      </c>
    </row>
    <row r="341" spans="2:4" x14ac:dyDescent="0.25">
      <c r="B341" s="12">
        <v>43024</v>
      </c>
      <c r="C341" s="18">
        <v>34.709999000000003</v>
      </c>
      <c r="D341" s="126">
        <f t="shared" si="14"/>
        <v>3.4883660259879212E-2</v>
      </c>
    </row>
    <row r="342" spans="2:4" x14ac:dyDescent="0.25">
      <c r="B342" s="12">
        <v>43017</v>
      </c>
      <c r="C342" s="18">
        <v>33.540000999999997</v>
      </c>
      <c r="D342" s="126">
        <f t="shared" si="14"/>
        <v>-6.8107491856679303E-3</v>
      </c>
    </row>
    <row r="343" spans="2:4" x14ac:dyDescent="0.25">
      <c r="B343" s="12">
        <v>43010</v>
      </c>
      <c r="C343" s="18">
        <v>33.770000000000003</v>
      </c>
      <c r="D343" s="126">
        <f t="shared" si="14"/>
        <v>1.6250376166115243E-2</v>
      </c>
    </row>
    <row r="344" spans="2:4" x14ac:dyDescent="0.25">
      <c r="B344" s="12">
        <v>43003</v>
      </c>
      <c r="C344" s="18">
        <v>33.229999999999997</v>
      </c>
      <c r="D344" s="126">
        <f t="shared" si="14"/>
        <v>-1.2022843402466066E-3</v>
      </c>
    </row>
    <row r="345" spans="2:4" x14ac:dyDescent="0.25">
      <c r="B345" s="12">
        <v>42996</v>
      </c>
      <c r="C345" s="18">
        <v>33.270000000000003</v>
      </c>
      <c r="D345" s="126">
        <f t="shared" si="14"/>
        <v>3.774170187954784E-2</v>
      </c>
    </row>
    <row r="346" spans="2:4" x14ac:dyDescent="0.25">
      <c r="B346" s="12">
        <v>42989</v>
      </c>
      <c r="C346" s="18">
        <v>32.060001</v>
      </c>
      <c r="D346" s="126">
        <f t="shared" si="14"/>
        <v>3.7876401355662059E-2</v>
      </c>
    </row>
    <row r="347" spans="2:4" x14ac:dyDescent="0.25">
      <c r="B347" s="12">
        <v>42982</v>
      </c>
      <c r="C347" s="18">
        <v>30.889999</v>
      </c>
      <c r="D347" s="126">
        <f t="shared" si="14"/>
        <v>-2.2609819851738822E-3</v>
      </c>
    </row>
    <row r="348" spans="2:4" x14ac:dyDescent="0.25">
      <c r="B348" s="12">
        <v>42975</v>
      </c>
      <c r="C348" s="18">
        <v>30.959999</v>
      </c>
      <c r="D348" s="126">
        <f t="shared" si="14"/>
        <v>6.4634774898686409E-4</v>
      </c>
    </row>
    <row r="349" spans="2:4" x14ac:dyDescent="0.25">
      <c r="B349" s="12">
        <v>42968</v>
      </c>
      <c r="C349" s="18">
        <v>30.940000999999999</v>
      </c>
      <c r="D349" s="126">
        <f t="shared" si="14"/>
        <v>-1.0553213943076512E-2</v>
      </c>
    </row>
    <row r="350" spans="2:4" x14ac:dyDescent="0.25">
      <c r="B350" s="12">
        <v>42961</v>
      </c>
      <c r="C350" s="18">
        <v>31.27</v>
      </c>
      <c r="D350" s="126">
        <f t="shared" si="14"/>
        <v>-3.2786945079681717E-2</v>
      </c>
    </row>
    <row r="351" spans="2:4" x14ac:dyDescent="0.25">
      <c r="B351" s="12">
        <v>42954</v>
      </c>
      <c r="C351" s="18">
        <v>32.330002</v>
      </c>
      <c r="D351" s="126">
        <f t="shared" si="14"/>
        <v>3.1260031897926588E-2</v>
      </c>
    </row>
    <row r="352" spans="2:4" x14ac:dyDescent="0.25">
      <c r="B352" s="12">
        <v>42947</v>
      </c>
      <c r="C352" s="18">
        <v>31.35</v>
      </c>
      <c r="D352" s="126">
        <f t="shared" si="14"/>
        <v>-7.3581560283688008E-2</v>
      </c>
    </row>
    <row r="353" spans="2:4" x14ac:dyDescent="0.25">
      <c r="B353" s="12">
        <v>42940</v>
      </c>
      <c r="C353" s="18">
        <v>33.840000000000003</v>
      </c>
      <c r="D353" s="126">
        <f t="shared" si="14"/>
        <v>-3.1482513780266452E-2</v>
      </c>
    </row>
    <row r="354" spans="2:4" x14ac:dyDescent="0.25">
      <c r="B354" s="12">
        <v>42933</v>
      </c>
      <c r="C354" s="18">
        <v>34.939999</v>
      </c>
      <c r="D354" s="126">
        <f t="shared" si="14"/>
        <v>-3.9909632844377096E-3</v>
      </c>
    </row>
    <row r="355" spans="2:4" x14ac:dyDescent="0.25">
      <c r="B355" s="12">
        <v>42926</v>
      </c>
      <c r="C355" s="18">
        <v>35.080002</v>
      </c>
      <c r="D355" s="126">
        <f t="shared" si="14"/>
        <v>6.3109866233224121E-3</v>
      </c>
    </row>
    <row r="356" spans="2:4" x14ac:dyDescent="0.25">
      <c r="B356" s="12">
        <v>42919</v>
      </c>
      <c r="C356" s="18">
        <v>34.860000999999997</v>
      </c>
      <c r="D356" s="126">
        <f t="shared" si="14"/>
        <v>-5.7339447897386542E-4</v>
      </c>
    </row>
    <row r="357" spans="2:4" x14ac:dyDescent="0.25">
      <c r="B357" s="12">
        <v>42912</v>
      </c>
      <c r="C357" s="18">
        <v>34.880001</v>
      </c>
      <c r="D357" s="126">
        <f t="shared" si="14"/>
        <v>-5.7297270270270317E-2</v>
      </c>
    </row>
    <row r="358" spans="2:4" x14ac:dyDescent="0.25">
      <c r="B358" s="12">
        <v>42905</v>
      </c>
      <c r="C358" s="18">
        <v>37</v>
      </c>
      <c r="D358" s="126">
        <f t="shared" si="14"/>
        <v>-2.3746753364287443E-2</v>
      </c>
    </row>
    <row r="359" spans="2:4" x14ac:dyDescent="0.25">
      <c r="B359" s="12">
        <v>42898</v>
      </c>
      <c r="C359" s="18">
        <v>37.900002000000001</v>
      </c>
      <c r="D359" s="126">
        <f t="shared" si="14"/>
        <v>-3.4394853503184719E-2</v>
      </c>
    </row>
    <row r="360" spans="2:4" x14ac:dyDescent="0.25">
      <c r="B360" s="12">
        <v>42891</v>
      </c>
      <c r="C360" s="18">
        <v>39.25</v>
      </c>
      <c r="D360" s="126">
        <f t="shared" si="14"/>
        <v>3.9184537993116164E-2</v>
      </c>
    </row>
    <row r="361" spans="2:4" x14ac:dyDescent="0.25">
      <c r="B361" s="12">
        <v>42884</v>
      </c>
      <c r="C361" s="18">
        <v>37.770000000000003</v>
      </c>
      <c r="D361" s="126">
        <f t="shared" si="14"/>
        <v>5.591027540175153E-3</v>
      </c>
    </row>
    <row r="362" spans="2:4" x14ac:dyDescent="0.25">
      <c r="B362" s="12">
        <v>42877</v>
      </c>
      <c r="C362" s="18">
        <v>37.560001</v>
      </c>
      <c r="D362" s="126">
        <f t="shared" si="14"/>
        <v>-6.3491536071205168E-3</v>
      </c>
    </row>
    <row r="363" spans="2:4" x14ac:dyDescent="0.25">
      <c r="B363" s="12">
        <v>42870</v>
      </c>
      <c r="C363" s="18">
        <v>37.799999</v>
      </c>
      <c r="D363" s="126">
        <f t="shared" si="14"/>
        <v>4.7091443052157622E-2</v>
      </c>
    </row>
    <row r="364" spans="2:4" x14ac:dyDescent="0.25">
      <c r="B364" s="12">
        <v>42863</v>
      </c>
      <c r="C364" s="18">
        <v>36.099997999999999</v>
      </c>
      <c r="D364" s="126">
        <f t="shared" si="14"/>
        <v>-1.9353056088087239E-3</v>
      </c>
    </row>
    <row r="365" spans="2:4" x14ac:dyDescent="0.25">
      <c r="B365" s="12">
        <v>42856</v>
      </c>
      <c r="C365" s="18">
        <v>36.169998</v>
      </c>
      <c r="D365" s="126">
        <f t="shared" si="14"/>
        <v>6.5704156325991692E-2</v>
      </c>
    </row>
    <row r="366" spans="2:4" x14ac:dyDescent="0.25">
      <c r="B366" s="12">
        <v>42849</v>
      </c>
      <c r="C366" s="18">
        <v>33.939999</v>
      </c>
      <c r="D366" s="126">
        <f t="shared" si="14"/>
        <v>1.3436756438533592E-2</v>
      </c>
    </row>
    <row r="367" spans="2:4" x14ac:dyDescent="0.25">
      <c r="B367" s="12">
        <v>42842</v>
      </c>
      <c r="C367" s="18">
        <v>33.490001999999997</v>
      </c>
      <c r="D367" s="126">
        <f t="shared" si="14"/>
        <v>1.7314824867243228E-2</v>
      </c>
    </row>
    <row r="368" spans="2:4" x14ac:dyDescent="0.25">
      <c r="B368" s="12">
        <v>42835</v>
      </c>
      <c r="C368" s="18">
        <v>32.919998</v>
      </c>
      <c r="D368" s="126">
        <f t="shared" si="14"/>
        <v>1.1367097123413217E-2</v>
      </c>
    </row>
    <row r="369" spans="2:4" x14ac:dyDescent="0.25">
      <c r="B369" s="12">
        <v>42828</v>
      </c>
      <c r="C369" s="18">
        <v>32.549999</v>
      </c>
      <c r="D369" s="126">
        <f t="shared" si="14"/>
        <v>-2.544919009286295E-2</v>
      </c>
    </row>
    <row r="370" spans="2:4" x14ac:dyDescent="0.25">
      <c r="B370" s="12">
        <v>42821</v>
      </c>
      <c r="C370" s="18">
        <v>33.400002000000001</v>
      </c>
      <c r="D370" s="126">
        <f t="shared" si="14"/>
        <v>3.277680890538015E-2</v>
      </c>
    </row>
    <row r="371" spans="2:4" x14ac:dyDescent="0.25">
      <c r="B371" s="12">
        <v>42814</v>
      </c>
      <c r="C371" s="18">
        <v>32.340000000000003</v>
      </c>
      <c r="D371" s="126">
        <f t="shared" si="14"/>
        <v>-3.3898612206513246E-3</v>
      </c>
    </row>
    <row r="372" spans="2:4" x14ac:dyDescent="0.25">
      <c r="B372" s="12">
        <v>42807</v>
      </c>
      <c r="C372" s="18">
        <v>32.450001</v>
      </c>
      <c r="D372" s="126">
        <f t="shared" si="14"/>
        <v>3.2781699554423893E-2</v>
      </c>
    </row>
    <row r="373" spans="2:4" x14ac:dyDescent="0.25">
      <c r="B373" s="12">
        <v>42800</v>
      </c>
      <c r="C373" s="18">
        <v>31.42</v>
      </c>
      <c r="D373" s="126">
        <f t="shared" si="14"/>
        <v>-4.7012464452154568E-2</v>
      </c>
    </row>
    <row r="374" spans="2:4" x14ac:dyDescent="0.25">
      <c r="B374" s="12">
        <v>42793</v>
      </c>
      <c r="C374" s="18">
        <v>32.970001000000003</v>
      </c>
      <c r="D374" s="126">
        <f t="shared" si="14"/>
        <v>-8.212686982889017E-2</v>
      </c>
    </row>
    <row r="375" spans="2:4" x14ac:dyDescent="0.25">
      <c r="B375" s="12">
        <v>42786</v>
      </c>
      <c r="C375" s="18">
        <v>35.919998</v>
      </c>
      <c r="D375" s="126">
        <f t="shared" si="14"/>
        <v>-3.4668127779310165E-2</v>
      </c>
    </row>
    <row r="376" spans="2:4" x14ac:dyDescent="0.25">
      <c r="B376" s="12">
        <v>42779</v>
      </c>
      <c r="C376" s="18">
        <v>37.209999000000003</v>
      </c>
      <c r="D376" s="126">
        <f t="shared" si="14"/>
        <v>1.7500656275635906E-2</v>
      </c>
    </row>
    <row r="377" spans="2:4" x14ac:dyDescent="0.25">
      <c r="B377" s="12">
        <v>42772</v>
      </c>
      <c r="C377" s="18">
        <v>36.57</v>
      </c>
      <c r="D377" s="126">
        <f t="shared" si="14"/>
        <v>3.3050789093175714E-2</v>
      </c>
    </row>
    <row r="378" spans="2:4" x14ac:dyDescent="0.25">
      <c r="B378" s="12">
        <v>42765</v>
      </c>
      <c r="C378" s="18">
        <v>35.400002000000001</v>
      </c>
      <c r="D378" s="126">
        <f t="shared" si="14"/>
        <v>9.9858205416782919E-3</v>
      </c>
    </row>
    <row r="379" spans="2:4" x14ac:dyDescent="0.25">
      <c r="B379" s="12">
        <v>42758</v>
      </c>
      <c r="C379" s="18">
        <v>35.049999</v>
      </c>
      <c r="D379" s="126">
        <f t="shared" si="14"/>
        <v>8.342952148616245E-3</v>
      </c>
    </row>
    <row r="380" spans="2:4" x14ac:dyDescent="0.25">
      <c r="B380" s="12">
        <v>42751</v>
      </c>
      <c r="C380" s="18">
        <v>34.759998000000003</v>
      </c>
      <c r="D380" s="126">
        <f t="shared" si="14"/>
        <v>-1.8910584250634965E-2</v>
      </c>
    </row>
    <row r="381" spans="2:4" x14ac:dyDescent="0.25">
      <c r="B381" s="12">
        <v>42744</v>
      </c>
      <c r="C381" s="18">
        <v>35.43</v>
      </c>
      <c r="D381" s="126">
        <f t="shared" si="14"/>
        <v>-3.1702650997540438E-2</v>
      </c>
    </row>
    <row r="382" spans="2:4" x14ac:dyDescent="0.25">
      <c r="B382" s="12">
        <v>42737</v>
      </c>
      <c r="C382" s="18">
        <v>36.590000000000003</v>
      </c>
      <c r="D382" s="126">
        <f t="shared" si="14"/>
        <v>2.2352583896267708E-2</v>
      </c>
    </row>
    <row r="383" spans="2:4" x14ac:dyDescent="0.25">
      <c r="B383" s="12">
        <v>42730</v>
      </c>
      <c r="C383" s="18">
        <v>35.790000999999997</v>
      </c>
      <c r="D383" s="126">
        <f t="shared" si="14"/>
        <v>-3.4268752448225914E-2</v>
      </c>
    </row>
    <row r="384" spans="2:4" x14ac:dyDescent="0.25">
      <c r="B384" s="12">
        <v>42723</v>
      </c>
      <c r="C384" s="18">
        <v>37.060001</v>
      </c>
      <c r="D384" s="126">
        <f t="shared" si="14"/>
        <v>-3.3637472419164149E-2</v>
      </c>
    </row>
    <row r="385" spans="2:4" x14ac:dyDescent="0.25">
      <c r="B385" s="12">
        <v>42716</v>
      </c>
      <c r="C385" s="18">
        <v>38.349997999999999</v>
      </c>
      <c r="D385" s="126">
        <f t="shared" si="14"/>
        <v>7.090230720050883E-3</v>
      </c>
    </row>
    <row r="386" spans="2:4" x14ac:dyDescent="0.25">
      <c r="B386" s="12">
        <v>42709</v>
      </c>
      <c r="C386" s="18">
        <v>38.080002</v>
      </c>
      <c r="D386" s="126">
        <f t="shared" si="14"/>
        <v>6.3687236415844506E-2</v>
      </c>
    </row>
    <row r="387" spans="2:4" x14ac:dyDescent="0.25">
      <c r="B387" s="12">
        <v>42702</v>
      </c>
      <c r="C387" s="18">
        <v>35.799999</v>
      </c>
      <c r="D387" s="126">
        <f t="shared" ref="D387:D450" si="15">C387/C388-1</f>
        <v>-5.6404851249468924E-2</v>
      </c>
    </row>
    <row r="388" spans="2:4" x14ac:dyDescent="0.25">
      <c r="B388" s="12">
        <v>42695</v>
      </c>
      <c r="C388" s="18">
        <v>37.939999</v>
      </c>
      <c r="D388" s="126">
        <f t="shared" si="15"/>
        <v>2.8462998874030809E-2</v>
      </c>
    </row>
    <row r="389" spans="2:4" x14ac:dyDescent="0.25">
      <c r="B389" s="12">
        <v>42688</v>
      </c>
      <c r="C389" s="18">
        <v>36.889999000000003</v>
      </c>
      <c r="D389" s="126">
        <f t="shared" si="15"/>
        <v>-2.174489582988326E-2</v>
      </c>
    </row>
    <row r="390" spans="2:4" x14ac:dyDescent="0.25">
      <c r="B390" s="12">
        <v>42681</v>
      </c>
      <c r="C390" s="18">
        <v>37.709999000000003</v>
      </c>
      <c r="D390" s="126">
        <f t="shared" si="15"/>
        <v>0.18771650393700789</v>
      </c>
    </row>
    <row r="391" spans="2:4" x14ac:dyDescent="0.25">
      <c r="B391" s="12">
        <v>42674</v>
      </c>
      <c r="C391" s="18">
        <v>31.75</v>
      </c>
      <c r="D391" s="126">
        <f t="shared" si="15"/>
        <v>-5.9486848481938859E-3</v>
      </c>
    </row>
    <row r="392" spans="2:4" x14ac:dyDescent="0.25">
      <c r="B392" s="12">
        <v>42667</v>
      </c>
      <c r="C392" s="18">
        <v>31.940000999999999</v>
      </c>
      <c r="D392" s="126">
        <f t="shared" si="15"/>
        <v>-1.8438843932426341E-2</v>
      </c>
    </row>
    <row r="393" spans="2:4" x14ac:dyDescent="0.25">
      <c r="B393" s="12">
        <v>42660</v>
      </c>
      <c r="C393" s="18">
        <v>32.540000999999997</v>
      </c>
      <c r="D393" s="126">
        <f t="shared" si="15"/>
        <v>7.4304027068234912E-3</v>
      </c>
    </row>
    <row r="394" spans="2:4" x14ac:dyDescent="0.25">
      <c r="B394" s="12">
        <v>42653</v>
      </c>
      <c r="C394" s="18">
        <v>32.299999</v>
      </c>
      <c r="D394" s="126">
        <f t="shared" si="15"/>
        <v>-2.0915518586509863E-2</v>
      </c>
    </row>
    <row r="395" spans="2:4" x14ac:dyDescent="0.25">
      <c r="B395" s="12">
        <v>42646</v>
      </c>
      <c r="C395" s="18">
        <v>32.990001999999997</v>
      </c>
      <c r="D395" s="126">
        <f t="shared" si="15"/>
        <v>-4.8456766568028109E-2</v>
      </c>
    </row>
    <row r="396" spans="2:4" x14ac:dyDescent="0.25">
      <c r="B396" s="12">
        <v>42639</v>
      </c>
      <c r="C396" s="18">
        <v>34.669998</v>
      </c>
      <c r="D396" s="126">
        <f t="shared" si="15"/>
        <v>-1.6732842696134065E-2</v>
      </c>
    </row>
    <row r="397" spans="2:4" x14ac:dyDescent="0.25">
      <c r="B397" s="12">
        <v>42632</v>
      </c>
      <c r="C397" s="18">
        <v>35.259998000000003</v>
      </c>
      <c r="D397" s="126">
        <f t="shared" si="15"/>
        <v>8.8697279293354914E-3</v>
      </c>
    </row>
    <row r="398" spans="2:4" x14ac:dyDescent="0.25">
      <c r="B398" s="12">
        <v>42625</v>
      </c>
      <c r="C398" s="18">
        <v>34.950001</v>
      </c>
      <c r="D398" s="126">
        <f t="shared" si="15"/>
        <v>1.7467337261562577E-2</v>
      </c>
    </row>
    <row r="399" spans="2:4" x14ac:dyDescent="0.25">
      <c r="B399" s="12">
        <v>42618</v>
      </c>
      <c r="C399" s="18">
        <v>34.349997999999999</v>
      </c>
      <c r="D399" s="126">
        <f t="shared" si="15"/>
        <v>-1.9411961730287142E-2</v>
      </c>
    </row>
    <row r="400" spans="2:4" x14ac:dyDescent="0.25">
      <c r="B400" s="12">
        <v>42611</v>
      </c>
      <c r="C400" s="18">
        <v>35.029998999999997</v>
      </c>
      <c r="D400" s="126">
        <f t="shared" si="15"/>
        <v>-4.5467463639314865E-3</v>
      </c>
    </row>
    <row r="401" spans="2:4" x14ac:dyDescent="0.25">
      <c r="B401" s="12">
        <v>42604</v>
      </c>
      <c r="C401" s="18">
        <v>35.189999</v>
      </c>
      <c r="D401" s="126">
        <f t="shared" si="15"/>
        <v>-1.7862209441127042E-2</v>
      </c>
    </row>
    <row r="402" spans="2:4" x14ac:dyDescent="0.25">
      <c r="B402" s="12">
        <v>42597</v>
      </c>
      <c r="C402" s="18">
        <v>35.830002</v>
      </c>
      <c r="D402" s="126">
        <f t="shared" si="15"/>
        <v>-5.6111618970274502E-2</v>
      </c>
    </row>
    <row r="403" spans="2:4" x14ac:dyDescent="0.25">
      <c r="B403" s="12">
        <v>42590</v>
      </c>
      <c r="C403" s="18">
        <v>37.959999000000003</v>
      </c>
      <c r="D403" s="126">
        <f t="shared" si="15"/>
        <v>-5.8064517569839103E-2</v>
      </c>
    </row>
    <row r="404" spans="2:4" x14ac:dyDescent="0.25">
      <c r="B404" s="12">
        <v>42583</v>
      </c>
      <c r="C404" s="18">
        <v>40.299999</v>
      </c>
      <c r="D404" s="126">
        <f t="shared" si="15"/>
        <v>7.2482133090832068E-3</v>
      </c>
    </row>
    <row r="405" spans="2:4" x14ac:dyDescent="0.25">
      <c r="B405" s="12">
        <v>42576</v>
      </c>
      <c r="C405" s="18">
        <v>40.009998000000003</v>
      </c>
      <c r="D405" s="126">
        <f t="shared" si="15"/>
        <v>-1.6711747768782148E-2</v>
      </c>
    </row>
    <row r="406" spans="2:4" x14ac:dyDescent="0.25">
      <c r="B406" s="12">
        <v>42569</v>
      </c>
      <c r="C406" s="18">
        <v>40.689999</v>
      </c>
      <c r="D406" s="126">
        <f t="shared" si="15"/>
        <v>6.7979032439844156E-2</v>
      </c>
    </row>
    <row r="407" spans="2:4" x14ac:dyDescent="0.25">
      <c r="B407" s="12">
        <v>42562</v>
      </c>
      <c r="C407" s="18">
        <v>38.099997999999999</v>
      </c>
      <c r="D407" s="126">
        <f t="shared" si="15"/>
        <v>3.5607419526843875E-2</v>
      </c>
    </row>
    <row r="408" spans="2:4" x14ac:dyDescent="0.25">
      <c r="B408" s="12">
        <v>42555</v>
      </c>
      <c r="C408" s="18">
        <v>36.790000999999997</v>
      </c>
      <c r="D408" s="126">
        <f t="shared" si="15"/>
        <v>-1.1287234917689903E-2</v>
      </c>
    </row>
    <row r="409" spans="2:4" x14ac:dyDescent="0.25">
      <c r="B409" s="12">
        <v>42548</v>
      </c>
      <c r="C409" s="18">
        <v>37.209999000000003</v>
      </c>
      <c r="D409" s="126">
        <f t="shared" si="15"/>
        <v>4.6694797375381292E-2</v>
      </c>
    </row>
    <row r="410" spans="2:4" x14ac:dyDescent="0.25">
      <c r="B410" s="12">
        <v>42541</v>
      </c>
      <c r="C410" s="18">
        <v>35.549999</v>
      </c>
      <c r="D410" s="126">
        <f t="shared" si="15"/>
        <v>-2.5493448464912194E-2</v>
      </c>
    </row>
    <row r="411" spans="2:4" x14ac:dyDescent="0.25">
      <c r="B411" s="12">
        <v>42534</v>
      </c>
      <c r="C411" s="18">
        <v>36.479999999999997</v>
      </c>
      <c r="D411" s="126">
        <f t="shared" si="15"/>
        <v>4.3776794169476441E-2</v>
      </c>
    </row>
    <row r="412" spans="2:4" x14ac:dyDescent="0.25">
      <c r="B412" s="12">
        <v>42527</v>
      </c>
      <c r="C412" s="18">
        <v>34.950001</v>
      </c>
      <c r="D412" s="126">
        <f t="shared" si="15"/>
        <v>-4.4037197920207882E-2</v>
      </c>
    </row>
    <row r="413" spans="2:4" x14ac:dyDescent="0.25">
      <c r="B413" s="12">
        <v>42520</v>
      </c>
      <c r="C413" s="18">
        <v>36.560001</v>
      </c>
      <c r="D413" s="126">
        <f t="shared" si="15"/>
        <v>-3.713457895352712E-2</v>
      </c>
    </row>
    <row r="414" spans="2:4" x14ac:dyDescent="0.25">
      <c r="B414" s="12">
        <v>42513</v>
      </c>
      <c r="C414" s="18">
        <v>37.970001000000003</v>
      </c>
      <c r="D414" s="126">
        <f t="shared" si="15"/>
        <v>8.5167157178213548E-2</v>
      </c>
    </row>
    <row r="415" spans="2:4" x14ac:dyDescent="0.25">
      <c r="B415" s="12">
        <v>42506</v>
      </c>
      <c r="C415" s="18">
        <v>34.990001999999997</v>
      </c>
      <c r="D415" s="126">
        <f t="shared" si="15"/>
        <v>-6.9414790926318748E-2</v>
      </c>
    </row>
    <row r="416" spans="2:4" x14ac:dyDescent="0.25">
      <c r="B416" s="12">
        <v>42499</v>
      </c>
      <c r="C416" s="18">
        <v>37.599997999999999</v>
      </c>
      <c r="D416" s="126">
        <f t="shared" si="15"/>
        <v>9.5251844144955244E-2</v>
      </c>
    </row>
    <row r="417" spans="2:4" x14ac:dyDescent="0.25">
      <c r="B417" s="12">
        <v>42492</v>
      </c>
      <c r="C417" s="18">
        <v>34.330002</v>
      </c>
      <c r="D417" s="126">
        <f t="shared" si="15"/>
        <v>-5.9967086527929925E-2</v>
      </c>
    </row>
    <row r="418" spans="2:4" x14ac:dyDescent="0.25">
      <c r="B418" s="12">
        <v>42485</v>
      </c>
      <c r="C418" s="18">
        <v>36.520000000000003</v>
      </c>
      <c r="D418" s="126">
        <f t="shared" si="15"/>
        <v>-3.3350953767891656E-2</v>
      </c>
    </row>
    <row r="419" spans="2:4" x14ac:dyDescent="0.25">
      <c r="B419" s="12">
        <v>42478</v>
      </c>
      <c r="C419" s="18">
        <v>37.779998999999997</v>
      </c>
      <c r="D419" s="126">
        <f t="shared" si="15"/>
        <v>1.3251789027299843E-3</v>
      </c>
    </row>
    <row r="420" spans="2:4" x14ac:dyDescent="0.25">
      <c r="B420" s="12">
        <v>42471</v>
      </c>
      <c r="C420" s="18">
        <v>37.729999999999997</v>
      </c>
      <c r="D420" s="126">
        <f t="shared" si="15"/>
        <v>1.8903619198045396E-2</v>
      </c>
    </row>
    <row r="421" spans="2:4" x14ac:dyDescent="0.25">
      <c r="B421" s="12">
        <v>42464</v>
      </c>
      <c r="C421" s="18">
        <v>37.029998999999997</v>
      </c>
      <c r="D421" s="126">
        <f t="shared" si="15"/>
        <v>4.8846949733891698E-3</v>
      </c>
    </row>
    <row r="422" spans="2:4" x14ac:dyDescent="0.25">
      <c r="B422" s="12">
        <v>42457</v>
      </c>
      <c r="C422" s="18">
        <v>36.849997999999999</v>
      </c>
      <c r="D422" s="126">
        <f t="shared" si="15"/>
        <v>0.12040131104899077</v>
      </c>
    </row>
    <row r="423" spans="2:4" x14ac:dyDescent="0.25">
      <c r="B423" s="12">
        <v>42450</v>
      </c>
      <c r="C423" s="18">
        <v>32.889999000000003</v>
      </c>
      <c r="D423" s="126">
        <f t="shared" si="15"/>
        <v>-5.5970177956371936E-2</v>
      </c>
    </row>
    <row r="424" spans="2:4" x14ac:dyDescent="0.25">
      <c r="B424" s="12">
        <v>42443</v>
      </c>
      <c r="C424" s="18">
        <v>34.840000000000003</v>
      </c>
      <c r="D424" s="126">
        <f t="shared" si="15"/>
        <v>7.5187387207207301E-3</v>
      </c>
    </row>
    <row r="425" spans="2:4" x14ac:dyDescent="0.25">
      <c r="B425" s="12">
        <v>42436</v>
      </c>
      <c r="C425" s="18">
        <v>34.580002</v>
      </c>
      <c r="D425" s="126">
        <f t="shared" si="15"/>
        <v>-0.17647057982993186</v>
      </c>
    </row>
    <row r="426" spans="2:4" x14ac:dyDescent="0.25">
      <c r="B426" s="12">
        <v>42429</v>
      </c>
      <c r="C426" s="18">
        <v>41.990001999999997</v>
      </c>
      <c r="D426" s="126">
        <f t="shared" si="15"/>
        <v>4.4527386952055048E-2</v>
      </c>
    </row>
    <row r="427" spans="2:4" x14ac:dyDescent="0.25">
      <c r="B427" s="12">
        <v>42422</v>
      </c>
      <c r="C427" s="18">
        <v>40.200001</v>
      </c>
      <c r="D427" s="126">
        <f t="shared" si="15"/>
        <v>4.5513652912518854E-2</v>
      </c>
    </row>
    <row r="428" spans="2:4" x14ac:dyDescent="0.25">
      <c r="B428" s="12">
        <v>42415</v>
      </c>
      <c r="C428" s="18">
        <v>38.450001</v>
      </c>
      <c r="D428" s="126">
        <f t="shared" si="15"/>
        <v>0.12822766266269592</v>
      </c>
    </row>
    <row r="429" spans="2:4" x14ac:dyDescent="0.25">
      <c r="B429" s="12">
        <v>42408</v>
      </c>
      <c r="C429" s="18">
        <v>34.080002</v>
      </c>
      <c r="D429" s="126">
        <f t="shared" si="15"/>
        <v>2.935720575285572E-4</v>
      </c>
    </row>
    <row r="430" spans="2:4" x14ac:dyDescent="0.25">
      <c r="B430" s="12">
        <v>42401</v>
      </c>
      <c r="C430" s="18">
        <v>34.07</v>
      </c>
      <c r="D430" s="126">
        <f t="shared" si="15"/>
        <v>-1.474846646914596E-2</v>
      </c>
    </row>
    <row r="431" spans="2:4" x14ac:dyDescent="0.25">
      <c r="B431" s="12">
        <v>42394</v>
      </c>
      <c r="C431" s="18">
        <v>34.580002</v>
      </c>
      <c r="D431" s="126">
        <f t="shared" si="15"/>
        <v>-2.6463907657657715E-2</v>
      </c>
    </row>
    <row r="432" spans="2:4" x14ac:dyDescent="0.25">
      <c r="B432" s="12">
        <v>42387</v>
      </c>
      <c r="C432" s="18">
        <v>35.520000000000003</v>
      </c>
      <c r="D432" s="126">
        <f t="shared" si="15"/>
        <v>0.10757717492984109</v>
      </c>
    </row>
    <row r="433" spans="2:4" x14ac:dyDescent="0.25">
      <c r="B433" s="12">
        <v>42380</v>
      </c>
      <c r="C433" s="18">
        <v>32.07</v>
      </c>
      <c r="D433" s="126">
        <f t="shared" si="15"/>
        <v>-8.108887787456287E-2</v>
      </c>
    </row>
    <row r="434" spans="2:4" x14ac:dyDescent="0.25">
      <c r="B434" s="12">
        <v>42373</v>
      </c>
      <c r="C434" s="18">
        <v>34.900002000000001</v>
      </c>
      <c r="D434" s="126">
        <f t="shared" si="15"/>
        <v>-0.11868677367104918</v>
      </c>
    </row>
    <row r="435" spans="2:4" x14ac:dyDescent="0.25">
      <c r="B435" s="12">
        <v>42366</v>
      </c>
      <c r="C435" s="18">
        <v>39.599997999999999</v>
      </c>
      <c r="D435" s="126">
        <f t="shared" si="15"/>
        <v>-2.1980833688276857E-2</v>
      </c>
    </row>
    <row r="436" spans="2:4" x14ac:dyDescent="0.25">
      <c r="B436" s="12">
        <v>42359</v>
      </c>
      <c r="C436" s="18">
        <v>40.490001999999997</v>
      </c>
      <c r="D436" s="126">
        <f t="shared" si="15"/>
        <v>1.8616402515723163E-2</v>
      </c>
    </row>
    <row r="437" spans="2:4" x14ac:dyDescent="0.25">
      <c r="B437" s="12">
        <v>42352</v>
      </c>
      <c r="C437" s="18">
        <v>39.75</v>
      </c>
      <c r="D437" s="126">
        <f t="shared" si="15"/>
        <v>-3.4959918304440896E-2</v>
      </c>
    </row>
    <row r="438" spans="2:4" x14ac:dyDescent="0.25">
      <c r="B438" s="12">
        <v>42345</v>
      </c>
      <c r="C438" s="18">
        <v>41.189999</v>
      </c>
      <c r="D438" s="126">
        <f t="shared" si="15"/>
        <v>-6.471394040159073E-2</v>
      </c>
    </row>
    <row r="439" spans="2:4" x14ac:dyDescent="0.25">
      <c r="B439" s="12">
        <v>42338</v>
      </c>
      <c r="C439" s="18">
        <v>44.040000999999997</v>
      </c>
      <c r="D439" s="126">
        <f t="shared" si="15"/>
        <v>-1.813191337561082E-3</v>
      </c>
    </row>
    <row r="440" spans="2:4" x14ac:dyDescent="0.25">
      <c r="B440" s="12">
        <v>42331</v>
      </c>
      <c r="C440" s="18">
        <v>44.119999</v>
      </c>
      <c r="D440" s="126">
        <f t="shared" si="15"/>
        <v>3.738537590842661E-2</v>
      </c>
    </row>
    <row r="441" spans="2:4" x14ac:dyDescent="0.25">
      <c r="B441" s="12">
        <v>42324</v>
      </c>
      <c r="C441" s="18">
        <v>42.529998999999997</v>
      </c>
      <c r="D441" s="126">
        <f t="shared" si="15"/>
        <v>4.1126097484753821E-2</v>
      </c>
    </row>
    <row r="442" spans="2:4" x14ac:dyDescent="0.25">
      <c r="B442" s="12">
        <v>42317</v>
      </c>
      <c r="C442" s="18">
        <v>40.849997999999999</v>
      </c>
      <c r="D442" s="126">
        <f t="shared" si="15"/>
        <v>-0.18283664001453726</v>
      </c>
    </row>
    <row r="443" spans="2:4" x14ac:dyDescent="0.25">
      <c r="B443" s="12">
        <v>42310</v>
      </c>
      <c r="C443" s="18">
        <v>49.990001999999997</v>
      </c>
      <c r="D443" s="126">
        <f t="shared" si="15"/>
        <v>9.6993680052666065E-2</v>
      </c>
    </row>
    <row r="444" spans="2:4" x14ac:dyDescent="0.25">
      <c r="B444" s="12">
        <v>42303</v>
      </c>
      <c r="C444" s="18">
        <v>45.57</v>
      </c>
      <c r="D444" s="126">
        <f t="shared" si="15"/>
        <v>1.2216792536650312E-2</v>
      </c>
    </row>
    <row r="445" spans="2:4" x14ac:dyDescent="0.25">
      <c r="B445" s="12">
        <v>42296</v>
      </c>
      <c r="C445" s="18">
        <v>45.02</v>
      </c>
      <c r="D445" s="126">
        <f t="shared" si="15"/>
        <v>3.5895099767489613E-2</v>
      </c>
    </row>
    <row r="446" spans="2:4" x14ac:dyDescent="0.25">
      <c r="B446" s="12">
        <v>42289</v>
      </c>
      <c r="C446" s="18">
        <v>43.459999000000003</v>
      </c>
      <c r="D446" s="126">
        <f t="shared" si="15"/>
        <v>-1.3393870905649696E-2</v>
      </c>
    </row>
    <row r="447" spans="2:4" x14ac:dyDescent="0.25">
      <c r="B447" s="12">
        <v>42282</v>
      </c>
      <c r="C447" s="18">
        <v>44.049999</v>
      </c>
      <c r="D447" s="126">
        <f t="shared" si="15"/>
        <v>-0.12093398281911827</v>
      </c>
    </row>
    <row r="448" spans="2:4" x14ac:dyDescent="0.25">
      <c r="B448" s="12">
        <v>42275</v>
      </c>
      <c r="C448" s="18">
        <v>50.110000999999997</v>
      </c>
      <c r="D448" s="126">
        <f t="shared" si="15"/>
        <v>1.4372448810831884E-2</v>
      </c>
    </row>
    <row r="449" spans="2:4" x14ac:dyDescent="0.25">
      <c r="B449" s="12">
        <v>42268</v>
      </c>
      <c r="C449" s="18">
        <v>49.400002000000001</v>
      </c>
      <c r="D449" s="126">
        <f t="shared" si="15"/>
        <v>-7.0729834462001429E-2</v>
      </c>
    </row>
    <row r="450" spans="2:4" x14ac:dyDescent="0.25">
      <c r="B450" s="12">
        <v>42261</v>
      </c>
      <c r="C450" s="18">
        <v>53.16</v>
      </c>
      <c r="D450" s="126">
        <f t="shared" si="15"/>
        <v>-3.5908578815897485E-2</v>
      </c>
    </row>
    <row r="451" spans="2:4" x14ac:dyDescent="0.25">
      <c r="B451" s="12">
        <v>42254</v>
      </c>
      <c r="C451" s="18">
        <v>55.139999000000003</v>
      </c>
      <c r="D451" s="126">
        <f t="shared" ref="D451:D482" si="16">C451/C452-1</f>
        <v>0.15331516098483244</v>
      </c>
    </row>
    <row r="452" spans="2:4" x14ac:dyDescent="0.25">
      <c r="B452" s="12">
        <v>42247</v>
      </c>
      <c r="C452" s="18">
        <v>47.810001</v>
      </c>
      <c r="D452" s="126">
        <f t="shared" si="16"/>
        <v>-5.5325033484982522E-2</v>
      </c>
    </row>
    <row r="453" spans="2:4" x14ac:dyDescent="0.25">
      <c r="B453" s="12">
        <v>42240</v>
      </c>
      <c r="C453" s="18">
        <v>50.610000999999997</v>
      </c>
      <c r="D453" s="126">
        <f t="shared" si="16"/>
        <v>6.5473705263157767E-2</v>
      </c>
    </row>
    <row r="454" spans="2:4" x14ac:dyDescent="0.25">
      <c r="B454" s="12">
        <v>42233</v>
      </c>
      <c r="C454" s="18">
        <v>47.5</v>
      </c>
      <c r="D454" s="126">
        <f t="shared" si="16"/>
        <v>-0.14151458010068385</v>
      </c>
    </row>
    <row r="455" spans="2:4" x14ac:dyDescent="0.25">
      <c r="B455" s="12">
        <v>42226</v>
      </c>
      <c r="C455" s="18">
        <v>55.330002</v>
      </c>
      <c r="D455" s="126">
        <f t="shared" si="16"/>
        <v>-0.22766606962124614</v>
      </c>
    </row>
    <row r="456" spans="2:4" x14ac:dyDescent="0.25">
      <c r="B456" s="12">
        <v>42219</v>
      </c>
      <c r="C456" s="18">
        <v>71.639999000000003</v>
      </c>
      <c r="D456" s="126">
        <f t="shared" si="16"/>
        <v>5.2755265859429912E-2</v>
      </c>
    </row>
    <row r="457" spans="2:4" x14ac:dyDescent="0.25">
      <c r="B457" s="12">
        <v>42212</v>
      </c>
      <c r="C457" s="18">
        <v>68.050003000000004</v>
      </c>
      <c r="D457" s="126">
        <f t="shared" si="16"/>
        <v>0.20335993286224463</v>
      </c>
    </row>
    <row r="458" spans="2:4" x14ac:dyDescent="0.25">
      <c r="B458" s="12">
        <v>42205</v>
      </c>
      <c r="C458" s="18">
        <v>56.549999</v>
      </c>
      <c r="D458" s="126">
        <f t="shared" si="16"/>
        <v>6.8190405519274799E-2</v>
      </c>
    </row>
    <row r="459" spans="2:4" x14ac:dyDescent="0.25">
      <c r="B459" s="12">
        <v>42198</v>
      </c>
      <c r="C459" s="18">
        <v>52.939999</v>
      </c>
      <c r="D459" s="126">
        <f t="shared" si="16"/>
        <v>4.8316811881188082E-2</v>
      </c>
    </row>
    <row r="460" spans="2:4" x14ac:dyDescent="0.25">
      <c r="B460" s="12">
        <v>42191</v>
      </c>
      <c r="C460" s="18">
        <v>50.5</v>
      </c>
      <c r="D460" s="126">
        <f t="shared" si="16"/>
        <v>-0.12765588405002393</v>
      </c>
    </row>
    <row r="461" spans="2:4" x14ac:dyDescent="0.25">
      <c r="B461" s="12">
        <v>42184</v>
      </c>
      <c r="C461" s="18">
        <v>57.889999000000003</v>
      </c>
      <c r="D461" s="126">
        <f t="shared" si="16"/>
        <v>-7.2275686786035687E-2</v>
      </c>
    </row>
    <row r="462" spans="2:4" x14ac:dyDescent="0.25">
      <c r="B462" s="12">
        <v>42177</v>
      </c>
      <c r="C462" s="18">
        <v>62.400002000000001</v>
      </c>
      <c r="D462" s="126">
        <f t="shared" si="16"/>
        <v>-0.10008644938485434</v>
      </c>
    </row>
    <row r="463" spans="2:4" x14ac:dyDescent="0.25">
      <c r="B463" s="12">
        <v>42170</v>
      </c>
      <c r="C463" s="18">
        <v>69.339995999999999</v>
      </c>
      <c r="D463" s="126">
        <f t="shared" si="16"/>
        <v>-8.0249410800496301E-2</v>
      </c>
    </row>
    <row r="464" spans="2:4" x14ac:dyDescent="0.25">
      <c r="B464" s="12">
        <v>42163</v>
      </c>
      <c r="C464" s="18">
        <v>75.389999000000003</v>
      </c>
      <c r="D464" s="126">
        <f t="shared" si="16"/>
        <v>-2.1036267470814995E-2</v>
      </c>
    </row>
    <row r="465" spans="2:4" x14ac:dyDescent="0.25">
      <c r="B465" s="12">
        <v>42156</v>
      </c>
      <c r="C465" s="18">
        <v>77.010002</v>
      </c>
      <c r="D465" s="126">
        <f t="shared" si="16"/>
        <v>-7.0039803647863774E-2</v>
      </c>
    </row>
    <row r="466" spans="2:4" x14ac:dyDescent="0.25">
      <c r="B466" s="12">
        <v>42149</v>
      </c>
      <c r="C466" s="18">
        <v>82.809997999999993</v>
      </c>
      <c r="D466" s="126">
        <f t="shared" si="16"/>
        <v>-0.10822747029692581</v>
      </c>
    </row>
    <row r="467" spans="2:4" x14ac:dyDescent="0.25">
      <c r="B467" s="12">
        <v>42142</v>
      </c>
      <c r="C467" s="18">
        <v>92.860000999999997</v>
      </c>
      <c r="D467" s="126">
        <f t="shared" si="16"/>
        <v>0.33823320850602689</v>
      </c>
    </row>
    <row r="468" spans="2:4" x14ac:dyDescent="0.25">
      <c r="B468" s="12">
        <v>42135</v>
      </c>
      <c r="C468" s="18">
        <v>69.389999000000003</v>
      </c>
      <c r="D468" s="126">
        <f t="shared" si="16"/>
        <v>2.0441161764706006E-2</v>
      </c>
    </row>
    <row r="469" spans="2:4" x14ac:dyDescent="0.25">
      <c r="B469" s="12">
        <v>42128</v>
      </c>
      <c r="C469" s="18">
        <v>68</v>
      </c>
      <c r="D469" s="126">
        <f t="shared" si="16"/>
        <v>-3.8869257950530089E-2</v>
      </c>
    </row>
    <row r="470" spans="2:4" x14ac:dyDescent="0.25">
      <c r="B470" s="12">
        <v>42121</v>
      </c>
      <c r="C470" s="18">
        <v>70.75</v>
      </c>
      <c r="D470" s="126">
        <f t="shared" si="16"/>
        <v>3.2394586785270407E-2</v>
      </c>
    </row>
    <row r="471" spans="2:4" x14ac:dyDescent="0.25">
      <c r="B471" s="12">
        <v>42114</v>
      </c>
      <c r="C471" s="18">
        <v>68.529999000000004</v>
      </c>
      <c r="D471" s="126">
        <f t="shared" si="16"/>
        <v>0.11123725024281672</v>
      </c>
    </row>
    <row r="472" spans="2:4" x14ac:dyDescent="0.25">
      <c r="B472" s="12">
        <v>42107</v>
      </c>
      <c r="C472" s="18">
        <v>61.669998</v>
      </c>
      <c r="D472" s="126">
        <f t="shared" si="16"/>
        <v>0.23860206389632332</v>
      </c>
    </row>
    <row r="473" spans="2:4" x14ac:dyDescent="0.25">
      <c r="B473" s="12">
        <v>42100</v>
      </c>
      <c r="C473" s="18">
        <v>49.790000999999997</v>
      </c>
      <c r="D473" s="126">
        <f t="shared" si="16"/>
        <v>3.2130989546808042E-2</v>
      </c>
    </row>
    <row r="474" spans="2:4" x14ac:dyDescent="0.25">
      <c r="B474" s="12">
        <v>42093</v>
      </c>
      <c r="C474" s="18">
        <v>48.240001999999997</v>
      </c>
      <c r="D474" s="126">
        <f t="shared" si="16"/>
        <v>-1.5510163265306187E-2</v>
      </c>
    </row>
    <row r="475" spans="2:4" x14ac:dyDescent="0.25">
      <c r="B475" s="12">
        <v>42086</v>
      </c>
      <c r="C475" s="18">
        <v>49</v>
      </c>
      <c r="D475" s="126">
        <f t="shared" si="16"/>
        <v>4.433082030395652E-2</v>
      </c>
    </row>
    <row r="476" spans="2:4" x14ac:dyDescent="0.25">
      <c r="B476" s="12">
        <v>42079</v>
      </c>
      <c r="C476" s="18">
        <v>46.919998</v>
      </c>
      <c r="D476" s="126">
        <f t="shared" si="16"/>
        <v>-3.2577360824742274E-2</v>
      </c>
    </row>
    <row r="477" spans="2:4" x14ac:dyDescent="0.25">
      <c r="B477" s="12">
        <v>42072</v>
      </c>
      <c r="C477" s="18">
        <v>48.5</v>
      </c>
      <c r="D477" s="126">
        <f t="shared" si="16"/>
        <v>0.10553911797444981</v>
      </c>
    </row>
    <row r="478" spans="2:4" x14ac:dyDescent="0.25">
      <c r="B478" s="12">
        <v>42065</v>
      </c>
      <c r="C478" s="18">
        <v>43.869999</v>
      </c>
      <c r="D478" s="126">
        <f t="shared" si="16"/>
        <v>1.6685908844222164E-2</v>
      </c>
    </row>
    <row r="479" spans="2:4" x14ac:dyDescent="0.25">
      <c r="B479" s="12">
        <v>42058</v>
      </c>
      <c r="C479" s="18">
        <v>43.150002000000001</v>
      </c>
      <c r="D479" s="126">
        <f t="shared" si="16"/>
        <v>-3.8332895884397034E-2</v>
      </c>
    </row>
    <row r="480" spans="2:4" x14ac:dyDescent="0.25">
      <c r="B480" s="12">
        <v>42051</v>
      </c>
      <c r="C480" s="18">
        <v>44.869999</v>
      </c>
      <c r="D480" s="126">
        <f t="shared" si="16"/>
        <v>0.10272794550818243</v>
      </c>
    </row>
    <row r="481" spans="2:4" x14ac:dyDescent="0.25">
      <c r="B481" s="12">
        <v>42044</v>
      </c>
      <c r="C481" s="18">
        <v>40.689999</v>
      </c>
      <c r="D481" s="126">
        <f t="shared" si="16"/>
        <v>-3.0266921598353758E-2</v>
      </c>
    </row>
    <row r="482" spans="2:4" x14ac:dyDescent="0.25">
      <c r="B482" s="12">
        <v>42037</v>
      </c>
      <c r="C482" s="18">
        <v>41.959999000000003</v>
      </c>
      <c r="D482" s="126">
        <f t="shared" si="16"/>
        <v>-8.5838841575649583E-2</v>
      </c>
    </row>
    <row r="483" spans="2:4" x14ac:dyDescent="0.25">
      <c r="B483" s="12">
        <v>42030</v>
      </c>
      <c r="C483" s="18">
        <v>45.900002000000001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2024-04-18T23:20:48Z</dcterms:modified>
</cp:coreProperties>
</file>