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9E921688-F248-4B5B-8EA5-C9AC3C7BD15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  <sheet name="Model-graph" sheetId="3" r:id="rId3"/>
    <sheet name="Revenue by Segment" sheetId="6" r:id="rId4"/>
    <sheet name="Catalysts" sheetId="4" r:id="rId5"/>
    <sheet name="DoR" sheetId="5" r:id="rId6"/>
  </sheets>
  <definedNames>
    <definedName name="_xlchart.v1.0" hidden="1">Model!$A$23</definedName>
    <definedName name="_xlchart.v1.1" hidden="1">Model!$A$24</definedName>
    <definedName name="_xlchart.v1.2" hidden="1">Model!$B$23:$Q$23</definedName>
    <definedName name="_xlchart.v1.3" hidden="1">Model!$B$24:$Q$24</definedName>
    <definedName name="_xlchart.v1.4" hidden="1">Model!$B$2:$Q$2</definedName>
    <definedName name="_xlchart.v1.5" hidden="1">Model!$A$6</definedName>
    <definedName name="_xlchart.v1.6" hidden="1">Model!$A$7</definedName>
    <definedName name="_xlchart.v1.7" hidden="1">Model!$B$2:$Q$2</definedName>
    <definedName name="_xlchart.v1.8" hidden="1">Model!$B$6:$Q$6</definedName>
    <definedName name="_xlchart.v1.9" hidden="1">Model!$B$7:$Q$7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2" l="1"/>
  <c r="Q36" i="2"/>
  <c r="Q35" i="2"/>
  <c r="Q34" i="2"/>
  <c r="X32" i="2"/>
  <c r="W32" i="2"/>
  <c r="V32" i="2"/>
  <c r="X31" i="2"/>
  <c r="W31" i="2"/>
  <c r="V31" i="2"/>
  <c r="X30" i="2"/>
  <c r="W30" i="2"/>
  <c r="V30" i="2"/>
  <c r="U32" i="2"/>
  <c r="U31" i="2"/>
  <c r="U30" i="2"/>
  <c r="O32" i="2"/>
  <c r="P32" i="2"/>
  <c r="N32" i="2"/>
  <c r="L32" i="2"/>
  <c r="K32" i="2"/>
  <c r="J32" i="2"/>
  <c r="I32" i="2"/>
  <c r="H32" i="2"/>
  <c r="G32" i="2"/>
  <c r="F32" i="2"/>
  <c r="E32" i="2"/>
  <c r="D32" i="2"/>
  <c r="C32" i="2"/>
  <c r="B32" i="2"/>
  <c r="P31" i="2"/>
  <c r="O31" i="2"/>
  <c r="N31" i="2"/>
  <c r="L31" i="2"/>
  <c r="K31" i="2"/>
  <c r="J31" i="2"/>
  <c r="I31" i="2"/>
  <c r="H31" i="2"/>
  <c r="G31" i="2"/>
  <c r="F31" i="2"/>
  <c r="E31" i="2"/>
  <c r="D31" i="2"/>
  <c r="C31" i="2"/>
  <c r="B31" i="2"/>
  <c r="P30" i="2"/>
  <c r="O30" i="2"/>
  <c r="N30" i="2"/>
  <c r="L30" i="2"/>
  <c r="K30" i="2"/>
  <c r="J30" i="2"/>
  <c r="I30" i="2"/>
  <c r="H30" i="2"/>
  <c r="G30" i="2"/>
  <c r="F30" i="2"/>
  <c r="E30" i="2"/>
  <c r="D30" i="2"/>
  <c r="C30" i="2"/>
  <c r="B30" i="2"/>
  <c r="Q20" i="2"/>
  <c r="Q66" i="2"/>
  <c r="Q65" i="2"/>
  <c r="Q64" i="2"/>
  <c r="Q63" i="2"/>
  <c r="Q61" i="2"/>
  <c r="Q60" i="2"/>
  <c r="Q59" i="2"/>
  <c r="Q58" i="2"/>
  <c r="Q57" i="2"/>
  <c r="Q56" i="2"/>
  <c r="Q55" i="2"/>
  <c r="Q53" i="2"/>
  <c r="Q52" i="2"/>
  <c r="Q51" i="2"/>
  <c r="Q50" i="2"/>
  <c r="Q49" i="2"/>
  <c r="Q47" i="2"/>
  <c r="Q46" i="2"/>
  <c r="Q45" i="2"/>
  <c r="Q44" i="2"/>
  <c r="Q43" i="2"/>
  <c r="Q42" i="2"/>
  <c r="Q41" i="2"/>
  <c r="M6" i="2"/>
  <c r="M30" i="2" s="1"/>
  <c r="Q6" i="2"/>
  <c r="Q12" i="2" s="1"/>
  <c r="Q14" i="2" s="1"/>
  <c r="Q16" i="2" s="1"/>
  <c r="O40" i="2"/>
  <c r="N40" i="2"/>
  <c r="M40" i="2"/>
  <c r="L40" i="2"/>
  <c r="K40" i="2"/>
  <c r="J40" i="2"/>
  <c r="I40" i="2"/>
  <c r="H40" i="2"/>
  <c r="G40" i="2"/>
  <c r="F40" i="2"/>
  <c r="E40" i="2"/>
  <c r="D65" i="2"/>
  <c r="D40" i="2"/>
  <c r="L65" i="2"/>
  <c r="N65" i="2"/>
  <c r="X59" i="2"/>
  <c r="P59" i="2" s="1"/>
  <c r="X57" i="2"/>
  <c r="P57" i="2" s="1"/>
  <c r="H20" i="2"/>
  <c r="L20" i="2"/>
  <c r="M20" i="2"/>
  <c r="N20" i="2"/>
  <c r="O20" i="2"/>
  <c r="P20" i="2"/>
  <c r="Z27" i="2"/>
  <c r="R27" i="2"/>
  <c r="P27" i="2"/>
  <c r="C40" i="2"/>
  <c r="P65" i="2"/>
  <c r="P64" i="2"/>
  <c r="P63" i="2"/>
  <c r="P61" i="2"/>
  <c r="P60" i="2"/>
  <c r="P58" i="2"/>
  <c r="P56" i="2"/>
  <c r="P55" i="2"/>
  <c r="P53" i="2"/>
  <c r="P52" i="2"/>
  <c r="P51" i="2"/>
  <c r="P50" i="2"/>
  <c r="P49" i="2"/>
  <c r="P47" i="2"/>
  <c r="P46" i="2"/>
  <c r="P45" i="2"/>
  <c r="P44" i="2"/>
  <c r="P43" i="2"/>
  <c r="P41" i="2"/>
  <c r="X66" i="2"/>
  <c r="P66" i="2" s="1"/>
  <c r="X42" i="2"/>
  <c r="P42" i="2" s="1"/>
  <c r="D153" i="5"/>
  <c r="D154" i="5"/>
  <c r="D4" i="5"/>
  <c r="D152" i="5"/>
  <c r="D3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2" i="5"/>
  <c r="J34" i="5" s="1"/>
  <c r="I65" i="5"/>
  <c r="I64" i="5"/>
  <c r="Q32" i="2" l="1"/>
  <c r="Q31" i="2"/>
  <c r="Q30" i="2"/>
  <c r="M32" i="2"/>
  <c r="M31" i="2"/>
  <c r="Q48" i="2"/>
  <c r="Q54" i="2" s="1"/>
  <c r="Q27" i="2"/>
  <c r="Q62" i="2"/>
  <c r="Q67" i="2" s="1"/>
  <c r="Q25" i="2"/>
  <c r="Q23" i="2"/>
  <c r="Q40" i="2"/>
  <c r="Q26" i="2"/>
  <c r="Q18" i="2"/>
  <c r="Q21" i="2" s="1"/>
  <c r="Q28" i="2" s="1"/>
  <c r="P40" i="2"/>
  <c r="X48" i="2"/>
  <c r="X54" i="2" s="1"/>
  <c r="X40" i="2"/>
  <c r="P62" i="2"/>
  <c r="P67" i="2" s="1"/>
  <c r="P48" i="2"/>
  <c r="P54" i="2" s="1"/>
  <c r="X62" i="2"/>
  <c r="X67" i="2" s="1"/>
  <c r="J36" i="5"/>
  <c r="I22" i="5"/>
  <c r="I26" i="5"/>
  <c r="M58" i="5"/>
  <c r="M57" i="5"/>
  <c r="K55" i="5"/>
  <c r="I19" i="5"/>
  <c r="I24" i="5"/>
  <c r="I28" i="5"/>
  <c r="M45" i="5"/>
  <c r="M47" i="5"/>
  <c r="M49" i="5"/>
  <c r="M51" i="5"/>
  <c r="M53" i="5"/>
  <c r="M55" i="5"/>
  <c r="I44" i="5"/>
  <c r="I50" i="5"/>
  <c r="I56" i="5"/>
  <c r="I21" i="5"/>
  <c r="I25" i="5"/>
  <c r="I29" i="5"/>
  <c r="I34" i="5"/>
  <c r="I58" i="5"/>
  <c r="K46" i="5"/>
  <c r="K50" i="5"/>
  <c r="K54" i="5"/>
  <c r="M44" i="5"/>
  <c r="M46" i="5"/>
  <c r="M50" i="5"/>
  <c r="M52" i="5"/>
  <c r="M54" i="5"/>
  <c r="M56" i="5"/>
  <c r="I30" i="5"/>
  <c r="K44" i="5"/>
  <c r="K48" i="5"/>
  <c r="K52" i="5"/>
  <c r="K56" i="5"/>
  <c r="M48" i="5"/>
  <c r="I23" i="5"/>
  <c r="I31" i="5"/>
  <c r="K34" i="5" s="1"/>
  <c r="I48" i="5"/>
  <c r="I54" i="5"/>
  <c r="I35" i="5"/>
  <c r="I45" i="5"/>
  <c r="I47" i="5"/>
  <c r="I49" i="5"/>
  <c r="I51" i="5"/>
  <c r="I53" i="5"/>
  <c r="I55" i="5"/>
  <c r="I57" i="5"/>
  <c r="I46" i="5"/>
  <c r="I52" i="5"/>
  <c r="I20" i="5"/>
  <c r="J35" i="5"/>
  <c r="K45" i="5"/>
  <c r="K47" i="5"/>
  <c r="K49" i="5"/>
  <c r="K51" i="5"/>
  <c r="K53" i="5"/>
  <c r="Q68" i="2" l="1"/>
  <c r="X68" i="2"/>
  <c r="P68" i="2"/>
  <c r="I27" i="5"/>
  <c r="K35" i="5"/>
  <c r="L35" i="5" s="1"/>
  <c r="L34" i="5"/>
  <c r="J40" i="5"/>
  <c r="J39" i="5"/>
  <c r="H10" i="5"/>
  <c r="I40" i="5"/>
  <c r="H14" i="5"/>
  <c r="H6" i="5"/>
  <c r="H9" i="5"/>
  <c r="H7" i="5"/>
  <c r="H8" i="5"/>
  <c r="J41" i="5"/>
  <c r="I41" i="5"/>
  <c r="I39" i="5"/>
  <c r="K39" i="5" s="1"/>
  <c r="L39" i="5" s="1"/>
  <c r="H11" i="5"/>
  <c r="H12" i="5"/>
  <c r="H4" i="5"/>
  <c r="H13" i="5"/>
  <c r="H5" i="5"/>
  <c r="K36" i="5"/>
  <c r="L36" i="5" s="1"/>
  <c r="K40" i="5" l="1"/>
  <c r="L40" i="5" s="1"/>
  <c r="K41" i="5"/>
  <c r="L41" i="5" s="1"/>
  <c r="J7" i="5"/>
  <c r="L7" i="5" s="1"/>
  <c r="I7" i="5"/>
  <c r="K8" i="5"/>
  <c r="J4" i="5"/>
  <c r="L4" i="5" s="1"/>
  <c r="M4" i="5" s="1"/>
  <c r="K4" i="5"/>
  <c r="I4" i="5"/>
  <c r="K5" i="5"/>
  <c r="K10" i="5"/>
  <c r="J9" i="5"/>
  <c r="L9" i="5" s="1"/>
  <c r="I9" i="5"/>
  <c r="K14" i="5"/>
  <c r="J13" i="5"/>
  <c r="L13" i="5" s="1"/>
  <c r="I13" i="5"/>
  <c r="J12" i="5"/>
  <c r="L12" i="5" s="1"/>
  <c r="I12" i="5"/>
  <c r="K13" i="5"/>
  <c r="K7" i="5"/>
  <c r="J6" i="5"/>
  <c r="L6" i="5" s="1"/>
  <c r="I6" i="5"/>
  <c r="K12" i="5"/>
  <c r="I11" i="5"/>
  <c r="J11" i="5"/>
  <c r="L11" i="5" s="1"/>
  <c r="K15" i="5"/>
  <c r="J15" i="5"/>
  <c r="L15" i="5" s="1"/>
  <c r="J14" i="5"/>
  <c r="L14" i="5" s="1"/>
  <c r="I14" i="5"/>
  <c r="I10" i="5"/>
  <c r="K11" i="5"/>
  <c r="J10" i="5"/>
  <c r="L10" i="5" s="1"/>
  <c r="K6" i="5"/>
  <c r="J5" i="5"/>
  <c r="L5" i="5" s="1"/>
  <c r="I5" i="5"/>
  <c r="K9" i="5"/>
  <c r="J8" i="5"/>
  <c r="L8" i="5" s="1"/>
  <c r="I8" i="5"/>
  <c r="M5" i="5" l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U25" i="2" l="1"/>
  <c r="W17" i="2"/>
  <c r="X20" i="2"/>
  <c r="X19" i="2"/>
  <c r="X17" i="2"/>
  <c r="W20" i="2"/>
  <c r="W19" i="2"/>
  <c r="X15" i="2"/>
  <c r="X13" i="2"/>
  <c r="X11" i="2"/>
  <c r="X10" i="2"/>
  <c r="X9" i="2"/>
  <c r="X8" i="2"/>
  <c r="X6" i="2"/>
  <c r="P25" i="2"/>
  <c r="P12" i="2"/>
  <c r="P14" i="2" s="1"/>
  <c r="O27" i="2"/>
  <c r="W65" i="2"/>
  <c r="W66" i="2"/>
  <c r="W6" i="2"/>
  <c r="W64" i="2"/>
  <c r="W63" i="2"/>
  <c r="W56" i="2"/>
  <c r="W57" i="2"/>
  <c r="W58" i="2"/>
  <c r="W59" i="2"/>
  <c r="W60" i="2"/>
  <c r="W61" i="2"/>
  <c r="W55" i="2"/>
  <c r="W50" i="2"/>
  <c r="W51" i="2"/>
  <c r="W52" i="2"/>
  <c r="W53" i="2"/>
  <c r="W49" i="2"/>
  <c r="W43" i="2"/>
  <c r="W44" i="2"/>
  <c r="W45" i="2"/>
  <c r="W46" i="2"/>
  <c r="W47" i="2"/>
  <c r="W42" i="2"/>
  <c r="W41" i="2"/>
  <c r="W15" i="2"/>
  <c r="W13" i="2"/>
  <c r="W11" i="2"/>
  <c r="W10" i="2"/>
  <c r="W9" i="2"/>
  <c r="W8" i="2"/>
  <c r="V8" i="2"/>
  <c r="V15" i="2"/>
  <c r="V13" i="2"/>
  <c r="V9" i="2"/>
  <c r="V10" i="2"/>
  <c r="V11" i="2"/>
  <c r="V6" i="2"/>
  <c r="V20" i="2"/>
  <c r="V64" i="2"/>
  <c r="V65" i="2"/>
  <c r="V66" i="2"/>
  <c r="V63" i="2"/>
  <c r="V56" i="2"/>
  <c r="V57" i="2"/>
  <c r="V58" i="2"/>
  <c r="V59" i="2"/>
  <c r="V60" i="2"/>
  <c r="V61" i="2"/>
  <c r="V55" i="2"/>
  <c r="V50" i="2"/>
  <c r="V51" i="2"/>
  <c r="V52" i="2"/>
  <c r="V53" i="2"/>
  <c r="V49" i="2"/>
  <c r="V42" i="2"/>
  <c r="V43" i="2"/>
  <c r="V44" i="2"/>
  <c r="V45" i="2"/>
  <c r="V46" i="2"/>
  <c r="V47" i="2"/>
  <c r="V41" i="2"/>
  <c r="U64" i="2"/>
  <c r="U65" i="2"/>
  <c r="U66" i="2"/>
  <c r="U63" i="2"/>
  <c r="U56" i="2"/>
  <c r="U57" i="2"/>
  <c r="U58" i="2"/>
  <c r="U59" i="2"/>
  <c r="U60" i="2"/>
  <c r="U61" i="2"/>
  <c r="U55" i="2"/>
  <c r="U50" i="2"/>
  <c r="U51" i="2"/>
  <c r="U52" i="2"/>
  <c r="U53" i="2"/>
  <c r="U49" i="2"/>
  <c r="U42" i="2"/>
  <c r="U43" i="2"/>
  <c r="U44" i="2"/>
  <c r="U45" i="2"/>
  <c r="U46" i="2"/>
  <c r="U47" i="2"/>
  <c r="U41" i="2"/>
  <c r="B40" i="2"/>
  <c r="G25" i="2"/>
  <c r="H25" i="2"/>
  <c r="I25" i="2"/>
  <c r="J25" i="2"/>
  <c r="K25" i="2"/>
  <c r="L25" i="2"/>
  <c r="M25" i="2"/>
  <c r="N25" i="2"/>
  <c r="O25" i="2"/>
  <c r="B25" i="2"/>
  <c r="C25" i="2"/>
  <c r="D25" i="2"/>
  <c r="E25" i="2"/>
  <c r="F25" i="2"/>
  <c r="F12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Y16" i="2"/>
  <c r="C17" i="1"/>
  <c r="C16" i="1"/>
  <c r="U40" i="2" l="1"/>
  <c r="V40" i="2"/>
  <c r="W40" i="2"/>
  <c r="W25" i="2"/>
  <c r="P16" i="2"/>
  <c r="P23" i="2" s="1"/>
  <c r="X25" i="2"/>
  <c r="V25" i="2"/>
  <c r="X27" i="2"/>
  <c r="X12" i="2"/>
  <c r="X14" i="2" s="1"/>
  <c r="X16" i="2" s="1"/>
  <c r="W12" i="2"/>
  <c r="W14" i="2" s="1"/>
  <c r="W16" i="2" s="1"/>
  <c r="C9" i="1"/>
  <c r="C10" i="1"/>
  <c r="N62" i="2"/>
  <c r="M62" i="2"/>
  <c r="V27" i="2"/>
  <c r="W27" i="2"/>
  <c r="K62" i="2"/>
  <c r="F27" i="2"/>
  <c r="G27" i="2"/>
  <c r="I27" i="2"/>
  <c r="J27" i="2"/>
  <c r="K27" i="2"/>
  <c r="M27" i="2"/>
  <c r="N27" i="2"/>
  <c r="U62" i="2"/>
  <c r="U67" i="2" s="1"/>
  <c r="V62" i="2"/>
  <c r="W62" i="2"/>
  <c r="U48" i="2"/>
  <c r="U54" i="2" s="1"/>
  <c r="V48" i="2"/>
  <c r="V54" i="2" s="1"/>
  <c r="W48" i="2"/>
  <c r="W54" i="2" s="1"/>
  <c r="B54" i="2"/>
  <c r="B62" i="2"/>
  <c r="B67" i="2" s="1"/>
  <c r="C62" i="2"/>
  <c r="C67" i="2" s="1"/>
  <c r="E62" i="2"/>
  <c r="F62" i="2"/>
  <c r="F67" i="2" s="1"/>
  <c r="G62" i="2"/>
  <c r="G67" i="2" s="1"/>
  <c r="I62" i="2"/>
  <c r="C54" i="2"/>
  <c r="E54" i="2"/>
  <c r="F54" i="2"/>
  <c r="G54" i="2"/>
  <c r="I54" i="2"/>
  <c r="J54" i="2"/>
  <c r="K54" i="2"/>
  <c r="M54" i="2"/>
  <c r="N54" i="2"/>
  <c r="O54" i="2"/>
  <c r="V12" i="2"/>
  <c r="V14" i="2" s="1"/>
  <c r="V16" i="2" s="1"/>
  <c r="U12" i="2"/>
  <c r="U14" i="2" s="1"/>
  <c r="U16" i="2" s="1"/>
  <c r="C12" i="2"/>
  <c r="E12" i="2"/>
  <c r="E14" i="2" s="1"/>
  <c r="E16" i="2" s="1"/>
  <c r="G12" i="2"/>
  <c r="I12" i="2"/>
  <c r="I14" i="2" s="1"/>
  <c r="I16" i="2" s="1"/>
  <c r="J12" i="2"/>
  <c r="J14" i="2" s="1"/>
  <c r="J16" i="2" s="1"/>
  <c r="K12" i="2"/>
  <c r="K14" i="2" s="1"/>
  <c r="K16" i="2" s="1"/>
  <c r="M12" i="2"/>
  <c r="M14" i="2" s="1"/>
  <c r="M16" i="2" s="1"/>
  <c r="Q29" i="2" s="1"/>
  <c r="N12" i="2"/>
  <c r="N14" i="2" s="1"/>
  <c r="N16" i="2" s="1"/>
  <c r="O12" i="2"/>
  <c r="O14" i="2" s="1"/>
  <c r="O16" i="2" s="1"/>
  <c r="O18" i="2" s="1"/>
  <c r="B12" i="2"/>
  <c r="B14" i="2" s="1"/>
  <c r="B16" i="2" s="1"/>
  <c r="B22" i="2" s="1"/>
  <c r="C68" i="2" l="1"/>
  <c r="U68" i="2"/>
  <c r="G68" i="2"/>
  <c r="F68" i="2"/>
  <c r="W23" i="2"/>
  <c r="C13" i="1" s="1"/>
  <c r="P18" i="2"/>
  <c r="P21" i="2" s="1"/>
  <c r="P28" i="2" s="1"/>
  <c r="P26" i="2"/>
  <c r="X23" i="2"/>
  <c r="X18" i="2"/>
  <c r="X21" i="2" s="1"/>
  <c r="X28" i="2" s="1"/>
  <c r="E18" i="2"/>
  <c r="E21" i="2" s="1"/>
  <c r="E28" i="2" s="1"/>
  <c r="E23" i="2"/>
  <c r="U18" i="2"/>
  <c r="U21" i="2" s="1"/>
  <c r="U23" i="2"/>
  <c r="N18" i="2"/>
  <c r="N21" i="2" s="1"/>
  <c r="N28" i="2" s="1"/>
  <c r="N23" i="2"/>
  <c r="M23" i="2"/>
  <c r="M18" i="2"/>
  <c r="M21" i="2" s="1"/>
  <c r="M28" i="2" s="1"/>
  <c r="X26" i="2"/>
  <c r="X29" i="2"/>
  <c r="K23" i="2"/>
  <c r="K18" i="2"/>
  <c r="K21" i="2" s="1"/>
  <c r="K28" i="2" s="1"/>
  <c r="O23" i="2"/>
  <c r="O21" i="2"/>
  <c r="O28" i="2" s="1"/>
  <c r="W18" i="2"/>
  <c r="W21" i="2" s="1"/>
  <c r="W28" i="2" s="1"/>
  <c r="J18" i="2"/>
  <c r="J21" i="2" s="1"/>
  <c r="J28" i="2" s="1"/>
  <c r="J23" i="2"/>
  <c r="I18" i="2"/>
  <c r="I21" i="2" s="1"/>
  <c r="I28" i="2" s="1"/>
  <c r="I23" i="2"/>
  <c r="V18" i="2"/>
  <c r="V21" i="2" s="1"/>
  <c r="V28" i="2" s="1"/>
  <c r="V23" i="2"/>
  <c r="B18" i="2"/>
  <c r="B21" i="2" s="1"/>
  <c r="B28" i="2" s="1"/>
  <c r="G14" i="2"/>
  <c r="G16" i="2" s="1"/>
  <c r="F14" i="2"/>
  <c r="F16" i="2" s="1"/>
  <c r="F18" i="2" s="1"/>
  <c r="F21" i="2" s="1"/>
  <c r="F28" i="2" s="1"/>
  <c r="C14" i="2"/>
  <c r="C16" i="2" s="1"/>
  <c r="O62" i="2"/>
  <c r="O67" i="2" s="1"/>
  <c r="O68" i="2" s="1"/>
  <c r="W67" i="2"/>
  <c r="W68" i="2" s="1"/>
  <c r="J62" i="2"/>
  <c r="J67" i="2" s="1"/>
  <c r="J68" i="2" s="1"/>
  <c r="V67" i="2"/>
  <c r="V68" i="2" s="1"/>
  <c r="D54" i="2"/>
  <c r="C11" i="1"/>
  <c r="N67" i="2"/>
  <c r="N68" i="2" s="1"/>
  <c r="M67" i="2"/>
  <c r="M68" i="2" s="1"/>
  <c r="H12" i="2"/>
  <c r="H27" i="2"/>
  <c r="L27" i="2"/>
  <c r="L12" i="2"/>
  <c r="L14" i="2" s="1"/>
  <c r="L16" i="2" s="1"/>
  <c r="L62" i="2"/>
  <c r="L67" i="2" s="1"/>
  <c r="L54" i="2"/>
  <c r="K67" i="2"/>
  <c r="K68" i="2" s="1"/>
  <c r="I67" i="2"/>
  <c r="I68" i="2" s="1"/>
  <c r="H62" i="2"/>
  <c r="H67" i="2" s="1"/>
  <c r="D62" i="2"/>
  <c r="D67" i="2" s="1"/>
  <c r="H54" i="2"/>
  <c r="E67" i="2"/>
  <c r="E68" i="2" s="1"/>
  <c r="D12" i="2"/>
  <c r="C8" i="1"/>
  <c r="C12" i="1" s="1"/>
  <c r="D68" i="2" l="1"/>
  <c r="H68" i="2"/>
  <c r="L68" i="2"/>
  <c r="C18" i="2"/>
  <c r="C21" i="2" s="1"/>
  <c r="C28" i="2" s="1"/>
  <c r="C22" i="2"/>
  <c r="L18" i="2"/>
  <c r="L21" i="2" s="1"/>
  <c r="L28" i="2" s="1"/>
  <c r="L23" i="2"/>
  <c r="P29" i="2"/>
  <c r="G29" i="2"/>
  <c r="G18" i="2"/>
  <c r="G21" i="2" s="1"/>
  <c r="G28" i="2" s="1"/>
  <c r="G22" i="2"/>
  <c r="F22" i="2"/>
  <c r="F26" i="2"/>
  <c r="J29" i="2"/>
  <c r="H14" i="2"/>
  <c r="H16" i="2" s="1"/>
  <c r="H18" i="2" s="1"/>
  <c r="H21" i="2" s="1"/>
  <c r="H28" i="2" s="1"/>
  <c r="D14" i="2"/>
  <c r="J26" i="2"/>
  <c r="F29" i="2"/>
  <c r="N29" i="2"/>
  <c r="O26" i="2"/>
  <c r="I26" i="2"/>
  <c r="I29" i="2"/>
  <c r="W26" i="2"/>
  <c r="N26" i="2"/>
  <c r="M26" i="2"/>
  <c r="M29" i="2"/>
  <c r="V29" i="2"/>
  <c r="W29" i="2"/>
  <c r="V26" i="2"/>
  <c r="G26" i="2"/>
  <c r="E26" i="2"/>
  <c r="U26" i="2"/>
  <c r="C26" i="2"/>
  <c r="B26" i="2"/>
  <c r="D16" i="2" l="1"/>
  <c r="D23" i="2" s="1"/>
  <c r="H26" i="2"/>
  <c r="L26" i="2"/>
  <c r="L29" i="2"/>
  <c r="K26" i="2"/>
  <c r="O29" i="2"/>
  <c r="K29" i="2"/>
  <c r="D26" i="2" l="1"/>
  <c r="D18" i="2"/>
  <c r="D21" i="2" s="1"/>
  <c r="D28" i="2" s="1"/>
  <c r="H29" i="2"/>
  <c r="H23" i="2" l="1"/>
</calcChain>
</file>

<file path=xl/sharedStrings.xml><?xml version="1.0" encoding="utf-8"?>
<sst xmlns="http://schemas.openxmlformats.org/spreadsheetml/2006/main" count="203" uniqueCount="186">
  <si>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</si>
  <si>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</si>
  <si>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</si>
  <si>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</si>
  <si>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</si>
  <si>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</si>
  <si>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</si>
  <si>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</si>
  <si>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</si>
  <si>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</si>
  <si>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</si>
  <si>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</si>
  <si>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</si>
  <si>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</si>
  <si>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</si>
  <si>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</si>
  <si>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</si>
  <si>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</si>
  <si>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</si>
  <si>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</si>
  <si>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</si>
  <si>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</si>
  <si>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</si>
  <si>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</si>
  <si>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</si>
  <si>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</si>
  <si>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</si>
  <si>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</si>
  <si>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Intangible Assets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</si>
  <si>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</si>
  <si>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</si>
  <si>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</si>
  <si>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</si>
  <si>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</si>
  <si>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</si>
  <si>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</si>
  <si>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</si>
  <si>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Q420</t>
  </si>
  <si>
    <t>Q320</t>
  </si>
  <si>
    <t>Q220</t>
  </si>
  <si>
    <t>Net Income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</si>
  <si>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</si>
  <si>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</si>
  <si>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</si>
  <si>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</si>
  <si>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</si>
  <si>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</si>
  <si>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</si>
  <si>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</si>
  <si>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</si>
  <si>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</si>
  <si>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</si>
  <si>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</si>
  <si>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</si>
  <si>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</si>
  <si>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</si>
  <si>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</si>
  <si>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</si>
  <si>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</si>
  <si>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</si>
  <si>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</si>
  <si>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</si>
  <si>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</si>
  <si>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</si>
  <si>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</si>
  <si>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</si>
  <si>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</si>
  <si>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</si>
  <si>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</si>
  <si>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</si>
  <si>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</si>
  <si>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</si>
  <si>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</si>
  <si>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</si>
  <si>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</si>
  <si>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</si>
  <si>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</si>
  <si>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</si>
  <si>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</si>
  <si>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</si>
  <si>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</si>
  <si>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</si>
  <si>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</si>
  <si>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</si>
  <si>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</si>
  <si>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OTLY</t>
  </si>
  <si>
    <t>Blackstone Inc</t>
  </si>
  <si>
    <t>6.71%</t>
  </si>
  <si>
    <t>Massachusetts Financial Services Co.</t>
  </si>
  <si>
    <t>1.21%</t>
  </si>
  <si>
    <t>BNP Paribas Asset Management Holding S.A.</t>
  </si>
  <si>
    <t>1.02%</t>
  </si>
  <si>
    <t>Goldman Sachs Group Inc</t>
  </si>
  <si>
    <t>0.41%</t>
  </si>
  <si>
    <t>TFG Asset Management GP Ltd</t>
  </si>
  <si>
    <t>0.35%</t>
  </si>
  <si>
    <t>IQ EQ Fund Management (Ireland) Ltd</t>
  </si>
  <si>
    <t>0.32%</t>
  </si>
  <si>
    <t>Point72 Asset Management, L.P.</t>
  </si>
  <si>
    <t>0.21%</t>
  </si>
  <si>
    <t>Prentice Capital Management, LP</t>
  </si>
  <si>
    <t>Bank of America Corporation</t>
  </si>
  <si>
    <t>0.15%</t>
  </si>
  <si>
    <t>Morgan Stanley</t>
  </si>
  <si>
    <t>0.12%</t>
  </si>
  <si>
    <t>No Data</t>
  </si>
  <si>
    <t>Insider Shares</t>
  </si>
  <si>
    <t>R&amp;D</t>
  </si>
  <si>
    <t>SG&amp;A</t>
  </si>
  <si>
    <t>Financial Income/Exp</t>
  </si>
  <si>
    <t>PP&amp;E</t>
  </si>
  <si>
    <t>Inventories</t>
  </si>
  <si>
    <t>Short-term Investments</t>
  </si>
  <si>
    <t>Prepaid Expense</t>
  </si>
  <si>
    <t>Tax</t>
  </si>
  <si>
    <t>Other + deffered Tax</t>
  </si>
  <si>
    <t>Trade receivables</t>
  </si>
  <si>
    <t>Right-of-use Asset</t>
  </si>
  <si>
    <t>Defered Tax</t>
  </si>
  <si>
    <t>Accrued Expense</t>
  </si>
  <si>
    <t>Trade Payables</t>
  </si>
  <si>
    <t>Other current</t>
  </si>
  <si>
    <t>Tax liabilities</t>
  </si>
  <si>
    <t>Credit</t>
  </si>
  <si>
    <t>Lease</t>
  </si>
  <si>
    <t>Lease Liabilities</t>
  </si>
  <si>
    <t>Debt</t>
  </si>
  <si>
    <t>Deferred Tax</t>
  </si>
  <si>
    <t>Other + Provisions</t>
  </si>
  <si>
    <t>non-GAAP EBITDA</t>
  </si>
  <si>
    <t>Share-based comp</t>
  </si>
  <si>
    <t>adj. EBITDA</t>
  </si>
  <si>
    <t>adj. EBITDA Margin</t>
  </si>
  <si>
    <t>Shareholder Loans/Conv Notes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</si>
  <si>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</si>
  <si>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</si>
  <si>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</si>
  <si>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</si>
  <si>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</si>
  <si>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</si>
  <si>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</si>
  <si>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</si>
  <si>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</si>
  <si>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</si>
  <si>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</si>
  <si>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</si>
  <si>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</si>
  <si>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</si>
  <si>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</si>
  <si>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</si>
  <si>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</si>
  <si>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</si>
  <si>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</si>
  <si>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</si>
  <si>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</si>
  <si>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</si>
  <si>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</si>
  <si>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</si>
  <si>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</si>
  <si>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</si>
  <si>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</si>
  <si>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</si>
  <si>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</si>
  <si>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</si>
  <si>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</si>
  <si>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</si>
  <si>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</si>
  <si>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</si>
  <si>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</si>
  <si>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</si>
  <si>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</si>
  <si>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</si>
  <si>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</si>
  <si>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</si>
  <si>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Q224</t>
  </si>
  <si>
    <t>FY25</t>
  </si>
  <si>
    <t>S/O</t>
  </si>
  <si>
    <t>Europe</t>
  </si>
  <si>
    <t>NA</t>
  </si>
  <si>
    <t>Greater China</t>
  </si>
  <si>
    <t>SG&amp;A / Rev</t>
  </si>
  <si>
    <t>R&amp;D / Rev</t>
  </si>
  <si>
    <t>Interest / REV</t>
  </si>
  <si>
    <t>Europe y/y</t>
  </si>
  <si>
    <t>NA y/y</t>
  </si>
  <si>
    <t>China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</si>
</sst>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B9B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7" borderId="9" applyNumberFormat="0" applyAlignment="0" applyProtection="0"/>
  </cellStyleXfs>
  <cellXfs count="144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0" fontId="0" fillId="3" borderId="3" xfId="0" applyFill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2" fontId="5" fillId="0" borderId="0" xfId="0" applyNumberFormat="1" applyFont="1"/>
    <xf numFmtId="164" fontId="0" fillId="0" borderId="6" xfId="0" applyNumberFormat="1" applyBorder="1"/>
    <xf numFmtId="10" fontId="0" fillId="0" borderId="2" xfId="1" applyNumberFormat="1" applyFont="1" applyBorder="1"/>
    <xf numFmtId="0" fontId="0" fillId="6" borderId="0" xfId="0" applyFill="1"/>
    <xf numFmtId="3" fontId="0" fillId="6" borderId="0" xfId="0" applyNumberFormat="1" applyFill="1"/>
    <xf numFmtId="0" fontId="2" fillId="6" borderId="0" xfId="0" applyFont="1" applyFill="1"/>
    <xf numFmtId="3" fontId="2" fillId="6" borderId="0" xfId="0" applyNumberFormat="1" applyFont="1" applyFill="1"/>
    <xf numFmtId="3" fontId="0" fillId="6" borderId="2" xfId="0" applyNumberFormat="1" applyFill="1" applyBorder="1"/>
    <xf numFmtId="3" fontId="2" fillId="6" borderId="2" xfId="0" applyNumberFormat="1" applyFont="1" applyFill="1" applyBorder="1"/>
    <xf numFmtId="3" fontId="0" fillId="0" borderId="0" xfId="0" applyNumberFormat="1" applyAlignment="1">
      <alignment wrapText="1"/>
    </xf>
    <xf numFmtId="0" fontId="5" fillId="0" borderId="2" xfId="0" applyFont="1" applyBorder="1"/>
    <xf numFmtId="10" fontId="0" fillId="0" borderId="0" xfId="1" applyNumberFormat="1" applyFont="1"/>
    <xf numFmtId="0" fontId="8" fillId="9" borderId="13" xfId="0" applyFont="1" applyFill="1" applyBorder="1"/>
    <xf numFmtId="0" fontId="8" fillId="9" borderId="14" xfId="0" applyFont="1" applyFill="1" applyBorder="1"/>
    <xf numFmtId="0" fontId="8" fillId="9" borderId="15" xfId="0" applyFont="1" applyFill="1" applyBorder="1"/>
    <xf numFmtId="0" fontId="8" fillId="9" borderId="16" xfId="0" applyFont="1" applyFill="1" applyBorder="1"/>
    <xf numFmtId="0" fontId="9" fillId="9" borderId="17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9" borderId="19" xfId="0" applyFont="1" applyFill="1" applyBorder="1"/>
    <xf numFmtId="0" fontId="8" fillId="9" borderId="20" xfId="0" applyFont="1" applyFill="1" applyBorder="1"/>
    <xf numFmtId="166" fontId="8" fillId="9" borderId="21" xfId="0" applyNumberFormat="1" applyFont="1" applyFill="1" applyBorder="1"/>
    <xf numFmtId="166" fontId="8" fillId="9" borderId="22" xfId="0" applyNumberFormat="1" applyFont="1" applyFill="1" applyBorder="1"/>
    <xf numFmtId="0" fontId="8" fillId="9" borderId="22" xfId="0" applyFont="1" applyFill="1" applyBorder="1"/>
    <xf numFmtId="10" fontId="8" fillId="9" borderId="22" xfId="0" applyNumberFormat="1" applyFont="1" applyFill="1" applyBorder="1"/>
    <xf numFmtId="10" fontId="8" fillId="9" borderId="23" xfId="0" applyNumberFormat="1" applyFont="1" applyFill="1" applyBorder="1"/>
    <xf numFmtId="166" fontId="8" fillId="9" borderId="24" xfId="0" applyNumberFormat="1" applyFont="1" applyFill="1" applyBorder="1"/>
    <xf numFmtId="166" fontId="8" fillId="9" borderId="25" xfId="0" applyNumberFormat="1" applyFont="1" applyFill="1" applyBorder="1"/>
    <xf numFmtId="0" fontId="8" fillId="9" borderId="25" xfId="0" applyFont="1" applyFill="1" applyBorder="1"/>
    <xf numFmtId="0" fontId="8" fillId="9" borderId="25" xfId="0" quotePrefix="1" applyFont="1" applyFill="1" applyBorder="1"/>
    <xf numFmtId="10" fontId="8" fillId="9" borderId="25" xfId="0" applyNumberFormat="1" applyFont="1" applyFill="1" applyBorder="1"/>
    <xf numFmtId="10" fontId="8" fillId="9" borderId="26" xfId="0" applyNumberFormat="1" applyFont="1" applyFill="1" applyBorder="1"/>
    <xf numFmtId="0" fontId="8" fillId="9" borderId="27" xfId="0" applyFont="1" applyFill="1" applyBorder="1"/>
    <xf numFmtId="0" fontId="8" fillId="9" borderId="28" xfId="0" applyFont="1" applyFill="1" applyBorder="1"/>
    <xf numFmtId="10" fontId="8" fillId="9" borderId="29" xfId="0" applyNumberFormat="1" applyFont="1" applyFill="1" applyBorder="1"/>
    <xf numFmtId="166" fontId="8" fillId="9" borderId="30" xfId="0" applyNumberFormat="1" applyFont="1" applyFill="1" applyBorder="1"/>
    <xf numFmtId="0" fontId="8" fillId="9" borderId="31" xfId="0" applyFont="1" applyFill="1" applyBorder="1"/>
    <xf numFmtId="166" fontId="8" fillId="9" borderId="35" xfId="0" applyNumberFormat="1" applyFont="1" applyFill="1" applyBorder="1"/>
    <xf numFmtId="165" fontId="8" fillId="9" borderId="2" xfId="0" applyNumberFormat="1" applyFont="1" applyFill="1" applyBorder="1"/>
    <xf numFmtId="2" fontId="8" fillId="9" borderId="2" xfId="0" applyNumberFormat="1" applyFont="1" applyFill="1" applyBorder="1"/>
    <xf numFmtId="166" fontId="8" fillId="9" borderId="13" xfId="0" applyNumberFormat="1" applyFont="1" applyFill="1" applyBorder="1"/>
    <xf numFmtId="0" fontId="8" fillId="9" borderId="36" xfId="0" applyFont="1" applyFill="1" applyBorder="1"/>
    <xf numFmtId="166" fontId="8" fillId="9" borderId="37" xfId="0" applyNumberFormat="1" applyFont="1" applyFill="1" applyBorder="1"/>
    <xf numFmtId="166" fontId="8" fillId="9" borderId="38" xfId="0" applyNumberFormat="1" applyFont="1" applyFill="1" applyBorder="1"/>
    <xf numFmtId="0" fontId="10" fillId="9" borderId="22" xfId="0" applyFont="1" applyFill="1" applyBorder="1"/>
    <xf numFmtId="0" fontId="10" fillId="9" borderId="23" xfId="0" applyFont="1" applyFill="1" applyBorder="1"/>
    <xf numFmtId="166" fontId="10" fillId="9" borderId="24" xfId="0" applyNumberFormat="1" applyFont="1" applyFill="1" applyBorder="1"/>
    <xf numFmtId="166" fontId="10" fillId="9" borderId="30" xfId="0" applyNumberFormat="1" applyFont="1" applyFill="1" applyBorder="1"/>
    <xf numFmtId="10" fontId="8" fillId="9" borderId="28" xfId="0" applyNumberFormat="1" applyFont="1" applyFill="1" applyBorder="1"/>
    <xf numFmtId="0" fontId="8" fillId="9" borderId="0" xfId="0" applyFont="1" applyFill="1"/>
    <xf numFmtId="1" fontId="8" fillId="9" borderId="24" xfId="0" applyNumberFormat="1" applyFont="1" applyFill="1" applyBorder="1"/>
    <xf numFmtId="10" fontId="8" fillId="9" borderId="39" xfId="0" applyNumberFormat="1" applyFont="1" applyFill="1" applyBorder="1"/>
    <xf numFmtId="9" fontId="10" fillId="9" borderId="40" xfId="0" applyNumberFormat="1" applyFont="1" applyFill="1" applyBorder="1"/>
    <xf numFmtId="10" fontId="0" fillId="9" borderId="42" xfId="0" applyNumberFormat="1" applyFill="1" applyBorder="1" applyAlignment="1">
      <alignment horizontal="centerContinuous"/>
    </xf>
    <xf numFmtId="9" fontId="10" fillId="9" borderId="43" xfId="0" applyNumberFormat="1" applyFont="1" applyFill="1" applyBorder="1"/>
    <xf numFmtId="10" fontId="0" fillId="9" borderId="41" xfId="0" applyNumberFormat="1" applyFill="1" applyBorder="1" applyAlignment="1">
      <alignment horizontal="centerContinuous"/>
    </xf>
    <xf numFmtId="9" fontId="10" fillId="9" borderId="35" xfId="0" applyNumberFormat="1" applyFont="1" applyFill="1" applyBorder="1"/>
    <xf numFmtId="10" fontId="0" fillId="9" borderId="2" xfId="0" applyNumberFormat="1" applyFill="1" applyBorder="1" applyAlignment="1">
      <alignment horizontal="centerContinuous"/>
    </xf>
    <xf numFmtId="9" fontId="10" fillId="9" borderId="1" xfId="0" applyNumberFormat="1" applyFont="1" applyFill="1" applyBorder="1"/>
    <xf numFmtId="10" fontId="0" fillId="9" borderId="31" xfId="0" applyNumberFormat="1" applyFill="1" applyBorder="1" applyAlignment="1">
      <alignment horizontal="centerContinuous"/>
    </xf>
    <xf numFmtId="9" fontId="10" fillId="9" borderId="13" xfId="0" applyNumberFormat="1" applyFont="1" applyFill="1" applyBorder="1"/>
    <xf numFmtId="10" fontId="0" fillId="9" borderId="36" xfId="0" applyNumberFormat="1" applyFill="1" applyBorder="1" applyAlignment="1">
      <alignment horizontal="centerContinuous"/>
    </xf>
    <xf numFmtId="0" fontId="8" fillId="9" borderId="44" xfId="0" applyFont="1" applyFill="1" applyBorder="1"/>
    <xf numFmtId="0" fontId="0" fillId="9" borderId="36" xfId="0" applyFill="1" applyBorder="1"/>
    <xf numFmtId="9" fontId="10" fillId="9" borderId="44" xfId="0" applyNumberFormat="1" applyFont="1" applyFill="1" applyBorder="1"/>
    <xf numFmtId="10" fontId="0" fillId="9" borderId="15" xfId="0" applyNumberFormat="1" applyFill="1" applyBorder="1" applyAlignment="1">
      <alignment horizontal="centerContinuous"/>
    </xf>
    <xf numFmtId="0" fontId="10" fillId="0" borderId="21" xfId="0" applyFont="1" applyBorder="1"/>
    <xf numFmtId="9" fontId="6" fillId="7" borderId="23" xfId="3" applyNumberFormat="1" applyBorder="1"/>
    <xf numFmtId="0" fontId="10" fillId="0" borderId="27" xfId="0" applyFont="1" applyBorder="1"/>
    <xf numFmtId="9" fontId="6" fillId="7" borderId="29" xfId="3" applyNumberFormat="1" applyBorder="1"/>
    <xf numFmtId="0" fontId="8" fillId="0" borderId="0" xfId="0" applyFont="1"/>
    <xf numFmtId="2" fontId="6" fillId="7" borderId="23" xfId="3" applyNumberFormat="1" applyBorder="1"/>
    <xf numFmtId="0" fontId="10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0" fontId="7" fillId="8" borderId="10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166" fontId="8" fillId="9" borderId="32" xfId="0" applyNumberFormat="1" applyFont="1" applyFill="1" applyBorder="1" applyAlignment="1">
      <alignment horizontal="center"/>
    </xf>
    <xf numFmtId="166" fontId="8" fillId="9" borderId="33" xfId="0" applyNumberFormat="1" applyFont="1" applyFill="1" applyBorder="1" applyAlignment="1">
      <alignment horizontal="center"/>
    </xf>
    <xf numFmtId="166" fontId="8" fillId="9" borderId="34" xfId="0" applyNumberFormat="1" applyFont="1" applyFill="1" applyBorder="1" applyAlignment="1">
      <alignment horizontal="center"/>
    </xf>
    <xf numFmtId="166" fontId="8" fillId="9" borderId="4" xfId="0" applyNumberFormat="1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3" fontId="0" fillId="0" borderId="0" xfId="0" applyNumberFormat="1" applyBorder="1"/>
    <xf numFmtId="0" fontId="0" fillId="0" borderId="0" xfId="0" applyBorder="1"/>
    <xf numFmtId="3" fontId="2" fillId="0" borderId="0" xfId="0" applyNumberFormat="1" applyFont="1" applyBorder="1"/>
    <xf numFmtId="3" fontId="5" fillId="0" borderId="0" xfId="0" applyNumberFormat="1" applyFont="1" applyBorder="1"/>
    <xf numFmtId="3" fontId="0" fillId="6" borderId="0" xfId="0" applyNumberFormat="1" applyFill="1" applyBorder="1"/>
    <xf numFmtId="3" fontId="2" fillId="6" borderId="0" xfId="0" applyNumberFormat="1" applyFont="1" applyFill="1" applyBorder="1"/>
    <xf numFmtId="2" fontId="2" fillId="0" borderId="0" xfId="0" applyNumberFormat="1" applyFont="1" applyBorder="1"/>
    <xf numFmtId="2" fontId="5" fillId="0" borderId="0" xfId="0" applyNumberFormat="1" applyFont="1" applyBorder="1"/>
    <xf numFmtId="9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2" fontId="2" fillId="3" borderId="2" xfId="0" applyNumberFormat="1" applyFont="1" applyFill="1" applyBorder="1" applyAlignment="1">
      <alignment horizontal="right"/>
    </xf>
    <xf numFmtId="9" fontId="0" fillId="3" borderId="0" xfId="1" applyFont="1" applyFill="1" applyBorder="1"/>
    <xf numFmtId="9" fontId="0" fillId="3" borderId="2" xfId="1" applyFont="1" applyFill="1" applyBorder="1"/>
    <xf numFmtId="9" fontId="0" fillId="10" borderId="2" xfId="0" applyNumberFormat="1" applyFill="1" applyBorder="1"/>
    <xf numFmtId="3" fontId="0" fillId="3" borderId="2" xfId="0" applyNumberFormat="1" applyFill="1" applyBorder="1"/>
    <xf numFmtId="9" fontId="0" fillId="0" borderId="2" xfId="0" applyNumberForma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4A9-4BC3-B844-B084D47DE3A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9-4BC3-B844-B084D47DE3AD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BA5-44AD-BF56-756B42B7BE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Model!$B$2:$R$2</c:f>
              <c:strCache>
                <c:ptCount val="17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  <c:pt idx="16">
                  <c:v>Q224</c:v>
                </c:pt>
              </c:strCache>
            </c:strRef>
          </c:cat>
          <c:val>
            <c:numRef>
              <c:f>Model!$B$6:$R$6</c:f>
              <c:numCache>
                <c:formatCode>#,##0</c:formatCode>
                <c:ptCount val="17"/>
                <c:pt idx="0">
                  <c:v>95.308999999999997</c:v>
                </c:pt>
                <c:pt idx="1">
                  <c:v>114.682</c:v>
                </c:pt>
                <c:pt idx="2">
                  <c:v>127.116</c:v>
                </c:pt>
                <c:pt idx="3">
                  <c:v>140.05199999999999</c:v>
                </c:pt>
                <c:pt idx="4">
                  <c:v>146.15100000000001</c:v>
                </c:pt>
                <c:pt idx="5">
                  <c:v>171.06200000000001</c:v>
                </c:pt>
                <c:pt idx="6">
                  <c:v>185.92500000000001</c:v>
                </c:pt>
                <c:pt idx="7">
                  <c:v>166.18600000000001</c:v>
                </c:pt>
                <c:pt idx="8">
                  <c:v>177.958</c:v>
                </c:pt>
                <c:pt idx="9">
                  <c:v>183.02600000000001</c:v>
                </c:pt>
                <c:pt idx="10">
                  <c:v>195.06800000000001</c:v>
                </c:pt>
                <c:pt idx="11">
                  <c:v>195.64499999999998</c:v>
                </c:pt>
                <c:pt idx="12">
                  <c:v>195.98699999999999</c:v>
                </c:pt>
                <c:pt idx="13">
                  <c:v>187.595</c:v>
                </c:pt>
                <c:pt idx="14">
                  <c:v>204.12100000000001</c:v>
                </c:pt>
                <c:pt idx="15">
                  <c:v>199.155</c:v>
                </c:pt>
                <c:pt idx="16">
                  <c:v>202.97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v>Revenue Growth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Model!$B$27:$R$27</c:f>
              <c:numCache>
                <c:formatCode>0%</c:formatCode>
                <c:ptCount val="17"/>
                <c:pt idx="4">
                  <c:v>0.53344385105289138</c:v>
                </c:pt>
                <c:pt idx="5">
                  <c:v>0.49162030658691003</c:v>
                </c:pt>
                <c:pt idx="6">
                  <c:v>0.46264042292079677</c:v>
                </c:pt>
                <c:pt idx="7">
                  <c:v>0.18660211921286396</c:v>
                </c:pt>
                <c:pt idx="8">
                  <c:v>0.21763108018419297</c:v>
                </c:pt>
                <c:pt idx="9">
                  <c:v>6.9939554079807342E-2</c:v>
                </c:pt>
                <c:pt idx="10">
                  <c:v>4.9175742907086262E-2</c:v>
                </c:pt>
                <c:pt idx="11">
                  <c:v>0.17726523293177499</c:v>
                </c:pt>
                <c:pt idx="12">
                  <c:v>0.10131042156014347</c:v>
                </c:pt>
                <c:pt idx="13">
                  <c:v>2.4963666364341552E-2</c:v>
                </c:pt>
                <c:pt idx="14">
                  <c:v>4.6409457214919847E-2</c:v>
                </c:pt>
                <c:pt idx="15">
                  <c:v>1.7940657824120354E-2</c:v>
                </c:pt>
                <c:pt idx="16">
                  <c:v>3.5629914229005077E-2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AB-4A81-868C-D3049273DB87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AB-4A81-868C-D3049273DB87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48-42A3-A3C1-496A5DACCB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Model!$U$2:$Z$2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Model!$U$6:$Z$6</c:f>
              <c:numCache>
                <c:formatCode>#,##0</c:formatCode>
                <c:ptCount val="6"/>
                <c:pt idx="0">
                  <c:v>421.351</c:v>
                </c:pt>
                <c:pt idx="1">
                  <c:v>643.19000000000005</c:v>
                </c:pt>
                <c:pt idx="2">
                  <c:v>722.23800000000006</c:v>
                </c:pt>
                <c:pt idx="3">
                  <c:v>783.34799999999996</c:v>
                </c:pt>
                <c:pt idx="4">
                  <c:v>831.26</c:v>
                </c:pt>
                <c:pt idx="5">
                  <c:v>906.29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v>Revenue Growth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Model!$U$27:$Z$27</c:f>
              <c:numCache>
                <c:formatCode>0%</c:formatCode>
                <c:ptCount val="6"/>
                <c:pt idx="1">
                  <c:v>0.52649453780814581</c:v>
                </c:pt>
                <c:pt idx="2">
                  <c:v>0.12289992070772238</c:v>
                </c:pt>
                <c:pt idx="3">
                  <c:v>8.4611997707126907E-2</c:v>
                </c:pt>
                <c:pt idx="4">
                  <c:v>6.11631101375123E-2</c:v>
                </c:pt>
                <c:pt idx="5">
                  <c:v>9.0260568293915266E-2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Model!$A$16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D5-44A1-AF5A-01324757E5F2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D5-44A1-AF5A-01324757E5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Model!$B$2:$Q$2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Model!$B$16:$Q$16</c:f>
              <c:numCache>
                <c:formatCode>#,##0</c:formatCode>
                <c:ptCount val="16"/>
                <c:pt idx="0">
                  <c:v>-4.7900000000000063</c:v>
                </c:pt>
                <c:pt idx="1">
                  <c:v>-10.406999999999995</c:v>
                </c:pt>
                <c:pt idx="2">
                  <c:v>-36.991</c:v>
                </c:pt>
                <c:pt idx="3">
                  <c:v>-32.383000000000003</c:v>
                </c:pt>
                <c:pt idx="4">
                  <c:v>-59.063999999999993</c:v>
                </c:pt>
                <c:pt idx="5">
                  <c:v>-41.192999999999991</c:v>
                </c:pt>
                <c:pt idx="6">
                  <c:v>-79.753</c:v>
                </c:pt>
                <c:pt idx="7">
                  <c:v>-87.458999999999989</c:v>
                </c:pt>
                <c:pt idx="8">
                  <c:v>-71.990000000000009</c:v>
                </c:pt>
                <c:pt idx="9">
                  <c:v>-107.94900000000001</c:v>
                </c:pt>
                <c:pt idx="10">
                  <c:v>-125.16899999999998</c:v>
                </c:pt>
                <c:pt idx="11">
                  <c:v>-75.576999999999998</c:v>
                </c:pt>
                <c:pt idx="12">
                  <c:v>-86.718999999999994</c:v>
                </c:pt>
                <c:pt idx="13">
                  <c:v>44.01100000000001</c:v>
                </c:pt>
                <c:pt idx="14">
                  <c:v>-298.77499999999998</c:v>
                </c:pt>
                <c:pt idx="15">
                  <c:v>-45.844000000000008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Model!$A$25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Model!$B$25:$Q$25</c:f>
              <c:numCache>
                <c:formatCode>0%</c:formatCode>
                <c:ptCount val="16"/>
                <c:pt idx="0">
                  <c:v>0.32327482189509904</c:v>
                </c:pt>
                <c:pt idx="1">
                  <c:v>0.31348424338605885</c:v>
                </c:pt>
                <c:pt idx="2">
                  <c:v>0.27690455961483995</c:v>
                </c:pt>
                <c:pt idx="3">
                  <c:v>0.2994173592665581</c:v>
                </c:pt>
                <c:pt idx="4">
                  <c:v>0.26415830203009227</c:v>
                </c:pt>
                <c:pt idx="5">
                  <c:v>0.26234347780336953</c:v>
                </c:pt>
                <c:pt idx="6">
                  <c:v>0.15917708753529647</c:v>
                </c:pt>
                <c:pt idx="7">
                  <c:v>9.536302696978094E-2</c:v>
                </c:pt>
                <c:pt idx="8">
                  <c:v>0.1581496757661921</c:v>
                </c:pt>
                <c:pt idx="9">
                  <c:v>2.7220176368384807E-2</c:v>
                </c:pt>
                <c:pt idx="10">
                  <c:v>0.15919064121229531</c:v>
                </c:pt>
                <c:pt idx="11">
                  <c:v>0.17423394413350712</c:v>
                </c:pt>
                <c:pt idx="12">
                  <c:v>0.19213519264032819</c:v>
                </c:pt>
                <c:pt idx="13">
                  <c:v>0.17357072416642239</c:v>
                </c:pt>
                <c:pt idx="14">
                  <c:v>0.23406704846635096</c:v>
                </c:pt>
                <c:pt idx="15">
                  <c:v>0.270633426225804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Model!$A$16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Model!$U$2:$Y$2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Model!$U$16:$Y$16</c:f>
              <c:numCache>
                <c:formatCode>#,##0</c:formatCode>
                <c:ptCount val="5"/>
                <c:pt idx="0">
                  <c:v>-60.361000000000033</c:v>
                </c:pt>
                <c:pt idx="1">
                  <c:v>-212.39300000000003</c:v>
                </c:pt>
                <c:pt idx="2">
                  <c:v>-392.56699999999995</c:v>
                </c:pt>
                <c:pt idx="3">
                  <c:v>-417.06000000000006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Model!$A$29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Model!$U$29:$Y$29</c:f>
              <c:numCache>
                <c:formatCode>0%</c:formatCode>
                <c:ptCount val="5"/>
                <c:pt idx="1">
                  <c:v>-2.5187124136445704</c:v>
                </c:pt>
                <c:pt idx="2">
                  <c:v>-0.84830479347247745</c:v>
                </c:pt>
                <c:pt idx="3">
                  <c:v>-6.2391897434068921E-2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Breakdown 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Model!$A$30</c:f>
              <c:strCache>
                <c:ptCount val="1"/>
                <c:pt idx="0">
                  <c:v>SG&amp;A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Model!$B$2:$R$2</c:f>
              <c:strCache>
                <c:ptCount val="17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  <c:pt idx="16">
                  <c:v>Q224</c:v>
                </c:pt>
              </c:strCache>
            </c:strRef>
          </c:cat>
          <c:val>
            <c:numRef>
              <c:f>Model!$B$30:$Q$30</c:f>
              <c:numCache>
                <c:formatCode>0%</c:formatCode>
                <c:ptCount val="16"/>
                <c:pt idx="0">
                  <c:v>0.34986202772036218</c:v>
                </c:pt>
                <c:pt idx="1">
                  <c:v>0.35394394935560941</c:v>
                </c:pt>
                <c:pt idx="2">
                  <c:v>0.49572831114887189</c:v>
                </c:pt>
                <c:pt idx="3">
                  <c:v>0.4770156798903265</c:v>
                </c:pt>
                <c:pt idx="4">
                  <c:v>0.56880897154313004</c:v>
                </c:pt>
                <c:pt idx="5">
                  <c:v>0.4974219873496159</c:v>
                </c:pt>
                <c:pt idx="6">
                  <c:v>0.63950517681860963</c:v>
                </c:pt>
                <c:pt idx="7">
                  <c:v>0.6262440879496467</c:v>
                </c:pt>
                <c:pt idx="8">
                  <c:v>0.5454095910270963</c:v>
                </c:pt>
                <c:pt idx="9">
                  <c:v>0.56694130888507643</c:v>
                </c:pt>
                <c:pt idx="10">
                  <c:v>0.55314556975003581</c:v>
                </c:pt>
                <c:pt idx="11">
                  <c:v>0.50527741572746565</c:v>
                </c:pt>
                <c:pt idx="12">
                  <c:v>0.54439835295198147</c:v>
                </c:pt>
                <c:pt idx="13">
                  <c:v>0.46443135478024467</c:v>
                </c:pt>
                <c:pt idx="14">
                  <c:v>0.39545661641869284</c:v>
                </c:pt>
                <c:pt idx="15">
                  <c:v>0.39538048253872615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Model!$A$31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Model!$B$2:$R$2</c:f>
              <c:strCache>
                <c:ptCount val="17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  <c:pt idx="16">
                  <c:v>Q224</c:v>
                </c:pt>
              </c:strCache>
            </c:strRef>
          </c:cat>
          <c:val>
            <c:numRef>
              <c:f>Model!$B$31:$Q$31</c:f>
              <c:numCache>
                <c:formatCode>0%</c:formatCode>
                <c:ptCount val="16"/>
                <c:pt idx="0">
                  <c:v>1.3671321700993611E-2</c:v>
                </c:pt>
                <c:pt idx="1">
                  <c:v>1.4753841056137841E-2</c:v>
                </c:pt>
                <c:pt idx="2">
                  <c:v>2.090216809842978E-2</c:v>
                </c:pt>
                <c:pt idx="3">
                  <c:v>2.2077514066203983E-2</c:v>
                </c:pt>
                <c:pt idx="4">
                  <c:v>2.7040526578675478E-2</c:v>
                </c:pt>
                <c:pt idx="5">
                  <c:v>2.3687318048426883E-2</c:v>
                </c:pt>
                <c:pt idx="6">
                  <c:v>3.052306037380664E-2</c:v>
                </c:pt>
                <c:pt idx="7">
                  <c:v>2.5657997665266628E-2</c:v>
                </c:pt>
                <c:pt idx="8">
                  <c:v>3.2131177019296686E-2</c:v>
                </c:pt>
                <c:pt idx="9">
                  <c:v>2.8657130680886867E-2</c:v>
                </c:pt>
                <c:pt idx="10">
                  <c:v>3.6064346791887955E-2</c:v>
                </c:pt>
                <c:pt idx="11">
                  <c:v>2.9205959774080609E-2</c:v>
                </c:pt>
                <c:pt idx="12">
                  <c:v>2.7149759933056784E-2</c:v>
                </c:pt>
                <c:pt idx="13">
                  <c:v>2.4968682534182683E-2</c:v>
                </c:pt>
                <c:pt idx="14">
                  <c:v>2.6102164892392258E-2</c:v>
                </c:pt>
                <c:pt idx="15">
                  <c:v>2.330847832090583E-2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D3-44D4-8470-4C47D1FA2F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Breakdown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Model!$A$30</c:f>
              <c:strCache>
                <c:ptCount val="1"/>
                <c:pt idx="0">
                  <c:v>SG&amp;A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Model!$U$2:$Z$2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Model!$U$30:$X$30</c:f>
              <c:numCache>
                <c:formatCode>0%</c:formatCode>
                <c:ptCount val="4"/>
                <c:pt idx="0">
                  <c:v>0.39822380865359286</c:v>
                </c:pt>
                <c:pt idx="1">
                  <c:v>0.55027130396927815</c:v>
                </c:pt>
                <c:pt idx="2">
                  <c:v>0.57155535986752282</c:v>
                </c:pt>
                <c:pt idx="3">
                  <c:v>0.47666681985528786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F-4AFB-9FB8-0F49AF524921}"/>
            </c:ext>
          </c:extLst>
        </c:ser>
        <c:ser>
          <c:idx val="1"/>
          <c:order val="1"/>
          <c:tx>
            <c:strRef>
              <c:f>Model!$A$31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Model!$U$2:$Z$2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Model!$U$31:$X$31</c:f>
              <c:numCache>
                <c:formatCode>0%</c:formatCode>
                <c:ptCount val="4"/>
                <c:pt idx="0">
                  <c:v>1.6212136674648929E-2</c:v>
                </c:pt>
                <c:pt idx="1">
                  <c:v>2.6074721310965655E-2</c:v>
                </c:pt>
                <c:pt idx="2">
                  <c:v>3.0823634314450361E-2</c:v>
                </c:pt>
                <c:pt idx="3">
                  <c:v>2.6868007577730463E-2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8F-4AFB-9FB8-0F49AF524921}"/>
            </c:ext>
          </c:extLst>
        </c:ser>
        <c:ser>
          <c:idx val="2"/>
          <c:order val="2"/>
          <c:tx>
            <c:strRef>
              <c:f>Model!$A$32</c:f>
              <c:strCache>
                <c:ptCount val="1"/>
                <c:pt idx="0">
                  <c:v>Interest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Model!$U$2:$Z$2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Model!$U$32:$X$32</c:f>
              <c:numCache>
                <c:formatCode>0%</c:formatCode>
                <c:ptCount val="4"/>
                <c:pt idx="0">
                  <c:v>2.576711577758211E-2</c:v>
                </c:pt>
                <c:pt idx="1">
                  <c:v>2.028949455059935E-3</c:v>
                </c:pt>
                <c:pt idx="2">
                  <c:v>1.9508804576884623E-3</c:v>
                </c:pt>
                <c:pt idx="3">
                  <c:v>-6.2356704810633337E-2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8F-4AFB-9FB8-0F49AF5249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Catalysts!$A$2:$A$1147</c:f>
              <c:numCache>
                <c:formatCode>m/d/yyyy</c:formatCode>
                <c:ptCount val="1146"/>
                <c:pt idx="0">
                  <c:v>44336</c:v>
                </c:pt>
                <c:pt idx="1">
                  <c:v>44337</c:v>
                </c:pt>
                <c:pt idx="2">
                  <c:v>44340</c:v>
                </c:pt>
                <c:pt idx="3">
                  <c:v>44341</c:v>
                </c:pt>
                <c:pt idx="4">
                  <c:v>44342</c:v>
                </c:pt>
                <c:pt idx="5">
                  <c:v>44343</c:v>
                </c:pt>
                <c:pt idx="6">
                  <c:v>44344</c:v>
                </c:pt>
                <c:pt idx="7">
                  <c:v>44348</c:v>
                </c:pt>
                <c:pt idx="8">
                  <c:v>44349</c:v>
                </c:pt>
                <c:pt idx="9">
                  <c:v>44350</c:v>
                </c:pt>
                <c:pt idx="10">
                  <c:v>44351</c:v>
                </c:pt>
                <c:pt idx="11">
                  <c:v>44354</c:v>
                </c:pt>
                <c:pt idx="12">
                  <c:v>44355</c:v>
                </c:pt>
                <c:pt idx="13">
                  <c:v>44356</c:v>
                </c:pt>
                <c:pt idx="14">
                  <c:v>44357</c:v>
                </c:pt>
                <c:pt idx="15">
                  <c:v>44358</c:v>
                </c:pt>
                <c:pt idx="16">
                  <c:v>44361</c:v>
                </c:pt>
                <c:pt idx="17">
                  <c:v>44362</c:v>
                </c:pt>
                <c:pt idx="18">
                  <c:v>44363</c:v>
                </c:pt>
                <c:pt idx="19">
                  <c:v>44364</c:v>
                </c:pt>
                <c:pt idx="20">
                  <c:v>44365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44375</c:v>
                </c:pt>
                <c:pt idx="27">
                  <c:v>44376</c:v>
                </c:pt>
                <c:pt idx="28">
                  <c:v>44377</c:v>
                </c:pt>
                <c:pt idx="29">
                  <c:v>44378</c:v>
                </c:pt>
                <c:pt idx="30">
                  <c:v>44379</c:v>
                </c:pt>
                <c:pt idx="31">
                  <c:v>44383</c:v>
                </c:pt>
                <c:pt idx="32">
                  <c:v>44384</c:v>
                </c:pt>
                <c:pt idx="33">
                  <c:v>44385</c:v>
                </c:pt>
                <c:pt idx="34">
                  <c:v>44386</c:v>
                </c:pt>
                <c:pt idx="35">
                  <c:v>44389</c:v>
                </c:pt>
                <c:pt idx="36">
                  <c:v>44390</c:v>
                </c:pt>
                <c:pt idx="37">
                  <c:v>44391</c:v>
                </c:pt>
                <c:pt idx="38">
                  <c:v>44392</c:v>
                </c:pt>
                <c:pt idx="39">
                  <c:v>44393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44403</c:v>
                </c:pt>
                <c:pt idx="46">
                  <c:v>44404</c:v>
                </c:pt>
                <c:pt idx="47">
                  <c:v>44405</c:v>
                </c:pt>
                <c:pt idx="48">
                  <c:v>44406</c:v>
                </c:pt>
                <c:pt idx="49">
                  <c:v>44407</c:v>
                </c:pt>
                <c:pt idx="50">
                  <c:v>44410</c:v>
                </c:pt>
                <c:pt idx="51">
                  <c:v>44411</c:v>
                </c:pt>
                <c:pt idx="52">
                  <c:v>44412</c:v>
                </c:pt>
                <c:pt idx="53">
                  <c:v>44413</c:v>
                </c:pt>
                <c:pt idx="54">
                  <c:v>44414</c:v>
                </c:pt>
                <c:pt idx="55">
                  <c:v>44417</c:v>
                </c:pt>
                <c:pt idx="56">
                  <c:v>44418</c:v>
                </c:pt>
                <c:pt idx="57">
                  <c:v>44419</c:v>
                </c:pt>
                <c:pt idx="58">
                  <c:v>44420</c:v>
                </c:pt>
                <c:pt idx="59">
                  <c:v>44421</c:v>
                </c:pt>
                <c:pt idx="60">
                  <c:v>44424</c:v>
                </c:pt>
                <c:pt idx="61">
                  <c:v>44425</c:v>
                </c:pt>
                <c:pt idx="62">
                  <c:v>44426</c:v>
                </c:pt>
                <c:pt idx="63">
                  <c:v>44427</c:v>
                </c:pt>
                <c:pt idx="64">
                  <c:v>44428</c:v>
                </c:pt>
                <c:pt idx="65">
                  <c:v>44431</c:v>
                </c:pt>
                <c:pt idx="66">
                  <c:v>44432</c:v>
                </c:pt>
                <c:pt idx="67">
                  <c:v>44433</c:v>
                </c:pt>
                <c:pt idx="68">
                  <c:v>44434</c:v>
                </c:pt>
                <c:pt idx="69">
                  <c:v>44435</c:v>
                </c:pt>
                <c:pt idx="70">
                  <c:v>44438</c:v>
                </c:pt>
                <c:pt idx="71">
                  <c:v>44439</c:v>
                </c:pt>
                <c:pt idx="72">
                  <c:v>44440</c:v>
                </c:pt>
                <c:pt idx="73">
                  <c:v>44441</c:v>
                </c:pt>
                <c:pt idx="74">
                  <c:v>44442</c:v>
                </c:pt>
                <c:pt idx="75">
                  <c:v>44446</c:v>
                </c:pt>
                <c:pt idx="76">
                  <c:v>44447</c:v>
                </c:pt>
                <c:pt idx="77">
                  <c:v>44448</c:v>
                </c:pt>
                <c:pt idx="78">
                  <c:v>44449</c:v>
                </c:pt>
                <c:pt idx="79">
                  <c:v>44452</c:v>
                </c:pt>
                <c:pt idx="80">
                  <c:v>44453</c:v>
                </c:pt>
                <c:pt idx="81">
                  <c:v>44454</c:v>
                </c:pt>
                <c:pt idx="82">
                  <c:v>44455</c:v>
                </c:pt>
                <c:pt idx="83">
                  <c:v>44456</c:v>
                </c:pt>
                <c:pt idx="84">
                  <c:v>44459</c:v>
                </c:pt>
                <c:pt idx="85">
                  <c:v>44460</c:v>
                </c:pt>
                <c:pt idx="86">
                  <c:v>44461</c:v>
                </c:pt>
                <c:pt idx="87">
                  <c:v>44462</c:v>
                </c:pt>
                <c:pt idx="88">
                  <c:v>44463</c:v>
                </c:pt>
                <c:pt idx="89">
                  <c:v>44466</c:v>
                </c:pt>
                <c:pt idx="90">
                  <c:v>44467</c:v>
                </c:pt>
                <c:pt idx="91">
                  <c:v>44468</c:v>
                </c:pt>
                <c:pt idx="92">
                  <c:v>44469</c:v>
                </c:pt>
                <c:pt idx="93">
                  <c:v>44470</c:v>
                </c:pt>
                <c:pt idx="94">
                  <c:v>44473</c:v>
                </c:pt>
                <c:pt idx="95">
                  <c:v>44474</c:v>
                </c:pt>
                <c:pt idx="96">
                  <c:v>44475</c:v>
                </c:pt>
                <c:pt idx="97">
                  <c:v>44476</c:v>
                </c:pt>
                <c:pt idx="98">
                  <c:v>44477</c:v>
                </c:pt>
                <c:pt idx="99">
                  <c:v>44480</c:v>
                </c:pt>
                <c:pt idx="100">
                  <c:v>44481</c:v>
                </c:pt>
                <c:pt idx="101">
                  <c:v>44482</c:v>
                </c:pt>
                <c:pt idx="102">
                  <c:v>44483</c:v>
                </c:pt>
                <c:pt idx="103">
                  <c:v>44484</c:v>
                </c:pt>
                <c:pt idx="104">
                  <c:v>44487</c:v>
                </c:pt>
                <c:pt idx="105">
                  <c:v>44488</c:v>
                </c:pt>
                <c:pt idx="106">
                  <c:v>44489</c:v>
                </c:pt>
                <c:pt idx="107">
                  <c:v>44490</c:v>
                </c:pt>
                <c:pt idx="108">
                  <c:v>44491</c:v>
                </c:pt>
                <c:pt idx="109">
                  <c:v>44494</c:v>
                </c:pt>
                <c:pt idx="110">
                  <c:v>44495</c:v>
                </c:pt>
                <c:pt idx="111">
                  <c:v>44496</c:v>
                </c:pt>
                <c:pt idx="112">
                  <c:v>44497</c:v>
                </c:pt>
                <c:pt idx="113">
                  <c:v>44498</c:v>
                </c:pt>
                <c:pt idx="114">
                  <c:v>44501</c:v>
                </c:pt>
                <c:pt idx="115">
                  <c:v>44502</c:v>
                </c:pt>
                <c:pt idx="116">
                  <c:v>44503</c:v>
                </c:pt>
                <c:pt idx="117">
                  <c:v>44504</c:v>
                </c:pt>
                <c:pt idx="118">
                  <c:v>44505</c:v>
                </c:pt>
                <c:pt idx="119">
                  <c:v>44508</c:v>
                </c:pt>
                <c:pt idx="120">
                  <c:v>44509</c:v>
                </c:pt>
                <c:pt idx="121">
                  <c:v>44510</c:v>
                </c:pt>
                <c:pt idx="122">
                  <c:v>44511</c:v>
                </c:pt>
                <c:pt idx="123">
                  <c:v>44512</c:v>
                </c:pt>
                <c:pt idx="124">
                  <c:v>44515</c:v>
                </c:pt>
                <c:pt idx="125">
                  <c:v>44516</c:v>
                </c:pt>
                <c:pt idx="126">
                  <c:v>44517</c:v>
                </c:pt>
                <c:pt idx="127">
                  <c:v>44518</c:v>
                </c:pt>
                <c:pt idx="128">
                  <c:v>44519</c:v>
                </c:pt>
                <c:pt idx="129">
                  <c:v>44522</c:v>
                </c:pt>
                <c:pt idx="130">
                  <c:v>44523</c:v>
                </c:pt>
                <c:pt idx="131">
                  <c:v>44524</c:v>
                </c:pt>
                <c:pt idx="132">
                  <c:v>44526</c:v>
                </c:pt>
                <c:pt idx="133">
                  <c:v>44529</c:v>
                </c:pt>
                <c:pt idx="134">
                  <c:v>44530</c:v>
                </c:pt>
                <c:pt idx="135">
                  <c:v>44531</c:v>
                </c:pt>
                <c:pt idx="136">
                  <c:v>44532</c:v>
                </c:pt>
                <c:pt idx="137">
                  <c:v>44533</c:v>
                </c:pt>
                <c:pt idx="138">
                  <c:v>44536</c:v>
                </c:pt>
                <c:pt idx="139">
                  <c:v>44537</c:v>
                </c:pt>
                <c:pt idx="140">
                  <c:v>44538</c:v>
                </c:pt>
                <c:pt idx="141">
                  <c:v>44539</c:v>
                </c:pt>
                <c:pt idx="142">
                  <c:v>44540</c:v>
                </c:pt>
                <c:pt idx="143">
                  <c:v>44543</c:v>
                </c:pt>
                <c:pt idx="144">
                  <c:v>44544</c:v>
                </c:pt>
                <c:pt idx="145">
                  <c:v>44545</c:v>
                </c:pt>
                <c:pt idx="146">
                  <c:v>44546</c:v>
                </c:pt>
                <c:pt idx="147">
                  <c:v>44547</c:v>
                </c:pt>
                <c:pt idx="148">
                  <c:v>44550</c:v>
                </c:pt>
                <c:pt idx="149">
                  <c:v>44551</c:v>
                </c:pt>
                <c:pt idx="150">
                  <c:v>44552</c:v>
                </c:pt>
                <c:pt idx="151">
                  <c:v>44553</c:v>
                </c:pt>
                <c:pt idx="152">
                  <c:v>44557</c:v>
                </c:pt>
                <c:pt idx="153">
                  <c:v>44558</c:v>
                </c:pt>
                <c:pt idx="154">
                  <c:v>44559</c:v>
                </c:pt>
                <c:pt idx="155">
                  <c:v>44560</c:v>
                </c:pt>
                <c:pt idx="156">
                  <c:v>44561</c:v>
                </c:pt>
                <c:pt idx="157">
                  <c:v>44564</c:v>
                </c:pt>
                <c:pt idx="158">
                  <c:v>44565</c:v>
                </c:pt>
                <c:pt idx="159">
                  <c:v>44566</c:v>
                </c:pt>
                <c:pt idx="160">
                  <c:v>44567</c:v>
                </c:pt>
                <c:pt idx="161">
                  <c:v>44568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44579</c:v>
                </c:pt>
                <c:pt idx="168">
                  <c:v>44580</c:v>
                </c:pt>
                <c:pt idx="169">
                  <c:v>44581</c:v>
                </c:pt>
                <c:pt idx="170">
                  <c:v>44582</c:v>
                </c:pt>
                <c:pt idx="171">
                  <c:v>44585</c:v>
                </c:pt>
                <c:pt idx="172">
                  <c:v>44586</c:v>
                </c:pt>
                <c:pt idx="173">
                  <c:v>44587</c:v>
                </c:pt>
                <c:pt idx="174">
                  <c:v>44588</c:v>
                </c:pt>
                <c:pt idx="175">
                  <c:v>44589</c:v>
                </c:pt>
                <c:pt idx="176">
                  <c:v>44592</c:v>
                </c:pt>
                <c:pt idx="177">
                  <c:v>44593</c:v>
                </c:pt>
                <c:pt idx="178">
                  <c:v>44594</c:v>
                </c:pt>
                <c:pt idx="179">
                  <c:v>44595</c:v>
                </c:pt>
                <c:pt idx="180">
                  <c:v>44596</c:v>
                </c:pt>
                <c:pt idx="181">
                  <c:v>44599</c:v>
                </c:pt>
                <c:pt idx="182">
                  <c:v>44600</c:v>
                </c:pt>
                <c:pt idx="183">
                  <c:v>44601</c:v>
                </c:pt>
                <c:pt idx="184">
                  <c:v>44602</c:v>
                </c:pt>
                <c:pt idx="185">
                  <c:v>44603</c:v>
                </c:pt>
                <c:pt idx="186">
                  <c:v>44606</c:v>
                </c:pt>
                <c:pt idx="187">
                  <c:v>44607</c:v>
                </c:pt>
                <c:pt idx="188">
                  <c:v>44608</c:v>
                </c:pt>
                <c:pt idx="189">
                  <c:v>44609</c:v>
                </c:pt>
                <c:pt idx="190">
                  <c:v>44610</c:v>
                </c:pt>
                <c:pt idx="191">
                  <c:v>44614</c:v>
                </c:pt>
                <c:pt idx="192">
                  <c:v>44615</c:v>
                </c:pt>
                <c:pt idx="193">
                  <c:v>44616</c:v>
                </c:pt>
                <c:pt idx="194">
                  <c:v>44617</c:v>
                </c:pt>
                <c:pt idx="195">
                  <c:v>44620</c:v>
                </c:pt>
                <c:pt idx="196">
                  <c:v>44621</c:v>
                </c:pt>
                <c:pt idx="197">
                  <c:v>44622</c:v>
                </c:pt>
                <c:pt idx="198">
                  <c:v>44623</c:v>
                </c:pt>
                <c:pt idx="199">
                  <c:v>44624</c:v>
                </c:pt>
                <c:pt idx="200">
                  <c:v>44627</c:v>
                </c:pt>
                <c:pt idx="201">
                  <c:v>44628</c:v>
                </c:pt>
                <c:pt idx="202">
                  <c:v>44629</c:v>
                </c:pt>
                <c:pt idx="203">
                  <c:v>44630</c:v>
                </c:pt>
                <c:pt idx="204">
                  <c:v>44631</c:v>
                </c:pt>
                <c:pt idx="205">
                  <c:v>44634</c:v>
                </c:pt>
                <c:pt idx="206">
                  <c:v>44635</c:v>
                </c:pt>
                <c:pt idx="207">
                  <c:v>44636</c:v>
                </c:pt>
                <c:pt idx="208">
                  <c:v>44637</c:v>
                </c:pt>
                <c:pt idx="209">
                  <c:v>44638</c:v>
                </c:pt>
                <c:pt idx="210">
                  <c:v>44641</c:v>
                </c:pt>
                <c:pt idx="211">
                  <c:v>44642</c:v>
                </c:pt>
                <c:pt idx="212">
                  <c:v>44643</c:v>
                </c:pt>
                <c:pt idx="213">
                  <c:v>44644</c:v>
                </c:pt>
                <c:pt idx="214">
                  <c:v>44645</c:v>
                </c:pt>
                <c:pt idx="215">
                  <c:v>44648</c:v>
                </c:pt>
                <c:pt idx="216">
                  <c:v>44649</c:v>
                </c:pt>
                <c:pt idx="217">
                  <c:v>44650</c:v>
                </c:pt>
                <c:pt idx="218">
                  <c:v>44651</c:v>
                </c:pt>
                <c:pt idx="219">
                  <c:v>44652</c:v>
                </c:pt>
                <c:pt idx="220">
                  <c:v>44655</c:v>
                </c:pt>
                <c:pt idx="221">
                  <c:v>44656</c:v>
                </c:pt>
                <c:pt idx="222">
                  <c:v>44657</c:v>
                </c:pt>
                <c:pt idx="223">
                  <c:v>44658</c:v>
                </c:pt>
                <c:pt idx="224">
                  <c:v>44659</c:v>
                </c:pt>
                <c:pt idx="225">
                  <c:v>44662</c:v>
                </c:pt>
                <c:pt idx="226">
                  <c:v>44663</c:v>
                </c:pt>
                <c:pt idx="227">
                  <c:v>44664</c:v>
                </c:pt>
                <c:pt idx="228">
                  <c:v>44665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44676</c:v>
                </c:pt>
                <c:pt idx="235">
                  <c:v>44677</c:v>
                </c:pt>
                <c:pt idx="236">
                  <c:v>44678</c:v>
                </c:pt>
                <c:pt idx="237">
                  <c:v>44679</c:v>
                </c:pt>
                <c:pt idx="238">
                  <c:v>44680</c:v>
                </c:pt>
                <c:pt idx="239">
                  <c:v>44683</c:v>
                </c:pt>
                <c:pt idx="240">
                  <c:v>44684</c:v>
                </c:pt>
                <c:pt idx="241">
                  <c:v>44685</c:v>
                </c:pt>
                <c:pt idx="242">
                  <c:v>44686</c:v>
                </c:pt>
                <c:pt idx="243">
                  <c:v>44687</c:v>
                </c:pt>
                <c:pt idx="244">
                  <c:v>44690</c:v>
                </c:pt>
                <c:pt idx="245">
                  <c:v>44691</c:v>
                </c:pt>
                <c:pt idx="246">
                  <c:v>44692</c:v>
                </c:pt>
                <c:pt idx="247">
                  <c:v>44693</c:v>
                </c:pt>
                <c:pt idx="248">
                  <c:v>44694</c:v>
                </c:pt>
                <c:pt idx="249">
                  <c:v>44697</c:v>
                </c:pt>
                <c:pt idx="250">
                  <c:v>44698</c:v>
                </c:pt>
                <c:pt idx="251">
                  <c:v>44699</c:v>
                </c:pt>
                <c:pt idx="252">
                  <c:v>44700</c:v>
                </c:pt>
                <c:pt idx="253">
                  <c:v>44701</c:v>
                </c:pt>
                <c:pt idx="254">
                  <c:v>44704</c:v>
                </c:pt>
                <c:pt idx="255">
                  <c:v>44705</c:v>
                </c:pt>
                <c:pt idx="256">
                  <c:v>44706</c:v>
                </c:pt>
                <c:pt idx="257">
                  <c:v>44707</c:v>
                </c:pt>
                <c:pt idx="258">
                  <c:v>44708</c:v>
                </c:pt>
                <c:pt idx="259">
                  <c:v>44712</c:v>
                </c:pt>
                <c:pt idx="260">
                  <c:v>44713</c:v>
                </c:pt>
                <c:pt idx="261">
                  <c:v>44714</c:v>
                </c:pt>
                <c:pt idx="262">
                  <c:v>44715</c:v>
                </c:pt>
                <c:pt idx="263">
                  <c:v>44718</c:v>
                </c:pt>
                <c:pt idx="264">
                  <c:v>44719</c:v>
                </c:pt>
                <c:pt idx="265">
                  <c:v>44720</c:v>
                </c:pt>
                <c:pt idx="266">
                  <c:v>44721</c:v>
                </c:pt>
                <c:pt idx="267">
                  <c:v>44722</c:v>
                </c:pt>
                <c:pt idx="268">
                  <c:v>44725</c:v>
                </c:pt>
                <c:pt idx="269">
                  <c:v>44726</c:v>
                </c:pt>
                <c:pt idx="270">
                  <c:v>44727</c:v>
                </c:pt>
                <c:pt idx="271">
                  <c:v>44728</c:v>
                </c:pt>
                <c:pt idx="272">
                  <c:v>44729</c:v>
                </c:pt>
                <c:pt idx="273">
                  <c:v>44733</c:v>
                </c:pt>
                <c:pt idx="274">
                  <c:v>44734</c:v>
                </c:pt>
                <c:pt idx="275">
                  <c:v>44735</c:v>
                </c:pt>
                <c:pt idx="276">
                  <c:v>44736</c:v>
                </c:pt>
                <c:pt idx="277">
                  <c:v>44739</c:v>
                </c:pt>
                <c:pt idx="278">
                  <c:v>44740</c:v>
                </c:pt>
                <c:pt idx="279">
                  <c:v>44741</c:v>
                </c:pt>
                <c:pt idx="280">
                  <c:v>44742</c:v>
                </c:pt>
                <c:pt idx="281">
                  <c:v>44743</c:v>
                </c:pt>
                <c:pt idx="282">
                  <c:v>44747</c:v>
                </c:pt>
                <c:pt idx="283">
                  <c:v>44748</c:v>
                </c:pt>
                <c:pt idx="284">
                  <c:v>44749</c:v>
                </c:pt>
                <c:pt idx="285">
                  <c:v>44750</c:v>
                </c:pt>
                <c:pt idx="286">
                  <c:v>44753</c:v>
                </c:pt>
                <c:pt idx="287">
                  <c:v>44754</c:v>
                </c:pt>
                <c:pt idx="288">
                  <c:v>44755</c:v>
                </c:pt>
                <c:pt idx="289">
                  <c:v>44756</c:v>
                </c:pt>
                <c:pt idx="290">
                  <c:v>44757</c:v>
                </c:pt>
                <c:pt idx="291">
                  <c:v>44760</c:v>
                </c:pt>
                <c:pt idx="292">
                  <c:v>44761</c:v>
                </c:pt>
                <c:pt idx="293">
                  <c:v>44762</c:v>
                </c:pt>
                <c:pt idx="294">
                  <c:v>44763</c:v>
                </c:pt>
                <c:pt idx="295">
                  <c:v>44764</c:v>
                </c:pt>
                <c:pt idx="296">
                  <c:v>44767</c:v>
                </c:pt>
                <c:pt idx="297">
                  <c:v>44768</c:v>
                </c:pt>
                <c:pt idx="298">
                  <c:v>44769</c:v>
                </c:pt>
                <c:pt idx="299">
                  <c:v>44770</c:v>
                </c:pt>
                <c:pt idx="300">
                  <c:v>44771</c:v>
                </c:pt>
                <c:pt idx="301">
                  <c:v>44774</c:v>
                </c:pt>
                <c:pt idx="302">
                  <c:v>44775</c:v>
                </c:pt>
                <c:pt idx="303">
                  <c:v>44776</c:v>
                </c:pt>
                <c:pt idx="304">
                  <c:v>44777</c:v>
                </c:pt>
                <c:pt idx="305">
                  <c:v>44778</c:v>
                </c:pt>
                <c:pt idx="306">
                  <c:v>44781</c:v>
                </c:pt>
                <c:pt idx="307">
                  <c:v>44782</c:v>
                </c:pt>
                <c:pt idx="308">
                  <c:v>44783</c:v>
                </c:pt>
                <c:pt idx="309">
                  <c:v>44784</c:v>
                </c:pt>
                <c:pt idx="310">
                  <c:v>44785</c:v>
                </c:pt>
                <c:pt idx="311">
                  <c:v>44788</c:v>
                </c:pt>
                <c:pt idx="312">
                  <c:v>44789</c:v>
                </c:pt>
                <c:pt idx="313">
                  <c:v>44790</c:v>
                </c:pt>
                <c:pt idx="314">
                  <c:v>44791</c:v>
                </c:pt>
                <c:pt idx="315">
                  <c:v>44792</c:v>
                </c:pt>
                <c:pt idx="316">
                  <c:v>44795</c:v>
                </c:pt>
                <c:pt idx="317">
                  <c:v>44796</c:v>
                </c:pt>
                <c:pt idx="318">
                  <c:v>44797</c:v>
                </c:pt>
                <c:pt idx="319">
                  <c:v>44798</c:v>
                </c:pt>
                <c:pt idx="320">
                  <c:v>44799</c:v>
                </c:pt>
                <c:pt idx="321">
                  <c:v>44802</c:v>
                </c:pt>
                <c:pt idx="322">
                  <c:v>44803</c:v>
                </c:pt>
                <c:pt idx="323">
                  <c:v>44804</c:v>
                </c:pt>
                <c:pt idx="324">
                  <c:v>44805</c:v>
                </c:pt>
                <c:pt idx="325">
                  <c:v>44806</c:v>
                </c:pt>
                <c:pt idx="326">
                  <c:v>44810</c:v>
                </c:pt>
                <c:pt idx="327">
                  <c:v>44811</c:v>
                </c:pt>
                <c:pt idx="328">
                  <c:v>44812</c:v>
                </c:pt>
                <c:pt idx="329">
                  <c:v>44813</c:v>
                </c:pt>
                <c:pt idx="330">
                  <c:v>44816</c:v>
                </c:pt>
                <c:pt idx="331">
                  <c:v>44817</c:v>
                </c:pt>
                <c:pt idx="332">
                  <c:v>44818</c:v>
                </c:pt>
                <c:pt idx="333">
                  <c:v>44819</c:v>
                </c:pt>
                <c:pt idx="334">
                  <c:v>44820</c:v>
                </c:pt>
                <c:pt idx="335">
                  <c:v>44823</c:v>
                </c:pt>
                <c:pt idx="336">
                  <c:v>44824</c:v>
                </c:pt>
                <c:pt idx="337">
                  <c:v>44825</c:v>
                </c:pt>
                <c:pt idx="338">
                  <c:v>44826</c:v>
                </c:pt>
                <c:pt idx="339">
                  <c:v>44827</c:v>
                </c:pt>
                <c:pt idx="340">
                  <c:v>44830</c:v>
                </c:pt>
                <c:pt idx="341">
                  <c:v>44831</c:v>
                </c:pt>
                <c:pt idx="342">
                  <c:v>44832</c:v>
                </c:pt>
                <c:pt idx="343">
                  <c:v>44833</c:v>
                </c:pt>
                <c:pt idx="344">
                  <c:v>44834</c:v>
                </c:pt>
                <c:pt idx="345">
                  <c:v>44837</c:v>
                </c:pt>
                <c:pt idx="346">
                  <c:v>44838</c:v>
                </c:pt>
                <c:pt idx="347">
                  <c:v>44839</c:v>
                </c:pt>
                <c:pt idx="348">
                  <c:v>44840</c:v>
                </c:pt>
                <c:pt idx="349">
                  <c:v>44841</c:v>
                </c:pt>
                <c:pt idx="350">
                  <c:v>44844</c:v>
                </c:pt>
                <c:pt idx="351">
                  <c:v>44845</c:v>
                </c:pt>
                <c:pt idx="352">
                  <c:v>44846</c:v>
                </c:pt>
                <c:pt idx="353">
                  <c:v>44847</c:v>
                </c:pt>
                <c:pt idx="354">
                  <c:v>44848</c:v>
                </c:pt>
                <c:pt idx="355">
                  <c:v>44851</c:v>
                </c:pt>
                <c:pt idx="356">
                  <c:v>44852</c:v>
                </c:pt>
                <c:pt idx="357">
                  <c:v>44853</c:v>
                </c:pt>
                <c:pt idx="358">
                  <c:v>44854</c:v>
                </c:pt>
                <c:pt idx="359">
                  <c:v>44855</c:v>
                </c:pt>
                <c:pt idx="360">
                  <c:v>44858</c:v>
                </c:pt>
                <c:pt idx="361">
                  <c:v>44859</c:v>
                </c:pt>
                <c:pt idx="362">
                  <c:v>44860</c:v>
                </c:pt>
                <c:pt idx="363">
                  <c:v>44861</c:v>
                </c:pt>
                <c:pt idx="364">
                  <c:v>44862</c:v>
                </c:pt>
                <c:pt idx="365">
                  <c:v>44865</c:v>
                </c:pt>
                <c:pt idx="366">
                  <c:v>44866</c:v>
                </c:pt>
                <c:pt idx="367">
                  <c:v>44867</c:v>
                </c:pt>
                <c:pt idx="368">
                  <c:v>44868</c:v>
                </c:pt>
                <c:pt idx="369">
                  <c:v>44869</c:v>
                </c:pt>
                <c:pt idx="370">
                  <c:v>44872</c:v>
                </c:pt>
                <c:pt idx="371">
                  <c:v>44873</c:v>
                </c:pt>
                <c:pt idx="372">
                  <c:v>44874</c:v>
                </c:pt>
                <c:pt idx="373">
                  <c:v>44875</c:v>
                </c:pt>
                <c:pt idx="374">
                  <c:v>44876</c:v>
                </c:pt>
                <c:pt idx="375">
                  <c:v>44879</c:v>
                </c:pt>
                <c:pt idx="376">
                  <c:v>44880</c:v>
                </c:pt>
                <c:pt idx="377">
                  <c:v>44881</c:v>
                </c:pt>
                <c:pt idx="378">
                  <c:v>44882</c:v>
                </c:pt>
                <c:pt idx="379">
                  <c:v>44883</c:v>
                </c:pt>
                <c:pt idx="380">
                  <c:v>44886</c:v>
                </c:pt>
                <c:pt idx="381">
                  <c:v>44887</c:v>
                </c:pt>
                <c:pt idx="382">
                  <c:v>44888</c:v>
                </c:pt>
                <c:pt idx="383">
                  <c:v>44890</c:v>
                </c:pt>
                <c:pt idx="384">
                  <c:v>44893</c:v>
                </c:pt>
                <c:pt idx="385">
                  <c:v>44894</c:v>
                </c:pt>
                <c:pt idx="386">
                  <c:v>44895</c:v>
                </c:pt>
                <c:pt idx="387">
                  <c:v>44896</c:v>
                </c:pt>
                <c:pt idx="388">
                  <c:v>44897</c:v>
                </c:pt>
                <c:pt idx="389">
                  <c:v>44900</c:v>
                </c:pt>
                <c:pt idx="390">
                  <c:v>44901</c:v>
                </c:pt>
                <c:pt idx="391">
                  <c:v>44902</c:v>
                </c:pt>
                <c:pt idx="392">
                  <c:v>44903</c:v>
                </c:pt>
                <c:pt idx="393">
                  <c:v>44904</c:v>
                </c:pt>
                <c:pt idx="394">
                  <c:v>44907</c:v>
                </c:pt>
                <c:pt idx="395">
                  <c:v>44908</c:v>
                </c:pt>
                <c:pt idx="396">
                  <c:v>44909</c:v>
                </c:pt>
                <c:pt idx="397">
                  <c:v>44910</c:v>
                </c:pt>
                <c:pt idx="398">
                  <c:v>44911</c:v>
                </c:pt>
                <c:pt idx="399">
                  <c:v>44914</c:v>
                </c:pt>
                <c:pt idx="400">
                  <c:v>44915</c:v>
                </c:pt>
                <c:pt idx="401">
                  <c:v>44916</c:v>
                </c:pt>
                <c:pt idx="402">
                  <c:v>44917</c:v>
                </c:pt>
                <c:pt idx="403">
                  <c:v>44918</c:v>
                </c:pt>
                <c:pt idx="404">
                  <c:v>44922</c:v>
                </c:pt>
                <c:pt idx="405">
                  <c:v>44923</c:v>
                </c:pt>
                <c:pt idx="406">
                  <c:v>44924</c:v>
                </c:pt>
                <c:pt idx="407">
                  <c:v>44925</c:v>
                </c:pt>
                <c:pt idx="408">
                  <c:v>44929</c:v>
                </c:pt>
                <c:pt idx="409">
                  <c:v>44930</c:v>
                </c:pt>
                <c:pt idx="410">
                  <c:v>44931</c:v>
                </c:pt>
                <c:pt idx="411">
                  <c:v>44932</c:v>
                </c:pt>
                <c:pt idx="412">
                  <c:v>44935</c:v>
                </c:pt>
                <c:pt idx="413">
                  <c:v>44936</c:v>
                </c:pt>
                <c:pt idx="414">
                  <c:v>44937</c:v>
                </c:pt>
                <c:pt idx="415">
                  <c:v>44938</c:v>
                </c:pt>
                <c:pt idx="416">
                  <c:v>44939</c:v>
                </c:pt>
                <c:pt idx="417">
                  <c:v>44943</c:v>
                </c:pt>
                <c:pt idx="418">
                  <c:v>44944</c:v>
                </c:pt>
                <c:pt idx="419">
                  <c:v>44945</c:v>
                </c:pt>
                <c:pt idx="420">
                  <c:v>44946</c:v>
                </c:pt>
                <c:pt idx="421">
                  <c:v>44949</c:v>
                </c:pt>
                <c:pt idx="422">
                  <c:v>44950</c:v>
                </c:pt>
                <c:pt idx="423">
                  <c:v>44951</c:v>
                </c:pt>
                <c:pt idx="424">
                  <c:v>44952</c:v>
                </c:pt>
                <c:pt idx="425">
                  <c:v>44953</c:v>
                </c:pt>
                <c:pt idx="426">
                  <c:v>44956</c:v>
                </c:pt>
                <c:pt idx="427">
                  <c:v>44957</c:v>
                </c:pt>
                <c:pt idx="428">
                  <c:v>44958</c:v>
                </c:pt>
                <c:pt idx="429">
                  <c:v>44959</c:v>
                </c:pt>
                <c:pt idx="430">
                  <c:v>44960</c:v>
                </c:pt>
                <c:pt idx="431">
                  <c:v>44963</c:v>
                </c:pt>
                <c:pt idx="432">
                  <c:v>44964</c:v>
                </c:pt>
                <c:pt idx="433">
                  <c:v>44965</c:v>
                </c:pt>
                <c:pt idx="434">
                  <c:v>44966</c:v>
                </c:pt>
                <c:pt idx="435">
                  <c:v>44967</c:v>
                </c:pt>
                <c:pt idx="436">
                  <c:v>44970</c:v>
                </c:pt>
                <c:pt idx="437">
                  <c:v>44971</c:v>
                </c:pt>
                <c:pt idx="438">
                  <c:v>44972</c:v>
                </c:pt>
                <c:pt idx="439">
                  <c:v>44973</c:v>
                </c:pt>
                <c:pt idx="440">
                  <c:v>44974</c:v>
                </c:pt>
                <c:pt idx="441">
                  <c:v>44978</c:v>
                </c:pt>
                <c:pt idx="442">
                  <c:v>44979</c:v>
                </c:pt>
                <c:pt idx="443">
                  <c:v>44980</c:v>
                </c:pt>
                <c:pt idx="444">
                  <c:v>44981</c:v>
                </c:pt>
                <c:pt idx="445">
                  <c:v>44984</c:v>
                </c:pt>
                <c:pt idx="446">
                  <c:v>44985</c:v>
                </c:pt>
                <c:pt idx="447">
                  <c:v>44986</c:v>
                </c:pt>
                <c:pt idx="448">
                  <c:v>44987</c:v>
                </c:pt>
                <c:pt idx="449">
                  <c:v>44988</c:v>
                </c:pt>
                <c:pt idx="450">
                  <c:v>44991</c:v>
                </c:pt>
                <c:pt idx="451">
                  <c:v>44992</c:v>
                </c:pt>
                <c:pt idx="452">
                  <c:v>44993</c:v>
                </c:pt>
                <c:pt idx="453">
                  <c:v>44994</c:v>
                </c:pt>
                <c:pt idx="454">
                  <c:v>44995</c:v>
                </c:pt>
                <c:pt idx="455">
                  <c:v>44998</c:v>
                </c:pt>
                <c:pt idx="456">
                  <c:v>44999</c:v>
                </c:pt>
                <c:pt idx="457">
                  <c:v>45000</c:v>
                </c:pt>
                <c:pt idx="458">
                  <c:v>45001</c:v>
                </c:pt>
                <c:pt idx="459">
                  <c:v>45002</c:v>
                </c:pt>
                <c:pt idx="460">
                  <c:v>45005</c:v>
                </c:pt>
                <c:pt idx="461">
                  <c:v>45006</c:v>
                </c:pt>
                <c:pt idx="462">
                  <c:v>45007</c:v>
                </c:pt>
                <c:pt idx="463">
                  <c:v>45008</c:v>
                </c:pt>
                <c:pt idx="464">
                  <c:v>45009</c:v>
                </c:pt>
                <c:pt idx="465">
                  <c:v>45012</c:v>
                </c:pt>
                <c:pt idx="466">
                  <c:v>45013</c:v>
                </c:pt>
                <c:pt idx="467">
                  <c:v>45014</c:v>
                </c:pt>
                <c:pt idx="468">
                  <c:v>45015</c:v>
                </c:pt>
                <c:pt idx="469">
                  <c:v>45016</c:v>
                </c:pt>
                <c:pt idx="470">
                  <c:v>45019</c:v>
                </c:pt>
                <c:pt idx="471">
                  <c:v>45020</c:v>
                </c:pt>
                <c:pt idx="472">
                  <c:v>45021</c:v>
                </c:pt>
                <c:pt idx="473">
                  <c:v>45022</c:v>
                </c:pt>
                <c:pt idx="474">
                  <c:v>45026</c:v>
                </c:pt>
                <c:pt idx="475">
                  <c:v>45027</c:v>
                </c:pt>
                <c:pt idx="476">
                  <c:v>45028</c:v>
                </c:pt>
                <c:pt idx="477">
                  <c:v>45029</c:v>
                </c:pt>
                <c:pt idx="478">
                  <c:v>45030</c:v>
                </c:pt>
                <c:pt idx="479">
                  <c:v>45033</c:v>
                </c:pt>
                <c:pt idx="480">
                  <c:v>45034</c:v>
                </c:pt>
                <c:pt idx="481">
                  <c:v>45035</c:v>
                </c:pt>
                <c:pt idx="482">
                  <c:v>45036</c:v>
                </c:pt>
                <c:pt idx="483">
                  <c:v>45037</c:v>
                </c:pt>
                <c:pt idx="484">
                  <c:v>45040</c:v>
                </c:pt>
                <c:pt idx="485">
                  <c:v>45041</c:v>
                </c:pt>
                <c:pt idx="486">
                  <c:v>45042</c:v>
                </c:pt>
                <c:pt idx="487">
                  <c:v>45043</c:v>
                </c:pt>
                <c:pt idx="488">
                  <c:v>45044</c:v>
                </c:pt>
                <c:pt idx="489">
                  <c:v>45047</c:v>
                </c:pt>
                <c:pt idx="490">
                  <c:v>45048</c:v>
                </c:pt>
                <c:pt idx="491">
                  <c:v>45049</c:v>
                </c:pt>
                <c:pt idx="492">
                  <c:v>45050</c:v>
                </c:pt>
                <c:pt idx="493">
                  <c:v>45051</c:v>
                </c:pt>
                <c:pt idx="494">
                  <c:v>45054</c:v>
                </c:pt>
                <c:pt idx="495">
                  <c:v>45055</c:v>
                </c:pt>
                <c:pt idx="496">
                  <c:v>45056</c:v>
                </c:pt>
                <c:pt idx="497">
                  <c:v>45057</c:v>
                </c:pt>
                <c:pt idx="498">
                  <c:v>45058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45068</c:v>
                </c:pt>
                <c:pt idx="505">
                  <c:v>45069</c:v>
                </c:pt>
                <c:pt idx="506">
                  <c:v>45070</c:v>
                </c:pt>
                <c:pt idx="507">
                  <c:v>45071</c:v>
                </c:pt>
                <c:pt idx="508">
                  <c:v>45072</c:v>
                </c:pt>
                <c:pt idx="509">
                  <c:v>45076</c:v>
                </c:pt>
                <c:pt idx="510">
                  <c:v>45077</c:v>
                </c:pt>
                <c:pt idx="511">
                  <c:v>45078</c:v>
                </c:pt>
                <c:pt idx="512">
                  <c:v>45079</c:v>
                </c:pt>
                <c:pt idx="513">
                  <c:v>45082</c:v>
                </c:pt>
                <c:pt idx="514">
                  <c:v>45083</c:v>
                </c:pt>
                <c:pt idx="515">
                  <c:v>45084</c:v>
                </c:pt>
                <c:pt idx="516">
                  <c:v>45085</c:v>
                </c:pt>
                <c:pt idx="517">
                  <c:v>45086</c:v>
                </c:pt>
                <c:pt idx="518">
                  <c:v>45089</c:v>
                </c:pt>
                <c:pt idx="519">
                  <c:v>45090</c:v>
                </c:pt>
                <c:pt idx="520">
                  <c:v>45091</c:v>
                </c:pt>
                <c:pt idx="521">
                  <c:v>45092</c:v>
                </c:pt>
                <c:pt idx="522">
                  <c:v>45093</c:v>
                </c:pt>
                <c:pt idx="523">
                  <c:v>45097</c:v>
                </c:pt>
                <c:pt idx="524">
                  <c:v>45098</c:v>
                </c:pt>
                <c:pt idx="525">
                  <c:v>45099</c:v>
                </c:pt>
                <c:pt idx="526">
                  <c:v>45100</c:v>
                </c:pt>
                <c:pt idx="527">
                  <c:v>45103</c:v>
                </c:pt>
                <c:pt idx="528">
                  <c:v>45104</c:v>
                </c:pt>
                <c:pt idx="529">
                  <c:v>45105</c:v>
                </c:pt>
                <c:pt idx="530">
                  <c:v>45106</c:v>
                </c:pt>
                <c:pt idx="531">
                  <c:v>45107</c:v>
                </c:pt>
                <c:pt idx="532">
                  <c:v>45110</c:v>
                </c:pt>
                <c:pt idx="533">
                  <c:v>45112</c:v>
                </c:pt>
                <c:pt idx="534">
                  <c:v>45113</c:v>
                </c:pt>
                <c:pt idx="535">
                  <c:v>45114</c:v>
                </c:pt>
                <c:pt idx="536">
                  <c:v>45117</c:v>
                </c:pt>
                <c:pt idx="537">
                  <c:v>45118</c:v>
                </c:pt>
                <c:pt idx="538">
                  <c:v>45119</c:v>
                </c:pt>
                <c:pt idx="539">
                  <c:v>45120</c:v>
                </c:pt>
                <c:pt idx="540">
                  <c:v>45121</c:v>
                </c:pt>
                <c:pt idx="541">
                  <c:v>45124</c:v>
                </c:pt>
                <c:pt idx="542">
                  <c:v>45125</c:v>
                </c:pt>
                <c:pt idx="543">
                  <c:v>45126</c:v>
                </c:pt>
                <c:pt idx="544">
                  <c:v>45127</c:v>
                </c:pt>
                <c:pt idx="545">
                  <c:v>45128</c:v>
                </c:pt>
                <c:pt idx="546">
                  <c:v>45131</c:v>
                </c:pt>
                <c:pt idx="547">
                  <c:v>45132</c:v>
                </c:pt>
                <c:pt idx="548">
                  <c:v>45133</c:v>
                </c:pt>
                <c:pt idx="549">
                  <c:v>45134</c:v>
                </c:pt>
                <c:pt idx="550">
                  <c:v>45135</c:v>
                </c:pt>
                <c:pt idx="551">
                  <c:v>45138</c:v>
                </c:pt>
                <c:pt idx="552">
                  <c:v>45139</c:v>
                </c:pt>
                <c:pt idx="553">
                  <c:v>45140</c:v>
                </c:pt>
                <c:pt idx="554">
                  <c:v>45141</c:v>
                </c:pt>
                <c:pt idx="555">
                  <c:v>45142</c:v>
                </c:pt>
                <c:pt idx="556">
                  <c:v>45145</c:v>
                </c:pt>
                <c:pt idx="557">
                  <c:v>45146</c:v>
                </c:pt>
                <c:pt idx="558">
                  <c:v>45147</c:v>
                </c:pt>
                <c:pt idx="559">
                  <c:v>45148</c:v>
                </c:pt>
                <c:pt idx="560">
                  <c:v>45149</c:v>
                </c:pt>
                <c:pt idx="561">
                  <c:v>45152</c:v>
                </c:pt>
                <c:pt idx="562">
                  <c:v>45153</c:v>
                </c:pt>
                <c:pt idx="563">
                  <c:v>45154</c:v>
                </c:pt>
                <c:pt idx="564">
                  <c:v>45155</c:v>
                </c:pt>
                <c:pt idx="565">
                  <c:v>45156</c:v>
                </c:pt>
                <c:pt idx="566">
                  <c:v>45159</c:v>
                </c:pt>
                <c:pt idx="567">
                  <c:v>45160</c:v>
                </c:pt>
                <c:pt idx="568">
                  <c:v>45161</c:v>
                </c:pt>
                <c:pt idx="569">
                  <c:v>45162</c:v>
                </c:pt>
                <c:pt idx="570">
                  <c:v>45163</c:v>
                </c:pt>
                <c:pt idx="571">
                  <c:v>45166</c:v>
                </c:pt>
                <c:pt idx="572">
                  <c:v>45167</c:v>
                </c:pt>
                <c:pt idx="573">
                  <c:v>45168</c:v>
                </c:pt>
                <c:pt idx="574">
                  <c:v>45169</c:v>
                </c:pt>
                <c:pt idx="575">
                  <c:v>45170</c:v>
                </c:pt>
                <c:pt idx="576">
                  <c:v>45174</c:v>
                </c:pt>
                <c:pt idx="577">
                  <c:v>45175</c:v>
                </c:pt>
                <c:pt idx="578">
                  <c:v>45176</c:v>
                </c:pt>
                <c:pt idx="579">
                  <c:v>45177</c:v>
                </c:pt>
                <c:pt idx="580">
                  <c:v>45180</c:v>
                </c:pt>
                <c:pt idx="581">
                  <c:v>45181</c:v>
                </c:pt>
                <c:pt idx="582">
                  <c:v>45182</c:v>
                </c:pt>
                <c:pt idx="583">
                  <c:v>45183</c:v>
                </c:pt>
                <c:pt idx="584">
                  <c:v>45184</c:v>
                </c:pt>
                <c:pt idx="585">
                  <c:v>45187</c:v>
                </c:pt>
                <c:pt idx="586">
                  <c:v>45188</c:v>
                </c:pt>
                <c:pt idx="587">
                  <c:v>45189</c:v>
                </c:pt>
                <c:pt idx="588">
                  <c:v>45190</c:v>
                </c:pt>
                <c:pt idx="589">
                  <c:v>45191</c:v>
                </c:pt>
                <c:pt idx="590">
                  <c:v>45194</c:v>
                </c:pt>
                <c:pt idx="591">
                  <c:v>45195</c:v>
                </c:pt>
                <c:pt idx="592">
                  <c:v>45196</c:v>
                </c:pt>
                <c:pt idx="593">
                  <c:v>45197</c:v>
                </c:pt>
                <c:pt idx="594">
                  <c:v>45198</c:v>
                </c:pt>
                <c:pt idx="595">
                  <c:v>45201</c:v>
                </c:pt>
                <c:pt idx="596">
                  <c:v>45202</c:v>
                </c:pt>
                <c:pt idx="597">
                  <c:v>45203</c:v>
                </c:pt>
                <c:pt idx="598">
                  <c:v>45204</c:v>
                </c:pt>
                <c:pt idx="599">
                  <c:v>45205</c:v>
                </c:pt>
                <c:pt idx="600">
                  <c:v>45208</c:v>
                </c:pt>
                <c:pt idx="601">
                  <c:v>45209</c:v>
                </c:pt>
                <c:pt idx="602">
                  <c:v>45210</c:v>
                </c:pt>
                <c:pt idx="603">
                  <c:v>45211</c:v>
                </c:pt>
                <c:pt idx="604">
                  <c:v>45212</c:v>
                </c:pt>
                <c:pt idx="605">
                  <c:v>45215</c:v>
                </c:pt>
                <c:pt idx="606">
                  <c:v>45216</c:v>
                </c:pt>
                <c:pt idx="607">
                  <c:v>45217</c:v>
                </c:pt>
                <c:pt idx="608">
                  <c:v>45218</c:v>
                </c:pt>
                <c:pt idx="609">
                  <c:v>45219</c:v>
                </c:pt>
                <c:pt idx="610">
                  <c:v>45222</c:v>
                </c:pt>
                <c:pt idx="611">
                  <c:v>45223</c:v>
                </c:pt>
                <c:pt idx="612">
                  <c:v>45224</c:v>
                </c:pt>
                <c:pt idx="613">
                  <c:v>45225</c:v>
                </c:pt>
                <c:pt idx="614">
                  <c:v>45226</c:v>
                </c:pt>
                <c:pt idx="615">
                  <c:v>45229</c:v>
                </c:pt>
                <c:pt idx="616">
                  <c:v>45230</c:v>
                </c:pt>
                <c:pt idx="617">
                  <c:v>45231</c:v>
                </c:pt>
                <c:pt idx="618">
                  <c:v>45232</c:v>
                </c:pt>
                <c:pt idx="619">
                  <c:v>45233</c:v>
                </c:pt>
                <c:pt idx="620">
                  <c:v>45236</c:v>
                </c:pt>
                <c:pt idx="621">
                  <c:v>45237</c:v>
                </c:pt>
                <c:pt idx="622">
                  <c:v>45238</c:v>
                </c:pt>
                <c:pt idx="623">
                  <c:v>45239</c:v>
                </c:pt>
                <c:pt idx="624">
                  <c:v>45240</c:v>
                </c:pt>
                <c:pt idx="625">
                  <c:v>45243</c:v>
                </c:pt>
                <c:pt idx="626">
                  <c:v>45244</c:v>
                </c:pt>
                <c:pt idx="627">
                  <c:v>45245</c:v>
                </c:pt>
                <c:pt idx="628">
                  <c:v>45246</c:v>
                </c:pt>
                <c:pt idx="629">
                  <c:v>45247</c:v>
                </c:pt>
                <c:pt idx="630">
                  <c:v>45250</c:v>
                </c:pt>
                <c:pt idx="631">
                  <c:v>45251</c:v>
                </c:pt>
                <c:pt idx="632">
                  <c:v>45252</c:v>
                </c:pt>
                <c:pt idx="633">
                  <c:v>45254</c:v>
                </c:pt>
                <c:pt idx="634">
                  <c:v>45257</c:v>
                </c:pt>
                <c:pt idx="635">
                  <c:v>45258</c:v>
                </c:pt>
                <c:pt idx="636">
                  <c:v>45259</c:v>
                </c:pt>
                <c:pt idx="637">
                  <c:v>45260</c:v>
                </c:pt>
                <c:pt idx="638">
                  <c:v>45261</c:v>
                </c:pt>
                <c:pt idx="639">
                  <c:v>45264</c:v>
                </c:pt>
                <c:pt idx="640">
                  <c:v>45265</c:v>
                </c:pt>
                <c:pt idx="641">
                  <c:v>45266</c:v>
                </c:pt>
                <c:pt idx="642">
                  <c:v>45267</c:v>
                </c:pt>
                <c:pt idx="643">
                  <c:v>45268</c:v>
                </c:pt>
                <c:pt idx="644">
                  <c:v>45271</c:v>
                </c:pt>
                <c:pt idx="645">
                  <c:v>45272</c:v>
                </c:pt>
                <c:pt idx="646">
                  <c:v>45273</c:v>
                </c:pt>
                <c:pt idx="647">
                  <c:v>45274</c:v>
                </c:pt>
                <c:pt idx="648">
                  <c:v>45275</c:v>
                </c:pt>
                <c:pt idx="649">
                  <c:v>45278</c:v>
                </c:pt>
                <c:pt idx="650">
                  <c:v>45279</c:v>
                </c:pt>
                <c:pt idx="651">
                  <c:v>45280</c:v>
                </c:pt>
                <c:pt idx="652">
                  <c:v>45281</c:v>
                </c:pt>
                <c:pt idx="653">
                  <c:v>45282</c:v>
                </c:pt>
                <c:pt idx="654">
                  <c:v>45286</c:v>
                </c:pt>
                <c:pt idx="655">
                  <c:v>45287</c:v>
                </c:pt>
                <c:pt idx="656">
                  <c:v>45288</c:v>
                </c:pt>
                <c:pt idx="657">
                  <c:v>45289</c:v>
                </c:pt>
                <c:pt idx="658">
                  <c:v>45293</c:v>
                </c:pt>
                <c:pt idx="659">
                  <c:v>45294</c:v>
                </c:pt>
                <c:pt idx="660">
                  <c:v>45295</c:v>
                </c:pt>
                <c:pt idx="661">
                  <c:v>45296</c:v>
                </c:pt>
                <c:pt idx="662">
                  <c:v>45299</c:v>
                </c:pt>
                <c:pt idx="663">
                  <c:v>45300</c:v>
                </c:pt>
                <c:pt idx="664">
                  <c:v>45301</c:v>
                </c:pt>
                <c:pt idx="665">
                  <c:v>45302</c:v>
                </c:pt>
                <c:pt idx="666">
                  <c:v>45303</c:v>
                </c:pt>
                <c:pt idx="667">
                  <c:v>45307</c:v>
                </c:pt>
                <c:pt idx="668">
                  <c:v>45308</c:v>
                </c:pt>
                <c:pt idx="669">
                  <c:v>45309</c:v>
                </c:pt>
                <c:pt idx="670">
                  <c:v>45310</c:v>
                </c:pt>
                <c:pt idx="671">
                  <c:v>45313</c:v>
                </c:pt>
                <c:pt idx="672">
                  <c:v>45314</c:v>
                </c:pt>
                <c:pt idx="673">
                  <c:v>45315</c:v>
                </c:pt>
                <c:pt idx="674">
                  <c:v>45316</c:v>
                </c:pt>
                <c:pt idx="675">
                  <c:v>45317</c:v>
                </c:pt>
                <c:pt idx="676">
                  <c:v>45320</c:v>
                </c:pt>
                <c:pt idx="677">
                  <c:v>45321</c:v>
                </c:pt>
                <c:pt idx="678">
                  <c:v>45322</c:v>
                </c:pt>
                <c:pt idx="679">
                  <c:v>45323</c:v>
                </c:pt>
                <c:pt idx="680">
                  <c:v>45324</c:v>
                </c:pt>
                <c:pt idx="681">
                  <c:v>45327</c:v>
                </c:pt>
                <c:pt idx="682">
                  <c:v>45328</c:v>
                </c:pt>
                <c:pt idx="683">
                  <c:v>45329</c:v>
                </c:pt>
                <c:pt idx="684">
                  <c:v>45330</c:v>
                </c:pt>
                <c:pt idx="685">
                  <c:v>45331</c:v>
                </c:pt>
                <c:pt idx="686">
                  <c:v>45334</c:v>
                </c:pt>
                <c:pt idx="687">
                  <c:v>45335</c:v>
                </c:pt>
              </c:numCache>
            </c:numRef>
          </c:cat>
          <c:val>
            <c:numRef>
              <c:f>Catalysts!$B$2:$B$1147</c:f>
              <c:numCache>
                <c:formatCode>0.00</c:formatCode>
                <c:ptCount val="1146"/>
                <c:pt idx="0">
                  <c:v>20.200001</c:v>
                </c:pt>
                <c:pt idx="1">
                  <c:v>22.459999</c:v>
                </c:pt>
                <c:pt idx="2">
                  <c:v>20.73</c:v>
                </c:pt>
                <c:pt idx="3">
                  <c:v>21.200001</c:v>
                </c:pt>
                <c:pt idx="4">
                  <c:v>21.620000999999998</c:v>
                </c:pt>
                <c:pt idx="5">
                  <c:v>22.120000999999998</c:v>
                </c:pt>
                <c:pt idx="6">
                  <c:v>23.709999</c:v>
                </c:pt>
                <c:pt idx="7">
                  <c:v>25.15</c:v>
                </c:pt>
                <c:pt idx="8">
                  <c:v>23.809999000000001</c:v>
                </c:pt>
                <c:pt idx="9">
                  <c:v>23.879999000000002</c:v>
                </c:pt>
                <c:pt idx="10">
                  <c:v>23.83</c:v>
                </c:pt>
                <c:pt idx="11">
                  <c:v>25</c:v>
                </c:pt>
                <c:pt idx="12">
                  <c:v>26.99</c:v>
                </c:pt>
                <c:pt idx="13">
                  <c:v>26.309999000000001</c:v>
                </c:pt>
                <c:pt idx="14">
                  <c:v>26.65</c:v>
                </c:pt>
                <c:pt idx="15">
                  <c:v>28.73</c:v>
                </c:pt>
                <c:pt idx="16">
                  <c:v>27.370000999999998</c:v>
                </c:pt>
                <c:pt idx="17">
                  <c:v>27.82</c:v>
                </c:pt>
                <c:pt idx="18">
                  <c:v>27.49</c:v>
                </c:pt>
                <c:pt idx="19">
                  <c:v>26.73</c:v>
                </c:pt>
                <c:pt idx="20">
                  <c:v>26</c:v>
                </c:pt>
                <c:pt idx="21">
                  <c:v>26.33</c:v>
                </c:pt>
                <c:pt idx="22">
                  <c:v>25.799999</c:v>
                </c:pt>
                <c:pt idx="23">
                  <c:v>25.84</c:v>
                </c:pt>
                <c:pt idx="24">
                  <c:v>24.809999000000001</c:v>
                </c:pt>
                <c:pt idx="25">
                  <c:v>24.4</c:v>
                </c:pt>
                <c:pt idx="26">
                  <c:v>25.299999</c:v>
                </c:pt>
                <c:pt idx="27">
                  <c:v>25.75</c:v>
                </c:pt>
                <c:pt idx="28">
                  <c:v>24.459999</c:v>
                </c:pt>
                <c:pt idx="29">
                  <c:v>23.4</c:v>
                </c:pt>
                <c:pt idx="30">
                  <c:v>23.09</c:v>
                </c:pt>
                <c:pt idx="31">
                  <c:v>22.209999</c:v>
                </c:pt>
                <c:pt idx="32">
                  <c:v>22.450001</c:v>
                </c:pt>
                <c:pt idx="33">
                  <c:v>23.440000999999999</c:v>
                </c:pt>
                <c:pt idx="34">
                  <c:v>23</c:v>
                </c:pt>
                <c:pt idx="35">
                  <c:v>22.42</c:v>
                </c:pt>
                <c:pt idx="36">
                  <c:v>21.129999000000002</c:v>
                </c:pt>
                <c:pt idx="37">
                  <c:v>20.540001</c:v>
                </c:pt>
                <c:pt idx="38">
                  <c:v>19.48</c:v>
                </c:pt>
                <c:pt idx="39">
                  <c:v>19.280000999999999</c:v>
                </c:pt>
                <c:pt idx="40">
                  <c:v>19.68</c:v>
                </c:pt>
                <c:pt idx="41">
                  <c:v>19.450001</c:v>
                </c:pt>
                <c:pt idx="42">
                  <c:v>18.870000999999998</c:v>
                </c:pt>
                <c:pt idx="43">
                  <c:v>19.040001</c:v>
                </c:pt>
                <c:pt idx="44">
                  <c:v>18.469999000000001</c:v>
                </c:pt>
                <c:pt idx="45">
                  <c:v>18.649999999999999</c:v>
                </c:pt>
                <c:pt idx="46">
                  <c:v>17.5</c:v>
                </c:pt>
                <c:pt idx="47">
                  <c:v>18.120000999999998</c:v>
                </c:pt>
                <c:pt idx="48">
                  <c:v>18.290001</c:v>
                </c:pt>
                <c:pt idx="49">
                  <c:v>17.75</c:v>
                </c:pt>
                <c:pt idx="50">
                  <c:v>18.5</c:v>
                </c:pt>
                <c:pt idx="51">
                  <c:v>18.450001</c:v>
                </c:pt>
                <c:pt idx="52">
                  <c:v>18.040001</c:v>
                </c:pt>
                <c:pt idx="53">
                  <c:v>18.190000999999999</c:v>
                </c:pt>
                <c:pt idx="54">
                  <c:v>18.469999000000001</c:v>
                </c:pt>
                <c:pt idx="55">
                  <c:v>19.120000999999998</c:v>
                </c:pt>
                <c:pt idx="56">
                  <c:v>19.07</c:v>
                </c:pt>
                <c:pt idx="57">
                  <c:v>17.41</c:v>
                </c:pt>
                <c:pt idx="58">
                  <c:v>16.989999999999998</c:v>
                </c:pt>
                <c:pt idx="59">
                  <c:v>16.870000999999998</c:v>
                </c:pt>
                <c:pt idx="60">
                  <c:v>16.43</c:v>
                </c:pt>
                <c:pt idx="61">
                  <c:v>15.93</c:v>
                </c:pt>
                <c:pt idx="62">
                  <c:v>15.16</c:v>
                </c:pt>
                <c:pt idx="63">
                  <c:v>15.74</c:v>
                </c:pt>
                <c:pt idx="64">
                  <c:v>15.63</c:v>
                </c:pt>
                <c:pt idx="65">
                  <c:v>16.190000999999999</c:v>
                </c:pt>
                <c:pt idx="66">
                  <c:v>17.399999999999999</c:v>
                </c:pt>
                <c:pt idx="67">
                  <c:v>17.690000999999999</c:v>
                </c:pt>
                <c:pt idx="68">
                  <c:v>17.850000000000001</c:v>
                </c:pt>
                <c:pt idx="69">
                  <c:v>18.299999</c:v>
                </c:pt>
                <c:pt idx="70">
                  <c:v>18.809999000000001</c:v>
                </c:pt>
                <c:pt idx="71">
                  <c:v>18.219999000000001</c:v>
                </c:pt>
                <c:pt idx="72">
                  <c:v>17.829999999999998</c:v>
                </c:pt>
                <c:pt idx="73">
                  <c:v>17.66</c:v>
                </c:pt>
                <c:pt idx="74">
                  <c:v>16.84</c:v>
                </c:pt>
                <c:pt idx="75">
                  <c:v>17.16</c:v>
                </c:pt>
                <c:pt idx="76">
                  <c:v>16.889999</c:v>
                </c:pt>
                <c:pt idx="77">
                  <c:v>16.489999999999998</c:v>
                </c:pt>
                <c:pt idx="78">
                  <c:v>17.450001</c:v>
                </c:pt>
                <c:pt idx="79">
                  <c:v>17.870000999999998</c:v>
                </c:pt>
                <c:pt idx="80">
                  <c:v>16.93</c:v>
                </c:pt>
                <c:pt idx="81">
                  <c:v>16.969999000000001</c:v>
                </c:pt>
                <c:pt idx="82">
                  <c:v>16.309999000000001</c:v>
                </c:pt>
                <c:pt idx="83">
                  <c:v>16.27</c:v>
                </c:pt>
                <c:pt idx="84">
                  <c:v>16.049999</c:v>
                </c:pt>
                <c:pt idx="85">
                  <c:v>16.48</c:v>
                </c:pt>
                <c:pt idx="86">
                  <c:v>16.48</c:v>
                </c:pt>
                <c:pt idx="87">
                  <c:v>16.620000999999998</c:v>
                </c:pt>
                <c:pt idx="88">
                  <c:v>16.299999</c:v>
                </c:pt>
                <c:pt idx="89">
                  <c:v>16.030000999999999</c:v>
                </c:pt>
                <c:pt idx="90">
                  <c:v>15.91</c:v>
                </c:pt>
                <c:pt idx="91">
                  <c:v>15.11</c:v>
                </c:pt>
                <c:pt idx="92">
                  <c:v>15.12</c:v>
                </c:pt>
                <c:pt idx="93">
                  <c:v>14.75</c:v>
                </c:pt>
                <c:pt idx="94">
                  <c:v>13.81</c:v>
                </c:pt>
                <c:pt idx="95">
                  <c:v>13.63</c:v>
                </c:pt>
                <c:pt idx="96">
                  <c:v>13.5</c:v>
                </c:pt>
                <c:pt idx="97">
                  <c:v>14.73</c:v>
                </c:pt>
                <c:pt idx="98">
                  <c:v>14.6</c:v>
                </c:pt>
                <c:pt idx="99">
                  <c:v>14.15</c:v>
                </c:pt>
                <c:pt idx="100">
                  <c:v>14.19</c:v>
                </c:pt>
                <c:pt idx="101">
                  <c:v>14.33</c:v>
                </c:pt>
                <c:pt idx="102">
                  <c:v>14.87</c:v>
                </c:pt>
                <c:pt idx="103">
                  <c:v>14.51</c:v>
                </c:pt>
                <c:pt idx="104">
                  <c:v>14.28</c:v>
                </c:pt>
                <c:pt idx="105">
                  <c:v>14.63</c:v>
                </c:pt>
                <c:pt idx="106">
                  <c:v>14.51</c:v>
                </c:pt>
                <c:pt idx="107">
                  <c:v>14.17</c:v>
                </c:pt>
                <c:pt idx="108">
                  <c:v>14.01</c:v>
                </c:pt>
                <c:pt idx="109">
                  <c:v>14.17</c:v>
                </c:pt>
                <c:pt idx="110">
                  <c:v>13.89</c:v>
                </c:pt>
                <c:pt idx="111">
                  <c:v>12.99</c:v>
                </c:pt>
                <c:pt idx="112">
                  <c:v>13.33</c:v>
                </c:pt>
                <c:pt idx="113">
                  <c:v>12.89</c:v>
                </c:pt>
                <c:pt idx="114">
                  <c:v>13.19</c:v>
                </c:pt>
                <c:pt idx="115">
                  <c:v>12.83</c:v>
                </c:pt>
                <c:pt idx="116">
                  <c:v>13.67</c:v>
                </c:pt>
                <c:pt idx="117">
                  <c:v>13.19</c:v>
                </c:pt>
                <c:pt idx="118">
                  <c:v>13.15</c:v>
                </c:pt>
                <c:pt idx="119">
                  <c:v>12.67</c:v>
                </c:pt>
                <c:pt idx="120">
                  <c:v>12.9</c:v>
                </c:pt>
                <c:pt idx="121">
                  <c:v>12.36</c:v>
                </c:pt>
                <c:pt idx="122">
                  <c:v>11.3</c:v>
                </c:pt>
                <c:pt idx="123">
                  <c:v>11.82</c:v>
                </c:pt>
                <c:pt idx="124">
                  <c:v>9.36</c:v>
                </c:pt>
                <c:pt idx="125">
                  <c:v>10.18</c:v>
                </c:pt>
                <c:pt idx="126">
                  <c:v>9.44</c:v>
                </c:pt>
                <c:pt idx="127">
                  <c:v>9.8699999999999992</c:v>
                </c:pt>
                <c:pt idx="128">
                  <c:v>10.050000000000001</c:v>
                </c:pt>
                <c:pt idx="129">
                  <c:v>9.1999999999999993</c:v>
                </c:pt>
                <c:pt idx="130">
                  <c:v>9.52</c:v>
                </c:pt>
                <c:pt idx="131">
                  <c:v>9.81</c:v>
                </c:pt>
                <c:pt idx="132">
                  <c:v>9.67</c:v>
                </c:pt>
                <c:pt idx="133">
                  <c:v>9.31</c:v>
                </c:pt>
                <c:pt idx="134">
                  <c:v>8.9499999999999993</c:v>
                </c:pt>
                <c:pt idx="135">
                  <c:v>8.4</c:v>
                </c:pt>
                <c:pt idx="136">
                  <c:v>8.23</c:v>
                </c:pt>
                <c:pt idx="137">
                  <c:v>8</c:v>
                </c:pt>
                <c:pt idx="138">
                  <c:v>8.0299999999999994</c:v>
                </c:pt>
                <c:pt idx="139">
                  <c:v>8.77</c:v>
                </c:pt>
                <c:pt idx="140">
                  <c:v>8.8000000000000007</c:v>
                </c:pt>
                <c:pt idx="141">
                  <c:v>8.6300000000000008</c:v>
                </c:pt>
                <c:pt idx="142">
                  <c:v>8.5</c:v>
                </c:pt>
                <c:pt idx="143">
                  <c:v>8.19</c:v>
                </c:pt>
                <c:pt idx="144">
                  <c:v>8.1999999999999993</c:v>
                </c:pt>
                <c:pt idx="145">
                  <c:v>8.1</c:v>
                </c:pt>
                <c:pt idx="146">
                  <c:v>7.9</c:v>
                </c:pt>
                <c:pt idx="147">
                  <c:v>7.99</c:v>
                </c:pt>
                <c:pt idx="148">
                  <c:v>7.69</c:v>
                </c:pt>
                <c:pt idx="149">
                  <c:v>7.88</c:v>
                </c:pt>
                <c:pt idx="150">
                  <c:v>7.61</c:v>
                </c:pt>
                <c:pt idx="151">
                  <c:v>8.14</c:v>
                </c:pt>
                <c:pt idx="152">
                  <c:v>8.01</c:v>
                </c:pt>
                <c:pt idx="153">
                  <c:v>7.8</c:v>
                </c:pt>
                <c:pt idx="154">
                  <c:v>7.88</c:v>
                </c:pt>
                <c:pt idx="155">
                  <c:v>8.0399999999999991</c:v>
                </c:pt>
                <c:pt idx="156">
                  <c:v>7.96</c:v>
                </c:pt>
                <c:pt idx="157">
                  <c:v>8.3699999999999992</c:v>
                </c:pt>
                <c:pt idx="158">
                  <c:v>8.0399999999999991</c:v>
                </c:pt>
                <c:pt idx="159">
                  <c:v>7.9</c:v>
                </c:pt>
                <c:pt idx="160">
                  <c:v>8.1199999999999992</c:v>
                </c:pt>
                <c:pt idx="161">
                  <c:v>7.98</c:v>
                </c:pt>
                <c:pt idx="162">
                  <c:v>7.25</c:v>
                </c:pt>
                <c:pt idx="163">
                  <c:v>8.2100000000000009</c:v>
                </c:pt>
                <c:pt idx="164">
                  <c:v>7.82</c:v>
                </c:pt>
                <c:pt idx="165">
                  <c:v>7.72</c:v>
                </c:pt>
                <c:pt idx="166">
                  <c:v>7.41</c:v>
                </c:pt>
                <c:pt idx="167">
                  <c:v>7</c:v>
                </c:pt>
                <c:pt idx="168">
                  <c:v>6.91</c:v>
                </c:pt>
                <c:pt idx="169">
                  <c:v>6.83</c:v>
                </c:pt>
                <c:pt idx="170">
                  <c:v>6.53</c:v>
                </c:pt>
                <c:pt idx="171">
                  <c:v>6.88</c:v>
                </c:pt>
                <c:pt idx="172">
                  <c:v>6.85</c:v>
                </c:pt>
                <c:pt idx="173">
                  <c:v>6.68</c:v>
                </c:pt>
                <c:pt idx="174">
                  <c:v>6.25</c:v>
                </c:pt>
                <c:pt idx="175">
                  <c:v>6.65</c:v>
                </c:pt>
                <c:pt idx="176">
                  <c:v>7.11</c:v>
                </c:pt>
                <c:pt idx="177">
                  <c:v>7.3</c:v>
                </c:pt>
                <c:pt idx="178">
                  <c:v>7</c:v>
                </c:pt>
                <c:pt idx="179">
                  <c:v>6.73</c:v>
                </c:pt>
                <c:pt idx="180">
                  <c:v>6.88</c:v>
                </c:pt>
                <c:pt idx="181">
                  <c:v>7.1</c:v>
                </c:pt>
                <c:pt idx="182">
                  <c:v>7.25</c:v>
                </c:pt>
                <c:pt idx="183">
                  <c:v>7.62</c:v>
                </c:pt>
                <c:pt idx="184">
                  <c:v>7.53</c:v>
                </c:pt>
                <c:pt idx="185">
                  <c:v>7.33</c:v>
                </c:pt>
                <c:pt idx="186">
                  <c:v>7.36</c:v>
                </c:pt>
                <c:pt idx="187">
                  <c:v>7.87</c:v>
                </c:pt>
                <c:pt idx="188">
                  <c:v>7.8</c:v>
                </c:pt>
                <c:pt idx="189">
                  <c:v>7.31</c:v>
                </c:pt>
                <c:pt idx="190">
                  <c:v>6.97</c:v>
                </c:pt>
                <c:pt idx="191">
                  <c:v>6.83</c:v>
                </c:pt>
                <c:pt idx="192">
                  <c:v>6.36</c:v>
                </c:pt>
                <c:pt idx="193">
                  <c:v>6.82</c:v>
                </c:pt>
                <c:pt idx="194">
                  <c:v>6.73</c:v>
                </c:pt>
                <c:pt idx="195">
                  <c:v>6.75</c:v>
                </c:pt>
                <c:pt idx="196">
                  <c:v>6.7</c:v>
                </c:pt>
                <c:pt idx="197">
                  <c:v>6.73</c:v>
                </c:pt>
                <c:pt idx="198">
                  <c:v>6.66</c:v>
                </c:pt>
                <c:pt idx="199">
                  <c:v>6.18</c:v>
                </c:pt>
                <c:pt idx="200">
                  <c:v>5.71</c:v>
                </c:pt>
                <c:pt idx="201">
                  <c:v>5.73</c:v>
                </c:pt>
                <c:pt idx="202">
                  <c:v>5.72</c:v>
                </c:pt>
                <c:pt idx="203">
                  <c:v>5.37</c:v>
                </c:pt>
                <c:pt idx="204">
                  <c:v>4.99</c:v>
                </c:pt>
                <c:pt idx="205">
                  <c:v>4.71</c:v>
                </c:pt>
                <c:pt idx="206">
                  <c:v>4.8</c:v>
                </c:pt>
                <c:pt idx="207">
                  <c:v>5.23</c:v>
                </c:pt>
                <c:pt idx="208">
                  <c:v>5.29</c:v>
                </c:pt>
                <c:pt idx="209">
                  <c:v>5.72</c:v>
                </c:pt>
                <c:pt idx="210">
                  <c:v>5.49</c:v>
                </c:pt>
                <c:pt idx="211">
                  <c:v>5.53</c:v>
                </c:pt>
                <c:pt idx="212">
                  <c:v>5.31</c:v>
                </c:pt>
                <c:pt idx="213">
                  <c:v>5.19</c:v>
                </c:pt>
                <c:pt idx="214">
                  <c:v>5.12</c:v>
                </c:pt>
                <c:pt idx="215">
                  <c:v>5.03</c:v>
                </c:pt>
                <c:pt idx="216">
                  <c:v>5.4</c:v>
                </c:pt>
                <c:pt idx="217">
                  <c:v>5.04</c:v>
                </c:pt>
                <c:pt idx="218">
                  <c:v>5.01</c:v>
                </c:pt>
                <c:pt idx="219">
                  <c:v>5.08</c:v>
                </c:pt>
                <c:pt idx="220">
                  <c:v>5.33</c:v>
                </c:pt>
                <c:pt idx="221">
                  <c:v>5.1100000000000003</c:v>
                </c:pt>
                <c:pt idx="222">
                  <c:v>4.68</c:v>
                </c:pt>
                <c:pt idx="223">
                  <c:v>4.5199999999999996</c:v>
                </c:pt>
                <c:pt idx="224">
                  <c:v>4.45</c:v>
                </c:pt>
                <c:pt idx="225">
                  <c:v>4.46</c:v>
                </c:pt>
                <c:pt idx="226">
                  <c:v>4.3099999999999996</c:v>
                </c:pt>
                <c:pt idx="227">
                  <c:v>4.37</c:v>
                </c:pt>
                <c:pt idx="228">
                  <c:v>4.34</c:v>
                </c:pt>
                <c:pt idx="229">
                  <c:v>4.12</c:v>
                </c:pt>
                <c:pt idx="230">
                  <c:v>4.26</c:v>
                </c:pt>
                <c:pt idx="231">
                  <c:v>4.0599999999999996</c:v>
                </c:pt>
                <c:pt idx="232">
                  <c:v>3.85</c:v>
                </c:pt>
                <c:pt idx="233">
                  <c:v>3.83</c:v>
                </c:pt>
                <c:pt idx="234">
                  <c:v>3.83</c:v>
                </c:pt>
                <c:pt idx="235">
                  <c:v>3.5</c:v>
                </c:pt>
                <c:pt idx="236">
                  <c:v>3.57</c:v>
                </c:pt>
                <c:pt idx="237">
                  <c:v>3.68</c:v>
                </c:pt>
                <c:pt idx="238">
                  <c:v>3.56</c:v>
                </c:pt>
                <c:pt idx="239">
                  <c:v>3.68</c:v>
                </c:pt>
                <c:pt idx="240">
                  <c:v>3.49</c:v>
                </c:pt>
                <c:pt idx="241">
                  <c:v>3.94</c:v>
                </c:pt>
                <c:pt idx="242">
                  <c:v>3.6</c:v>
                </c:pt>
                <c:pt idx="243">
                  <c:v>3.32</c:v>
                </c:pt>
                <c:pt idx="244">
                  <c:v>3.04</c:v>
                </c:pt>
                <c:pt idx="245">
                  <c:v>2.95</c:v>
                </c:pt>
                <c:pt idx="246">
                  <c:v>2.85</c:v>
                </c:pt>
                <c:pt idx="247">
                  <c:v>3.07</c:v>
                </c:pt>
                <c:pt idx="248">
                  <c:v>3.71</c:v>
                </c:pt>
                <c:pt idx="249">
                  <c:v>3.63</c:v>
                </c:pt>
                <c:pt idx="250">
                  <c:v>3.69</c:v>
                </c:pt>
                <c:pt idx="251">
                  <c:v>3.58</c:v>
                </c:pt>
                <c:pt idx="252">
                  <c:v>3.56</c:v>
                </c:pt>
                <c:pt idx="253">
                  <c:v>3.66</c:v>
                </c:pt>
                <c:pt idx="254">
                  <c:v>3.7</c:v>
                </c:pt>
                <c:pt idx="255">
                  <c:v>3.44</c:v>
                </c:pt>
                <c:pt idx="256">
                  <c:v>3.72</c:v>
                </c:pt>
                <c:pt idx="257">
                  <c:v>3.85</c:v>
                </c:pt>
                <c:pt idx="258">
                  <c:v>4.1900000000000004</c:v>
                </c:pt>
                <c:pt idx="259">
                  <c:v>4.13</c:v>
                </c:pt>
                <c:pt idx="260">
                  <c:v>4.05</c:v>
                </c:pt>
                <c:pt idx="261">
                  <c:v>4.12</c:v>
                </c:pt>
                <c:pt idx="262">
                  <c:v>4.05</c:v>
                </c:pt>
                <c:pt idx="263">
                  <c:v>4.12</c:v>
                </c:pt>
                <c:pt idx="264">
                  <c:v>4.17</c:v>
                </c:pt>
                <c:pt idx="265">
                  <c:v>4.32</c:v>
                </c:pt>
                <c:pt idx="266">
                  <c:v>4.0999999999999996</c:v>
                </c:pt>
                <c:pt idx="267">
                  <c:v>3.89</c:v>
                </c:pt>
                <c:pt idx="268">
                  <c:v>3.69</c:v>
                </c:pt>
                <c:pt idx="269">
                  <c:v>3.76</c:v>
                </c:pt>
                <c:pt idx="270">
                  <c:v>4.04</c:v>
                </c:pt>
                <c:pt idx="271">
                  <c:v>3.77</c:v>
                </c:pt>
                <c:pt idx="272">
                  <c:v>3.73</c:v>
                </c:pt>
                <c:pt idx="273">
                  <c:v>3.94</c:v>
                </c:pt>
                <c:pt idx="274">
                  <c:v>3.8</c:v>
                </c:pt>
                <c:pt idx="275">
                  <c:v>3.94</c:v>
                </c:pt>
                <c:pt idx="276">
                  <c:v>4.08</c:v>
                </c:pt>
                <c:pt idx="277">
                  <c:v>3.96</c:v>
                </c:pt>
                <c:pt idx="278">
                  <c:v>3.69</c:v>
                </c:pt>
                <c:pt idx="279">
                  <c:v>3.52</c:v>
                </c:pt>
                <c:pt idx="280">
                  <c:v>3.46</c:v>
                </c:pt>
                <c:pt idx="281">
                  <c:v>3.64</c:v>
                </c:pt>
                <c:pt idx="282">
                  <c:v>3.96</c:v>
                </c:pt>
                <c:pt idx="283">
                  <c:v>4.07</c:v>
                </c:pt>
                <c:pt idx="284">
                  <c:v>4.1100000000000003</c:v>
                </c:pt>
                <c:pt idx="285">
                  <c:v>4.09</c:v>
                </c:pt>
                <c:pt idx="286">
                  <c:v>3.85</c:v>
                </c:pt>
                <c:pt idx="287">
                  <c:v>3.82</c:v>
                </c:pt>
                <c:pt idx="288">
                  <c:v>3.83</c:v>
                </c:pt>
                <c:pt idx="289">
                  <c:v>3.58</c:v>
                </c:pt>
                <c:pt idx="290">
                  <c:v>3.59</c:v>
                </c:pt>
                <c:pt idx="291">
                  <c:v>3.64</c:v>
                </c:pt>
                <c:pt idx="292">
                  <c:v>4.0599999999999996</c:v>
                </c:pt>
                <c:pt idx="293">
                  <c:v>4.18</c:v>
                </c:pt>
                <c:pt idx="294">
                  <c:v>4.12</c:v>
                </c:pt>
                <c:pt idx="295">
                  <c:v>3.78</c:v>
                </c:pt>
                <c:pt idx="296">
                  <c:v>3.69</c:v>
                </c:pt>
                <c:pt idx="297">
                  <c:v>3.5</c:v>
                </c:pt>
                <c:pt idx="298">
                  <c:v>3.58</c:v>
                </c:pt>
                <c:pt idx="299">
                  <c:v>3.75</c:v>
                </c:pt>
                <c:pt idx="300">
                  <c:v>3.72</c:v>
                </c:pt>
                <c:pt idx="301">
                  <c:v>3.92</c:v>
                </c:pt>
                <c:pt idx="302">
                  <c:v>3.24</c:v>
                </c:pt>
                <c:pt idx="303">
                  <c:v>3.53</c:v>
                </c:pt>
                <c:pt idx="304">
                  <c:v>3.73</c:v>
                </c:pt>
                <c:pt idx="305">
                  <c:v>3.97</c:v>
                </c:pt>
                <c:pt idx="306">
                  <c:v>4.04</c:v>
                </c:pt>
                <c:pt idx="307">
                  <c:v>3.73</c:v>
                </c:pt>
                <c:pt idx="308">
                  <c:v>3.89</c:v>
                </c:pt>
                <c:pt idx="309">
                  <c:v>4.01</c:v>
                </c:pt>
                <c:pt idx="310">
                  <c:v>4.0999999999999996</c:v>
                </c:pt>
                <c:pt idx="311">
                  <c:v>4.07</c:v>
                </c:pt>
                <c:pt idx="312">
                  <c:v>3.99</c:v>
                </c:pt>
                <c:pt idx="313">
                  <c:v>3.77</c:v>
                </c:pt>
                <c:pt idx="314">
                  <c:v>3.68</c:v>
                </c:pt>
                <c:pt idx="315">
                  <c:v>3.39</c:v>
                </c:pt>
                <c:pt idx="316">
                  <c:v>3.28</c:v>
                </c:pt>
                <c:pt idx="317">
                  <c:v>3.31</c:v>
                </c:pt>
                <c:pt idx="318">
                  <c:v>3.33</c:v>
                </c:pt>
                <c:pt idx="319">
                  <c:v>3.51</c:v>
                </c:pt>
                <c:pt idx="320">
                  <c:v>3.25</c:v>
                </c:pt>
                <c:pt idx="321">
                  <c:v>3.27</c:v>
                </c:pt>
                <c:pt idx="322">
                  <c:v>3.22</c:v>
                </c:pt>
                <c:pt idx="323">
                  <c:v>3.23</c:v>
                </c:pt>
                <c:pt idx="324">
                  <c:v>3.16</c:v>
                </c:pt>
                <c:pt idx="325">
                  <c:v>3.03</c:v>
                </c:pt>
                <c:pt idx="326">
                  <c:v>2.94</c:v>
                </c:pt>
                <c:pt idx="327">
                  <c:v>3.13</c:v>
                </c:pt>
                <c:pt idx="328">
                  <c:v>3.21</c:v>
                </c:pt>
                <c:pt idx="329">
                  <c:v>3.27</c:v>
                </c:pt>
                <c:pt idx="330">
                  <c:v>3.3</c:v>
                </c:pt>
                <c:pt idx="331">
                  <c:v>3.06</c:v>
                </c:pt>
                <c:pt idx="332">
                  <c:v>2.99</c:v>
                </c:pt>
                <c:pt idx="333">
                  <c:v>2.98</c:v>
                </c:pt>
                <c:pt idx="334">
                  <c:v>2.99</c:v>
                </c:pt>
                <c:pt idx="335">
                  <c:v>2.94</c:v>
                </c:pt>
                <c:pt idx="336">
                  <c:v>2.75</c:v>
                </c:pt>
                <c:pt idx="337">
                  <c:v>2.8</c:v>
                </c:pt>
                <c:pt idx="338">
                  <c:v>2.68</c:v>
                </c:pt>
                <c:pt idx="339">
                  <c:v>2.69</c:v>
                </c:pt>
                <c:pt idx="340">
                  <c:v>2.59</c:v>
                </c:pt>
                <c:pt idx="341">
                  <c:v>2.69</c:v>
                </c:pt>
                <c:pt idx="342">
                  <c:v>2.79</c:v>
                </c:pt>
                <c:pt idx="343">
                  <c:v>2.56</c:v>
                </c:pt>
                <c:pt idx="344">
                  <c:v>2.63</c:v>
                </c:pt>
                <c:pt idx="345">
                  <c:v>2.68</c:v>
                </c:pt>
                <c:pt idx="346">
                  <c:v>2.85</c:v>
                </c:pt>
                <c:pt idx="347">
                  <c:v>2.77</c:v>
                </c:pt>
                <c:pt idx="348">
                  <c:v>2.75</c:v>
                </c:pt>
                <c:pt idx="349">
                  <c:v>2.5499999999999998</c:v>
                </c:pt>
                <c:pt idx="350">
                  <c:v>2.48</c:v>
                </c:pt>
                <c:pt idx="351">
                  <c:v>2.4700000000000002</c:v>
                </c:pt>
                <c:pt idx="352">
                  <c:v>2.4300000000000002</c:v>
                </c:pt>
                <c:pt idx="353">
                  <c:v>2.4</c:v>
                </c:pt>
                <c:pt idx="354">
                  <c:v>2.25</c:v>
                </c:pt>
                <c:pt idx="355">
                  <c:v>2.2400000000000002</c:v>
                </c:pt>
                <c:pt idx="356">
                  <c:v>2.2400000000000002</c:v>
                </c:pt>
                <c:pt idx="357">
                  <c:v>2.13</c:v>
                </c:pt>
                <c:pt idx="358">
                  <c:v>2.11</c:v>
                </c:pt>
                <c:pt idx="359">
                  <c:v>2.0499999999999998</c:v>
                </c:pt>
                <c:pt idx="360">
                  <c:v>2.0099999999999998</c:v>
                </c:pt>
                <c:pt idx="361">
                  <c:v>2.12</c:v>
                </c:pt>
                <c:pt idx="362">
                  <c:v>2.11</c:v>
                </c:pt>
                <c:pt idx="363">
                  <c:v>2.12</c:v>
                </c:pt>
                <c:pt idx="364">
                  <c:v>2.17</c:v>
                </c:pt>
                <c:pt idx="365">
                  <c:v>2.2000000000000002</c:v>
                </c:pt>
                <c:pt idx="366">
                  <c:v>2.17</c:v>
                </c:pt>
                <c:pt idx="367">
                  <c:v>2.04</c:v>
                </c:pt>
                <c:pt idx="368">
                  <c:v>1.97</c:v>
                </c:pt>
                <c:pt idx="369">
                  <c:v>2.04</c:v>
                </c:pt>
                <c:pt idx="370">
                  <c:v>1.99</c:v>
                </c:pt>
                <c:pt idx="371">
                  <c:v>2.02</c:v>
                </c:pt>
                <c:pt idx="372">
                  <c:v>1.88</c:v>
                </c:pt>
                <c:pt idx="373">
                  <c:v>2.11</c:v>
                </c:pt>
                <c:pt idx="374">
                  <c:v>2.4500000000000002</c:v>
                </c:pt>
                <c:pt idx="375">
                  <c:v>2.14</c:v>
                </c:pt>
                <c:pt idx="376">
                  <c:v>2.04</c:v>
                </c:pt>
                <c:pt idx="377">
                  <c:v>1.94</c:v>
                </c:pt>
                <c:pt idx="378">
                  <c:v>1.88</c:v>
                </c:pt>
                <c:pt idx="379">
                  <c:v>1.95</c:v>
                </c:pt>
                <c:pt idx="380">
                  <c:v>1.83</c:v>
                </c:pt>
                <c:pt idx="381">
                  <c:v>1.67</c:v>
                </c:pt>
                <c:pt idx="382">
                  <c:v>1.6</c:v>
                </c:pt>
                <c:pt idx="383">
                  <c:v>1.6</c:v>
                </c:pt>
                <c:pt idx="384">
                  <c:v>1.58</c:v>
                </c:pt>
                <c:pt idx="385">
                  <c:v>1.56</c:v>
                </c:pt>
                <c:pt idx="386">
                  <c:v>1.63</c:v>
                </c:pt>
                <c:pt idx="387">
                  <c:v>1.65</c:v>
                </c:pt>
                <c:pt idx="388">
                  <c:v>1.62</c:v>
                </c:pt>
                <c:pt idx="389">
                  <c:v>1.54</c:v>
                </c:pt>
                <c:pt idx="390">
                  <c:v>1.49</c:v>
                </c:pt>
                <c:pt idx="391">
                  <c:v>1.41</c:v>
                </c:pt>
                <c:pt idx="392">
                  <c:v>1.42</c:v>
                </c:pt>
                <c:pt idx="393">
                  <c:v>1.42</c:v>
                </c:pt>
                <c:pt idx="394">
                  <c:v>1.36</c:v>
                </c:pt>
                <c:pt idx="395">
                  <c:v>1.4</c:v>
                </c:pt>
                <c:pt idx="396">
                  <c:v>1.35</c:v>
                </c:pt>
                <c:pt idx="397">
                  <c:v>1.33</c:v>
                </c:pt>
                <c:pt idx="398">
                  <c:v>1.36</c:v>
                </c:pt>
                <c:pt idx="399">
                  <c:v>1.34</c:v>
                </c:pt>
                <c:pt idx="400">
                  <c:v>1.37</c:v>
                </c:pt>
                <c:pt idx="401">
                  <c:v>1.52</c:v>
                </c:pt>
                <c:pt idx="402">
                  <c:v>1.52</c:v>
                </c:pt>
                <c:pt idx="403">
                  <c:v>1.42</c:v>
                </c:pt>
                <c:pt idx="404">
                  <c:v>1.41</c:v>
                </c:pt>
                <c:pt idx="405">
                  <c:v>1.56</c:v>
                </c:pt>
                <c:pt idx="406">
                  <c:v>1.75</c:v>
                </c:pt>
                <c:pt idx="407">
                  <c:v>1.74</c:v>
                </c:pt>
                <c:pt idx="408">
                  <c:v>2.0099999999999998</c:v>
                </c:pt>
                <c:pt idx="409">
                  <c:v>2.29</c:v>
                </c:pt>
                <c:pt idx="410">
                  <c:v>2.33</c:v>
                </c:pt>
                <c:pt idx="411">
                  <c:v>2.54</c:v>
                </c:pt>
                <c:pt idx="412">
                  <c:v>2.38</c:v>
                </c:pt>
                <c:pt idx="413">
                  <c:v>2.7</c:v>
                </c:pt>
                <c:pt idx="414">
                  <c:v>2.75</c:v>
                </c:pt>
                <c:pt idx="415">
                  <c:v>2.65</c:v>
                </c:pt>
                <c:pt idx="416">
                  <c:v>2.52</c:v>
                </c:pt>
                <c:pt idx="417">
                  <c:v>2.69</c:v>
                </c:pt>
                <c:pt idx="418">
                  <c:v>2.58</c:v>
                </c:pt>
                <c:pt idx="419">
                  <c:v>2.4900000000000002</c:v>
                </c:pt>
                <c:pt idx="420">
                  <c:v>2.54</c:v>
                </c:pt>
                <c:pt idx="421">
                  <c:v>2.63</c:v>
                </c:pt>
                <c:pt idx="422">
                  <c:v>2.41</c:v>
                </c:pt>
                <c:pt idx="423">
                  <c:v>2.21</c:v>
                </c:pt>
                <c:pt idx="424">
                  <c:v>2.2000000000000002</c:v>
                </c:pt>
                <c:pt idx="425">
                  <c:v>2.33</c:v>
                </c:pt>
                <c:pt idx="426">
                  <c:v>2.34</c:v>
                </c:pt>
                <c:pt idx="427">
                  <c:v>2.44</c:v>
                </c:pt>
                <c:pt idx="428">
                  <c:v>2.59</c:v>
                </c:pt>
                <c:pt idx="429">
                  <c:v>2.7</c:v>
                </c:pt>
                <c:pt idx="430">
                  <c:v>2.63</c:v>
                </c:pt>
                <c:pt idx="431">
                  <c:v>2.4300000000000002</c:v>
                </c:pt>
                <c:pt idx="432">
                  <c:v>2.31</c:v>
                </c:pt>
                <c:pt idx="433">
                  <c:v>2.2200000000000002</c:v>
                </c:pt>
                <c:pt idx="434">
                  <c:v>2.15</c:v>
                </c:pt>
                <c:pt idx="435">
                  <c:v>2.09</c:v>
                </c:pt>
                <c:pt idx="436">
                  <c:v>2.13</c:v>
                </c:pt>
                <c:pt idx="437">
                  <c:v>2.13</c:v>
                </c:pt>
                <c:pt idx="438">
                  <c:v>2.2200000000000002</c:v>
                </c:pt>
                <c:pt idx="439">
                  <c:v>2.0699999999999998</c:v>
                </c:pt>
                <c:pt idx="440">
                  <c:v>2.21</c:v>
                </c:pt>
                <c:pt idx="441">
                  <c:v>2.06</c:v>
                </c:pt>
                <c:pt idx="442">
                  <c:v>2.19</c:v>
                </c:pt>
                <c:pt idx="443">
                  <c:v>2.27</c:v>
                </c:pt>
                <c:pt idx="444">
                  <c:v>2.13</c:v>
                </c:pt>
                <c:pt idx="445">
                  <c:v>2.23</c:v>
                </c:pt>
                <c:pt idx="446">
                  <c:v>2.2000000000000002</c:v>
                </c:pt>
                <c:pt idx="447">
                  <c:v>2.17</c:v>
                </c:pt>
                <c:pt idx="448">
                  <c:v>2.27</c:v>
                </c:pt>
                <c:pt idx="449">
                  <c:v>2.39</c:v>
                </c:pt>
                <c:pt idx="450">
                  <c:v>2.2999999999999998</c:v>
                </c:pt>
                <c:pt idx="451">
                  <c:v>2.33</c:v>
                </c:pt>
                <c:pt idx="452">
                  <c:v>2.27</c:v>
                </c:pt>
                <c:pt idx="453">
                  <c:v>2.16</c:v>
                </c:pt>
                <c:pt idx="454">
                  <c:v>2.02</c:v>
                </c:pt>
                <c:pt idx="455">
                  <c:v>2</c:v>
                </c:pt>
                <c:pt idx="456">
                  <c:v>2.06</c:v>
                </c:pt>
                <c:pt idx="457">
                  <c:v>2.13</c:v>
                </c:pt>
                <c:pt idx="458">
                  <c:v>2.17</c:v>
                </c:pt>
                <c:pt idx="459">
                  <c:v>2.31</c:v>
                </c:pt>
                <c:pt idx="460">
                  <c:v>2.4300000000000002</c:v>
                </c:pt>
                <c:pt idx="461">
                  <c:v>2.64</c:v>
                </c:pt>
                <c:pt idx="462">
                  <c:v>2.5</c:v>
                </c:pt>
                <c:pt idx="463">
                  <c:v>2.4</c:v>
                </c:pt>
                <c:pt idx="464">
                  <c:v>2.39</c:v>
                </c:pt>
                <c:pt idx="465">
                  <c:v>2.37</c:v>
                </c:pt>
                <c:pt idx="466">
                  <c:v>2.36</c:v>
                </c:pt>
                <c:pt idx="467">
                  <c:v>2.3199999999999998</c:v>
                </c:pt>
                <c:pt idx="468">
                  <c:v>2.39</c:v>
                </c:pt>
                <c:pt idx="469">
                  <c:v>2.42</c:v>
                </c:pt>
                <c:pt idx="470">
                  <c:v>2.56</c:v>
                </c:pt>
                <c:pt idx="471">
                  <c:v>2.54</c:v>
                </c:pt>
                <c:pt idx="472">
                  <c:v>2.34</c:v>
                </c:pt>
                <c:pt idx="473">
                  <c:v>2.2799999999999998</c:v>
                </c:pt>
                <c:pt idx="474">
                  <c:v>2.31</c:v>
                </c:pt>
                <c:pt idx="475">
                  <c:v>2.2799999999999998</c:v>
                </c:pt>
                <c:pt idx="476">
                  <c:v>2.25</c:v>
                </c:pt>
                <c:pt idx="477">
                  <c:v>2.29</c:v>
                </c:pt>
                <c:pt idx="478">
                  <c:v>2.2799999999999998</c:v>
                </c:pt>
                <c:pt idx="479">
                  <c:v>2.27</c:v>
                </c:pt>
                <c:pt idx="480">
                  <c:v>2.39</c:v>
                </c:pt>
                <c:pt idx="481">
                  <c:v>2.36</c:v>
                </c:pt>
                <c:pt idx="482">
                  <c:v>2.2200000000000002</c:v>
                </c:pt>
                <c:pt idx="483">
                  <c:v>2.25</c:v>
                </c:pt>
                <c:pt idx="484">
                  <c:v>2.2799999999999998</c:v>
                </c:pt>
                <c:pt idx="485">
                  <c:v>2.21</c:v>
                </c:pt>
                <c:pt idx="486">
                  <c:v>2.33</c:v>
                </c:pt>
                <c:pt idx="487">
                  <c:v>2.38</c:v>
                </c:pt>
                <c:pt idx="488">
                  <c:v>2.33</c:v>
                </c:pt>
                <c:pt idx="489">
                  <c:v>2.2400000000000002</c:v>
                </c:pt>
                <c:pt idx="490">
                  <c:v>2.2000000000000002</c:v>
                </c:pt>
                <c:pt idx="491">
                  <c:v>2.12</c:v>
                </c:pt>
                <c:pt idx="492">
                  <c:v>2.09</c:v>
                </c:pt>
                <c:pt idx="493">
                  <c:v>2.1</c:v>
                </c:pt>
                <c:pt idx="494">
                  <c:v>2.15</c:v>
                </c:pt>
                <c:pt idx="495">
                  <c:v>2.19</c:v>
                </c:pt>
                <c:pt idx="496">
                  <c:v>2.25</c:v>
                </c:pt>
                <c:pt idx="497">
                  <c:v>2.12</c:v>
                </c:pt>
                <c:pt idx="498">
                  <c:v>2.1</c:v>
                </c:pt>
                <c:pt idx="499">
                  <c:v>2</c:v>
                </c:pt>
                <c:pt idx="500">
                  <c:v>1.86</c:v>
                </c:pt>
                <c:pt idx="501">
                  <c:v>1.93</c:v>
                </c:pt>
                <c:pt idx="502">
                  <c:v>1.9</c:v>
                </c:pt>
                <c:pt idx="503">
                  <c:v>1.78</c:v>
                </c:pt>
                <c:pt idx="504">
                  <c:v>1.85</c:v>
                </c:pt>
                <c:pt idx="505">
                  <c:v>1.86</c:v>
                </c:pt>
                <c:pt idx="506">
                  <c:v>1.78</c:v>
                </c:pt>
                <c:pt idx="507">
                  <c:v>1.71</c:v>
                </c:pt>
                <c:pt idx="508">
                  <c:v>1.76</c:v>
                </c:pt>
                <c:pt idx="509">
                  <c:v>1.65</c:v>
                </c:pt>
                <c:pt idx="510">
                  <c:v>1.58</c:v>
                </c:pt>
                <c:pt idx="511">
                  <c:v>1.61</c:v>
                </c:pt>
                <c:pt idx="512">
                  <c:v>1.72</c:v>
                </c:pt>
                <c:pt idx="513">
                  <c:v>1.69</c:v>
                </c:pt>
                <c:pt idx="514">
                  <c:v>1.79</c:v>
                </c:pt>
                <c:pt idx="515">
                  <c:v>1.88</c:v>
                </c:pt>
                <c:pt idx="516">
                  <c:v>1.95</c:v>
                </c:pt>
                <c:pt idx="517">
                  <c:v>2.0099999999999998</c:v>
                </c:pt>
                <c:pt idx="518">
                  <c:v>2.04</c:v>
                </c:pt>
                <c:pt idx="519">
                  <c:v>2.08</c:v>
                </c:pt>
                <c:pt idx="520">
                  <c:v>2.0099999999999998</c:v>
                </c:pt>
                <c:pt idx="521">
                  <c:v>1.94</c:v>
                </c:pt>
                <c:pt idx="522">
                  <c:v>1.87</c:v>
                </c:pt>
                <c:pt idx="523">
                  <c:v>1.78</c:v>
                </c:pt>
                <c:pt idx="524">
                  <c:v>1.75</c:v>
                </c:pt>
                <c:pt idx="525">
                  <c:v>1.81</c:v>
                </c:pt>
                <c:pt idx="526">
                  <c:v>1.81</c:v>
                </c:pt>
                <c:pt idx="527">
                  <c:v>1.82</c:v>
                </c:pt>
                <c:pt idx="528">
                  <c:v>1.82</c:v>
                </c:pt>
                <c:pt idx="529">
                  <c:v>1.89</c:v>
                </c:pt>
                <c:pt idx="530">
                  <c:v>2.04</c:v>
                </c:pt>
                <c:pt idx="531">
                  <c:v>2.0499999999999998</c:v>
                </c:pt>
                <c:pt idx="532">
                  <c:v>2.0099999999999998</c:v>
                </c:pt>
                <c:pt idx="533">
                  <c:v>1.95</c:v>
                </c:pt>
                <c:pt idx="534">
                  <c:v>1.88</c:v>
                </c:pt>
                <c:pt idx="535">
                  <c:v>1.98</c:v>
                </c:pt>
                <c:pt idx="536">
                  <c:v>1.95</c:v>
                </c:pt>
                <c:pt idx="537">
                  <c:v>1.92</c:v>
                </c:pt>
                <c:pt idx="538">
                  <c:v>2.0699999999999998</c:v>
                </c:pt>
                <c:pt idx="539">
                  <c:v>2.2000000000000002</c:v>
                </c:pt>
                <c:pt idx="540">
                  <c:v>2.09</c:v>
                </c:pt>
                <c:pt idx="541">
                  <c:v>2.1800000000000002</c:v>
                </c:pt>
                <c:pt idx="542">
                  <c:v>2.17</c:v>
                </c:pt>
                <c:pt idx="543">
                  <c:v>2.2599999999999998</c:v>
                </c:pt>
                <c:pt idx="544">
                  <c:v>2.17</c:v>
                </c:pt>
                <c:pt idx="545">
                  <c:v>2.16</c:v>
                </c:pt>
                <c:pt idx="546">
                  <c:v>2.11</c:v>
                </c:pt>
                <c:pt idx="547">
                  <c:v>2.1</c:v>
                </c:pt>
                <c:pt idx="548">
                  <c:v>2.17</c:v>
                </c:pt>
                <c:pt idx="549">
                  <c:v>1.65</c:v>
                </c:pt>
                <c:pt idx="550">
                  <c:v>1.64</c:v>
                </c:pt>
                <c:pt idx="551">
                  <c:v>1.59</c:v>
                </c:pt>
                <c:pt idx="552">
                  <c:v>1.53</c:v>
                </c:pt>
                <c:pt idx="553">
                  <c:v>1.43</c:v>
                </c:pt>
                <c:pt idx="554">
                  <c:v>1.47</c:v>
                </c:pt>
                <c:pt idx="555">
                  <c:v>1.45</c:v>
                </c:pt>
                <c:pt idx="556">
                  <c:v>1.46</c:v>
                </c:pt>
                <c:pt idx="557">
                  <c:v>1.41</c:v>
                </c:pt>
                <c:pt idx="558">
                  <c:v>1.35</c:v>
                </c:pt>
                <c:pt idx="559">
                  <c:v>1.39</c:v>
                </c:pt>
                <c:pt idx="560">
                  <c:v>1.45</c:v>
                </c:pt>
                <c:pt idx="561">
                  <c:v>1.44</c:v>
                </c:pt>
                <c:pt idx="562">
                  <c:v>1.37</c:v>
                </c:pt>
                <c:pt idx="563">
                  <c:v>1.32</c:v>
                </c:pt>
                <c:pt idx="564">
                  <c:v>1.33</c:v>
                </c:pt>
                <c:pt idx="565">
                  <c:v>1.3</c:v>
                </c:pt>
                <c:pt idx="566">
                  <c:v>1.29</c:v>
                </c:pt>
                <c:pt idx="567">
                  <c:v>1.25</c:v>
                </c:pt>
                <c:pt idx="568">
                  <c:v>1.24</c:v>
                </c:pt>
                <c:pt idx="569">
                  <c:v>1.21</c:v>
                </c:pt>
                <c:pt idx="570">
                  <c:v>1.25</c:v>
                </c:pt>
                <c:pt idx="571">
                  <c:v>1.23</c:v>
                </c:pt>
                <c:pt idx="572">
                  <c:v>1.34</c:v>
                </c:pt>
                <c:pt idx="573">
                  <c:v>1.28</c:v>
                </c:pt>
                <c:pt idx="574">
                  <c:v>1.23</c:v>
                </c:pt>
                <c:pt idx="575">
                  <c:v>1.26</c:v>
                </c:pt>
                <c:pt idx="576">
                  <c:v>1.23</c:v>
                </c:pt>
                <c:pt idx="577">
                  <c:v>1.21</c:v>
                </c:pt>
                <c:pt idx="578">
                  <c:v>1.1499999999999999</c:v>
                </c:pt>
                <c:pt idx="579">
                  <c:v>1.1200000000000001</c:v>
                </c:pt>
                <c:pt idx="580">
                  <c:v>1.02</c:v>
                </c:pt>
                <c:pt idx="581">
                  <c:v>1.03</c:v>
                </c:pt>
                <c:pt idx="582">
                  <c:v>1.02</c:v>
                </c:pt>
                <c:pt idx="583">
                  <c:v>0.996</c:v>
                </c:pt>
                <c:pt idx="584">
                  <c:v>1.04</c:v>
                </c:pt>
                <c:pt idx="585">
                  <c:v>1.01</c:v>
                </c:pt>
                <c:pt idx="586">
                  <c:v>0.98599999999999999</c:v>
                </c:pt>
                <c:pt idx="587">
                  <c:v>1</c:v>
                </c:pt>
                <c:pt idx="588">
                  <c:v>0.98499999999999999</c:v>
                </c:pt>
                <c:pt idx="589">
                  <c:v>0.92700000000000005</c:v>
                </c:pt>
                <c:pt idx="590">
                  <c:v>0.90400000000000003</c:v>
                </c:pt>
                <c:pt idx="591">
                  <c:v>0.88400000000000001</c:v>
                </c:pt>
                <c:pt idx="592">
                  <c:v>0.88500000000000001</c:v>
                </c:pt>
                <c:pt idx="593">
                  <c:v>0.88</c:v>
                </c:pt>
                <c:pt idx="594">
                  <c:v>0.89600000000000002</c:v>
                </c:pt>
                <c:pt idx="595">
                  <c:v>0.86399999999999999</c:v>
                </c:pt>
                <c:pt idx="596">
                  <c:v>0.81499999999999995</c:v>
                </c:pt>
                <c:pt idx="597">
                  <c:v>0.79</c:v>
                </c:pt>
                <c:pt idx="598">
                  <c:v>0.73299999999999998</c:v>
                </c:pt>
                <c:pt idx="599">
                  <c:v>0.69</c:v>
                </c:pt>
                <c:pt idx="600">
                  <c:v>0.68899999999999995</c:v>
                </c:pt>
                <c:pt idx="601">
                  <c:v>0.745</c:v>
                </c:pt>
                <c:pt idx="602">
                  <c:v>0.67300000000000004</c:v>
                </c:pt>
                <c:pt idx="603">
                  <c:v>0.64400000000000002</c:v>
                </c:pt>
                <c:pt idx="604">
                  <c:v>0.64400000000000002</c:v>
                </c:pt>
                <c:pt idx="605">
                  <c:v>0.66300000000000003</c:v>
                </c:pt>
                <c:pt idx="606">
                  <c:v>0.65200000000000002</c:v>
                </c:pt>
                <c:pt idx="607">
                  <c:v>0.623</c:v>
                </c:pt>
                <c:pt idx="608">
                  <c:v>0.56000000000000005</c:v>
                </c:pt>
                <c:pt idx="609">
                  <c:v>0.54700000000000004</c:v>
                </c:pt>
                <c:pt idx="610">
                  <c:v>0.50600000000000001</c:v>
                </c:pt>
                <c:pt idx="611">
                  <c:v>0.50800000000000001</c:v>
                </c:pt>
                <c:pt idx="612">
                  <c:v>0.48</c:v>
                </c:pt>
                <c:pt idx="613">
                  <c:v>0.46899999999999997</c:v>
                </c:pt>
                <c:pt idx="614">
                  <c:v>0.45500000000000002</c:v>
                </c:pt>
                <c:pt idx="615">
                  <c:v>0.47699999999999998</c:v>
                </c:pt>
                <c:pt idx="616">
                  <c:v>0.48499999999999999</c:v>
                </c:pt>
                <c:pt idx="617">
                  <c:v>0.47</c:v>
                </c:pt>
                <c:pt idx="618">
                  <c:v>0.52800000000000002</c:v>
                </c:pt>
                <c:pt idx="619">
                  <c:v>0.63</c:v>
                </c:pt>
                <c:pt idx="620">
                  <c:v>0.625</c:v>
                </c:pt>
                <c:pt idx="621">
                  <c:v>0.6</c:v>
                </c:pt>
                <c:pt idx="622">
                  <c:v>0.6</c:v>
                </c:pt>
                <c:pt idx="623">
                  <c:v>0.55100000000000005</c:v>
                </c:pt>
                <c:pt idx="624">
                  <c:v>0.54</c:v>
                </c:pt>
                <c:pt idx="625">
                  <c:v>0.5</c:v>
                </c:pt>
                <c:pt idx="626">
                  <c:v>0.53</c:v>
                </c:pt>
                <c:pt idx="627">
                  <c:v>0.53</c:v>
                </c:pt>
                <c:pt idx="628">
                  <c:v>0.76100000000000001</c:v>
                </c:pt>
                <c:pt idx="629">
                  <c:v>0.82399999999999995</c:v>
                </c:pt>
                <c:pt idx="630">
                  <c:v>0.78300000000000003</c:v>
                </c:pt>
                <c:pt idx="631">
                  <c:v>0.70199999999999996</c:v>
                </c:pt>
                <c:pt idx="632">
                  <c:v>0.70199999999999996</c:v>
                </c:pt>
                <c:pt idx="633">
                  <c:v>0.76400000000000001</c:v>
                </c:pt>
                <c:pt idx="634">
                  <c:v>0.79100000000000004</c:v>
                </c:pt>
                <c:pt idx="635">
                  <c:v>0.85</c:v>
                </c:pt>
                <c:pt idx="636">
                  <c:v>1</c:v>
                </c:pt>
                <c:pt idx="637">
                  <c:v>0.91</c:v>
                </c:pt>
                <c:pt idx="638">
                  <c:v>1.03</c:v>
                </c:pt>
                <c:pt idx="639">
                  <c:v>1.05</c:v>
                </c:pt>
                <c:pt idx="640">
                  <c:v>1.21</c:v>
                </c:pt>
                <c:pt idx="641">
                  <c:v>1.21</c:v>
                </c:pt>
                <c:pt idx="642">
                  <c:v>1.1399999999999999</c:v>
                </c:pt>
                <c:pt idx="643">
                  <c:v>1.1100000000000001</c:v>
                </c:pt>
                <c:pt idx="644">
                  <c:v>1.1399999999999999</c:v>
                </c:pt>
                <c:pt idx="645">
                  <c:v>1.1100000000000001</c:v>
                </c:pt>
                <c:pt idx="646">
                  <c:v>1.19</c:v>
                </c:pt>
                <c:pt idx="647">
                  <c:v>1.37</c:v>
                </c:pt>
                <c:pt idx="648">
                  <c:v>1.22</c:v>
                </c:pt>
                <c:pt idx="649">
                  <c:v>1.21</c:v>
                </c:pt>
                <c:pt idx="650">
                  <c:v>1.27</c:v>
                </c:pt>
                <c:pt idx="651">
                  <c:v>1.19</c:v>
                </c:pt>
                <c:pt idx="652">
                  <c:v>1.31</c:v>
                </c:pt>
                <c:pt idx="653">
                  <c:v>1.24</c:v>
                </c:pt>
                <c:pt idx="654">
                  <c:v>1.32</c:v>
                </c:pt>
                <c:pt idx="655">
                  <c:v>1.3</c:v>
                </c:pt>
                <c:pt idx="656">
                  <c:v>1.24</c:v>
                </c:pt>
                <c:pt idx="657">
                  <c:v>1.18</c:v>
                </c:pt>
                <c:pt idx="658">
                  <c:v>1.23</c:v>
                </c:pt>
                <c:pt idx="659">
                  <c:v>1.18</c:v>
                </c:pt>
                <c:pt idx="660">
                  <c:v>1.18</c:v>
                </c:pt>
                <c:pt idx="661">
                  <c:v>1.18</c:v>
                </c:pt>
                <c:pt idx="662">
                  <c:v>1.25</c:v>
                </c:pt>
                <c:pt idx="663">
                  <c:v>1.24</c:v>
                </c:pt>
                <c:pt idx="664">
                  <c:v>1.24</c:v>
                </c:pt>
                <c:pt idx="665">
                  <c:v>1.17</c:v>
                </c:pt>
                <c:pt idx="666">
                  <c:v>1.1000000000000001</c:v>
                </c:pt>
                <c:pt idx="667">
                  <c:v>1.06</c:v>
                </c:pt>
                <c:pt idx="668">
                  <c:v>1.05</c:v>
                </c:pt>
                <c:pt idx="669">
                  <c:v>1.04</c:v>
                </c:pt>
                <c:pt idx="670">
                  <c:v>1.05</c:v>
                </c:pt>
                <c:pt idx="671">
                  <c:v>1.18</c:v>
                </c:pt>
                <c:pt idx="672">
                  <c:v>1.1599999999999999</c:v>
                </c:pt>
                <c:pt idx="673">
                  <c:v>1.1299999999999999</c:v>
                </c:pt>
                <c:pt idx="674">
                  <c:v>1.1499999999999999</c:v>
                </c:pt>
                <c:pt idx="675">
                  <c:v>1.1399999999999999</c:v>
                </c:pt>
                <c:pt idx="676">
                  <c:v>1.19</c:v>
                </c:pt>
                <c:pt idx="677">
                  <c:v>1.17</c:v>
                </c:pt>
                <c:pt idx="678">
                  <c:v>1.1299999999999999</c:v>
                </c:pt>
                <c:pt idx="679">
                  <c:v>1.1399999999999999</c:v>
                </c:pt>
                <c:pt idx="680">
                  <c:v>1.1499999999999999</c:v>
                </c:pt>
                <c:pt idx="681">
                  <c:v>1.1499999999999999</c:v>
                </c:pt>
                <c:pt idx="682">
                  <c:v>1.1299999999999999</c:v>
                </c:pt>
                <c:pt idx="683">
                  <c:v>1.1200000000000001</c:v>
                </c:pt>
                <c:pt idx="684">
                  <c:v>1.1100000000000001</c:v>
                </c:pt>
                <c:pt idx="685">
                  <c:v>1.1299999999999999</c:v>
                </c:pt>
                <c:pt idx="686">
                  <c:v>1.27</c:v>
                </c:pt>
                <c:pt idx="687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5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-36,13%</c:v>
                </c:pt>
                <c:pt idx="1">
                  <c:v>-36,13% to -29,19%</c:v>
                </c:pt>
                <c:pt idx="2">
                  <c:v>-29,19% to -22,25%</c:v>
                </c:pt>
                <c:pt idx="3">
                  <c:v>-22,25% to -15,32%</c:v>
                </c:pt>
                <c:pt idx="4">
                  <c:v>-15,32% to -8,38%</c:v>
                </c:pt>
                <c:pt idx="5">
                  <c:v>-8,38% to -1,44%</c:v>
                </c:pt>
                <c:pt idx="6">
                  <c:v>-1,44% to 5,49%</c:v>
                </c:pt>
                <c:pt idx="7">
                  <c:v>5,49% to 12,43%</c:v>
                </c:pt>
                <c:pt idx="8">
                  <c:v>12,43% to 19,37%</c:v>
                </c:pt>
                <c:pt idx="9">
                  <c:v>19,37% to 26,30%</c:v>
                </c:pt>
                <c:pt idx="10">
                  <c:v>26,30% to 33,24%</c:v>
                </c:pt>
                <c:pt idx="11">
                  <c:v>Greater than 33,24%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25</c:v>
                </c:pt>
                <c:pt idx="5">
                  <c:v>52</c:v>
                </c:pt>
                <c:pt idx="6">
                  <c:v>34</c:v>
                </c:pt>
                <c:pt idx="7">
                  <c:v>17</c:v>
                </c:pt>
                <c:pt idx="8">
                  <c:v>7</c:v>
                </c:pt>
                <c:pt idx="9">
                  <c:v>3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F-4BFC-BC2A-530771AA8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228599</xdr:colOff>
      <xdr:row>30</xdr:row>
      <xdr:rowOff>71437</xdr:rowOff>
    </xdr:from>
    <xdr:to>
      <xdr:col>10</xdr:col>
      <xdr:colOff>600074</xdr:colOff>
      <xdr:row>44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228599</xdr:colOff>
      <xdr:row>44</xdr:row>
      <xdr:rowOff>119062</xdr:rowOff>
    </xdr:from>
    <xdr:to>
      <xdr:col>11</xdr:col>
      <xdr:colOff>9524</xdr:colOff>
      <xdr:row>61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2BD79DE-6BE5-19E2-6CBE-9442C7A73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199" y="8501062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44</xdr:row>
      <xdr:rowOff>152400</xdr:rowOff>
    </xdr:from>
    <xdr:to>
      <xdr:col>20</xdr:col>
      <xdr:colOff>428625</xdr:colOff>
      <xdr:row>62</xdr:row>
      <xdr:rowOff>14288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B11E3F9-A5D3-4E61-8332-833055A25E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8534400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38100</xdr:rowOff>
    </xdr:from>
    <xdr:to>
      <xdr:col>20</xdr:col>
      <xdr:colOff>381000</xdr:colOff>
      <xdr:row>44</xdr:row>
      <xdr:rowOff>71438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76E36B-A0F5-4E13-BF73-583A101DE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C12E0-A9ED-4B10-9477-A62354266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workbookViewId="0">
      <selection activeCell="H23" sqref="H23"/>
    </sheetView>
  </sheetViews>
  <sheetFormatPr defaultColWidth="9.140625" defaultRowHeight="15" x14ac:dyDescent="0.25"/>
  <cols>
    <col min="2" max="2" width="15.85546875" customWidth="1"/>
    <col min="3" max="3" width="14.140625" customWidth="1"/>
    <col min="4" max="4" width="10.140625" customWidth="1"/>
    <col min="5" max="5" width="37" customWidth="1"/>
    <col min="7" max="7" width="5.28515625" customWidth="1"/>
    <col min="8" max="8" width="35.5703125" customWidth="1"/>
    <col min="9" max="9" width="11.28515625" customWidth="1"/>
    <col min="10" max="10" width="18.42578125" bestFit="1" customWidth="1"/>
    <col min="11" max="11" width="5.28515625" customWidth="1"/>
    <col min="12" max="12" width="25" customWidth="1"/>
    <col min="13" max="13" width="26" customWidth="1"/>
    <col min="14" max="14" width="39.42578125" customWidth="1"/>
  </cols>
  <sheetData>
    <row r="2" spans="2:14" x14ac:dyDescent="0.25">
      <c r="B2" s="34" t="s">
        <v>85</v>
      </c>
      <c r="C2" s="19"/>
      <c r="E2" s="24" t="s">
        <v>68</v>
      </c>
      <c r="F2" s="35" t="s">
        <v>69</v>
      </c>
      <c r="G2" s="25"/>
      <c r="H2" s="26" t="s">
        <v>76</v>
      </c>
      <c r="I2" s="26" t="s">
        <v>1</v>
      </c>
      <c r="J2" s="27" t="s">
        <v>69</v>
      </c>
      <c r="L2" s="30" t="s">
        <v>62</v>
      </c>
      <c r="M2" s="31" t="s">
        <v>78</v>
      </c>
      <c r="N2" s="32" t="s">
        <v>77</v>
      </c>
    </row>
    <row r="3" spans="2:14" x14ac:dyDescent="0.25">
      <c r="B3" s="5" t="s">
        <v>61</v>
      </c>
      <c r="C3" s="20">
        <v>45336</v>
      </c>
      <c r="E3" s="5" t="s">
        <v>86</v>
      </c>
      <c r="F3" s="28" t="s">
        <v>87</v>
      </c>
      <c r="H3" t="s">
        <v>105</v>
      </c>
      <c r="I3" s="10"/>
      <c r="J3" s="40"/>
      <c r="L3" s="5"/>
      <c r="N3" s="39"/>
    </row>
    <row r="4" spans="2:14" x14ac:dyDescent="0.25">
      <c r="B4" s="5"/>
      <c r="C4" s="21">
        <v>0.84861111111111109</v>
      </c>
      <c r="E4" s="5" t="s">
        <v>88</v>
      </c>
      <c r="F4" s="28" t="s">
        <v>89</v>
      </c>
      <c r="H4" t="s">
        <v>106</v>
      </c>
      <c r="I4" s="10"/>
      <c r="J4" s="45">
        <v>1.66E-2</v>
      </c>
      <c r="L4" s="5"/>
      <c r="N4" s="13"/>
    </row>
    <row r="5" spans="2:14" x14ac:dyDescent="0.25">
      <c r="B5" s="5"/>
      <c r="C5" s="13"/>
      <c r="E5" s="5" t="s">
        <v>90</v>
      </c>
      <c r="F5" s="28" t="s">
        <v>91</v>
      </c>
      <c r="I5" s="10"/>
      <c r="J5" s="40"/>
      <c r="L5" s="5"/>
      <c r="N5" s="13"/>
    </row>
    <row r="6" spans="2:14" x14ac:dyDescent="0.25">
      <c r="B6" s="5" t="s">
        <v>0</v>
      </c>
      <c r="C6" s="13">
        <v>1.38</v>
      </c>
      <c r="E6" s="5" t="s">
        <v>92</v>
      </c>
      <c r="F6" s="28" t="s">
        <v>93</v>
      </c>
      <c r="I6" s="10"/>
      <c r="J6" s="40"/>
      <c r="L6" s="5"/>
      <c r="N6" s="13"/>
    </row>
    <row r="7" spans="2:14" x14ac:dyDescent="0.25">
      <c r="B7" s="5" t="s">
        <v>1</v>
      </c>
      <c r="C7" s="15"/>
      <c r="E7" s="5" t="s">
        <v>94</v>
      </c>
      <c r="F7" s="28" t="s">
        <v>95</v>
      </c>
      <c r="I7" s="10"/>
      <c r="J7" s="40"/>
      <c r="L7" s="5"/>
      <c r="N7" s="13"/>
    </row>
    <row r="8" spans="2:14" x14ac:dyDescent="0.25">
      <c r="B8" s="5" t="s">
        <v>2</v>
      </c>
      <c r="C8" s="15">
        <f>C6*C7</f>
        <v>0</v>
      </c>
      <c r="E8" s="5" t="s">
        <v>96</v>
      </c>
      <c r="F8" s="28" t="s">
        <v>97</v>
      </c>
      <c r="I8" s="10"/>
      <c r="J8" s="40"/>
      <c r="L8" s="5"/>
      <c r="N8" s="13"/>
    </row>
    <row r="9" spans="2:14" x14ac:dyDescent="0.25">
      <c r="B9" s="5" t="s">
        <v>3</v>
      </c>
      <c r="C9" s="15">
        <f>Model!O41+Model!O42+Model!O43</f>
        <v>0</v>
      </c>
      <c r="E9" s="5" t="s">
        <v>98</v>
      </c>
      <c r="F9" s="28" t="s">
        <v>99</v>
      </c>
      <c r="I9" s="10"/>
      <c r="J9" s="40"/>
      <c r="L9" s="5"/>
      <c r="N9" s="13"/>
    </row>
    <row r="10" spans="2:14" x14ac:dyDescent="0.25">
      <c r="B10" s="5" t="s">
        <v>4</v>
      </c>
      <c r="C10" s="15">
        <f>Model!O55+Model!O56+Model!O61</f>
        <v>0</v>
      </c>
      <c r="E10" s="5" t="s">
        <v>100</v>
      </c>
      <c r="F10" s="28" t="s">
        <v>99</v>
      </c>
      <c r="I10" s="10"/>
      <c r="J10" s="40"/>
      <c r="L10" s="5"/>
      <c r="N10" s="13"/>
    </row>
    <row r="11" spans="2:14" x14ac:dyDescent="0.25">
      <c r="B11" s="5" t="s">
        <v>42</v>
      </c>
      <c r="C11" s="15">
        <f>C9-C10</f>
        <v>0</v>
      </c>
      <c r="E11" s="5" t="s">
        <v>101</v>
      </c>
      <c r="F11" s="28" t="s">
        <v>102</v>
      </c>
      <c r="I11" s="10"/>
      <c r="J11" s="40"/>
      <c r="L11" s="5"/>
      <c r="N11" s="13"/>
    </row>
    <row r="12" spans="2:14" x14ac:dyDescent="0.25">
      <c r="B12" s="5" t="s">
        <v>5</v>
      </c>
      <c r="C12" s="15">
        <f>C8-C9+C10</f>
        <v>0</v>
      </c>
      <c r="E12" s="5" t="s">
        <v>103</v>
      </c>
      <c r="F12" s="28" t="s">
        <v>104</v>
      </c>
      <c r="J12" s="13"/>
      <c r="L12" s="5"/>
      <c r="N12" s="13"/>
    </row>
    <row r="13" spans="2:14" x14ac:dyDescent="0.25">
      <c r="B13" s="5" t="s">
        <v>67</v>
      </c>
      <c r="C13" s="38">
        <f>C6/Model!W23</f>
        <v>-2.0811804863883108</v>
      </c>
      <c r="E13" s="5"/>
      <c r="J13" s="13"/>
      <c r="L13" s="5"/>
      <c r="N13" s="13"/>
    </row>
    <row r="14" spans="2:14" x14ac:dyDescent="0.25">
      <c r="B14" s="5" t="s">
        <v>63</v>
      </c>
      <c r="C14" s="6"/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64</v>
      </c>
      <c r="C15" s="13"/>
    </row>
    <row r="16" spans="2:14" x14ac:dyDescent="0.25">
      <c r="B16" s="5" t="s">
        <v>65</v>
      </c>
      <c r="C16" s="38" t="e">
        <f>C6/Model!X24</f>
        <v>#DIV/0!</v>
      </c>
    </row>
    <row r="17" spans="2:5" x14ac:dyDescent="0.25">
      <c r="B17" s="22" t="s">
        <v>66</v>
      </c>
      <c r="C17" s="44">
        <f>C6/Model!Y24</f>
        <v>-4.5999999999999996</v>
      </c>
      <c r="E17" s="33" t="s">
        <v>74</v>
      </c>
    </row>
    <row r="20" spans="2:5" x14ac:dyDescent="0.25">
      <c r="C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Z89"/>
  <sheetViews>
    <sheetView tabSelected="1"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Y25" sqref="Y25"/>
    </sheetView>
  </sheetViews>
  <sheetFormatPr defaultColWidth="11.42578125" defaultRowHeight="15" x14ac:dyDescent="0.25"/>
  <cols>
    <col min="1" max="1" width="27.28515625" customWidth="1"/>
    <col min="16" max="16" width="11.42578125" style="128"/>
    <col min="17" max="17" width="11.42578125" style="13"/>
    <col min="24" max="24" width="11.42578125" style="13"/>
  </cols>
  <sheetData>
    <row r="1" spans="1:26" x14ac:dyDescent="0.25">
      <c r="A1" s="8" t="s">
        <v>43</v>
      </c>
    </row>
    <row r="2" spans="1:26" x14ac:dyDescent="0.25">
      <c r="B2" t="s">
        <v>39</v>
      </c>
      <c r="C2" t="s">
        <v>38</v>
      </c>
      <c r="D2" t="s">
        <v>37</v>
      </c>
      <c r="E2" t="s">
        <v>36</v>
      </c>
      <c r="F2" t="s">
        <v>10</v>
      </c>
      <c r="G2" t="s">
        <v>11</v>
      </c>
      <c r="H2" t="s">
        <v>12</v>
      </c>
      <c r="I2" t="s">
        <v>13</v>
      </c>
      <c r="J2" t="s">
        <v>6</v>
      </c>
      <c r="K2" t="s">
        <v>7</v>
      </c>
      <c r="L2" t="s">
        <v>8</v>
      </c>
      <c r="M2" t="s">
        <v>9</v>
      </c>
      <c r="N2" t="s">
        <v>41</v>
      </c>
      <c r="O2" t="s">
        <v>59</v>
      </c>
      <c r="P2" s="128" t="s">
        <v>60</v>
      </c>
      <c r="Q2" s="13" t="s">
        <v>82</v>
      </c>
      <c r="R2" t="s">
        <v>174</v>
      </c>
      <c r="U2" t="s">
        <v>18</v>
      </c>
      <c r="V2" t="s">
        <v>14</v>
      </c>
      <c r="W2" t="s">
        <v>15</v>
      </c>
      <c r="X2" s="13" t="s">
        <v>16</v>
      </c>
      <c r="Y2" t="s">
        <v>35</v>
      </c>
      <c r="Z2" t="s">
        <v>175</v>
      </c>
    </row>
    <row r="3" spans="1:26" x14ac:dyDescent="0.25">
      <c r="A3" s="9" t="s">
        <v>177</v>
      </c>
      <c r="M3" s="10">
        <v>100.496</v>
      </c>
      <c r="Q3" s="15">
        <v>110.407</v>
      </c>
    </row>
    <row r="4" spans="1:26" x14ac:dyDescent="0.25">
      <c r="A4" s="9" t="s">
        <v>178</v>
      </c>
      <c r="M4" s="10">
        <v>64.040999999999997</v>
      </c>
      <c r="Q4" s="15">
        <v>66.966999999999999</v>
      </c>
    </row>
    <row r="5" spans="1:26" x14ac:dyDescent="0.25">
      <c r="A5" s="9" t="s">
        <v>179</v>
      </c>
      <c r="M5" s="10">
        <v>31.108000000000001</v>
      </c>
      <c r="Q5" s="15">
        <v>21.780999999999999</v>
      </c>
    </row>
    <row r="6" spans="1:26" s="1" customFormat="1" x14ac:dyDescent="0.25">
      <c r="A6" s="1" t="s">
        <v>17</v>
      </c>
      <c r="B6" s="11">
        <v>95.308999999999997</v>
      </c>
      <c r="C6" s="11">
        <v>114.682</v>
      </c>
      <c r="D6" s="11">
        <v>127.116</v>
      </c>
      <c r="E6" s="11">
        <v>140.05199999999999</v>
      </c>
      <c r="F6" s="11">
        <v>146.15100000000001</v>
      </c>
      <c r="G6" s="11">
        <v>171.06200000000001</v>
      </c>
      <c r="H6" s="11">
        <v>185.92500000000001</v>
      </c>
      <c r="I6" s="11">
        <v>166.18600000000001</v>
      </c>
      <c r="J6" s="11">
        <v>177.958</v>
      </c>
      <c r="K6" s="11">
        <v>183.02600000000001</v>
      </c>
      <c r="L6" s="11">
        <v>195.06800000000001</v>
      </c>
      <c r="M6" s="11">
        <f>SUM(M3:M5)</f>
        <v>195.64499999999998</v>
      </c>
      <c r="N6" s="11">
        <v>195.98699999999999</v>
      </c>
      <c r="O6" s="11">
        <v>187.595</v>
      </c>
      <c r="P6" s="129">
        <v>204.12100000000001</v>
      </c>
      <c r="Q6" s="14">
        <f>SUM(Q3:Q5)</f>
        <v>199.155</v>
      </c>
      <c r="R6" s="10">
        <v>202.97</v>
      </c>
      <c r="U6" s="11">
        <v>421.351</v>
      </c>
      <c r="V6" s="11">
        <f>SUM(E6:H6)</f>
        <v>643.19000000000005</v>
      </c>
      <c r="W6" s="11">
        <f>SUM(I6:L6)</f>
        <v>722.23800000000006</v>
      </c>
      <c r="X6" s="14">
        <f>SUM(M6:P6)</f>
        <v>783.34799999999996</v>
      </c>
      <c r="Y6" s="10">
        <v>831.26</v>
      </c>
      <c r="Z6" s="10">
        <v>906.29</v>
      </c>
    </row>
    <row r="7" spans="1:26" x14ac:dyDescent="0.25">
      <c r="A7" s="9" t="s">
        <v>84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130"/>
      <c r="Q7" s="142">
        <v>197.78</v>
      </c>
      <c r="R7" s="10">
        <v>202.97</v>
      </c>
      <c r="U7" s="10"/>
      <c r="V7" s="10"/>
      <c r="W7" s="10"/>
      <c r="X7" s="15"/>
      <c r="Y7" s="10">
        <v>831.26</v>
      </c>
      <c r="Z7" s="10">
        <v>906.29</v>
      </c>
    </row>
    <row r="8" spans="1:26" x14ac:dyDescent="0.25">
      <c r="A8" t="s">
        <v>79</v>
      </c>
      <c r="B8" s="10">
        <v>64.498000000000005</v>
      </c>
      <c r="C8" s="10">
        <v>78.730999999999995</v>
      </c>
      <c r="D8" s="10">
        <v>91.917000000000002</v>
      </c>
      <c r="E8" s="10">
        <v>98.117999999999995</v>
      </c>
      <c r="F8" s="10">
        <v>107.544</v>
      </c>
      <c r="G8" s="10">
        <v>126.185</v>
      </c>
      <c r="H8" s="10">
        <v>156.33000000000001</v>
      </c>
      <c r="I8" s="10">
        <v>150.33799999999999</v>
      </c>
      <c r="J8" s="10">
        <v>149.81399999999999</v>
      </c>
      <c r="K8" s="10">
        <v>178.04400000000001</v>
      </c>
      <c r="L8" s="10">
        <v>164.01499999999999</v>
      </c>
      <c r="M8" s="10">
        <v>161.55699999999999</v>
      </c>
      <c r="N8" s="10">
        <v>158.33099999999999</v>
      </c>
      <c r="O8" s="10">
        <v>155.03399999999999</v>
      </c>
      <c r="P8" s="127">
        <v>156.34299999999999</v>
      </c>
      <c r="Q8" s="15">
        <v>145.25700000000001</v>
      </c>
      <c r="U8" s="10">
        <v>292.10700000000003</v>
      </c>
      <c r="V8" s="10">
        <f>SUM(E8:H8)</f>
        <v>488.17700000000002</v>
      </c>
      <c r="W8" s="10">
        <f>SUM(I8:L8)</f>
        <v>642.21100000000001</v>
      </c>
      <c r="X8" s="15">
        <f>SUM(M8:P8)</f>
        <v>631.26499999999999</v>
      </c>
      <c r="Y8" s="10"/>
    </row>
    <row r="9" spans="1:26" x14ac:dyDescent="0.25">
      <c r="A9" t="s">
        <v>107</v>
      </c>
      <c r="B9" s="10">
        <v>1.3029999999999999</v>
      </c>
      <c r="C9" s="10">
        <v>1.6919999999999999</v>
      </c>
      <c r="D9" s="10">
        <v>2.657</v>
      </c>
      <c r="E9" s="10">
        <v>3.0920000000000001</v>
      </c>
      <c r="F9" s="10">
        <v>3.952</v>
      </c>
      <c r="G9" s="10">
        <v>4.0519999999999996</v>
      </c>
      <c r="H9" s="10">
        <v>5.6749999999999998</v>
      </c>
      <c r="I9" s="10">
        <v>4.2640000000000002</v>
      </c>
      <c r="J9" s="10">
        <v>5.718</v>
      </c>
      <c r="K9" s="10">
        <v>5.2450000000000001</v>
      </c>
      <c r="L9" s="10">
        <v>7.0350000000000001</v>
      </c>
      <c r="M9" s="10">
        <v>5.7140000000000004</v>
      </c>
      <c r="N9" s="10">
        <v>5.3209999999999997</v>
      </c>
      <c r="O9" s="10">
        <v>4.6840000000000002</v>
      </c>
      <c r="P9" s="127">
        <v>5.3280000000000003</v>
      </c>
      <c r="Q9" s="15">
        <v>4.6420000000000003</v>
      </c>
      <c r="U9" s="10">
        <v>6.8310000000000004</v>
      </c>
      <c r="V9" s="10">
        <f t="shared" ref="V9:V13" si="0">SUM(E9:H9)</f>
        <v>16.771000000000001</v>
      </c>
      <c r="W9" s="10">
        <f>SUM(I9:L9)</f>
        <v>22.262</v>
      </c>
      <c r="X9" s="15">
        <f>SUM(M9:P9)</f>
        <v>21.047000000000001</v>
      </c>
      <c r="Y9" s="10"/>
    </row>
    <row r="10" spans="1:26" x14ac:dyDescent="0.25">
      <c r="A10" t="s">
        <v>108</v>
      </c>
      <c r="B10" s="10">
        <v>33.344999999999999</v>
      </c>
      <c r="C10" s="10">
        <v>40.591000000000001</v>
      </c>
      <c r="D10" s="10">
        <v>63.015000000000001</v>
      </c>
      <c r="E10" s="10">
        <v>66.807000000000002</v>
      </c>
      <c r="F10" s="10">
        <v>83.132000000000005</v>
      </c>
      <c r="G10" s="10">
        <v>85.09</v>
      </c>
      <c r="H10" s="10">
        <v>118.9</v>
      </c>
      <c r="I10" s="10">
        <v>104.07299999999999</v>
      </c>
      <c r="J10" s="10">
        <v>97.06</v>
      </c>
      <c r="K10" s="10">
        <v>103.765</v>
      </c>
      <c r="L10" s="10">
        <v>107.901</v>
      </c>
      <c r="M10" s="10">
        <v>98.855000000000004</v>
      </c>
      <c r="N10" s="10">
        <v>106.69499999999999</v>
      </c>
      <c r="O10" s="10">
        <v>87.125</v>
      </c>
      <c r="P10" s="127">
        <v>80.721000000000004</v>
      </c>
      <c r="Q10" s="15">
        <v>78.742000000000004</v>
      </c>
      <c r="U10" s="10">
        <v>167.792</v>
      </c>
      <c r="V10" s="10">
        <f t="shared" si="0"/>
        <v>353.92900000000003</v>
      </c>
      <c r="W10" s="10">
        <f>SUM(I10:L10)</f>
        <v>412.79899999999998</v>
      </c>
      <c r="X10" s="15">
        <f>SUM(M10:P10)</f>
        <v>373.39600000000002</v>
      </c>
      <c r="Y10" s="10"/>
    </row>
    <row r="11" spans="1:26" x14ac:dyDescent="0.25">
      <c r="A11" t="s">
        <v>27</v>
      </c>
      <c r="B11" s="10">
        <v>0.51</v>
      </c>
      <c r="C11" s="10">
        <v>1.55</v>
      </c>
      <c r="D11" s="10">
        <v>-0.78</v>
      </c>
      <c r="E11" s="10">
        <v>0.55000000000000004</v>
      </c>
      <c r="F11" s="10">
        <v>-0.373</v>
      </c>
      <c r="G11" s="10">
        <v>0.192</v>
      </c>
      <c r="H11" s="10">
        <v>-2.3130000000000002</v>
      </c>
      <c r="I11" s="10">
        <v>-0.33200000000000002</v>
      </c>
      <c r="J11" s="10">
        <v>-0.20499999999999999</v>
      </c>
      <c r="K11" s="10">
        <v>0.34</v>
      </c>
      <c r="L11" s="10">
        <v>41.148000000000003</v>
      </c>
      <c r="M11" s="10">
        <v>1.0880000000000001</v>
      </c>
      <c r="N11" s="10">
        <v>1.1200000000000001</v>
      </c>
      <c r="O11" s="10">
        <v>8.1</v>
      </c>
      <c r="P11" s="127">
        <v>204.34399999999999</v>
      </c>
      <c r="Q11" s="15">
        <v>-1.073</v>
      </c>
      <c r="U11" s="10">
        <v>1.714</v>
      </c>
      <c r="V11" s="10">
        <f t="shared" si="0"/>
        <v>-1.9440000000000002</v>
      </c>
      <c r="W11" s="10">
        <f>SUM(I11:L11)</f>
        <v>40.951000000000001</v>
      </c>
      <c r="X11" s="15">
        <f>SUM(M11:P11)</f>
        <v>214.65199999999999</v>
      </c>
      <c r="Y11" s="10"/>
    </row>
    <row r="12" spans="1:26" s="1" customFormat="1" x14ac:dyDescent="0.25">
      <c r="A12" s="1" t="s">
        <v>23</v>
      </c>
      <c r="B12" s="11">
        <f>B6-B8-B9-B10-B11</f>
        <v>-4.3470000000000066</v>
      </c>
      <c r="C12" s="11">
        <f t="shared" ref="C12:P12" si="1">C6-C8-C9-C10-C11</f>
        <v>-7.8819999999999935</v>
      </c>
      <c r="D12" s="11">
        <f t="shared" si="1"/>
        <v>-29.692999999999998</v>
      </c>
      <c r="E12" s="11">
        <f t="shared" si="1"/>
        <v>-28.515000000000004</v>
      </c>
      <c r="F12" s="11">
        <f>F6-F8-F9-F10-F11</f>
        <v>-48.103999999999992</v>
      </c>
      <c r="G12" s="11">
        <f t="shared" si="1"/>
        <v>-44.456999999999994</v>
      </c>
      <c r="H12" s="11">
        <f t="shared" si="1"/>
        <v>-92.667000000000002</v>
      </c>
      <c r="I12" s="11">
        <f t="shared" si="1"/>
        <v>-92.156999999999982</v>
      </c>
      <c r="J12" s="11">
        <f t="shared" si="1"/>
        <v>-74.429000000000002</v>
      </c>
      <c r="K12" s="11">
        <f t="shared" si="1"/>
        <v>-104.36800000000001</v>
      </c>
      <c r="L12" s="11">
        <f t="shared" si="1"/>
        <v>-125.03099999999998</v>
      </c>
      <c r="M12" s="11">
        <f t="shared" si="1"/>
        <v>-71.569000000000003</v>
      </c>
      <c r="N12" s="11">
        <f t="shared" si="1"/>
        <v>-75.47999999999999</v>
      </c>
      <c r="O12" s="11">
        <f t="shared" si="1"/>
        <v>-67.347999999999985</v>
      </c>
      <c r="P12" s="129">
        <f t="shared" si="1"/>
        <v>-242.61499999999998</v>
      </c>
      <c r="Q12" s="14">
        <f t="shared" ref="Q12" si="2">Q6-Q8-Q9-Q10-Q11</f>
        <v>-28.413000000000011</v>
      </c>
      <c r="U12" s="11">
        <f t="shared" ref="U12:X12" si="3">U6-U8-U9-U10-U11</f>
        <v>-47.093000000000032</v>
      </c>
      <c r="V12" s="11">
        <f t="shared" si="3"/>
        <v>-213.74300000000002</v>
      </c>
      <c r="W12" s="11">
        <f t="shared" si="3"/>
        <v>-395.98499999999996</v>
      </c>
      <c r="X12" s="14">
        <f t="shared" si="3"/>
        <v>-457.01200000000006</v>
      </c>
      <c r="Y12" s="11"/>
    </row>
    <row r="13" spans="1:26" x14ac:dyDescent="0.25">
      <c r="A13" t="s">
        <v>109</v>
      </c>
      <c r="B13" s="10">
        <v>-2.3E-2</v>
      </c>
      <c r="C13" s="10">
        <v>-1.9710000000000001</v>
      </c>
      <c r="D13" s="10">
        <v>-6.2130000000000001</v>
      </c>
      <c r="E13" s="10">
        <v>-1.92</v>
      </c>
      <c r="F13" s="10">
        <v>-10.696</v>
      </c>
      <c r="G13" s="10">
        <v>3.831</v>
      </c>
      <c r="H13" s="10">
        <v>7.48</v>
      </c>
      <c r="I13" s="10">
        <v>3.577</v>
      </c>
      <c r="J13" s="10">
        <v>-0.59299999999999997</v>
      </c>
      <c r="K13" s="10">
        <v>-7.4909999999999997</v>
      </c>
      <c r="L13" s="10">
        <v>3.0979999999999999</v>
      </c>
      <c r="M13" s="10">
        <v>-1.996</v>
      </c>
      <c r="N13" s="10">
        <v>-11.512</v>
      </c>
      <c r="O13" s="10">
        <v>112.84099999999999</v>
      </c>
      <c r="P13" s="127">
        <v>-50.485999999999997</v>
      </c>
      <c r="Q13" s="15">
        <v>-17.376999999999999</v>
      </c>
      <c r="U13" s="10">
        <v>-10.856999999999999</v>
      </c>
      <c r="V13" s="10">
        <f t="shared" si="0"/>
        <v>-1.3049999999999997</v>
      </c>
      <c r="W13" s="10">
        <f>SUM(I13:L13)</f>
        <v>-1.4089999999999998</v>
      </c>
      <c r="X13" s="15">
        <f>SUM(M13:P13)</f>
        <v>48.847000000000001</v>
      </c>
      <c r="Y13" s="10"/>
    </row>
    <row r="14" spans="1:26" s="1" customFormat="1" x14ac:dyDescent="0.25">
      <c r="A14" s="1" t="s">
        <v>19</v>
      </c>
      <c r="B14" s="11">
        <f t="shared" ref="B14:P14" si="4">B12+B13</f>
        <v>-4.3700000000000063</v>
      </c>
      <c r="C14" s="11">
        <f t="shared" si="4"/>
        <v>-9.8529999999999944</v>
      </c>
      <c r="D14" s="11">
        <f t="shared" si="4"/>
        <v>-35.905999999999999</v>
      </c>
      <c r="E14" s="11">
        <f t="shared" si="4"/>
        <v>-30.435000000000002</v>
      </c>
      <c r="F14" s="11">
        <f t="shared" si="4"/>
        <v>-58.79999999999999</v>
      </c>
      <c r="G14" s="11">
        <f t="shared" si="4"/>
        <v>-40.625999999999991</v>
      </c>
      <c r="H14" s="11">
        <f t="shared" si="4"/>
        <v>-85.186999999999998</v>
      </c>
      <c r="I14" s="11">
        <f t="shared" si="4"/>
        <v>-88.579999999999984</v>
      </c>
      <c r="J14" s="11">
        <f t="shared" si="4"/>
        <v>-75.022000000000006</v>
      </c>
      <c r="K14" s="11">
        <f t="shared" si="4"/>
        <v>-111.85900000000001</v>
      </c>
      <c r="L14" s="11">
        <f t="shared" si="4"/>
        <v>-121.93299999999998</v>
      </c>
      <c r="M14" s="11">
        <f t="shared" si="4"/>
        <v>-73.564999999999998</v>
      </c>
      <c r="N14" s="11">
        <f t="shared" si="4"/>
        <v>-86.99199999999999</v>
      </c>
      <c r="O14" s="11">
        <f t="shared" si="4"/>
        <v>45.493000000000009</v>
      </c>
      <c r="P14" s="129">
        <f t="shared" si="4"/>
        <v>-293.101</v>
      </c>
      <c r="Q14" s="14">
        <f t="shared" ref="Q14" si="5">Q12+Q13</f>
        <v>-45.790000000000006</v>
      </c>
      <c r="U14" s="11">
        <f t="shared" ref="U14:X14" si="6">U12+U13</f>
        <v>-57.950000000000031</v>
      </c>
      <c r="V14" s="11">
        <f t="shared" si="6"/>
        <v>-215.04800000000003</v>
      </c>
      <c r="W14" s="11">
        <f t="shared" si="6"/>
        <v>-397.39399999999995</v>
      </c>
      <c r="X14" s="14">
        <f t="shared" si="6"/>
        <v>-408.16500000000008</v>
      </c>
      <c r="Y14" s="11"/>
    </row>
    <row r="15" spans="1:26" x14ac:dyDescent="0.25">
      <c r="A15" t="s">
        <v>20</v>
      </c>
      <c r="B15" s="10">
        <v>-0.42</v>
      </c>
      <c r="C15" s="10">
        <v>-0.55400000000000005</v>
      </c>
      <c r="D15" s="10">
        <v>-1.085</v>
      </c>
      <c r="E15" s="10">
        <v>-1.948</v>
      </c>
      <c r="F15" s="10">
        <v>-0.26400000000000001</v>
      </c>
      <c r="G15" s="10">
        <v>-0.56699999999999995</v>
      </c>
      <c r="H15" s="10">
        <v>5.4340000000000002</v>
      </c>
      <c r="I15" s="10">
        <v>1.121</v>
      </c>
      <c r="J15" s="10">
        <v>3.032</v>
      </c>
      <c r="K15" s="10">
        <v>3.91</v>
      </c>
      <c r="L15" s="10">
        <v>-3.2360000000000002</v>
      </c>
      <c r="M15" s="10">
        <v>-2.012</v>
      </c>
      <c r="N15" s="10">
        <v>0.27300000000000002</v>
      </c>
      <c r="O15" s="10">
        <v>-1.482</v>
      </c>
      <c r="P15" s="127">
        <v>-5.6740000000000004</v>
      </c>
      <c r="Q15" s="15">
        <v>-5.3999999999999999E-2</v>
      </c>
      <c r="U15" s="10">
        <v>-2.411</v>
      </c>
      <c r="V15" s="10">
        <f>SUM(E15:H15)</f>
        <v>2.6550000000000002</v>
      </c>
      <c r="W15" s="10">
        <f>SUM(I15:L15)</f>
        <v>4.827</v>
      </c>
      <c r="X15" s="15">
        <f>SUM(M15:P15)</f>
        <v>-8.8949999999999996</v>
      </c>
      <c r="Y15" s="10"/>
    </row>
    <row r="16" spans="1:26" s="1" customFormat="1" x14ac:dyDescent="0.25">
      <c r="A16" s="1" t="s">
        <v>21</v>
      </c>
      <c r="B16" s="11">
        <f t="shared" ref="B16:Q16" si="7">B14+B15</f>
        <v>-4.7900000000000063</v>
      </c>
      <c r="C16" s="11">
        <f t="shared" si="7"/>
        <v>-10.406999999999995</v>
      </c>
      <c r="D16" s="11">
        <f t="shared" si="7"/>
        <v>-36.991</v>
      </c>
      <c r="E16" s="11">
        <f t="shared" si="7"/>
        <v>-32.383000000000003</v>
      </c>
      <c r="F16" s="11">
        <f t="shared" si="7"/>
        <v>-59.063999999999993</v>
      </c>
      <c r="G16" s="11">
        <f t="shared" si="7"/>
        <v>-41.192999999999991</v>
      </c>
      <c r="H16" s="11">
        <f t="shared" si="7"/>
        <v>-79.753</v>
      </c>
      <c r="I16" s="11">
        <f t="shared" si="7"/>
        <v>-87.458999999999989</v>
      </c>
      <c r="J16" s="11">
        <f t="shared" si="7"/>
        <v>-71.990000000000009</v>
      </c>
      <c r="K16" s="11">
        <f t="shared" si="7"/>
        <v>-107.94900000000001</v>
      </c>
      <c r="L16" s="11">
        <f t="shared" si="7"/>
        <v>-125.16899999999998</v>
      </c>
      <c r="M16" s="11">
        <f t="shared" si="7"/>
        <v>-75.576999999999998</v>
      </c>
      <c r="N16" s="11">
        <f t="shared" si="7"/>
        <v>-86.718999999999994</v>
      </c>
      <c r="O16" s="11">
        <f t="shared" si="7"/>
        <v>44.01100000000001</v>
      </c>
      <c r="P16" s="129">
        <f t="shared" si="7"/>
        <v>-298.77499999999998</v>
      </c>
      <c r="Q16" s="14">
        <f t="shared" ref="Q16" si="8">Q14+Q15</f>
        <v>-45.844000000000008</v>
      </c>
      <c r="R16" s="11"/>
      <c r="U16" s="11">
        <f t="shared" ref="U16:Y16" si="9">U14+U15</f>
        <v>-60.361000000000033</v>
      </c>
      <c r="V16" s="11">
        <f t="shared" si="9"/>
        <v>-212.39300000000003</v>
      </c>
      <c r="W16" s="11">
        <f t="shared" si="9"/>
        <v>-392.56699999999995</v>
      </c>
      <c r="X16" s="14">
        <f t="shared" si="9"/>
        <v>-417.06000000000006</v>
      </c>
      <c r="Y16" s="11">
        <f t="shared" si="9"/>
        <v>0</v>
      </c>
    </row>
    <row r="17" spans="1:26" x14ac:dyDescent="0.25">
      <c r="A17" s="46" t="s">
        <v>24</v>
      </c>
      <c r="B17" s="47">
        <v>3.113</v>
      </c>
      <c r="C17" s="47">
        <v>3.2559999999999998</v>
      </c>
      <c r="D17" s="47">
        <v>3.8980000000000001</v>
      </c>
      <c r="E17" s="47">
        <v>3.8220000000000001</v>
      </c>
      <c r="F17" s="47">
        <v>4.6420000000000003</v>
      </c>
      <c r="G17" s="47">
        <v>7.9219999999999997</v>
      </c>
      <c r="H17" s="47">
        <v>10.836</v>
      </c>
      <c r="I17" s="47">
        <v>10.731</v>
      </c>
      <c r="J17" s="47">
        <v>11.877000000000001</v>
      </c>
      <c r="K17" s="47">
        <v>12.157</v>
      </c>
      <c r="L17" s="47">
        <v>13.835000000000001</v>
      </c>
      <c r="M17" s="47">
        <v>12.233000000000001</v>
      </c>
      <c r="N17" s="47">
        <v>12.464</v>
      </c>
      <c r="O17" s="47">
        <v>12.558999999999999</v>
      </c>
      <c r="P17" s="131">
        <v>14.618</v>
      </c>
      <c r="Q17" s="50">
        <v>13.013</v>
      </c>
      <c r="R17" s="47"/>
      <c r="S17" s="46"/>
      <c r="T17" s="46"/>
      <c r="U17" s="47">
        <v>13.118</v>
      </c>
      <c r="V17" s="47">
        <v>27222</v>
      </c>
      <c r="W17" s="47">
        <f>SUM(I17:L17)</f>
        <v>48.6</v>
      </c>
      <c r="X17" s="50">
        <f>SUM(M17:P17)</f>
        <v>51.874000000000002</v>
      </c>
      <c r="Y17" s="47"/>
    </row>
    <row r="18" spans="1:26" s="1" customFormat="1" x14ac:dyDescent="0.25">
      <c r="A18" s="48" t="s">
        <v>129</v>
      </c>
      <c r="B18" s="49">
        <f>B16+B17-B15-B13</f>
        <v>-1.2340000000000064</v>
      </c>
      <c r="C18" s="49">
        <f>C16+C17-C15-C13</f>
        <v>-4.6259999999999941</v>
      </c>
      <c r="D18" s="49">
        <f t="shared" ref="D18:N18" si="10">D16+D17-D15-D13</f>
        <v>-25.794999999999995</v>
      </c>
      <c r="E18" s="49">
        <f t="shared" si="10"/>
        <v>-24.693000000000005</v>
      </c>
      <c r="F18" s="49">
        <f t="shared" si="10"/>
        <v>-43.461999999999989</v>
      </c>
      <c r="G18" s="49">
        <f t="shared" si="10"/>
        <v>-36.534999999999997</v>
      </c>
      <c r="H18" s="49">
        <f t="shared" si="10"/>
        <v>-81.831000000000003</v>
      </c>
      <c r="I18" s="49">
        <f t="shared" si="10"/>
        <v>-81.425999999999988</v>
      </c>
      <c r="J18" s="49">
        <f t="shared" si="10"/>
        <v>-62.552000000000007</v>
      </c>
      <c r="K18" s="49">
        <f t="shared" si="10"/>
        <v>-92.211000000000013</v>
      </c>
      <c r="L18" s="49">
        <f t="shared" si="10"/>
        <v>-111.19599999999997</v>
      </c>
      <c r="M18" s="49">
        <f t="shared" si="10"/>
        <v>-59.335999999999991</v>
      </c>
      <c r="N18" s="49">
        <f t="shared" si="10"/>
        <v>-63.015999999999991</v>
      </c>
      <c r="O18" s="49">
        <f>O16+O17-O15-O13</f>
        <v>-54.788999999999987</v>
      </c>
      <c r="P18" s="132">
        <f>P16+P17-P15-P13</f>
        <v>-227.99700000000001</v>
      </c>
      <c r="Q18" s="51">
        <f>Q16+Q17-Q15-Q13</f>
        <v>-15.400000000000009</v>
      </c>
      <c r="R18" s="49"/>
      <c r="S18" s="48"/>
      <c r="T18" s="48"/>
      <c r="U18" s="49">
        <f t="shared" ref="U18:W18" si="11">U16+U17-U15-U13</f>
        <v>-33.97500000000003</v>
      </c>
      <c r="V18" s="49">
        <f t="shared" si="11"/>
        <v>27008.257000000001</v>
      </c>
      <c r="W18" s="49">
        <f t="shared" si="11"/>
        <v>-347.38499999999993</v>
      </c>
      <c r="X18" s="51">
        <f>X16+X17-X15-X13</f>
        <v>-405.13800000000003</v>
      </c>
      <c r="Y18" s="49"/>
    </row>
    <row r="19" spans="1:26" x14ac:dyDescent="0.25">
      <c r="A19" s="46" t="s">
        <v>130</v>
      </c>
      <c r="B19" s="47"/>
      <c r="C19" s="47"/>
      <c r="D19" s="47"/>
      <c r="E19" s="47"/>
      <c r="F19" s="47">
        <v>4.4660000000000002</v>
      </c>
      <c r="G19" s="47">
        <v>9.5679999999999996</v>
      </c>
      <c r="H19" s="47">
        <v>9.5980000000000008</v>
      </c>
      <c r="I19" s="47">
        <v>10.037000000000001</v>
      </c>
      <c r="J19" s="47">
        <v>9.1850000000000005</v>
      </c>
      <c r="K19" s="47">
        <v>8.5030000000000001</v>
      </c>
      <c r="L19" s="47">
        <v>7.7409999999999997</v>
      </c>
      <c r="M19" s="47">
        <v>8.0470000000000006</v>
      </c>
      <c r="N19" s="47">
        <v>2.4220000000000002</v>
      </c>
      <c r="O19" s="47">
        <v>6.29</v>
      </c>
      <c r="P19" s="131">
        <v>4.5869999999999997</v>
      </c>
      <c r="Q19" s="50">
        <v>2.6150000000000002</v>
      </c>
      <c r="R19" s="47"/>
      <c r="S19" s="46"/>
      <c r="T19" s="46"/>
      <c r="U19" s="47">
        <v>1.014</v>
      </c>
      <c r="V19" s="47">
        <v>9598</v>
      </c>
      <c r="W19" s="47">
        <f>SUM(I19:L19)</f>
        <v>35.466000000000001</v>
      </c>
      <c r="X19" s="50">
        <f>SUM(M19:P19)</f>
        <v>21.346</v>
      </c>
      <c r="Y19" s="47"/>
    </row>
    <row r="20" spans="1:26" x14ac:dyDescent="0.25">
      <c r="A20" s="46" t="s">
        <v>27</v>
      </c>
      <c r="B20" s="47"/>
      <c r="C20" s="47">
        <v>1.0999999999999999E-2</v>
      </c>
      <c r="D20" s="47">
        <v>0.66800000000000004</v>
      </c>
      <c r="E20" s="47">
        <v>2.2229999999999999</v>
      </c>
      <c r="F20" s="47">
        <v>7.0650000000000004</v>
      </c>
      <c r="G20" s="47"/>
      <c r="H20" s="47">
        <f>1.654+4.97</f>
        <v>6.6239999999999997</v>
      </c>
      <c r="I20" s="47"/>
      <c r="J20" s="47"/>
      <c r="K20" s="47">
        <v>1.0049999999999999</v>
      </c>
      <c r="L20" s="47">
        <f>3.41+39.581</f>
        <v>42.991</v>
      </c>
      <c r="M20" s="47">
        <f>1.195+0.221</f>
        <v>1.4160000000000001</v>
      </c>
      <c r="N20" s="47">
        <f>7.972+0.154</f>
        <v>8.1260000000000012</v>
      </c>
      <c r="O20" s="47">
        <f>3.177+9.25+0.074</f>
        <v>12.500999999999999</v>
      </c>
      <c r="P20" s="131">
        <f>2.416+201.56</f>
        <v>203.976</v>
      </c>
      <c r="Q20" s="50">
        <f>0.421-0.884+0.044</f>
        <v>-0.41900000000000004</v>
      </c>
      <c r="R20" s="47"/>
      <c r="S20" s="46"/>
      <c r="T20" s="46"/>
      <c r="U20" s="47">
        <v>0.67900000000000005</v>
      </c>
      <c r="V20" s="47">
        <f>1654+4970</f>
        <v>6624</v>
      </c>
      <c r="W20" s="47">
        <f>SUM(I20:L20)</f>
        <v>43.996000000000002</v>
      </c>
      <c r="X20" s="50">
        <f>SUM(M20:P20)</f>
        <v>226.01900000000001</v>
      </c>
      <c r="Y20" s="47"/>
    </row>
    <row r="21" spans="1:26" s="1" customFormat="1" x14ac:dyDescent="0.25">
      <c r="A21" s="48" t="s">
        <v>131</v>
      </c>
      <c r="B21" s="49">
        <f>B18+B19+B20</f>
        <v>-1.2340000000000064</v>
      </c>
      <c r="C21" s="49">
        <f t="shared" ref="C21:P21" si="12">C18+C19+C20</f>
        <v>-4.614999999999994</v>
      </c>
      <c r="D21" s="49">
        <f t="shared" si="12"/>
        <v>-25.126999999999995</v>
      </c>
      <c r="E21" s="49">
        <f t="shared" si="12"/>
        <v>-22.470000000000006</v>
      </c>
      <c r="F21" s="49">
        <f t="shared" si="12"/>
        <v>-31.930999999999987</v>
      </c>
      <c r="G21" s="49">
        <f t="shared" si="12"/>
        <v>-26.966999999999999</v>
      </c>
      <c r="H21" s="49">
        <f t="shared" si="12"/>
        <v>-65.609000000000009</v>
      </c>
      <c r="I21" s="49">
        <f t="shared" si="12"/>
        <v>-71.388999999999982</v>
      </c>
      <c r="J21" s="49">
        <f t="shared" si="12"/>
        <v>-53.367000000000004</v>
      </c>
      <c r="K21" s="49">
        <f t="shared" si="12"/>
        <v>-82.703000000000017</v>
      </c>
      <c r="L21" s="49">
        <f t="shared" si="12"/>
        <v>-60.46399999999997</v>
      </c>
      <c r="M21" s="49">
        <f t="shared" si="12"/>
        <v>-49.87299999999999</v>
      </c>
      <c r="N21" s="49">
        <f t="shared" si="12"/>
        <v>-52.467999999999989</v>
      </c>
      <c r="O21" s="49">
        <f t="shared" si="12"/>
        <v>-35.99799999999999</v>
      </c>
      <c r="P21" s="132">
        <f t="shared" si="12"/>
        <v>-19.434000000000026</v>
      </c>
      <c r="Q21" s="51">
        <f t="shared" ref="Q21" si="13">Q18+Q19+Q20</f>
        <v>-13.20400000000001</v>
      </c>
      <c r="R21" s="49"/>
      <c r="S21" s="48"/>
      <c r="T21" s="48"/>
      <c r="U21" s="49">
        <f t="shared" ref="U21:X21" si="14">U18+U19+U20</f>
        <v>-32.282000000000025</v>
      </c>
      <c r="V21" s="49">
        <f t="shared" si="14"/>
        <v>43230.256999999998</v>
      </c>
      <c r="W21" s="49">
        <f t="shared" si="14"/>
        <v>-267.92299999999994</v>
      </c>
      <c r="X21" s="51">
        <f t="shared" si="14"/>
        <v>-157.77300000000002</v>
      </c>
      <c r="Y21" s="49"/>
    </row>
    <row r="22" spans="1:26" x14ac:dyDescent="0.25">
      <c r="A22" t="s">
        <v>1</v>
      </c>
      <c r="B22" s="10">
        <f>B16/B23</f>
        <v>479.00000000000063</v>
      </c>
      <c r="C22" s="10">
        <f>C16/C23</f>
        <v>520.34999999999968</v>
      </c>
      <c r="D22" s="10">
        <v>480.22899999999998</v>
      </c>
      <c r="E22" s="10">
        <v>480.29899999999998</v>
      </c>
      <c r="F22" s="10">
        <f>F16/F23</f>
        <v>536.94545454545448</v>
      </c>
      <c r="G22" s="10">
        <f>G16/G23</f>
        <v>588.47142857142842</v>
      </c>
      <c r="H22" s="10">
        <v>591.77700000000004</v>
      </c>
      <c r="I22" s="10">
        <v>591.77700000000004</v>
      </c>
      <c r="J22" s="10">
        <v>591.94500000000005</v>
      </c>
      <c r="K22" s="10">
        <v>592.16300000000001</v>
      </c>
      <c r="L22" s="10">
        <v>592.23400000000004</v>
      </c>
      <c r="M22" s="10">
        <v>592.31899999999996</v>
      </c>
      <c r="N22" s="10">
        <v>593.18899999999996</v>
      </c>
      <c r="O22" s="10">
        <v>594.255</v>
      </c>
      <c r="P22" s="127">
        <v>594.60599999999999</v>
      </c>
      <c r="Q22" s="15">
        <v>594.60599999999999</v>
      </c>
      <c r="R22" s="10"/>
      <c r="U22" s="10">
        <v>454.26600000000002</v>
      </c>
      <c r="V22" s="10">
        <v>549.08000000000004</v>
      </c>
      <c r="W22" s="10">
        <v>592.03099999999995</v>
      </c>
      <c r="X22" s="15">
        <v>593.6</v>
      </c>
      <c r="Y22" s="10"/>
    </row>
    <row r="23" spans="1:26" s="1" customFormat="1" x14ac:dyDescent="0.25">
      <c r="A23" s="1" t="s">
        <v>22</v>
      </c>
      <c r="B23" s="2">
        <v>-0.01</v>
      </c>
      <c r="C23" s="2">
        <v>-0.02</v>
      </c>
      <c r="D23" s="2">
        <f>D16/D22</f>
        <v>-7.7027834637225165E-2</v>
      </c>
      <c r="E23" s="2">
        <f>E16/E22</f>
        <v>-6.7422584681625417E-2</v>
      </c>
      <c r="F23" s="2">
        <v>-0.11</v>
      </c>
      <c r="G23" s="2">
        <v>-7.0000000000000007E-2</v>
      </c>
      <c r="H23" s="2">
        <f>H16/H22</f>
        <v>-0.1347686713069281</v>
      </c>
      <c r="I23" s="2">
        <f>I16/I22</f>
        <v>-0.14779046836899706</v>
      </c>
      <c r="J23" s="2">
        <f t="shared" ref="J23:P23" si="15">J16/J22</f>
        <v>-0.12161602851616282</v>
      </c>
      <c r="K23" s="2">
        <f t="shared" si="15"/>
        <v>-0.18229609077230427</v>
      </c>
      <c r="L23" s="2">
        <f t="shared" si="15"/>
        <v>-0.21135058102033988</v>
      </c>
      <c r="M23" s="2">
        <f t="shared" si="15"/>
        <v>-0.12759509656114357</v>
      </c>
      <c r="N23" s="2">
        <f t="shared" si="15"/>
        <v>-0.1461911802140633</v>
      </c>
      <c r="O23" s="2">
        <f t="shared" si="15"/>
        <v>7.4060798815323403E-2</v>
      </c>
      <c r="P23" s="133">
        <f t="shared" si="15"/>
        <v>-0.50247558887734056</v>
      </c>
      <c r="Q23" s="37">
        <f>Q16/Q22</f>
        <v>-7.7099793813045964E-2</v>
      </c>
      <c r="R23" s="36"/>
      <c r="U23" s="2">
        <f>U16/U22</f>
        <v>-0.13287589209846221</v>
      </c>
      <c r="V23" s="2">
        <f>V16/V22</f>
        <v>-0.38681612879726091</v>
      </c>
      <c r="W23" s="2">
        <f>W16/W22</f>
        <v>-0.66308521006501342</v>
      </c>
      <c r="X23" s="37">
        <f>X16/X22</f>
        <v>-0.70259433962264162</v>
      </c>
      <c r="Y23" s="2"/>
    </row>
    <row r="24" spans="1:26" s="1" customFormat="1" x14ac:dyDescent="0.25">
      <c r="A24" s="9" t="s">
        <v>83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134"/>
      <c r="Q24" s="138">
        <v>-0.09</v>
      </c>
      <c r="R24" s="36">
        <v>-0.08</v>
      </c>
      <c r="U24" s="2"/>
      <c r="V24" s="2"/>
      <c r="W24" s="2"/>
      <c r="X24" s="37"/>
      <c r="Y24" s="2">
        <v>-0.3</v>
      </c>
      <c r="Z24" s="1">
        <v>-0.19</v>
      </c>
    </row>
    <row r="25" spans="1:26" s="1" customFormat="1" x14ac:dyDescent="0.25">
      <c r="A25" t="s">
        <v>32</v>
      </c>
      <c r="B25" s="3">
        <f>1-B8/B6</f>
        <v>0.32327482189509904</v>
      </c>
      <c r="C25" s="3">
        <f>1-C8/C6</f>
        <v>0.31348424338605885</v>
      </c>
      <c r="D25" s="3">
        <f>1-D8/D6</f>
        <v>0.27690455961483995</v>
      </c>
      <c r="E25" s="3">
        <f>1-E8/E6</f>
        <v>0.2994173592665581</v>
      </c>
      <c r="F25" s="3">
        <f>1-F8/F6</f>
        <v>0.26415830203009227</v>
      </c>
      <c r="G25" s="3">
        <f t="shared" ref="G25:P25" si="16">1-G8/G6</f>
        <v>0.26234347780336953</v>
      </c>
      <c r="H25" s="3">
        <f t="shared" si="16"/>
        <v>0.15917708753529647</v>
      </c>
      <c r="I25" s="3">
        <f t="shared" si="16"/>
        <v>9.536302696978094E-2</v>
      </c>
      <c r="J25" s="3">
        <f t="shared" si="16"/>
        <v>0.1581496757661921</v>
      </c>
      <c r="K25" s="3">
        <f t="shared" si="16"/>
        <v>2.7220176368384807E-2</v>
      </c>
      <c r="L25" s="3">
        <f t="shared" si="16"/>
        <v>0.15919064121229531</v>
      </c>
      <c r="M25" s="3">
        <f t="shared" si="16"/>
        <v>0.17423394413350712</v>
      </c>
      <c r="N25" s="3">
        <f t="shared" si="16"/>
        <v>0.19213519264032819</v>
      </c>
      <c r="O25" s="41">
        <f t="shared" si="16"/>
        <v>0.17357072416642239</v>
      </c>
      <c r="P25" s="139">
        <f t="shared" si="16"/>
        <v>0.23406704846635096</v>
      </c>
      <c r="Q25" s="140">
        <f t="shared" ref="Q25" si="17">1-Q8/Q6</f>
        <v>0.270633426225804</v>
      </c>
      <c r="U25" s="3">
        <f t="shared" ref="U25:W25" si="18">1-U8/U6</f>
        <v>0.30673713839530459</v>
      </c>
      <c r="V25" s="3">
        <f t="shared" si="18"/>
        <v>0.24100654549977463</v>
      </c>
      <c r="W25" s="3">
        <f t="shared" si="18"/>
        <v>0.11080419473913039</v>
      </c>
      <c r="X25" s="6">
        <f>1-X8/X6</f>
        <v>0.19414487558530813</v>
      </c>
      <c r="Y25" s="3"/>
    </row>
    <row r="26" spans="1:26" x14ac:dyDescent="0.25">
      <c r="A26" t="s">
        <v>33</v>
      </c>
      <c r="B26" s="4">
        <f t="shared" ref="B26:P26" si="19">B16/B6</f>
        <v>-5.0257583229285863E-2</v>
      </c>
      <c r="C26" s="4">
        <f t="shared" si="19"/>
        <v>-9.0746586212308772E-2</v>
      </c>
      <c r="D26" s="4">
        <f t="shared" si="19"/>
        <v>-0.29100191950659238</v>
      </c>
      <c r="E26" s="4">
        <f t="shared" si="19"/>
        <v>-0.2312212606746066</v>
      </c>
      <c r="F26" s="4">
        <f t="shared" si="19"/>
        <v>-0.40412997516267413</v>
      </c>
      <c r="G26" s="4">
        <f t="shared" si="19"/>
        <v>-0.2408074265470998</v>
      </c>
      <c r="H26" s="4">
        <f t="shared" si="19"/>
        <v>-0.42895253462417637</v>
      </c>
      <c r="I26" s="4">
        <f t="shared" si="19"/>
        <v>-0.52627176777827245</v>
      </c>
      <c r="J26" s="4">
        <f t="shared" si="19"/>
        <v>-0.4045336540082492</v>
      </c>
      <c r="K26" s="4">
        <f t="shared" si="19"/>
        <v>-0.58980144897446263</v>
      </c>
      <c r="L26" s="4">
        <f t="shared" si="19"/>
        <v>-0.64166854635306647</v>
      </c>
      <c r="M26" s="4">
        <f t="shared" si="19"/>
        <v>-0.38629660865342841</v>
      </c>
      <c r="N26" s="4">
        <f t="shared" si="19"/>
        <v>-0.44247322526494104</v>
      </c>
      <c r="O26" s="4">
        <f t="shared" si="19"/>
        <v>0.23460646605719773</v>
      </c>
      <c r="P26" s="135">
        <f t="shared" si="19"/>
        <v>-1.4637151493476908</v>
      </c>
      <c r="Q26" s="7">
        <f t="shared" ref="Q26" si="20">Q16/Q6</f>
        <v>-0.23019256358113033</v>
      </c>
      <c r="U26" s="4">
        <f>U16/U6</f>
        <v>-0.14325586031598367</v>
      </c>
      <c r="V26" s="4">
        <f>V16/V6</f>
        <v>-0.3302181315008007</v>
      </c>
      <c r="W26" s="4">
        <f>W16/W6</f>
        <v>-0.54354243338068609</v>
      </c>
      <c r="X26" s="7">
        <f>X16/X6</f>
        <v>-0.53240705280411782</v>
      </c>
      <c r="Y26" s="4"/>
    </row>
    <row r="27" spans="1:26" x14ac:dyDescent="0.25">
      <c r="A27" t="s">
        <v>34</v>
      </c>
      <c r="B27" s="4"/>
      <c r="C27" s="4"/>
      <c r="D27" s="4"/>
      <c r="E27" s="4"/>
      <c r="F27" s="4">
        <f t="shared" ref="F27:N27" si="21">F6/B6-1</f>
        <v>0.53344385105289138</v>
      </c>
      <c r="G27" s="4">
        <f t="shared" si="21"/>
        <v>0.49162030658691003</v>
      </c>
      <c r="H27" s="4">
        <f t="shared" si="21"/>
        <v>0.46264042292079677</v>
      </c>
      <c r="I27" s="4">
        <f t="shared" si="21"/>
        <v>0.18660211921286396</v>
      </c>
      <c r="J27" s="4">
        <f t="shared" si="21"/>
        <v>0.21763108018419297</v>
      </c>
      <c r="K27" s="4">
        <f t="shared" si="21"/>
        <v>6.9939554079807342E-2</v>
      </c>
      <c r="L27" s="4">
        <f t="shared" si="21"/>
        <v>4.9175742907086262E-2</v>
      </c>
      <c r="M27" s="4">
        <f t="shared" si="21"/>
        <v>0.17726523293177499</v>
      </c>
      <c r="N27" s="4">
        <f t="shared" si="21"/>
        <v>0.10131042156014347</v>
      </c>
      <c r="O27" s="4">
        <f>O6/K6-1</f>
        <v>2.4963666364341552E-2</v>
      </c>
      <c r="P27" s="135">
        <f>P6/L6-1</f>
        <v>4.6409457214919847E-2</v>
      </c>
      <c r="Q27" s="7">
        <f>Q6/M6-1</f>
        <v>1.7940657824120354E-2</v>
      </c>
      <c r="R27" s="4">
        <f>R7/N6-1</f>
        <v>3.5629914229005077E-2</v>
      </c>
      <c r="U27" s="3"/>
      <c r="V27" s="3">
        <f>V6/U6-1</f>
        <v>0.52649453780814581</v>
      </c>
      <c r="W27" s="41">
        <f>W6/V6-1</f>
        <v>0.12289992070772238</v>
      </c>
      <c r="X27" s="6">
        <f>X6/W6-1</f>
        <v>8.4611997707126907E-2</v>
      </c>
      <c r="Y27" s="4">
        <f>Y7/X6-1</f>
        <v>6.11631101375123E-2</v>
      </c>
      <c r="Z27" s="4">
        <f>Z7/Y7-1</f>
        <v>9.0260568293915266E-2</v>
      </c>
    </row>
    <row r="28" spans="1:26" x14ac:dyDescent="0.25">
      <c r="A28" t="s">
        <v>132</v>
      </c>
      <c r="B28" s="3">
        <f>B21/B6</f>
        <v>-1.2947360689966388E-2</v>
      </c>
      <c r="C28" s="3">
        <f t="shared" ref="C28:O28" si="22">C21/C6</f>
        <v>-4.0241711864111143E-2</v>
      </c>
      <c r="D28" s="3">
        <f t="shared" si="22"/>
        <v>-0.1976698448661065</v>
      </c>
      <c r="E28" s="3">
        <f t="shared" si="22"/>
        <v>-0.16044040784851346</v>
      </c>
      <c r="F28" s="3">
        <f t="shared" si="22"/>
        <v>-0.21847951775902993</v>
      </c>
      <c r="G28" s="3">
        <f t="shared" si="22"/>
        <v>-0.15764459669593478</v>
      </c>
      <c r="H28" s="3">
        <f t="shared" si="22"/>
        <v>-0.352878848998252</v>
      </c>
      <c r="I28" s="3">
        <f t="shared" si="22"/>
        <v>-0.42957288820959633</v>
      </c>
      <c r="J28" s="3">
        <f t="shared" si="22"/>
        <v>-0.29988536621000461</v>
      </c>
      <c r="K28" s="3">
        <f t="shared" si="22"/>
        <v>-0.45186476238348655</v>
      </c>
      <c r="L28" s="3">
        <f t="shared" si="22"/>
        <v>-0.30996370496442249</v>
      </c>
      <c r="M28" s="3">
        <f t="shared" si="22"/>
        <v>-0.25491579135679415</v>
      </c>
      <c r="N28" s="3">
        <f t="shared" si="22"/>
        <v>-0.26771163393490383</v>
      </c>
      <c r="O28" s="41">
        <f t="shared" si="22"/>
        <v>-0.19189210799861398</v>
      </c>
      <c r="P28" s="41">
        <f>P21/P6</f>
        <v>-9.5208234331597558E-2</v>
      </c>
      <c r="Q28" s="6">
        <f>Q21/Q6</f>
        <v>-6.6300117998543892E-2</v>
      </c>
      <c r="V28" s="41">
        <f t="shared" ref="V28:W28" si="23">V21/V6</f>
        <v>67.212265427012227</v>
      </c>
      <c r="W28" s="41">
        <f t="shared" si="23"/>
        <v>-0.37096220359493676</v>
      </c>
      <c r="X28" s="6">
        <f>X21/X6</f>
        <v>-0.20140856937146712</v>
      </c>
    </row>
    <row r="29" spans="1:26" x14ac:dyDescent="0.25">
      <c r="A29" t="s">
        <v>40</v>
      </c>
      <c r="B29" s="4"/>
      <c r="C29" s="4"/>
      <c r="D29" s="4"/>
      <c r="E29" s="4"/>
      <c r="F29" s="4">
        <f t="shared" ref="F29:Q29" si="24">F16/B16-1</f>
        <v>11.33068893528182</v>
      </c>
      <c r="G29" s="4">
        <f>G16/C16-1</f>
        <v>2.9582012107235527</v>
      </c>
      <c r="H29" s="4">
        <f t="shared" si="24"/>
        <v>1.1560109215755183</v>
      </c>
      <c r="I29" s="4">
        <f t="shared" si="24"/>
        <v>1.7007689219652282</v>
      </c>
      <c r="J29" s="4">
        <f t="shared" si="24"/>
        <v>0.21884735202492234</v>
      </c>
      <c r="K29" s="4">
        <f t="shared" si="24"/>
        <v>1.6205666011215505</v>
      </c>
      <c r="L29" s="4">
        <f t="shared" si="24"/>
        <v>0.56945820219929</v>
      </c>
      <c r="M29" s="4">
        <f t="shared" si="24"/>
        <v>-0.1358579448655941</v>
      </c>
      <c r="N29" s="4">
        <f>N16/J16-1</f>
        <v>0.20459786081400178</v>
      </c>
      <c r="O29" s="4">
        <f t="shared" si="24"/>
        <v>-1.4077017851022242</v>
      </c>
      <c r="P29" s="135">
        <f t="shared" si="24"/>
        <v>1.3869728127571523</v>
      </c>
      <c r="Q29" s="7">
        <f t="shared" si="24"/>
        <v>-0.39341334003731276</v>
      </c>
      <c r="U29" s="3"/>
      <c r="V29" s="3">
        <f t="shared" ref="V29:X29" si="25">-(V16/U16-1)</f>
        <v>-2.5187124136445704</v>
      </c>
      <c r="W29" s="41">
        <f t="shared" si="25"/>
        <v>-0.84830479347247745</v>
      </c>
      <c r="X29" s="6">
        <f t="shared" si="25"/>
        <v>-6.2391897434068921E-2</v>
      </c>
      <c r="Y29" s="3"/>
    </row>
    <row r="30" spans="1:26" x14ac:dyDescent="0.25">
      <c r="A30" t="s">
        <v>180</v>
      </c>
      <c r="B30" s="135">
        <f t="shared" ref="B30:P30" si="26">B10/B6</f>
        <v>0.34986202772036218</v>
      </c>
      <c r="C30" s="135">
        <f t="shared" si="26"/>
        <v>0.35394394935560941</v>
      </c>
      <c r="D30" s="135">
        <f t="shared" si="26"/>
        <v>0.49572831114887189</v>
      </c>
      <c r="E30" s="135">
        <f t="shared" si="26"/>
        <v>0.4770156798903265</v>
      </c>
      <c r="F30" s="135">
        <f t="shared" si="26"/>
        <v>0.56880897154313004</v>
      </c>
      <c r="G30" s="135">
        <f t="shared" si="26"/>
        <v>0.4974219873496159</v>
      </c>
      <c r="H30" s="135">
        <f t="shared" si="26"/>
        <v>0.63950517681860963</v>
      </c>
      <c r="I30" s="135">
        <f t="shared" si="26"/>
        <v>0.6262440879496467</v>
      </c>
      <c r="J30" s="135">
        <f t="shared" si="26"/>
        <v>0.5454095910270963</v>
      </c>
      <c r="K30" s="135">
        <f t="shared" si="26"/>
        <v>0.56694130888507643</v>
      </c>
      <c r="L30" s="135">
        <f t="shared" si="26"/>
        <v>0.55314556975003581</v>
      </c>
      <c r="M30" s="135">
        <f t="shared" si="26"/>
        <v>0.50527741572746565</v>
      </c>
      <c r="N30" s="135">
        <f t="shared" si="26"/>
        <v>0.54439835295198147</v>
      </c>
      <c r="O30" s="135">
        <f t="shared" si="26"/>
        <v>0.46443135478024467</v>
      </c>
      <c r="P30" s="135">
        <f t="shared" si="26"/>
        <v>0.39545661641869284</v>
      </c>
      <c r="Q30" s="7">
        <f>Q10/Q6</f>
        <v>0.39538048253872615</v>
      </c>
      <c r="U30" s="135">
        <f t="shared" ref="U30:X30" si="27">U10/U6</f>
        <v>0.39822380865359286</v>
      </c>
      <c r="V30" s="135">
        <f t="shared" si="27"/>
        <v>0.55027130396927815</v>
      </c>
      <c r="W30" s="135">
        <f t="shared" si="27"/>
        <v>0.57155535986752282</v>
      </c>
      <c r="X30" s="7">
        <f t="shared" si="27"/>
        <v>0.47666681985528786</v>
      </c>
      <c r="Y30" s="3"/>
    </row>
    <row r="31" spans="1:26" x14ac:dyDescent="0.25">
      <c r="A31" t="s">
        <v>181</v>
      </c>
      <c r="B31" s="135">
        <f t="shared" ref="B31:P31" si="28">B9/B6</f>
        <v>1.3671321700993611E-2</v>
      </c>
      <c r="C31" s="135">
        <f t="shared" si="28"/>
        <v>1.4753841056137841E-2</v>
      </c>
      <c r="D31" s="135">
        <f t="shared" si="28"/>
        <v>2.090216809842978E-2</v>
      </c>
      <c r="E31" s="135">
        <f t="shared" si="28"/>
        <v>2.2077514066203983E-2</v>
      </c>
      <c r="F31" s="135">
        <f t="shared" si="28"/>
        <v>2.7040526578675478E-2</v>
      </c>
      <c r="G31" s="135">
        <f t="shared" si="28"/>
        <v>2.3687318048426883E-2</v>
      </c>
      <c r="H31" s="135">
        <f t="shared" si="28"/>
        <v>3.052306037380664E-2</v>
      </c>
      <c r="I31" s="135">
        <f t="shared" si="28"/>
        <v>2.5657997665266628E-2</v>
      </c>
      <c r="J31" s="135">
        <f t="shared" si="28"/>
        <v>3.2131177019296686E-2</v>
      </c>
      <c r="K31" s="135">
        <f t="shared" si="28"/>
        <v>2.8657130680886867E-2</v>
      </c>
      <c r="L31" s="135">
        <f t="shared" si="28"/>
        <v>3.6064346791887955E-2</v>
      </c>
      <c r="M31" s="135">
        <f t="shared" si="28"/>
        <v>2.9205959774080609E-2</v>
      </c>
      <c r="N31" s="135">
        <f t="shared" si="28"/>
        <v>2.7149759933056784E-2</v>
      </c>
      <c r="O31" s="135">
        <f t="shared" si="28"/>
        <v>2.4968682534182683E-2</v>
      </c>
      <c r="P31" s="135">
        <f t="shared" si="28"/>
        <v>2.6102164892392258E-2</v>
      </c>
      <c r="Q31" s="7">
        <f>Q9/Q6</f>
        <v>2.330847832090583E-2</v>
      </c>
      <c r="U31" s="135">
        <f t="shared" ref="U31:X31" si="29">U9/U6</f>
        <v>1.6212136674648929E-2</v>
      </c>
      <c r="V31" s="135">
        <f t="shared" si="29"/>
        <v>2.6074721310965655E-2</v>
      </c>
      <c r="W31" s="135">
        <f t="shared" si="29"/>
        <v>3.0823634314450361E-2</v>
      </c>
      <c r="X31" s="7">
        <f t="shared" si="29"/>
        <v>2.6868007577730463E-2</v>
      </c>
      <c r="Y31" s="3"/>
    </row>
    <row r="32" spans="1:26" x14ac:dyDescent="0.25">
      <c r="A32" t="s">
        <v>182</v>
      </c>
      <c r="B32" s="135">
        <f t="shared" ref="B32:N32" si="30">-B13/B6</f>
        <v>2.4132033700909674E-4</v>
      </c>
      <c r="C32" s="135">
        <f t="shared" si="30"/>
        <v>1.7186655272841422E-2</v>
      </c>
      <c r="D32" s="135">
        <f t="shared" si="30"/>
        <v>4.8876616633625983E-2</v>
      </c>
      <c r="E32" s="135">
        <f t="shared" si="30"/>
        <v>1.370919372804387E-2</v>
      </c>
      <c r="F32" s="135">
        <f t="shared" si="30"/>
        <v>7.3184583068196585E-2</v>
      </c>
      <c r="G32" s="135">
        <f t="shared" si="30"/>
        <v>-2.239538880639768E-2</v>
      </c>
      <c r="H32" s="135">
        <f t="shared" si="30"/>
        <v>-4.0231276052171576E-2</v>
      </c>
      <c r="I32" s="135">
        <f t="shared" si="30"/>
        <v>-2.1524075433550359E-2</v>
      </c>
      <c r="J32" s="135">
        <f t="shared" si="30"/>
        <v>3.3322469346699782E-3</v>
      </c>
      <c r="K32" s="135">
        <f t="shared" si="30"/>
        <v>4.0928611235562157E-2</v>
      </c>
      <c r="L32" s="135">
        <f t="shared" si="30"/>
        <v>-1.5881641273812207E-2</v>
      </c>
      <c r="M32" s="135">
        <f t="shared" si="30"/>
        <v>1.0202151856679191E-2</v>
      </c>
      <c r="N32" s="135">
        <f t="shared" si="30"/>
        <v>5.8738589804425805E-2</v>
      </c>
      <c r="O32" s="135">
        <f>-O13/O6</f>
        <v>-0.60151389962419033</v>
      </c>
      <c r="P32" s="135">
        <f>-P13/P6</f>
        <v>0.24733368933132796</v>
      </c>
      <c r="Q32" s="141">
        <f>-Q13/Q6</f>
        <v>8.7253646657126357E-2</v>
      </c>
      <c r="U32" s="135">
        <f>-U13/U6</f>
        <v>2.576711577758211E-2</v>
      </c>
      <c r="V32" s="135">
        <f t="shared" ref="V32:X32" si="31">-V13/V6</f>
        <v>2.028949455059935E-3</v>
      </c>
      <c r="W32" s="135">
        <f t="shared" si="31"/>
        <v>1.9508804576884623E-3</v>
      </c>
      <c r="X32" s="7">
        <f t="shared" si="31"/>
        <v>-6.2356704810633337E-2</v>
      </c>
      <c r="Y32" s="3"/>
    </row>
    <row r="33" spans="1:25" x14ac:dyDescent="0.25"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43"/>
      <c r="U33" s="3"/>
      <c r="V33" s="3"/>
      <c r="W33" s="41"/>
      <c r="X33" s="6"/>
      <c r="Y33" s="3"/>
    </row>
    <row r="34" spans="1:25" x14ac:dyDescent="0.25">
      <c r="A34" t="s">
        <v>183</v>
      </c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43">
        <f>Q3/M3-1</f>
        <v>9.8620840630472939E-2</v>
      </c>
      <c r="U34" s="3"/>
      <c r="V34" s="3"/>
      <c r="W34" s="41"/>
      <c r="X34" s="6"/>
      <c r="Y34" s="3"/>
    </row>
    <row r="35" spans="1:25" x14ac:dyDescent="0.25">
      <c r="A35" t="s">
        <v>184</v>
      </c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43">
        <f>Q4/M4-1</f>
        <v>4.5689480176761776E-2</v>
      </c>
      <c r="U35" s="3"/>
      <c r="V35" s="3"/>
      <c r="W35" s="41"/>
      <c r="X35" s="6"/>
      <c r="Y35" s="3"/>
    </row>
    <row r="36" spans="1:25" x14ac:dyDescent="0.25">
      <c r="A36" t="s">
        <v>185</v>
      </c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41">
        <f>Q5/M5-1</f>
        <v>-0.29982641121254983</v>
      </c>
      <c r="U36" s="3"/>
      <c r="V36" s="3"/>
      <c r="W36" s="41"/>
      <c r="X36" s="6"/>
      <c r="Y36" s="3"/>
    </row>
    <row r="37" spans="1:25" x14ac:dyDescent="0.25"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43"/>
      <c r="U37" s="3"/>
      <c r="V37" s="3"/>
      <c r="W37" s="41"/>
      <c r="X37" s="6"/>
      <c r="Y37" s="3"/>
    </row>
    <row r="38" spans="1:25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1"/>
    </row>
    <row r="40" spans="1:25" s="1" customFormat="1" x14ac:dyDescent="0.25">
      <c r="A40" s="1" t="s">
        <v>44</v>
      </c>
      <c r="B40" s="11">
        <f t="shared" ref="B40" si="32">B41+B42+B43-B55-B56-B59-B58-B57-B60-B64</f>
        <v>0</v>
      </c>
      <c r="C40" s="11">
        <f t="shared" ref="C40" si="33">C41+C42-C59-C60-C64</f>
        <v>0</v>
      </c>
      <c r="D40" s="11">
        <f>D41+D42-D59-D60-D64</f>
        <v>-97.940999999999988</v>
      </c>
      <c r="E40" s="11">
        <f t="shared" ref="E40:Q40" si="34">E41+E42-E59-E60-E64</f>
        <v>0</v>
      </c>
      <c r="F40" s="11">
        <f t="shared" si="34"/>
        <v>0</v>
      </c>
      <c r="G40" s="11">
        <f t="shared" si="34"/>
        <v>0</v>
      </c>
      <c r="H40" s="11">
        <f t="shared" si="34"/>
        <v>539.52200000000005</v>
      </c>
      <c r="I40" s="11">
        <f t="shared" si="34"/>
        <v>405.96600000000001</v>
      </c>
      <c r="J40" s="11">
        <f t="shared" si="34"/>
        <v>0</v>
      </c>
      <c r="K40" s="11">
        <f t="shared" si="34"/>
        <v>0</v>
      </c>
      <c r="L40" s="11">
        <f t="shared" si="34"/>
        <v>124.286</v>
      </c>
      <c r="M40" s="11">
        <f t="shared" si="34"/>
        <v>0</v>
      </c>
      <c r="N40" s="11">
        <f t="shared" si="34"/>
        <v>-185.05700000000002</v>
      </c>
      <c r="O40" s="11">
        <f t="shared" si="34"/>
        <v>0</v>
      </c>
      <c r="P40" s="129">
        <f t="shared" si="34"/>
        <v>-193.53399999999999</v>
      </c>
      <c r="Q40" s="14">
        <f t="shared" si="34"/>
        <v>0</v>
      </c>
      <c r="U40" s="11">
        <f t="shared" ref="U40:V40" si="35">U41+U42-U59-U60-U64</f>
        <v>-97.940999999999988</v>
      </c>
      <c r="V40" s="11">
        <f t="shared" si="35"/>
        <v>539.52200000000005</v>
      </c>
      <c r="W40" s="11">
        <f>W41+W42-W59-W60-W64</f>
        <v>124.286</v>
      </c>
      <c r="X40" s="14">
        <f>X41+X42-X59-X60-X64</f>
        <v>-193.53399999999999</v>
      </c>
    </row>
    <row r="41" spans="1:25" x14ac:dyDescent="0.25">
      <c r="A41" t="s">
        <v>25</v>
      </c>
      <c r="B41" s="10"/>
      <c r="C41" s="10"/>
      <c r="D41" s="10">
        <v>105.364</v>
      </c>
      <c r="E41" s="10"/>
      <c r="F41" s="10"/>
      <c r="G41" s="10"/>
      <c r="H41" s="10">
        <v>295.572</v>
      </c>
      <c r="I41" s="10">
        <v>219.04499999999999</v>
      </c>
      <c r="J41" s="10"/>
      <c r="K41" s="10"/>
      <c r="L41" s="10">
        <v>82.644000000000005</v>
      </c>
      <c r="M41" s="10"/>
      <c r="N41" s="10">
        <v>340.73</v>
      </c>
      <c r="O41" s="10"/>
      <c r="P41" s="127">
        <f>X41</f>
        <v>249.29900000000001</v>
      </c>
      <c r="Q41" s="15">
        <f>Y41</f>
        <v>0</v>
      </c>
      <c r="U41" s="10">
        <f>D41</f>
        <v>105.364</v>
      </c>
      <c r="V41" s="10">
        <f>H41</f>
        <v>295.572</v>
      </c>
      <c r="W41" s="10">
        <f>L41</f>
        <v>82.644000000000005</v>
      </c>
      <c r="X41" s="15">
        <v>249.29900000000001</v>
      </c>
    </row>
    <row r="42" spans="1:25" x14ac:dyDescent="0.25">
      <c r="A42" t="s">
        <v>112</v>
      </c>
      <c r="B42" s="10"/>
      <c r="C42" s="10"/>
      <c r="D42" s="10"/>
      <c r="E42" s="10"/>
      <c r="F42" s="10"/>
      <c r="G42" s="10"/>
      <c r="H42" s="10">
        <v>249.93700000000001</v>
      </c>
      <c r="I42" s="10">
        <v>192.233</v>
      </c>
      <c r="J42" s="10"/>
      <c r="K42" s="10"/>
      <c r="L42" s="10">
        <v>142.703</v>
      </c>
      <c r="M42" s="10"/>
      <c r="N42" s="10"/>
      <c r="O42" s="10"/>
      <c r="P42" s="127">
        <f t="shared" ref="P42:Q66" si="36">X42</f>
        <v>0</v>
      </c>
      <c r="Q42" s="15">
        <f t="shared" si="36"/>
        <v>0</v>
      </c>
      <c r="U42" s="10">
        <f t="shared" ref="U42:U66" si="37">D42</f>
        <v>0</v>
      </c>
      <c r="V42" s="10">
        <f t="shared" ref="V42:V66" si="38">H42</f>
        <v>249.93700000000001</v>
      </c>
      <c r="W42" s="10">
        <f>L42</f>
        <v>142.703</v>
      </c>
      <c r="X42" s="15">
        <f>M42</f>
        <v>0</v>
      </c>
    </row>
    <row r="43" spans="1:25" x14ac:dyDescent="0.25">
      <c r="A43" t="s">
        <v>113</v>
      </c>
      <c r="B43" s="10"/>
      <c r="C43" s="10"/>
      <c r="D43" s="10">
        <v>11.509</v>
      </c>
      <c r="E43" s="10"/>
      <c r="F43" s="10"/>
      <c r="G43" s="10"/>
      <c r="H43" s="10">
        <v>27.710999999999999</v>
      </c>
      <c r="I43" s="10">
        <v>21.317</v>
      </c>
      <c r="J43" s="10"/>
      <c r="K43" s="10"/>
      <c r="L43" s="10">
        <v>23.413</v>
      </c>
      <c r="M43" s="10"/>
      <c r="N43" s="10">
        <v>22.244</v>
      </c>
      <c r="O43" s="10"/>
      <c r="P43" s="127">
        <f t="shared" si="36"/>
        <v>16.928000000000001</v>
      </c>
      <c r="Q43" s="15">
        <f t="shared" si="36"/>
        <v>0</v>
      </c>
      <c r="U43" s="10">
        <f t="shared" si="37"/>
        <v>11.509</v>
      </c>
      <c r="V43" s="10">
        <f t="shared" si="38"/>
        <v>27.710999999999999</v>
      </c>
      <c r="W43" s="10">
        <f t="shared" ref="W43:X66" si="39">L43</f>
        <v>23.413</v>
      </c>
      <c r="X43" s="15">
        <v>16.928000000000001</v>
      </c>
    </row>
    <row r="44" spans="1:25" x14ac:dyDescent="0.25">
      <c r="A44" t="s">
        <v>115</v>
      </c>
      <c r="B44" s="10"/>
      <c r="C44" s="10"/>
      <c r="D44" s="10">
        <v>12.363</v>
      </c>
      <c r="E44" s="10"/>
      <c r="F44" s="10"/>
      <c r="G44" s="10"/>
      <c r="H44" s="10">
        <v>32.228999999999999</v>
      </c>
      <c r="I44" s="10">
        <v>35.226999999999997</v>
      </c>
      <c r="J44" s="10"/>
      <c r="K44" s="10"/>
      <c r="L44" s="10">
        <v>17.818000000000001</v>
      </c>
      <c r="M44" s="10"/>
      <c r="N44" s="10">
        <v>33.924999999999997</v>
      </c>
      <c r="O44" s="10"/>
      <c r="P44" s="127">
        <f t="shared" si="36"/>
        <v>33.82</v>
      </c>
      <c r="Q44" s="15">
        <f t="shared" si="36"/>
        <v>0</v>
      </c>
      <c r="U44" s="10">
        <f t="shared" si="37"/>
        <v>12.363</v>
      </c>
      <c r="V44" s="10">
        <f t="shared" si="38"/>
        <v>32.228999999999999</v>
      </c>
      <c r="W44" s="10">
        <f t="shared" si="39"/>
        <v>17.818000000000001</v>
      </c>
      <c r="X44" s="15">
        <v>33.82</v>
      </c>
    </row>
    <row r="45" spans="1:25" x14ac:dyDescent="0.25">
      <c r="A45" t="s">
        <v>114</v>
      </c>
      <c r="B45" s="10"/>
      <c r="C45" s="10"/>
      <c r="D45" s="10">
        <v>0.51400000000000001</v>
      </c>
      <c r="E45" s="10"/>
      <c r="F45" s="10"/>
      <c r="G45" s="10"/>
      <c r="H45" s="10">
        <v>0.435</v>
      </c>
      <c r="I45" s="10">
        <v>0.56899999999999995</v>
      </c>
      <c r="J45" s="10"/>
      <c r="K45" s="10"/>
      <c r="L45" s="10">
        <v>0.24299999999999999</v>
      </c>
      <c r="M45" s="10"/>
      <c r="N45" s="10">
        <v>0.307</v>
      </c>
      <c r="O45" s="10"/>
      <c r="P45" s="127">
        <f t="shared" si="36"/>
        <v>2.5049999999999999</v>
      </c>
      <c r="Q45" s="15">
        <f t="shared" si="36"/>
        <v>0</v>
      </c>
      <c r="U45" s="10">
        <f t="shared" si="37"/>
        <v>0.51400000000000001</v>
      </c>
      <c r="V45" s="10">
        <f t="shared" si="38"/>
        <v>0.435</v>
      </c>
      <c r="W45" s="10">
        <f t="shared" si="39"/>
        <v>0.24299999999999999</v>
      </c>
      <c r="X45" s="15">
        <v>2.5049999999999999</v>
      </c>
    </row>
    <row r="46" spans="1:25" x14ac:dyDescent="0.25">
      <c r="A46" t="s">
        <v>116</v>
      </c>
      <c r="B46" s="10"/>
      <c r="C46" s="10"/>
      <c r="D46" s="10">
        <v>71.296999999999997</v>
      </c>
      <c r="E46" s="10"/>
      <c r="F46" s="10"/>
      <c r="G46" s="10"/>
      <c r="H46" s="10">
        <v>105.51900000000001</v>
      </c>
      <c r="I46" s="10">
        <v>98.864000000000004</v>
      </c>
      <c r="J46" s="10"/>
      <c r="K46" s="10"/>
      <c r="L46" s="10">
        <v>100.955</v>
      </c>
      <c r="M46" s="10"/>
      <c r="N46" s="10">
        <v>102.83499999999999</v>
      </c>
      <c r="O46" s="10"/>
      <c r="P46" s="127">
        <f t="shared" si="36"/>
        <v>112.95099999999999</v>
      </c>
      <c r="Q46" s="15">
        <f t="shared" si="36"/>
        <v>0</v>
      </c>
      <c r="U46" s="10">
        <f t="shared" si="37"/>
        <v>71.296999999999997</v>
      </c>
      <c r="V46" s="10">
        <f t="shared" si="38"/>
        <v>105.51900000000001</v>
      </c>
      <c r="W46" s="10">
        <f t="shared" si="39"/>
        <v>100.955</v>
      </c>
      <c r="X46" s="15">
        <v>112.95099999999999</v>
      </c>
    </row>
    <row r="47" spans="1:25" x14ac:dyDescent="0.25">
      <c r="A47" t="s">
        <v>111</v>
      </c>
      <c r="B47" s="10"/>
      <c r="C47" s="10"/>
      <c r="D47" s="10">
        <v>39.115000000000002</v>
      </c>
      <c r="E47" s="10"/>
      <c r="F47" s="10"/>
      <c r="G47" s="10"/>
      <c r="H47" s="10">
        <v>95.661000000000001</v>
      </c>
      <c r="I47" s="10">
        <v>98.933000000000007</v>
      </c>
      <c r="J47" s="10"/>
      <c r="K47" s="10"/>
      <c r="L47" s="10">
        <v>114.47499999999999</v>
      </c>
      <c r="M47" s="10"/>
      <c r="N47" s="10">
        <v>102.825</v>
      </c>
      <c r="O47" s="10"/>
      <c r="P47" s="127">
        <f t="shared" si="36"/>
        <v>67.882000000000005</v>
      </c>
      <c r="Q47" s="15">
        <f t="shared" si="36"/>
        <v>0</v>
      </c>
      <c r="U47" s="10">
        <f t="shared" si="37"/>
        <v>39.115000000000002</v>
      </c>
      <c r="V47" s="10">
        <f t="shared" si="38"/>
        <v>95.661000000000001</v>
      </c>
      <c r="W47" s="10">
        <f t="shared" si="39"/>
        <v>114.47499999999999</v>
      </c>
      <c r="X47" s="15">
        <v>67.882000000000005</v>
      </c>
    </row>
    <row r="48" spans="1:25" s="1" customFormat="1" x14ac:dyDescent="0.25">
      <c r="A48" s="1" t="s">
        <v>80</v>
      </c>
      <c r="B48" s="11">
        <f t="shared" ref="B48:P48" si="40">SUM(B41:B47)</f>
        <v>0</v>
      </c>
      <c r="C48" s="11">
        <f t="shared" si="40"/>
        <v>0</v>
      </c>
      <c r="D48" s="11">
        <f t="shared" si="40"/>
        <v>240.16200000000001</v>
      </c>
      <c r="E48" s="11">
        <f t="shared" si="40"/>
        <v>0</v>
      </c>
      <c r="F48" s="11">
        <f t="shared" si="40"/>
        <v>0</v>
      </c>
      <c r="G48" s="11">
        <f t="shared" si="40"/>
        <v>0</v>
      </c>
      <c r="H48" s="11">
        <f t="shared" si="40"/>
        <v>807.06400000000008</v>
      </c>
      <c r="I48" s="11">
        <f t="shared" si="40"/>
        <v>666.18799999999999</v>
      </c>
      <c r="J48" s="11">
        <f t="shared" si="40"/>
        <v>0</v>
      </c>
      <c r="K48" s="11">
        <f t="shared" si="40"/>
        <v>0</v>
      </c>
      <c r="L48" s="11">
        <f t="shared" si="40"/>
        <v>482.25099999999998</v>
      </c>
      <c r="M48" s="11">
        <f t="shared" si="40"/>
        <v>0</v>
      </c>
      <c r="N48" s="11">
        <f t="shared" si="40"/>
        <v>602.8660000000001</v>
      </c>
      <c r="O48" s="11">
        <f t="shared" si="40"/>
        <v>0</v>
      </c>
      <c r="P48" s="129">
        <f t="shared" si="40"/>
        <v>483.38500000000005</v>
      </c>
      <c r="Q48" s="14">
        <f t="shared" ref="Q48" si="41">SUM(Q41:Q47)</f>
        <v>0</v>
      </c>
      <c r="U48" s="11">
        <f t="shared" ref="U48" si="42">SUM(U41:U47)</f>
        <v>240.16200000000001</v>
      </c>
      <c r="V48" s="11">
        <f t="shared" ref="V48" si="43">SUM(V41:V47)</f>
        <v>807.06400000000008</v>
      </c>
      <c r="W48" s="11">
        <f t="shared" ref="W48:X48" si="44">SUM(W41:W47)</f>
        <v>482.25099999999998</v>
      </c>
      <c r="X48" s="14">
        <f t="shared" si="44"/>
        <v>483.38500000000005</v>
      </c>
    </row>
    <row r="49" spans="1:24" x14ac:dyDescent="0.25">
      <c r="A49" t="s">
        <v>28</v>
      </c>
      <c r="B49" s="10"/>
      <c r="C49" s="10"/>
      <c r="D49" s="10">
        <v>156.46299999999999</v>
      </c>
      <c r="E49" s="10"/>
      <c r="F49" s="10"/>
      <c r="G49" s="10"/>
      <c r="H49" s="10">
        <v>145.92500000000001</v>
      </c>
      <c r="I49" s="10">
        <v>142.244</v>
      </c>
      <c r="J49" s="10"/>
      <c r="K49" s="10"/>
      <c r="L49" s="10">
        <v>127.688</v>
      </c>
      <c r="M49" s="10"/>
      <c r="N49" s="10">
        <v>122.17100000000001</v>
      </c>
      <c r="O49" s="10"/>
      <c r="P49" s="127">
        <f t="shared" si="36"/>
        <v>130.32599999999999</v>
      </c>
      <c r="Q49" s="15">
        <f t="shared" si="36"/>
        <v>0</v>
      </c>
      <c r="U49" s="10">
        <f t="shared" si="37"/>
        <v>156.46299999999999</v>
      </c>
      <c r="V49" s="10">
        <f t="shared" si="38"/>
        <v>145.92500000000001</v>
      </c>
      <c r="W49" s="10">
        <f t="shared" si="39"/>
        <v>127.688</v>
      </c>
      <c r="X49" s="15">
        <v>130.32599999999999</v>
      </c>
    </row>
    <row r="50" spans="1:24" x14ac:dyDescent="0.25">
      <c r="A50" t="s">
        <v>110</v>
      </c>
      <c r="B50" s="10"/>
      <c r="C50" s="10"/>
      <c r="D50" s="10">
        <v>237.625</v>
      </c>
      <c r="E50" s="10"/>
      <c r="F50" s="10"/>
      <c r="G50" s="10"/>
      <c r="H50" s="10">
        <v>509.64800000000002</v>
      </c>
      <c r="I50" s="10">
        <v>547.13099999999997</v>
      </c>
      <c r="J50" s="10"/>
      <c r="K50" s="10"/>
      <c r="L50" s="10">
        <v>492.952</v>
      </c>
      <c r="M50" s="10"/>
      <c r="N50" s="10">
        <v>504.74299999999999</v>
      </c>
      <c r="O50" s="10"/>
      <c r="P50" s="127">
        <f t="shared" si="36"/>
        <v>360.286</v>
      </c>
      <c r="Q50" s="15">
        <f t="shared" si="36"/>
        <v>0</v>
      </c>
      <c r="U50" s="10">
        <f t="shared" si="37"/>
        <v>237.625</v>
      </c>
      <c r="V50" s="10">
        <f t="shared" si="38"/>
        <v>509.64800000000002</v>
      </c>
      <c r="W50" s="10">
        <f t="shared" si="39"/>
        <v>492.952</v>
      </c>
      <c r="X50" s="15">
        <v>360.286</v>
      </c>
    </row>
    <row r="51" spans="1:24" x14ac:dyDescent="0.25">
      <c r="A51" t="s">
        <v>117</v>
      </c>
      <c r="B51" s="10"/>
      <c r="C51" s="10"/>
      <c r="D51" s="10">
        <v>38.103000000000002</v>
      </c>
      <c r="E51" s="10"/>
      <c r="F51" s="10"/>
      <c r="G51" s="10"/>
      <c r="H51" s="10">
        <v>158.44800000000001</v>
      </c>
      <c r="I51" s="10">
        <v>165.72399999999999</v>
      </c>
      <c r="J51" s="10"/>
      <c r="K51" s="10"/>
      <c r="L51" s="10">
        <v>108.598</v>
      </c>
      <c r="M51" s="10"/>
      <c r="N51" s="10">
        <v>109.379</v>
      </c>
      <c r="O51" s="10"/>
      <c r="P51" s="127">
        <f t="shared" si="36"/>
        <v>88.393000000000001</v>
      </c>
      <c r="Q51" s="15">
        <f t="shared" si="36"/>
        <v>0</v>
      </c>
      <c r="U51" s="10">
        <f t="shared" si="37"/>
        <v>38.103000000000002</v>
      </c>
      <c r="V51" s="10">
        <f t="shared" si="38"/>
        <v>158.44800000000001</v>
      </c>
      <c r="W51" s="10">
        <f t="shared" si="39"/>
        <v>108.598</v>
      </c>
      <c r="X51" s="15">
        <v>88.393000000000001</v>
      </c>
    </row>
    <row r="52" spans="1:24" x14ac:dyDescent="0.25">
      <c r="A52" t="s">
        <v>27</v>
      </c>
      <c r="B52" s="10"/>
      <c r="C52" s="10"/>
      <c r="D52" s="10">
        <v>6.55</v>
      </c>
      <c r="E52" s="10"/>
      <c r="F52" s="10"/>
      <c r="G52" s="10"/>
      <c r="H52" s="10">
        <v>5.5339999999999998</v>
      </c>
      <c r="I52" s="10">
        <v>5.5259999999999998</v>
      </c>
      <c r="J52" s="10"/>
      <c r="K52" s="10"/>
      <c r="L52" s="10">
        <v>7.8479999999999999</v>
      </c>
      <c r="M52" s="10"/>
      <c r="N52" s="10">
        <v>47.24</v>
      </c>
      <c r="O52" s="10"/>
      <c r="P52" s="127">
        <f t="shared" si="36"/>
        <v>44.378</v>
      </c>
      <c r="Q52" s="15">
        <f t="shared" si="36"/>
        <v>0</v>
      </c>
      <c r="U52" s="10">
        <f t="shared" si="37"/>
        <v>6.55</v>
      </c>
      <c r="V52" s="10">
        <f t="shared" si="38"/>
        <v>5.5339999999999998</v>
      </c>
      <c r="W52" s="10">
        <f t="shared" si="39"/>
        <v>7.8479999999999999</v>
      </c>
      <c r="X52" s="15">
        <v>44.378</v>
      </c>
    </row>
    <row r="53" spans="1:24" s="1" customFormat="1" x14ac:dyDescent="0.25">
      <c r="A53" t="s">
        <v>118</v>
      </c>
      <c r="B53" s="10"/>
      <c r="C53" s="10"/>
      <c r="D53" s="10">
        <v>2.5999999999999999E-2</v>
      </c>
      <c r="E53" s="10"/>
      <c r="F53" s="10"/>
      <c r="G53" s="10"/>
      <c r="H53" s="10">
        <v>2.2930000000000001</v>
      </c>
      <c r="I53" s="10">
        <v>2.4689999999999999</v>
      </c>
      <c r="J53" s="10"/>
      <c r="K53" s="10"/>
      <c r="L53" s="10">
        <v>5.86</v>
      </c>
      <c r="M53" s="10"/>
      <c r="N53" s="10">
        <v>14.717000000000001</v>
      </c>
      <c r="O53" s="10"/>
      <c r="P53" s="127">
        <f t="shared" si="36"/>
        <v>10.202999999999999</v>
      </c>
      <c r="Q53" s="15">
        <f t="shared" si="36"/>
        <v>0</v>
      </c>
      <c r="U53" s="10">
        <f t="shared" si="37"/>
        <v>2.5999999999999999E-2</v>
      </c>
      <c r="V53" s="10">
        <f t="shared" si="38"/>
        <v>2.2930000000000001</v>
      </c>
      <c r="W53" s="10">
        <f t="shared" si="39"/>
        <v>5.86</v>
      </c>
      <c r="X53" s="15">
        <v>10.202999999999999</v>
      </c>
    </row>
    <row r="54" spans="1:24" x14ac:dyDescent="0.25">
      <c r="A54" s="1" t="s">
        <v>29</v>
      </c>
      <c r="B54" s="11">
        <f t="shared" ref="B54:P54" si="45">SUM(B48:B53)</f>
        <v>0</v>
      </c>
      <c r="C54" s="11">
        <f t="shared" si="45"/>
        <v>0</v>
      </c>
      <c r="D54" s="11">
        <f t="shared" si="45"/>
        <v>678.92899999999986</v>
      </c>
      <c r="E54" s="11">
        <f t="shared" si="45"/>
        <v>0</v>
      </c>
      <c r="F54" s="11">
        <f t="shared" si="45"/>
        <v>0</v>
      </c>
      <c r="G54" s="11">
        <f t="shared" si="45"/>
        <v>0</v>
      </c>
      <c r="H54" s="11">
        <f t="shared" si="45"/>
        <v>1628.9120000000003</v>
      </c>
      <c r="I54" s="11">
        <f t="shared" si="45"/>
        <v>1529.2820000000002</v>
      </c>
      <c r="J54" s="11">
        <f t="shared" si="45"/>
        <v>0</v>
      </c>
      <c r="K54" s="11">
        <f t="shared" si="45"/>
        <v>0</v>
      </c>
      <c r="L54" s="11">
        <f t="shared" si="45"/>
        <v>1225.1969999999999</v>
      </c>
      <c r="M54" s="11">
        <f t="shared" si="45"/>
        <v>0</v>
      </c>
      <c r="N54" s="11">
        <f t="shared" si="45"/>
        <v>1401.1160000000002</v>
      </c>
      <c r="O54" s="11">
        <f t="shared" si="45"/>
        <v>0</v>
      </c>
      <c r="P54" s="129">
        <f t="shared" si="45"/>
        <v>1116.971</v>
      </c>
      <c r="Q54" s="14">
        <f t="shared" ref="Q54" si="46">SUM(Q48:Q53)</f>
        <v>0</v>
      </c>
      <c r="U54" s="11">
        <f>SUM(U48:U53)</f>
        <v>678.92899999999986</v>
      </c>
      <c r="V54" s="11">
        <f>SUM(V48:V53)</f>
        <v>1628.9120000000003</v>
      </c>
      <c r="W54" s="11">
        <f>SUM(W48:W53)</f>
        <v>1225.1969999999999</v>
      </c>
      <c r="X54" s="14">
        <f>SUM(X48:X53)</f>
        <v>1116.971</v>
      </c>
    </row>
    <row r="55" spans="1:24" x14ac:dyDescent="0.25">
      <c r="A55" t="s">
        <v>119</v>
      </c>
      <c r="B55" s="10"/>
      <c r="C55" s="10"/>
      <c r="D55" s="10">
        <v>59.945</v>
      </c>
      <c r="E55" s="10"/>
      <c r="F55" s="10"/>
      <c r="G55" s="10"/>
      <c r="H55" s="10">
        <v>117.473</v>
      </c>
      <c r="I55" s="10">
        <v>123.292</v>
      </c>
      <c r="J55" s="10"/>
      <c r="K55" s="10"/>
      <c r="L55" s="10">
        <v>123.03700000000001</v>
      </c>
      <c r="M55" s="10"/>
      <c r="N55" s="10">
        <v>116.47499999999999</v>
      </c>
      <c r="O55" s="10"/>
      <c r="P55" s="127">
        <f t="shared" si="36"/>
        <v>121.33799999999999</v>
      </c>
      <c r="Q55" s="15">
        <f t="shared" si="36"/>
        <v>0</v>
      </c>
      <c r="U55" s="10">
        <f t="shared" si="37"/>
        <v>59.945</v>
      </c>
      <c r="V55" s="10">
        <f t="shared" si="38"/>
        <v>117.473</v>
      </c>
      <c r="W55" s="10">
        <f t="shared" si="39"/>
        <v>123.03700000000001</v>
      </c>
      <c r="X55" s="15">
        <v>121.33799999999999</v>
      </c>
    </row>
    <row r="56" spans="1:24" x14ac:dyDescent="0.25">
      <c r="A56" t="s">
        <v>121</v>
      </c>
      <c r="B56" s="10"/>
      <c r="C56" s="10"/>
      <c r="D56" s="10">
        <v>4.6319999999999997</v>
      </c>
      <c r="E56" s="10"/>
      <c r="F56" s="10"/>
      <c r="G56" s="10"/>
      <c r="H56" s="10">
        <v>9.6140000000000008</v>
      </c>
      <c r="I56" s="10">
        <v>14.391999999999999</v>
      </c>
      <c r="J56" s="10"/>
      <c r="K56" s="10"/>
      <c r="L56" s="10">
        <v>11.823</v>
      </c>
      <c r="M56" s="10"/>
      <c r="N56" s="10">
        <v>11.644</v>
      </c>
      <c r="O56" s="10"/>
      <c r="P56" s="127">
        <f t="shared" si="36"/>
        <v>35.328000000000003</v>
      </c>
      <c r="Q56" s="15">
        <f t="shared" si="36"/>
        <v>0</v>
      </c>
      <c r="U56" s="10">
        <f t="shared" si="37"/>
        <v>4.6319999999999997</v>
      </c>
      <c r="V56" s="10">
        <f t="shared" si="38"/>
        <v>9.6140000000000008</v>
      </c>
      <c r="W56" s="10">
        <f t="shared" si="39"/>
        <v>11.823</v>
      </c>
      <c r="X56" s="15">
        <v>35.328000000000003</v>
      </c>
    </row>
    <row r="57" spans="1:24" x14ac:dyDescent="0.25">
      <c r="A57" t="s">
        <v>122</v>
      </c>
      <c r="B57" s="10"/>
      <c r="C57" s="10"/>
      <c r="D57" s="10">
        <v>0.85199999999999998</v>
      </c>
      <c r="E57" s="10"/>
      <c r="F57" s="10"/>
      <c r="G57" s="10"/>
      <c r="H57" s="10">
        <v>0.56699999999999995</v>
      </c>
      <c r="I57" s="10">
        <v>0.74199999999999999</v>
      </c>
      <c r="J57" s="10"/>
      <c r="K57" s="10"/>
      <c r="L57" s="10">
        <v>5.5149999999999997</v>
      </c>
      <c r="M57" s="10"/>
      <c r="N57" s="10">
        <v>4.2990000000000004</v>
      </c>
      <c r="O57" s="10"/>
      <c r="P57" s="127">
        <f t="shared" si="36"/>
        <v>16.605</v>
      </c>
      <c r="Q57" s="15">
        <f t="shared" si="36"/>
        <v>0</v>
      </c>
      <c r="U57" s="10">
        <f t="shared" si="37"/>
        <v>0.85199999999999998</v>
      </c>
      <c r="V57" s="10">
        <f t="shared" si="38"/>
        <v>0.56699999999999995</v>
      </c>
      <c r="W57" s="10">
        <f t="shared" si="39"/>
        <v>5.5149999999999997</v>
      </c>
      <c r="X57" s="15">
        <f>2.732+13.873</f>
        <v>16.605</v>
      </c>
    </row>
    <row r="58" spans="1:24" x14ac:dyDescent="0.25">
      <c r="A58" t="s">
        <v>120</v>
      </c>
      <c r="B58" s="10"/>
      <c r="C58" s="10"/>
      <c r="D58" s="10">
        <v>45.295000000000002</v>
      </c>
      <c r="E58" s="10"/>
      <c r="F58" s="10"/>
      <c r="G58" s="10"/>
      <c r="H58" s="10">
        <v>93.043000000000006</v>
      </c>
      <c r="I58" s="10">
        <v>75.620999999999995</v>
      </c>
      <c r="J58" s="10"/>
      <c r="K58" s="10"/>
      <c r="L58" s="10">
        <v>82.516000000000005</v>
      </c>
      <c r="M58" s="10"/>
      <c r="N58" s="10">
        <v>81.200999999999993</v>
      </c>
      <c r="O58" s="10"/>
      <c r="P58" s="127">
        <f t="shared" si="36"/>
        <v>64.367999999999995</v>
      </c>
      <c r="Q58" s="15">
        <f t="shared" si="36"/>
        <v>0</v>
      </c>
      <c r="U58" s="10">
        <f t="shared" si="37"/>
        <v>45.295000000000002</v>
      </c>
      <c r="V58" s="10">
        <f t="shared" si="38"/>
        <v>93.043000000000006</v>
      </c>
      <c r="W58" s="10">
        <f t="shared" si="39"/>
        <v>82.516000000000005</v>
      </c>
      <c r="X58" s="15">
        <v>64.367999999999995</v>
      </c>
    </row>
    <row r="59" spans="1:24" x14ac:dyDescent="0.25">
      <c r="A59" t="s">
        <v>133</v>
      </c>
      <c r="B59" s="10"/>
      <c r="C59" s="10"/>
      <c r="D59" s="10">
        <v>106.11799999999999</v>
      </c>
      <c r="E59" s="10"/>
      <c r="F59" s="10"/>
      <c r="G59" s="10"/>
      <c r="H59" s="10">
        <v>0</v>
      </c>
      <c r="I59" s="10"/>
      <c r="J59" s="10"/>
      <c r="K59" s="10"/>
      <c r="L59" s="10">
        <v>48.470999999999997</v>
      </c>
      <c r="M59" s="10"/>
      <c r="N59" s="10">
        <v>400.24400000000003</v>
      </c>
      <c r="O59" s="10"/>
      <c r="P59" s="127">
        <f t="shared" si="36"/>
        <v>323.52800000000002</v>
      </c>
      <c r="Q59" s="15">
        <f t="shared" si="36"/>
        <v>0</v>
      </c>
      <c r="U59" s="10">
        <f t="shared" si="37"/>
        <v>106.11799999999999</v>
      </c>
      <c r="V59" s="10">
        <f t="shared" si="38"/>
        <v>0</v>
      </c>
      <c r="W59" s="10">
        <f t="shared" si="39"/>
        <v>48.470999999999997</v>
      </c>
      <c r="X59" s="15">
        <f>323.528</f>
        <v>323.52800000000002</v>
      </c>
    </row>
    <row r="60" spans="1:24" x14ac:dyDescent="0.25">
      <c r="A60" t="s">
        <v>123</v>
      </c>
      <c r="B60" s="10"/>
      <c r="C60" s="10"/>
      <c r="D60" s="10">
        <v>5.532</v>
      </c>
      <c r="E60" s="10"/>
      <c r="F60" s="10"/>
      <c r="G60" s="52"/>
      <c r="H60" s="10">
        <v>5.9870000000000001</v>
      </c>
      <c r="I60" s="10">
        <v>5.3120000000000003</v>
      </c>
      <c r="J60" s="10"/>
      <c r="K60" s="10"/>
      <c r="L60" s="10">
        <v>49.921999999999997</v>
      </c>
      <c r="M60" s="10"/>
      <c r="N60" s="10">
        <v>10.332000000000001</v>
      </c>
      <c r="O60" s="10"/>
      <c r="P60" s="127">
        <f t="shared" si="36"/>
        <v>6.056</v>
      </c>
      <c r="Q60" s="15">
        <f t="shared" si="36"/>
        <v>0</v>
      </c>
      <c r="U60" s="10">
        <f t="shared" si="37"/>
        <v>5.532</v>
      </c>
      <c r="V60" s="10">
        <f t="shared" si="38"/>
        <v>5.9870000000000001</v>
      </c>
      <c r="W60" s="10">
        <f t="shared" si="39"/>
        <v>49.921999999999997</v>
      </c>
      <c r="X60" s="15">
        <v>6.056</v>
      </c>
    </row>
    <row r="61" spans="1:24" x14ac:dyDescent="0.25">
      <c r="A61" t="s">
        <v>124</v>
      </c>
      <c r="B61" s="10"/>
      <c r="C61" s="10"/>
      <c r="D61" s="10">
        <v>6.2610000000000001</v>
      </c>
      <c r="E61" s="10"/>
      <c r="F61" s="10"/>
      <c r="G61" s="10"/>
      <c r="H61" s="10">
        <v>16.702999999999999</v>
      </c>
      <c r="I61" s="10">
        <v>20.751000000000001</v>
      </c>
      <c r="J61" s="10"/>
      <c r="K61" s="10"/>
      <c r="L61" s="10">
        <v>16.823</v>
      </c>
      <c r="M61" s="10"/>
      <c r="N61" s="10">
        <v>14.72</v>
      </c>
      <c r="O61" s="10"/>
      <c r="P61" s="127">
        <f t="shared" si="36"/>
        <v>16.431999999999999</v>
      </c>
      <c r="Q61" s="15">
        <f t="shared" si="36"/>
        <v>0</v>
      </c>
      <c r="U61" s="10">
        <f t="shared" si="37"/>
        <v>6.2610000000000001</v>
      </c>
      <c r="V61" s="10">
        <f t="shared" si="38"/>
        <v>16.702999999999999</v>
      </c>
      <c r="W61" s="10">
        <f t="shared" si="39"/>
        <v>16.823</v>
      </c>
      <c r="X61" s="15">
        <v>16.431999999999999</v>
      </c>
    </row>
    <row r="62" spans="1:24" s="1" customFormat="1" x14ac:dyDescent="0.25">
      <c r="A62" s="1" t="s">
        <v>81</v>
      </c>
      <c r="B62" s="11">
        <f t="shared" ref="B62:P62" si="47">SUM(B55:B61)</f>
        <v>0</v>
      </c>
      <c r="C62" s="11">
        <f t="shared" si="47"/>
        <v>0</v>
      </c>
      <c r="D62" s="11">
        <f t="shared" si="47"/>
        <v>228.63499999999999</v>
      </c>
      <c r="E62" s="11">
        <f t="shared" si="47"/>
        <v>0</v>
      </c>
      <c r="F62" s="11">
        <f t="shared" si="47"/>
        <v>0</v>
      </c>
      <c r="G62" s="11">
        <f t="shared" si="47"/>
        <v>0</v>
      </c>
      <c r="H62" s="11">
        <f t="shared" si="47"/>
        <v>243.387</v>
      </c>
      <c r="I62" s="11">
        <f>SUM(I55:I61)</f>
        <v>240.10999999999999</v>
      </c>
      <c r="J62" s="11">
        <f t="shared" si="47"/>
        <v>0</v>
      </c>
      <c r="K62" s="11">
        <f t="shared" si="47"/>
        <v>0</v>
      </c>
      <c r="L62" s="11">
        <f t="shared" si="47"/>
        <v>338.10699999999997</v>
      </c>
      <c r="M62" s="11">
        <f t="shared" si="47"/>
        <v>0</v>
      </c>
      <c r="N62" s="11">
        <f t="shared" si="47"/>
        <v>638.91500000000008</v>
      </c>
      <c r="O62" s="11">
        <f t="shared" si="47"/>
        <v>0</v>
      </c>
      <c r="P62" s="129">
        <f t="shared" si="47"/>
        <v>583.65500000000009</v>
      </c>
      <c r="Q62" s="14">
        <f t="shared" ref="Q62" si="48">SUM(Q55:Q61)</f>
        <v>0</v>
      </c>
      <c r="R62" s="11"/>
      <c r="S62" s="11"/>
      <c r="T62" s="11"/>
      <c r="U62" s="11">
        <f t="shared" ref="U62" si="49">SUM(U55:U61)</f>
        <v>228.63499999999999</v>
      </c>
      <c r="V62" s="11">
        <f t="shared" ref="V62" si="50">SUM(V55:V61)</f>
        <v>243.387</v>
      </c>
      <c r="W62" s="11">
        <f t="shared" ref="W62:X62" si="51">SUM(W55:W61)</f>
        <v>338.10699999999997</v>
      </c>
      <c r="X62" s="14">
        <f t="shared" si="51"/>
        <v>583.65500000000009</v>
      </c>
    </row>
    <row r="63" spans="1:24" x14ac:dyDescent="0.25">
      <c r="A63" t="s">
        <v>125</v>
      </c>
      <c r="B63" s="10"/>
      <c r="C63" s="10"/>
      <c r="D63" s="10">
        <v>23.882999999999999</v>
      </c>
      <c r="E63" s="10"/>
      <c r="F63" s="10"/>
      <c r="G63" s="10"/>
      <c r="H63" s="10">
        <v>126.51600000000001</v>
      </c>
      <c r="I63" s="10">
        <v>128.66200000000001</v>
      </c>
      <c r="J63" s="10"/>
      <c r="K63" s="10"/>
      <c r="L63" s="10">
        <v>82.284999999999997</v>
      </c>
      <c r="M63" s="10"/>
      <c r="N63" s="10">
        <v>87.418000000000006</v>
      </c>
      <c r="O63" s="10"/>
      <c r="P63" s="127">
        <f t="shared" si="36"/>
        <v>72.569999999999993</v>
      </c>
      <c r="Q63" s="15">
        <f t="shared" si="36"/>
        <v>0</v>
      </c>
      <c r="U63" s="10">
        <f t="shared" si="37"/>
        <v>23.882999999999999</v>
      </c>
      <c r="V63" s="10">
        <f t="shared" si="38"/>
        <v>126.51600000000001</v>
      </c>
      <c r="W63" s="10">
        <f t="shared" si="39"/>
        <v>82.284999999999997</v>
      </c>
      <c r="X63" s="15">
        <v>72.569999999999993</v>
      </c>
    </row>
    <row r="64" spans="1:24" x14ac:dyDescent="0.25">
      <c r="A64" t="s">
        <v>126</v>
      </c>
      <c r="B64" s="10"/>
      <c r="C64" s="10"/>
      <c r="D64" s="10">
        <v>91.655000000000001</v>
      </c>
      <c r="E64" s="10"/>
      <c r="F64" s="10"/>
      <c r="G64" s="10"/>
      <c r="H64" s="10">
        <v>0</v>
      </c>
      <c r="I64" s="10">
        <v>0</v>
      </c>
      <c r="J64" s="10"/>
      <c r="K64" s="10"/>
      <c r="L64" s="10">
        <v>2.6680000000000001</v>
      </c>
      <c r="M64" s="10"/>
      <c r="N64" s="10">
        <v>115.211</v>
      </c>
      <c r="O64" s="10"/>
      <c r="P64" s="127">
        <f t="shared" si="36"/>
        <v>113.249</v>
      </c>
      <c r="Q64" s="15">
        <f t="shared" si="36"/>
        <v>0</v>
      </c>
      <c r="U64" s="10">
        <f t="shared" si="37"/>
        <v>91.655000000000001</v>
      </c>
      <c r="V64" s="10">
        <f t="shared" si="38"/>
        <v>0</v>
      </c>
      <c r="W64" s="10">
        <f t="shared" si="39"/>
        <v>2.6680000000000001</v>
      </c>
      <c r="X64" s="15">
        <v>113.249</v>
      </c>
    </row>
    <row r="65" spans="1:24" x14ac:dyDescent="0.25">
      <c r="A65" t="s">
        <v>128</v>
      </c>
      <c r="B65" s="10"/>
      <c r="C65" s="10"/>
      <c r="D65" s="10">
        <f>0.233+7.121</f>
        <v>7.3540000000000001</v>
      </c>
      <c r="E65" s="10"/>
      <c r="F65" s="10"/>
      <c r="G65" s="10"/>
      <c r="H65" s="10">
        <v>11.032999999999999</v>
      </c>
      <c r="I65" s="10">
        <v>12.977</v>
      </c>
      <c r="J65" s="10"/>
      <c r="K65" s="10"/>
      <c r="L65" s="10">
        <f>3.8+7.194</f>
        <v>10.994</v>
      </c>
      <c r="M65" s="10"/>
      <c r="N65" s="10">
        <f>6.538+6.6</f>
        <v>13.138</v>
      </c>
      <c r="O65" s="10"/>
      <c r="P65" s="127">
        <f t="shared" si="36"/>
        <v>10.715999999999999</v>
      </c>
      <c r="Q65" s="15">
        <f t="shared" si="36"/>
        <v>0</v>
      </c>
      <c r="U65" s="10">
        <f t="shared" si="37"/>
        <v>7.3540000000000001</v>
      </c>
      <c r="V65" s="10">
        <f t="shared" si="38"/>
        <v>11.032999999999999</v>
      </c>
      <c r="W65" s="10">
        <f t="shared" si="39"/>
        <v>10.994</v>
      </c>
      <c r="X65" s="15">
        <v>10.715999999999999</v>
      </c>
    </row>
    <row r="66" spans="1:24" x14ac:dyDescent="0.25">
      <c r="A66" t="s">
        <v>127</v>
      </c>
      <c r="B66" s="10"/>
      <c r="C66" s="10"/>
      <c r="D66" s="10">
        <v>1.3069999999999999</v>
      </c>
      <c r="E66" s="10"/>
      <c r="F66" s="10"/>
      <c r="G66" s="10"/>
      <c r="H66" s="10">
        <v>2.677</v>
      </c>
      <c r="I66" s="10">
        <v>2.61</v>
      </c>
      <c r="J66" s="10"/>
      <c r="K66" s="10"/>
      <c r="L66" s="10">
        <v>0</v>
      </c>
      <c r="M66" s="10"/>
      <c r="N66" s="10">
        <v>0.63700000000000001</v>
      </c>
      <c r="O66" s="10"/>
      <c r="P66" s="127">
        <f t="shared" si="36"/>
        <v>0</v>
      </c>
      <c r="Q66" s="15">
        <f t="shared" si="36"/>
        <v>0</v>
      </c>
      <c r="U66" s="10">
        <f t="shared" si="37"/>
        <v>1.3069999999999999</v>
      </c>
      <c r="V66" s="10">
        <f t="shared" si="38"/>
        <v>2.677</v>
      </c>
      <c r="W66" s="10">
        <f t="shared" si="39"/>
        <v>0</v>
      </c>
      <c r="X66" s="15">
        <f t="shared" si="39"/>
        <v>0</v>
      </c>
    </row>
    <row r="67" spans="1:24" x14ac:dyDescent="0.25">
      <c r="A67" s="1" t="s">
        <v>30</v>
      </c>
      <c r="B67" s="11">
        <f t="shared" ref="B67:P67" si="52">SUM(B62:B66)</f>
        <v>0</v>
      </c>
      <c r="C67" s="11">
        <f t="shared" si="52"/>
        <v>0</v>
      </c>
      <c r="D67" s="11">
        <f t="shared" si="52"/>
        <v>352.834</v>
      </c>
      <c r="E67" s="11">
        <f t="shared" si="52"/>
        <v>0</v>
      </c>
      <c r="F67" s="11">
        <f t="shared" si="52"/>
        <v>0</v>
      </c>
      <c r="G67" s="11">
        <f t="shared" si="52"/>
        <v>0</v>
      </c>
      <c r="H67" s="11">
        <f t="shared" si="52"/>
        <v>383.61300000000006</v>
      </c>
      <c r="I67" s="11">
        <f t="shared" si="52"/>
        <v>384.35899999999998</v>
      </c>
      <c r="J67" s="11">
        <f t="shared" si="52"/>
        <v>0</v>
      </c>
      <c r="K67" s="11">
        <f t="shared" si="52"/>
        <v>0</v>
      </c>
      <c r="L67" s="11">
        <f>SUM(L62:L66)</f>
        <v>434.05399999999997</v>
      </c>
      <c r="M67" s="11">
        <f t="shared" si="52"/>
        <v>0</v>
      </c>
      <c r="N67" s="11">
        <f t="shared" si="52"/>
        <v>855.31900000000007</v>
      </c>
      <c r="O67" s="11">
        <f t="shared" si="52"/>
        <v>0</v>
      </c>
      <c r="P67" s="129">
        <f t="shared" si="52"/>
        <v>780.19000000000017</v>
      </c>
      <c r="Q67" s="14">
        <f t="shared" ref="Q67" si="53">SUM(Q62:Q66)</f>
        <v>0</v>
      </c>
      <c r="U67" s="11">
        <f t="shared" ref="U67:W67" si="54">SUM(U62:U66)</f>
        <v>352.834</v>
      </c>
      <c r="V67" s="11">
        <f t="shared" si="54"/>
        <v>383.61300000000006</v>
      </c>
      <c r="W67" s="11">
        <f t="shared" si="54"/>
        <v>434.05399999999997</v>
      </c>
      <c r="X67" s="14">
        <f>SUM(X62:X66)</f>
        <v>780.19000000000017</v>
      </c>
    </row>
    <row r="68" spans="1:24" x14ac:dyDescent="0.25">
      <c r="A68" t="s">
        <v>176</v>
      </c>
      <c r="C68" s="127">
        <f t="shared" ref="C68:M68" si="55">C54-C67</f>
        <v>0</v>
      </c>
      <c r="D68" s="127">
        <f t="shared" si="55"/>
        <v>326.09499999999986</v>
      </c>
      <c r="E68" s="127">
        <f t="shared" si="55"/>
        <v>0</v>
      </c>
      <c r="F68" s="127">
        <f t="shared" si="55"/>
        <v>0</v>
      </c>
      <c r="G68" s="127">
        <f t="shared" si="55"/>
        <v>0</v>
      </c>
      <c r="H68" s="127">
        <f t="shared" si="55"/>
        <v>1245.2990000000002</v>
      </c>
      <c r="I68" s="127">
        <f t="shared" si="55"/>
        <v>1144.9230000000002</v>
      </c>
      <c r="J68" s="127">
        <f t="shared" si="55"/>
        <v>0</v>
      </c>
      <c r="K68" s="127">
        <f t="shared" si="55"/>
        <v>0</v>
      </c>
      <c r="L68" s="127">
        <f t="shared" si="55"/>
        <v>791.14299999999992</v>
      </c>
      <c r="M68" s="127">
        <f t="shared" si="55"/>
        <v>0</v>
      </c>
      <c r="N68" s="127">
        <f>N54-N67</f>
        <v>545.79700000000014</v>
      </c>
      <c r="O68" s="127">
        <f>O54-O67</f>
        <v>0</v>
      </c>
      <c r="P68" s="127">
        <f>P54-P67</f>
        <v>336.78099999999984</v>
      </c>
      <c r="Q68" s="15">
        <f>Q54-Q67</f>
        <v>0</v>
      </c>
      <c r="U68" s="10">
        <f t="shared" ref="U68:V68" si="56">U54-U67</f>
        <v>326.09499999999986</v>
      </c>
      <c r="V68" s="10">
        <f t="shared" si="56"/>
        <v>1245.2990000000002</v>
      </c>
      <c r="W68" s="10">
        <f>W54-W67</f>
        <v>791.14299999999992</v>
      </c>
      <c r="X68" s="15">
        <f>X54-X67</f>
        <v>336.78099999999984</v>
      </c>
    </row>
    <row r="70" spans="1:24" s="1" customFormat="1" x14ac:dyDescent="0.25">
      <c r="A70" s="1" t="s">
        <v>58</v>
      </c>
      <c r="P70" s="136"/>
      <c r="Q70" s="16"/>
      <c r="X70" s="16"/>
    </row>
    <row r="71" spans="1:24" x14ac:dyDescent="0.25">
      <c r="A71" t="s">
        <v>45</v>
      </c>
    </row>
    <row r="72" spans="1:24" x14ac:dyDescent="0.25">
      <c r="A72" t="s">
        <v>24</v>
      </c>
    </row>
    <row r="73" spans="1:24" x14ac:dyDescent="0.25">
      <c r="A73" t="s">
        <v>46</v>
      </c>
    </row>
    <row r="74" spans="1:24" x14ac:dyDescent="0.25">
      <c r="A74" t="s">
        <v>47</v>
      </c>
    </row>
    <row r="75" spans="1:24" x14ac:dyDescent="0.25">
      <c r="A75" t="s">
        <v>27</v>
      </c>
    </row>
    <row r="76" spans="1:24" x14ac:dyDescent="0.25">
      <c r="A76" t="s">
        <v>26</v>
      </c>
    </row>
    <row r="77" spans="1:24" x14ac:dyDescent="0.25">
      <c r="A77" t="s">
        <v>48</v>
      </c>
    </row>
    <row r="78" spans="1:24" x14ac:dyDescent="0.25">
      <c r="A78" t="s">
        <v>31</v>
      </c>
    </row>
    <row r="79" spans="1:24" x14ac:dyDescent="0.25">
      <c r="A79" t="s">
        <v>49</v>
      </c>
    </row>
    <row r="80" spans="1:24" x14ac:dyDescent="0.25">
      <c r="A80" t="s">
        <v>50</v>
      </c>
    </row>
    <row r="81" spans="1:24" x14ac:dyDescent="0.25">
      <c r="A81" t="s">
        <v>51</v>
      </c>
    </row>
    <row r="82" spans="1:24" x14ac:dyDescent="0.25">
      <c r="A82" t="s">
        <v>27</v>
      </c>
    </row>
    <row r="83" spans="1:24" x14ac:dyDescent="0.25">
      <c r="A83" t="s">
        <v>52</v>
      </c>
    </row>
    <row r="84" spans="1:24" x14ac:dyDescent="0.25">
      <c r="A84" t="s">
        <v>53</v>
      </c>
    </row>
    <row r="85" spans="1:24" x14ac:dyDescent="0.25">
      <c r="A85" t="s">
        <v>54</v>
      </c>
    </row>
    <row r="86" spans="1:24" x14ac:dyDescent="0.25">
      <c r="A86" t="s">
        <v>27</v>
      </c>
    </row>
    <row r="87" spans="1:24" x14ac:dyDescent="0.25">
      <c r="A87" t="s">
        <v>55</v>
      </c>
    </row>
    <row r="88" spans="1:24" s="9" customFormat="1" x14ac:dyDescent="0.25">
      <c r="A88" s="9" t="s">
        <v>56</v>
      </c>
      <c r="P88" s="137"/>
      <c r="Q88" s="53"/>
      <c r="X88" s="53"/>
    </row>
    <row r="89" spans="1:24" s="1" customFormat="1" x14ac:dyDescent="0.25">
      <c r="A89" s="1" t="s">
        <v>57</v>
      </c>
      <c r="P89" s="136"/>
      <c r="Q89" s="16"/>
      <c r="X89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W18" sqref="W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874F-29D3-4A78-A5E5-1177859C398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1147"/>
  <sheetViews>
    <sheetView workbookViewId="0">
      <selection activeCell="A2" sqref="A2"/>
    </sheetView>
  </sheetViews>
  <sheetFormatPr defaultRowHeight="15" x14ac:dyDescent="0.25"/>
  <cols>
    <col min="1" max="1" width="11.7109375" customWidth="1"/>
    <col min="2" max="2" width="6.8554687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70</v>
      </c>
      <c r="B1" s="17" t="s">
        <v>71</v>
      </c>
    </row>
    <row r="2" spans="1:12" x14ac:dyDescent="0.25">
      <c r="A2" s="12">
        <v>44336</v>
      </c>
      <c r="B2" s="18">
        <v>20.200001</v>
      </c>
      <c r="D2" t="s">
        <v>70</v>
      </c>
      <c r="E2" t="s">
        <v>72</v>
      </c>
      <c r="L2" t="s">
        <v>73</v>
      </c>
    </row>
    <row r="3" spans="1:12" x14ac:dyDescent="0.25">
      <c r="A3" s="12">
        <v>44337</v>
      </c>
      <c r="B3" s="18">
        <v>22.459999</v>
      </c>
      <c r="D3" s="12">
        <v>45328</v>
      </c>
      <c r="E3" t="s">
        <v>75</v>
      </c>
      <c r="L3" s="12"/>
    </row>
    <row r="4" spans="1:12" x14ac:dyDescent="0.25">
      <c r="A4" s="12">
        <v>44340</v>
      </c>
      <c r="B4" s="18">
        <v>20.73</v>
      </c>
      <c r="D4" s="12">
        <v>45302</v>
      </c>
      <c r="E4" t="s">
        <v>75</v>
      </c>
      <c r="L4" s="12"/>
    </row>
    <row r="5" spans="1:12" x14ac:dyDescent="0.25">
      <c r="A5" s="12">
        <v>44341</v>
      </c>
      <c r="B5" s="18">
        <v>21.200001</v>
      </c>
      <c r="L5" s="12"/>
    </row>
    <row r="6" spans="1:12" x14ac:dyDescent="0.25">
      <c r="A6" s="12">
        <v>44342</v>
      </c>
      <c r="B6" s="18">
        <v>21.620000999999998</v>
      </c>
      <c r="L6" s="12"/>
    </row>
    <row r="7" spans="1:12" x14ac:dyDescent="0.25">
      <c r="A7" s="12">
        <v>44343</v>
      </c>
      <c r="B7" s="18">
        <v>22.120000999999998</v>
      </c>
      <c r="L7" s="12"/>
    </row>
    <row r="8" spans="1:12" x14ac:dyDescent="0.25">
      <c r="A8" s="12">
        <v>44344</v>
      </c>
      <c r="B8" s="18">
        <v>23.709999</v>
      </c>
      <c r="L8" s="12"/>
    </row>
    <row r="9" spans="1:12" x14ac:dyDescent="0.25">
      <c r="A9" s="12">
        <v>44348</v>
      </c>
      <c r="B9" s="18">
        <v>25.15</v>
      </c>
      <c r="L9" s="12"/>
    </row>
    <row r="10" spans="1:12" x14ac:dyDescent="0.25">
      <c r="A10" s="12">
        <v>44349</v>
      </c>
      <c r="B10" s="18">
        <v>23.809999000000001</v>
      </c>
      <c r="L10" s="12"/>
    </row>
    <row r="11" spans="1:12" x14ac:dyDescent="0.25">
      <c r="A11" s="12">
        <v>44350</v>
      </c>
      <c r="B11" s="18">
        <v>23.879999000000002</v>
      </c>
      <c r="L11" s="12"/>
    </row>
    <row r="12" spans="1:12" x14ac:dyDescent="0.25">
      <c r="A12" s="12">
        <v>44351</v>
      </c>
      <c r="B12" s="18">
        <v>23.83</v>
      </c>
      <c r="L12" s="12"/>
    </row>
    <row r="13" spans="1:12" x14ac:dyDescent="0.25">
      <c r="A13" s="12">
        <v>44354</v>
      </c>
      <c r="B13" s="18">
        <v>25</v>
      </c>
    </row>
    <row r="14" spans="1:12" x14ac:dyDescent="0.25">
      <c r="A14" s="12">
        <v>44355</v>
      </c>
      <c r="B14" s="18">
        <v>26.99</v>
      </c>
    </row>
    <row r="15" spans="1:12" x14ac:dyDescent="0.25">
      <c r="A15" s="12">
        <v>44356</v>
      </c>
      <c r="B15" s="18">
        <v>26.309999000000001</v>
      </c>
    </row>
    <row r="16" spans="1:12" x14ac:dyDescent="0.25">
      <c r="A16" s="12">
        <v>44357</v>
      </c>
      <c r="B16" s="18">
        <v>26.65</v>
      </c>
    </row>
    <row r="17" spans="1:2" x14ac:dyDescent="0.25">
      <c r="A17" s="12">
        <v>44358</v>
      </c>
      <c r="B17" s="18">
        <v>28.73</v>
      </c>
    </row>
    <row r="18" spans="1:2" x14ac:dyDescent="0.25">
      <c r="A18" s="12">
        <v>44361</v>
      </c>
      <c r="B18" s="18">
        <v>27.370000999999998</v>
      </c>
    </row>
    <row r="19" spans="1:2" x14ac:dyDescent="0.25">
      <c r="A19" s="12">
        <v>44362</v>
      </c>
      <c r="B19" s="18">
        <v>27.82</v>
      </c>
    </row>
    <row r="20" spans="1:2" x14ac:dyDescent="0.25">
      <c r="A20" s="12">
        <v>44363</v>
      </c>
      <c r="B20" s="18">
        <v>27.49</v>
      </c>
    </row>
    <row r="21" spans="1:2" x14ac:dyDescent="0.25">
      <c r="A21" s="12">
        <v>44364</v>
      </c>
      <c r="B21" s="18">
        <v>26.73</v>
      </c>
    </row>
    <row r="22" spans="1:2" x14ac:dyDescent="0.25">
      <c r="A22" s="12">
        <v>44365</v>
      </c>
      <c r="B22" s="18">
        <v>26</v>
      </c>
    </row>
    <row r="23" spans="1:2" x14ac:dyDescent="0.25">
      <c r="A23" s="12">
        <v>44368</v>
      </c>
      <c r="B23" s="18">
        <v>26.33</v>
      </c>
    </row>
    <row r="24" spans="1:2" x14ac:dyDescent="0.25">
      <c r="A24" s="12">
        <v>44369</v>
      </c>
      <c r="B24" s="18">
        <v>25.799999</v>
      </c>
    </row>
    <row r="25" spans="1:2" x14ac:dyDescent="0.25">
      <c r="A25" s="12">
        <v>44370</v>
      </c>
      <c r="B25" s="18">
        <v>25.84</v>
      </c>
    </row>
    <row r="26" spans="1:2" x14ac:dyDescent="0.25">
      <c r="A26" s="12">
        <v>44371</v>
      </c>
      <c r="B26" s="18">
        <v>24.809999000000001</v>
      </c>
    </row>
    <row r="27" spans="1:2" x14ac:dyDescent="0.25">
      <c r="A27" s="12">
        <v>44372</v>
      </c>
      <c r="B27" s="18">
        <v>24.4</v>
      </c>
    </row>
    <row r="28" spans="1:2" x14ac:dyDescent="0.25">
      <c r="A28" s="12">
        <v>44375</v>
      </c>
      <c r="B28" s="18">
        <v>25.299999</v>
      </c>
    </row>
    <row r="29" spans="1:2" x14ac:dyDescent="0.25">
      <c r="A29" s="12">
        <v>44376</v>
      </c>
      <c r="B29" s="18">
        <v>25.75</v>
      </c>
    </row>
    <row r="30" spans="1:2" x14ac:dyDescent="0.25">
      <c r="A30" s="12">
        <v>44377</v>
      </c>
      <c r="B30" s="18">
        <v>24.459999</v>
      </c>
    </row>
    <row r="31" spans="1:2" x14ac:dyDescent="0.25">
      <c r="A31" s="12">
        <v>44378</v>
      </c>
      <c r="B31" s="18">
        <v>23.4</v>
      </c>
    </row>
    <row r="32" spans="1:2" x14ac:dyDescent="0.25">
      <c r="A32" s="12">
        <v>44379</v>
      </c>
      <c r="B32" s="18">
        <v>23.09</v>
      </c>
    </row>
    <row r="33" spans="1:2" x14ac:dyDescent="0.25">
      <c r="A33" s="12">
        <v>44383</v>
      </c>
      <c r="B33" s="18">
        <v>22.209999</v>
      </c>
    </row>
    <row r="34" spans="1:2" x14ac:dyDescent="0.25">
      <c r="A34" s="12">
        <v>44384</v>
      </c>
      <c r="B34" s="18">
        <v>22.450001</v>
      </c>
    </row>
    <row r="35" spans="1:2" x14ac:dyDescent="0.25">
      <c r="A35" s="12">
        <v>44385</v>
      </c>
      <c r="B35" s="18">
        <v>23.440000999999999</v>
      </c>
    </row>
    <row r="36" spans="1:2" x14ac:dyDescent="0.25">
      <c r="A36" s="12">
        <v>44386</v>
      </c>
      <c r="B36" s="18">
        <v>23</v>
      </c>
    </row>
    <row r="37" spans="1:2" x14ac:dyDescent="0.25">
      <c r="A37" s="12">
        <v>44389</v>
      </c>
      <c r="B37" s="18">
        <v>22.42</v>
      </c>
    </row>
    <row r="38" spans="1:2" x14ac:dyDescent="0.25">
      <c r="A38" s="12">
        <v>44390</v>
      </c>
      <c r="B38" s="18">
        <v>21.129999000000002</v>
      </c>
    </row>
    <row r="39" spans="1:2" x14ac:dyDescent="0.25">
      <c r="A39" s="12">
        <v>44391</v>
      </c>
      <c r="B39" s="18">
        <v>20.540001</v>
      </c>
    </row>
    <row r="40" spans="1:2" x14ac:dyDescent="0.25">
      <c r="A40" s="12">
        <v>44392</v>
      </c>
      <c r="B40" s="18">
        <v>19.48</v>
      </c>
    </row>
    <row r="41" spans="1:2" x14ac:dyDescent="0.25">
      <c r="A41" s="12">
        <v>44393</v>
      </c>
      <c r="B41" s="18">
        <v>19.280000999999999</v>
      </c>
    </row>
    <row r="42" spans="1:2" x14ac:dyDescent="0.25">
      <c r="A42" s="12">
        <v>44396</v>
      </c>
      <c r="B42" s="18">
        <v>19.68</v>
      </c>
    </row>
    <row r="43" spans="1:2" x14ac:dyDescent="0.25">
      <c r="A43" s="12">
        <v>44397</v>
      </c>
      <c r="B43" s="18">
        <v>19.450001</v>
      </c>
    </row>
    <row r="44" spans="1:2" x14ac:dyDescent="0.25">
      <c r="A44" s="12">
        <v>44398</v>
      </c>
      <c r="B44" s="18">
        <v>18.870000999999998</v>
      </c>
    </row>
    <row r="45" spans="1:2" x14ac:dyDescent="0.25">
      <c r="A45" s="12">
        <v>44399</v>
      </c>
      <c r="B45" s="18">
        <v>19.040001</v>
      </c>
    </row>
    <row r="46" spans="1:2" x14ac:dyDescent="0.25">
      <c r="A46" s="12">
        <v>44400</v>
      </c>
      <c r="B46" s="18">
        <v>18.469999000000001</v>
      </c>
    </row>
    <row r="47" spans="1:2" x14ac:dyDescent="0.25">
      <c r="A47" s="12">
        <v>44403</v>
      </c>
      <c r="B47" s="18">
        <v>18.649999999999999</v>
      </c>
    </row>
    <row r="48" spans="1:2" x14ac:dyDescent="0.25">
      <c r="A48" s="12">
        <v>44404</v>
      </c>
      <c r="B48" s="18">
        <v>17.5</v>
      </c>
    </row>
    <row r="49" spans="1:2" x14ac:dyDescent="0.25">
      <c r="A49" s="12">
        <v>44405</v>
      </c>
      <c r="B49" s="18">
        <v>18.120000999999998</v>
      </c>
    </row>
    <row r="50" spans="1:2" x14ac:dyDescent="0.25">
      <c r="A50" s="12">
        <v>44406</v>
      </c>
      <c r="B50" s="18">
        <v>18.290001</v>
      </c>
    </row>
    <row r="51" spans="1:2" x14ac:dyDescent="0.25">
      <c r="A51" s="12">
        <v>44407</v>
      </c>
      <c r="B51" s="18">
        <v>17.75</v>
      </c>
    </row>
    <row r="52" spans="1:2" x14ac:dyDescent="0.25">
      <c r="A52" s="12">
        <v>44410</v>
      </c>
      <c r="B52" s="18">
        <v>18.5</v>
      </c>
    </row>
    <row r="53" spans="1:2" x14ac:dyDescent="0.25">
      <c r="A53" s="12">
        <v>44411</v>
      </c>
      <c r="B53" s="18">
        <v>18.450001</v>
      </c>
    </row>
    <row r="54" spans="1:2" x14ac:dyDescent="0.25">
      <c r="A54" s="12">
        <v>44412</v>
      </c>
      <c r="B54" s="18">
        <v>18.040001</v>
      </c>
    </row>
    <row r="55" spans="1:2" x14ac:dyDescent="0.25">
      <c r="A55" s="12">
        <v>44413</v>
      </c>
      <c r="B55" s="18">
        <v>18.190000999999999</v>
      </c>
    </row>
    <row r="56" spans="1:2" x14ac:dyDescent="0.25">
      <c r="A56" s="12">
        <v>44414</v>
      </c>
      <c r="B56" s="18">
        <v>18.469999000000001</v>
      </c>
    </row>
    <row r="57" spans="1:2" x14ac:dyDescent="0.25">
      <c r="A57" s="12">
        <v>44417</v>
      </c>
      <c r="B57" s="18">
        <v>19.120000999999998</v>
      </c>
    </row>
    <row r="58" spans="1:2" x14ac:dyDescent="0.25">
      <c r="A58" s="12">
        <v>44418</v>
      </c>
      <c r="B58" s="18">
        <v>19.07</v>
      </c>
    </row>
    <row r="59" spans="1:2" x14ac:dyDescent="0.25">
      <c r="A59" s="12">
        <v>44419</v>
      </c>
      <c r="B59" s="18">
        <v>17.41</v>
      </c>
    </row>
    <row r="60" spans="1:2" x14ac:dyDescent="0.25">
      <c r="A60" s="12">
        <v>44420</v>
      </c>
      <c r="B60" s="18">
        <v>16.989999999999998</v>
      </c>
    </row>
    <row r="61" spans="1:2" x14ac:dyDescent="0.25">
      <c r="A61" s="12">
        <v>44421</v>
      </c>
      <c r="B61" s="18">
        <v>16.870000999999998</v>
      </c>
    </row>
    <row r="62" spans="1:2" x14ac:dyDescent="0.25">
      <c r="A62" s="12">
        <v>44424</v>
      </c>
      <c r="B62" s="18">
        <v>16.43</v>
      </c>
    </row>
    <row r="63" spans="1:2" x14ac:dyDescent="0.25">
      <c r="A63" s="12">
        <v>44425</v>
      </c>
      <c r="B63" s="18">
        <v>15.93</v>
      </c>
    </row>
    <row r="64" spans="1:2" x14ac:dyDescent="0.25">
      <c r="A64" s="12">
        <v>44426</v>
      </c>
      <c r="B64" s="18">
        <v>15.16</v>
      </c>
    </row>
    <row r="65" spans="1:2" x14ac:dyDescent="0.25">
      <c r="A65" s="12">
        <v>44427</v>
      </c>
      <c r="B65" s="18">
        <v>15.74</v>
      </c>
    </row>
    <row r="66" spans="1:2" x14ac:dyDescent="0.25">
      <c r="A66" s="12">
        <v>44428</v>
      </c>
      <c r="B66" s="18">
        <v>15.63</v>
      </c>
    </row>
    <row r="67" spans="1:2" x14ac:dyDescent="0.25">
      <c r="A67" s="12">
        <v>44431</v>
      </c>
      <c r="B67" s="18">
        <v>16.190000999999999</v>
      </c>
    </row>
    <row r="68" spans="1:2" x14ac:dyDescent="0.25">
      <c r="A68" s="12">
        <v>44432</v>
      </c>
      <c r="B68" s="18">
        <v>17.399999999999999</v>
      </c>
    </row>
    <row r="69" spans="1:2" x14ac:dyDescent="0.25">
      <c r="A69" s="12">
        <v>44433</v>
      </c>
      <c r="B69" s="18">
        <v>17.690000999999999</v>
      </c>
    </row>
    <row r="70" spans="1:2" x14ac:dyDescent="0.25">
      <c r="A70" s="12">
        <v>44434</v>
      </c>
      <c r="B70" s="18">
        <v>17.850000000000001</v>
      </c>
    </row>
    <row r="71" spans="1:2" x14ac:dyDescent="0.25">
      <c r="A71" s="12">
        <v>44435</v>
      </c>
      <c r="B71" s="18">
        <v>18.299999</v>
      </c>
    </row>
    <row r="72" spans="1:2" x14ac:dyDescent="0.25">
      <c r="A72" s="12">
        <v>44438</v>
      </c>
      <c r="B72" s="18">
        <v>18.809999000000001</v>
      </c>
    </row>
    <row r="73" spans="1:2" x14ac:dyDescent="0.25">
      <c r="A73" s="12">
        <v>44439</v>
      </c>
      <c r="B73" s="18">
        <v>18.219999000000001</v>
      </c>
    </row>
    <row r="74" spans="1:2" x14ac:dyDescent="0.25">
      <c r="A74" s="12">
        <v>44440</v>
      </c>
      <c r="B74" s="18">
        <v>17.829999999999998</v>
      </c>
    </row>
    <row r="75" spans="1:2" x14ac:dyDescent="0.25">
      <c r="A75" s="12">
        <v>44441</v>
      </c>
      <c r="B75" s="18">
        <v>17.66</v>
      </c>
    </row>
    <row r="76" spans="1:2" x14ac:dyDescent="0.25">
      <c r="A76" s="12">
        <v>44442</v>
      </c>
      <c r="B76" s="18">
        <v>16.84</v>
      </c>
    </row>
    <row r="77" spans="1:2" x14ac:dyDescent="0.25">
      <c r="A77" s="12">
        <v>44446</v>
      </c>
      <c r="B77" s="18">
        <v>17.16</v>
      </c>
    </row>
    <row r="78" spans="1:2" x14ac:dyDescent="0.25">
      <c r="A78" s="12">
        <v>44447</v>
      </c>
      <c r="B78" s="18">
        <v>16.889999</v>
      </c>
    </row>
    <row r="79" spans="1:2" x14ac:dyDescent="0.25">
      <c r="A79" s="12">
        <v>44448</v>
      </c>
      <c r="B79" s="18">
        <v>16.489999999999998</v>
      </c>
    </row>
    <row r="80" spans="1:2" x14ac:dyDescent="0.25">
      <c r="A80" s="12">
        <v>44449</v>
      </c>
      <c r="B80" s="18">
        <v>17.450001</v>
      </c>
    </row>
    <row r="81" spans="1:2" x14ac:dyDescent="0.25">
      <c r="A81" s="12">
        <v>44452</v>
      </c>
      <c r="B81" s="18">
        <v>17.870000999999998</v>
      </c>
    </row>
    <row r="82" spans="1:2" x14ac:dyDescent="0.25">
      <c r="A82" s="12">
        <v>44453</v>
      </c>
      <c r="B82" s="18">
        <v>16.93</v>
      </c>
    </row>
    <row r="83" spans="1:2" x14ac:dyDescent="0.25">
      <c r="A83" s="12">
        <v>44454</v>
      </c>
      <c r="B83" s="18">
        <v>16.969999000000001</v>
      </c>
    </row>
    <row r="84" spans="1:2" x14ac:dyDescent="0.25">
      <c r="A84" s="12">
        <v>44455</v>
      </c>
      <c r="B84" s="18">
        <v>16.309999000000001</v>
      </c>
    </row>
    <row r="85" spans="1:2" x14ac:dyDescent="0.25">
      <c r="A85" s="12">
        <v>44456</v>
      </c>
      <c r="B85" s="18">
        <v>16.27</v>
      </c>
    </row>
    <row r="86" spans="1:2" x14ac:dyDescent="0.25">
      <c r="A86" s="12">
        <v>44459</v>
      </c>
      <c r="B86" s="18">
        <v>16.049999</v>
      </c>
    </row>
    <row r="87" spans="1:2" x14ac:dyDescent="0.25">
      <c r="A87" s="12">
        <v>44460</v>
      </c>
      <c r="B87" s="18">
        <v>16.48</v>
      </c>
    </row>
    <row r="88" spans="1:2" x14ac:dyDescent="0.25">
      <c r="A88" s="12">
        <v>44461</v>
      </c>
      <c r="B88" s="18">
        <v>16.48</v>
      </c>
    </row>
    <row r="89" spans="1:2" x14ac:dyDescent="0.25">
      <c r="A89" s="12">
        <v>44462</v>
      </c>
      <c r="B89" s="18">
        <v>16.620000999999998</v>
      </c>
    </row>
    <row r="90" spans="1:2" x14ac:dyDescent="0.25">
      <c r="A90" s="12">
        <v>44463</v>
      </c>
      <c r="B90" s="18">
        <v>16.299999</v>
      </c>
    </row>
    <row r="91" spans="1:2" x14ac:dyDescent="0.25">
      <c r="A91" s="12">
        <v>44466</v>
      </c>
      <c r="B91" s="18">
        <v>16.030000999999999</v>
      </c>
    </row>
    <row r="92" spans="1:2" x14ac:dyDescent="0.25">
      <c r="A92" s="12">
        <v>44467</v>
      </c>
      <c r="B92" s="18">
        <v>15.91</v>
      </c>
    </row>
    <row r="93" spans="1:2" x14ac:dyDescent="0.25">
      <c r="A93" s="12">
        <v>44468</v>
      </c>
      <c r="B93" s="18">
        <v>15.11</v>
      </c>
    </row>
    <row r="94" spans="1:2" x14ac:dyDescent="0.25">
      <c r="A94" s="12">
        <v>44469</v>
      </c>
      <c r="B94" s="18">
        <v>15.12</v>
      </c>
    </row>
    <row r="95" spans="1:2" x14ac:dyDescent="0.25">
      <c r="A95" s="12">
        <v>44470</v>
      </c>
      <c r="B95" s="18">
        <v>14.75</v>
      </c>
    </row>
    <row r="96" spans="1:2" x14ac:dyDescent="0.25">
      <c r="A96" s="12">
        <v>44473</v>
      </c>
      <c r="B96" s="18">
        <v>13.81</v>
      </c>
    </row>
    <row r="97" spans="1:2" x14ac:dyDescent="0.25">
      <c r="A97" s="12">
        <v>44474</v>
      </c>
      <c r="B97" s="18">
        <v>13.63</v>
      </c>
    </row>
    <row r="98" spans="1:2" x14ac:dyDescent="0.25">
      <c r="A98" s="12">
        <v>44475</v>
      </c>
      <c r="B98" s="18">
        <v>13.5</v>
      </c>
    </row>
    <row r="99" spans="1:2" x14ac:dyDescent="0.25">
      <c r="A99" s="12">
        <v>44476</v>
      </c>
      <c r="B99" s="18">
        <v>14.73</v>
      </c>
    </row>
    <row r="100" spans="1:2" x14ac:dyDescent="0.25">
      <c r="A100" s="12">
        <v>44477</v>
      </c>
      <c r="B100" s="18">
        <v>14.6</v>
      </c>
    </row>
    <row r="101" spans="1:2" x14ac:dyDescent="0.25">
      <c r="A101" s="12">
        <v>44480</v>
      </c>
      <c r="B101" s="18">
        <v>14.15</v>
      </c>
    </row>
    <row r="102" spans="1:2" x14ac:dyDescent="0.25">
      <c r="A102" s="12">
        <v>44481</v>
      </c>
      <c r="B102" s="18">
        <v>14.19</v>
      </c>
    </row>
    <row r="103" spans="1:2" x14ac:dyDescent="0.25">
      <c r="A103" s="12">
        <v>44482</v>
      </c>
      <c r="B103" s="18">
        <v>14.33</v>
      </c>
    </row>
    <row r="104" spans="1:2" x14ac:dyDescent="0.25">
      <c r="A104" s="12">
        <v>44483</v>
      </c>
      <c r="B104" s="18">
        <v>14.87</v>
      </c>
    </row>
    <row r="105" spans="1:2" x14ac:dyDescent="0.25">
      <c r="A105" s="12">
        <v>44484</v>
      </c>
      <c r="B105" s="18">
        <v>14.51</v>
      </c>
    </row>
    <row r="106" spans="1:2" x14ac:dyDescent="0.25">
      <c r="A106" s="12">
        <v>44487</v>
      </c>
      <c r="B106" s="18">
        <v>14.28</v>
      </c>
    </row>
    <row r="107" spans="1:2" x14ac:dyDescent="0.25">
      <c r="A107" s="12">
        <v>44488</v>
      </c>
      <c r="B107" s="18">
        <v>14.63</v>
      </c>
    </row>
    <row r="108" spans="1:2" x14ac:dyDescent="0.25">
      <c r="A108" s="12">
        <v>44489</v>
      </c>
      <c r="B108" s="18">
        <v>14.51</v>
      </c>
    </row>
    <row r="109" spans="1:2" x14ac:dyDescent="0.25">
      <c r="A109" s="12">
        <v>44490</v>
      </c>
      <c r="B109" s="18">
        <v>14.17</v>
      </c>
    </row>
    <row r="110" spans="1:2" x14ac:dyDescent="0.25">
      <c r="A110" s="12">
        <v>44491</v>
      </c>
      <c r="B110" s="18">
        <v>14.01</v>
      </c>
    </row>
    <row r="111" spans="1:2" x14ac:dyDescent="0.25">
      <c r="A111" s="12">
        <v>44494</v>
      </c>
      <c r="B111" s="18">
        <v>14.17</v>
      </c>
    </row>
    <row r="112" spans="1:2" x14ac:dyDescent="0.25">
      <c r="A112" s="12">
        <v>44495</v>
      </c>
      <c r="B112" s="18">
        <v>13.89</v>
      </c>
    </row>
    <row r="113" spans="1:2" x14ac:dyDescent="0.25">
      <c r="A113" s="12">
        <v>44496</v>
      </c>
      <c r="B113" s="18">
        <v>12.99</v>
      </c>
    </row>
    <row r="114" spans="1:2" x14ac:dyDescent="0.25">
      <c r="A114" s="12">
        <v>44497</v>
      </c>
      <c r="B114" s="18">
        <v>13.33</v>
      </c>
    </row>
    <row r="115" spans="1:2" x14ac:dyDescent="0.25">
      <c r="A115" s="12">
        <v>44498</v>
      </c>
      <c r="B115" s="18">
        <v>12.89</v>
      </c>
    </row>
    <row r="116" spans="1:2" x14ac:dyDescent="0.25">
      <c r="A116" s="12">
        <v>44501</v>
      </c>
      <c r="B116" s="18">
        <v>13.19</v>
      </c>
    </row>
    <row r="117" spans="1:2" x14ac:dyDescent="0.25">
      <c r="A117" s="12">
        <v>44502</v>
      </c>
      <c r="B117" s="18">
        <v>12.83</v>
      </c>
    </row>
    <row r="118" spans="1:2" x14ac:dyDescent="0.25">
      <c r="A118" s="12">
        <v>44503</v>
      </c>
      <c r="B118" s="18">
        <v>13.67</v>
      </c>
    </row>
    <row r="119" spans="1:2" x14ac:dyDescent="0.25">
      <c r="A119" s="12">
        <v>44504</v>
      </c>
      <c r="B119" s="18">
        <v>13.19</v>
      </c>
    </row>
    <row r="120" spans="1:2" x14ac:dyDescent="0.25">
      <c r="A120" s="12">
        <v>44505</v>
      </c>
      <c r="B120" s="18">
        <v>13.15</v>
      </c>
    </row>
    <row r="121" spans="1:2" x14ac:dyDescent="0.25">
      <c r="A121" s="12">
        <v>44508</v>
      </c>
      <c r="B121" s="18">
        <v>12.67</v>
      </c>
    </row>
    <row r="122" spans="1:2" x14ac:dyDescent="0.25">
      <c r="A122" s="12">
        <v>44509</v>
      </c>
      <c r="B122" s="18">
        <v>12.9</v>
      </c>
    </row>
    <row r="123" spans="1:2" x14ac:dyDescent="0.25">
      <c r="A123" s="12">
        <v>44510</v>
      </c>
      <c r="B123" s="18">
        <v>12.36</v>
      </c>
    </row>
    <row r="124" spans="1:2" x14ac:dyDescent="0.25">
      <c r="A124" s="12">
        <v>44511</v>
      </c>
      <c r="B124" s="18">
        <v>11.3</v>
      </c>
    </row>
    <row r="125" spans="1:2" x14ac:dyDescent="0.25">
      <c r="A125" s="12">
        <v>44512</v>
      </c>
      <c r="B125" s="18">
        <v>11.82</v>
      </c>
    </row>
    <row r="126" spans="1:2" x14ac:dyDescent="0.25">
      <c r="A126" s="12">
        <v>44515</v>
      </c>
      <c r="B126" s="18">
        <v>9.36</v>
      </c>
    </row>
    <row r="127" spans="1:2" x14ac:dyDescent="0.25">
      <c r="A127" s="12">
        <v>44516</v>
      </c>
      <c r="B127" s="18">
        <v>10.18</v>
      </c>
    </row>
    <row r="128" spans="1:2" x14ac:dyDescent="0.25">
      <c r="A128" s="12">
        <v>44517</v>
      </c>
      <c r="B128" s="18">
        <v>9.44</v>
      </c>
    </row>
    <row r="129" spans="1:2" x14ac:dyDescent="0.25">
      <c r="A129" s="12">
        <v>44518</v>
      </c>
      <c r="B129" s="18">
        <v>9.8699999999999992</v>
      </c>
    </row>
    <row r="130" spans="1:2" x14ac:dyDescent="0.25">
      <c r="A130" s="12">
        <v>44519</v>
      </c>
      <c r="B130" s="18">
        <v>10.050000000000001</v>
      </c>
    </row>
    <row r="131" spans="1:2" x14ac:dyDescent="0.25">
      <c r="A131" s="12">
        <v>44522</v>
      </c>
      <c r="B131" s="18">
        <v>9.1999999999999993</v>
      </c>
    </row>
    <row r="132" spans="1:2" x14ac:dyDescent="0.25">
      <c r="A132" s="12">
        <v>44523</v>
      </c>
      <c r="B132" s="18">
        <v>9.52</v>
      </c>
    </row>
    <row r="133" spans="1:2" x14ac:dyDescent="0.25">
      <c r="A133" s="12">
        <v>44524</v>
      </c>
      <c r="B133" s="18">
        <v>9.81</v>
      </c>
    </row>
    <row r="134" spans="1:2" x14ac:dyDescent="0.25">
      <c r="A134" s="12">
        <v>44526</v>
      </c>
      <c r="B134" s="18">
        <v>9.67</v>
      </c>
    </row>
    <row r="135" spans="1:2" x14ac:dyDescent="0.25">
      <c r="A135" s="12">
        <v>44529</v>
      </c>
      <c r="B135" s="18">
        <v>9.31</v>
      </c>
    </row>
    <row r="136" spans="1:2" x14ac:dyDescent="0.25">
      <c r="A136" s="12">
        <v>44530</v>
      </c>
      <c r="B136" s="18">
        <v>8.9499999999999993</v>
      </c>
    </row>
    <row r="137" spans="1:2" x14ac:dyDescent="0.25">
      <c r="A137" s="12">
        <v>44531</v>
      </c>
      <c r="B137" s="18">
        <v>8.4</v>
      </c>
    </row>
    <row r="138" spans="1:2" x14ac:dyDescent="0.25">
      <c r="A138" s="12">
        <v>44532</v>
      </c>
      <c r="B138" s="18">
        <v>8.23</v>
      </c>
    </row>
    <row r="139" spans="1:2" x14ac:dyDescent="0.25">
      <c r="A139" s="12">
        <v>44533</v>
      </c>
      <c r="B139" s="18">
        <v>8</v>
      </c>
    </row>
    <row r="140" spans="1:2" x14ac:dyDescent="0.25">
      <c r="A140" s="12">
        <v>44536</v>
      </c>
      <c r="B140" s="18">
        <v>8.0299999999999994</v>
      </c>
    </row>
    <row r="141" spans="1:2" x14ac:dyDescent="0.25">
      <c r="A141" s="12">
        <v>44537</v>
      </c>
      <c r="B141" s="18">
        <v>8.77</v>
      </c>
    </row>
    <row r="142" spans="1:2" x14ac:dyDescent="0.25">
      <c r="A142" s="12">
        <v>44538</v>
      </c>
      <c r="B142" s="18">
        <v>8.8000000000000007</v>
      </c>
    </row>
    <row r="143" spans="1:2" x14ac:dyDescent="0.25">
      <c r="A143" s="12">
        <v>44539</v>
      </c>
      <c r="B143" s="18">
        <v>8.6300000000000008</v>
      </c>
    </row>
    <row r="144" spans="1:2" x14ac:dyDescent="0.25">
      <c r="A144" s="12">
        <v>44540</v>
      </c>
      <c r="B144" s="18">
        <v>8.5</v>
      </c>
    </row>
    <row r="145" spans="1:2" x14ac:dyDescent="0.25">
      <c r="A145" s="12">
        <v>44543</v>
      </c>
      <c r="B145" s="18">
        <v>8.19</v>
      </c>
    </row>
    <row r="146" spans="1:2" x14ac:dyDescent="0.25">
      <c r="A146" s="12">
        <v>44544</v>
      </c>
      <c r="B146" s="18">
        <v>8.1999999999999993</v>
      </c>
    </row>
    <row r="147" spans="1:2" x14ac:dyDescent="0.25">
      <c r="A147" s="12">
        <v>44545</v>
      </c>
      <c r="B147" s="18">
        <v>8.1</v>
      </c>
    </row>
    <row r="148" spans="1:2" x14ac:dyDescent="0.25">
      <c r="A148" s="12">
        <v>44546</v>
      </c>
      <c r="B148" s="18">
        <v>7.9</v>
      </c>
    </row>
    <row r="149" spans="1:2" x14ac:dyDescent="0.25">
      <c r="A149" s="12">
        <v>44547</v>
      </c>
      <c r="B149" s="18">
        <v>7.99</v>
      </c>
    </row>
    <row r="150" spans="1:2" x14ac:dyDescent="0.25">
      <c r="A150" s="12">
        <v>44550</v>
      </c>
      <c r="B150" s="18">
        <v>7.69</v>
      </c>
    </row>
    <row r="151" spans="1:2" x14ac:dyDescent="0.25">
      <c r="A151" s="12">
        <v>44551</v>
      </c>
      <c r="B151" s="18">
        <v>7.88</v>
      </c>
    </row>
    <row r="152" spans="1:2" x14ac:dyDescent="0.25">
      <c r="A152" s="12">
        <v>44552</v>
      </c>
      <c r="B152" s="18">
        <v>7.61</v>
      </c>
    </row>
    <row r="153" spans="1:2" x14ac:dyDescent="0.25">
      <c r="A153" s="12">
        <v>44553</v>
      </c>
      <c r="B153" s="18">
        <v>8.14</v>
      </c>
    </row>
    <row r="154" spans="1:2" x14ac:dyDescent="0.25">
      <c r="A154" s="12">
        <v>44557</v>
      </c>
      <c r="B154" s="18">
        <v>8.01</v>
      </c>
    </row>
    <row r="155" spans="1:2" x14ac:dyDescent="0.25">
      <c r="A155" s="12">
        <v>44558</v>
      </c>
      <c r="B155" s="18">
        <v>7.8</v>
      </c>
    </row>
    <row r="156" spans="1:2" x14ac:dyDescent="0.25">
      <c r="A156" s="12">
        <v>44559</v>
      </c>
      <c r="B156" s="18">
        <v>7.88</v>
      </c>
    </row>
    <row r="157" spans="1:2" x14ac:dyDescent="0.25">
      <c r="A157" s="12">
        <v>44560</v>
      </c>
      <c r="B157" s="18">
        <v>8.0399999999999991</v>
      </c>
    </row>
    <row r="158" spans="1:2" x14ac:dyDescent="0.25">
      <c r="A158" s="12">
        <v>44561</v>
      </c>
      <c r="B158" s="18">
        <v>7.96</v>
      </c>
    </row>
    <row r="159" spans="1:2" x14ac:dyDescent="0.25">
      <c r="A159" s="12">
        <v>44564</v>
      </c>
      <c r="B159" s="18">
        <v>8.3699999999999992</v>
      </c>
    </row>
    <row r="160" spans="1:2" x14ac:dyDescent="0.25">
      <c r="A160" s="12">
        <v>44565</v>
      </c>
      <c r="B160" s="18">
        <v>8.0399999999999991</v>
      </c>
    </row>
    <row r="161" spans="1:2" x14ac:dyDescent="0.25">
      <c r="A161" s="12">
        <v>44566</v>
      </c>
      <c r="B161" s="18">
        <v>7.9</v>
      </c>
    </row>
    <row r="162" spans="1:2" x14ac:dyDescent="0.25">
      <c r="A162" s="12">
        <v>44567</v>
      </c>
      <c r="B162" s="18">
        <v>8.1199999999999992</v>
      </c>
    </row>
    <row r="163" spans="1:2" x14ac:dyDescent="0.25">
      <c r="A163" s="12">
        <v>44568</v>
      </c>
      <c r="B163" s="18">
        <v>7.98</v>
      </c>
    </row>
    <row r="164" spans="1:2" x14ac:dyDescent="0.25">
      <c r="A164" s="12">
        <v>44571</v>
      </c>
      <c r="B164" s="18">
        <v>7.25</v>
      </c>
    </row>
    <row r="165" spans="1:2" x14ac:dyDescent="0.25">
      <c r="A165" s="12">
        <v>44572</v>
      </c>
      <c r="B165" s="18">
        <v>8.2100000000000009</v>
      </c>
    </row>
    <row r="166" spans="1:2" x14ac:dyDescent="0.25">
      <c r="A166" s="12">
        <v>44573</v>
      </c>
      <c r="B166" s="18">
        <v>7.82</v>
      </c>
    </row>
    <row r="167" spans="1:2" x14ac:dyDescent="0.25">
      <c r="A167" s="12">
        <v>44574</v>
      </c>
      <c r="B167" s="18">
        <v>7.72</v>
      </c>
    </row>
    <row r="168" spans="1:2" x14ac:dyDescent="0.25">
      <c r="A168" s="12">
        <v>44575</v>
      </c>
      <c r="B168" s="18">
        <v>7.41</v>
      </c>
    </row>
    <row r="169" spans="1:2" x14ac:dyDescent="0.25">
      <c r="A169" s="12">
        <v>44579</v>
      </c>
      <c r="B169" s="18">
        <v>7</v>
      </c>
    </row>
    <row r="170" spans="1:2" x14ac:dyDescent="0.25">
      <c r="A170" s="12">
        <v>44580</v>
      </c>
      <c r="B170" s="18">
        <v>6.91</v>
      </c>
    </row>
    <row r="171" spans="1:2" x14ac:dyDescent="0.25">
      <c r="A171" s="12">
        <v>44581</v>
      </c>
      <c r="B171" s="18">
        <v>6.83</v>
      </c>
    </row>
    <row r="172" spans="1:2" x14ac:dyDescent="0.25">
      <c r="A172" s="12">
        <v>44582</v>
      </c>
      <c r="B172" s="18">
        <v>6.53</v>
      </c>
    </row>
    <row r="173" spans="1:2" x14ac:dyDescent="0.25">
      <c r="A173" s="12">
        <v>44585</v>
      </c>
      <c r="B173" s="18">
        <v>6.88</v>
      </c>
    </row>
    <row r="174" spans="1:2" x14ac:dyDescent="0.25">
      <c r="A174" s="12">
        <v>44586</v>
      </c>
      <c r="B174" s="18">
        <v>6.85</v>
      </c>
    </row>
    <row r="175" spans="1:2" x14ac:dyDescent="0.25">
      <c r="A175" s="12">
        <v>44587</v>
      </c>
      <c r="B175" s="18">
        <v>6.68</v>
      </c>
    </row>
    <row r="176" spans="1:2" x14ac:dyDescent="0.25">
      <c r="A176" s="12">
        <v>44588</v>
      </c>
      <c r="B176" s="18">
        <v>6.25</v>
      </c>
    </row>
    <row r="177" spans="1:2" x14ac:dyDescent="0.25">
      <c r="A177" s="12">
        <v>44589</v>
      </c>
      <c r="B177" s="18">
        <v>6.65</v>
      </c>
    </row>
    <row r="178" spans="1:2" x14ac:dyDescent="0.25">
      <c r="A178" s="12">
        <v>44592</v>
      </c>
      <c r="B178" s="18">
        <v>7.11</v>
      </c>
    </row>
    <row r="179" spans="1:2" x14ac:dyDescent="0.25">
      <c r="A179" s="12">
        <v>44593</v>
      </c>
      <c r="B179" s="18">
        <v>7.3</v>
      </c>
    </row>
    <row r="180" spans="1:2" x14ac:dyDescent="0.25">
      <c r="A180" s="12">
        <v>44594</v>
      </c>
      <c r="B180" s="18">
        <v>7</v>
      </c>
    </row>
    <row r="181" spans="1:2" x14ac:dyDescent="0.25">
      <c r="A181" s="12">
        <v>44595</v>
      </c>
      <c r="B181" s="18">
        <v>6.73</v>
      </c>
    </row>
    <row r="182" spans="1:2" x14ac:dyDescent="0.25">
      <c r="A182" s="12">
        <v>44596</v>
      </c>
      <c r="B182" s="18">
        <v>6.88</v>
      </c>
    </row>
    <row r="183" spans="1:2" x14ac:dyDescent="0.25">
      <c r="A183" s="12">
        <v>44599</v>
      </c>
      <c r="B183" s="18">
        <v>7.1</v>
      </c>
    </row>
    <row r="184" spans="1:2" x14ac:dyDescent="0.25">
      <c r="A184" s="12">
        <v>44600</v>
      </c>
      <c r="B184" s="18">
        <v>7.25</v>
      </c>
    </row>
    <row r="185" spans="1:2" x14ac:dyDescent="0.25">
      <c r="A185" s="12">
        <v>44601</v>
      </c>
      <c r="B185" s="18">
        <v>7.62</v>
      </c>
    </row>
    <row r="186" spans="1:2" x14ac:dyDescent="0.25">
      <c r="A186" s="12">
        <v>44602</v>
      </c>
      <c r="B186" s="18">
        <v>7.53</v>
      </c>
    </row>
    <row r="187" spans="1:2" x14ac:dyDescent="0.25">
      <c r="A187" s="12">
        <v>44603</v>
      </c>
      <c r="B187" s="18">
        <v>7.33</v>
      </c>
    </row>
    <row r="188" spans="1:2" x14ac:dyDescent="0.25">
      <c r="A188" s="12">
        <v>44606</v>
      </c>
      <c r="B188" s="18">
        <v>7.36</v>
      </c>
    </row>
    <row r="189" spans="1:2" x14ac:dyDescent="0.25">
      <c r="A189" s="12">
        <v>44607</v>
      </c>
      <c r="B189" s="18">
        <v>7.87</v>
      </c>
    </row>
    <row r="190" spans="1:2" x14ac:dyDescent="0.25">
      <c r="A190" s="12">
        <v>44608</v>
      </c>
      <c r="B190" s="18">
        <v>7.8</v>
      </c>
    </row>
    <row r="191" spans="1:2" x14ac:dyDescent="0.25">
      <c r="A191" s="12">
        <v>44609</v>
      </c>
      <c r="B191" s="18">
        <v>7.31</v>
      </c>
    </row>
    <row r="192" spans="1:2" x14ac:dyDescent="0.25">
      <c r="A192" s="12">
        <v>44610</v>
      </c>
      <c r="B192" s="18">
        <v>6.97</v>
      </c>
    </row>
    <row r="193" spans="1:2" x14ac:dyDescent="0.25">
      <c r="A193" s="12">
        <v>44614</v>
      </c>
      <c r="B193" s="18">
        <v>6.83</v>
      </c>
    </row>
    <row r="194" spans="1:2" x14ac:dyDescent="0.25">
      <c r="A194" s="12">
        <v>44615</v>
      </c>
      <c r="B194" s="18">
        <v>6.36</v>
      </c>
    </row>
    <row r="195" spans="1:2" x14ac:dyDescent="0.25">
      <c r="A195" s="12">
        <v>44616</v>
      </c>
      <c r="B195" s="18">
        <v>6.82</v>
      </c>
    </row>
    <row r="196" spans="1:2" x14ac:dyDescent="0.25">
      <c r="A196" s="12">
        <v>44617</v>
      </c>
      <c r="B196" s="18">
        <v>6.73</v>
      </c>
    </row>
    <row r="197" spans="1:2" x14ac:dyDescent="0.25">
      <c r="A197" s="12">
        <v>44620</v>
      </c>
      <c r="B197" s="18">
        <v>6.75</v>
      </c>
    </row>
    <row r="198" spans="1:2" x14ac:dyDescent="0.25">
      <c r="A198" s="12">
        <v>44621</v>
      </c>
      <c r="B198" s="18">
        <v>6.7</v>
      </c>
    </row>
    <row r="199" spans="1:2" x14ac:dyDescent="0.25">
      <c r="A199" s="12">
        <v>44622</v>
      </c>
      <c r="B199" s="18">
        <v>6.73</v>
      </c>
    </row>
    <row r="200" spans="1:2" x14ac:dyDescent="0.25">
      <c r="A200" s="12">
        <v>44623</v>
      </c>
      <c r="B200" s="18">
        <v>6.66</v>
      </c>
    </row>
    <row r="201" spans="1:2" x14ac:dyDescent="0.25">
      <c r="A201" s="12">
        <v>44624</v>
      </c>
      <c r="B201" s="18">
        <v>6.18</v>
      </c>
    </row>
    <row r="202" spans="1:2" x14ac:dyDescent="0.25">
      <c r="A202" s="12">
        <v>44627</v>
      </c>
      <c r="B202" s="18">
        <v>5.71</v>
      </c>
    </row>
    <row r="203" spans="1:2" x14ac:dyDescent="0.25">
      <c r="A203" s="12">
        <v>44628</v>
      </c>
      <c r="B203" s="18">
        <v>5.73</v>
      </c>
    </row>
    <row r="204" spans="1:2" x14ac:dyDescent="0.25">
      <c r="A204" s="12">
        <v>44629</v>
      </c>
      <c r="B204" s="18">
        <v>5.72</v>
      </c>
    </row>
    <row r="205" spans="1:2" x14ac:dyDescent="0.25">
      <c r="A205" s="12">
        <v>44630</v>
      </c>
      <c r="B205" s="18">
        <v>5.37</v>
      </c>
    </row>
    <row r="206" spans="1:2" x14ac:dyDescent="0.25">
      <c r="A206" s="12">
        <v>44631</v>
      </c>
      <c r="B206" s="18">
        <v>4.99</v>
      </c>
    </row>
    <row r="207" spans="1:2" x14ac:dyDescent="0.25">
      <c r="A207" s="12">
        <v>44634</v>
      </c>
      <c r="B207" s="18">
        <v>4.71</v>
      </c>
    </row>
    <row r="208" spans="1:2" x14ac:dyDescent="0.25">
      <c r="A208" s="12">
        <v>44635</v>
      </c>
      <c r="B208" s="18">
        <v>4.8</v>
      </c>
    </row>
    <row r="209" spans="1:2" x14ac:dyDescent="0.25">
      <c r="A209" s="12">
        <v>44636</v>
      </c>
      <c r="B209" s="18">
        <v>5.23</v>
      </c>
    </row>
    <row r="210" spans="1:2" x14ac:dyDescent="0.25">
      <c r="A210" s="12">
        <v>44637</v>
      </c>
      <c r="B210" s="18">
        <v>5.29</v>
      </c>
    </row>
    <row r="211" spans="1:2" x14ac:dyDescent="0.25">
      <c r="A211" s="12">
        <v>44638</v>
      </c>
      <c r="B211" s="18">
        <v>5.72</v>
      </c>
    </row>
    <row r="212" spans="1:2" x14ac:dyDescent="0.25">
      <c r="A212" s="12">
        <v>44641</v>
      </c>
      <c r="B212" s="18">
        <v>5.49</v>
      </c>
    </row>
    <row r="213" spans="1:2" x14ac:dyDescent="0.25">
      <c r="A213" s="12">
        <v>44642</v>
      </c>
      <c r="B213" s="18">
        <v>5.53</v>
      </c>
    </row>
    <row r="214" spans="1:2" x14ac:dyDescent="0.25">
      <c r="A214" s="12">
        <v>44643</v>
      </c>
      <c r="B214" s="18">
        <v>5.31</v>
      </c>
    </row>
    <row r="215" spans="1:2" x14ac:dyDescent="0.25">
      <c r="A215" s="12">
        <v>44644</v>
      </c>
      <c r="B215" s="18">
        <v>5.19</v>
      </c>
    </row>
    <row r="216" spans="1:2" x14ac:dyDescent="0.25">
      <c r="A216" s="12">
        <v>44645</v>
      </c>
      <c r="B216" s="18">
        <v>5.12</v>
      </c>
    </row>
    <row r="217" spans="1:2" x14ac:dyDescent="0.25">
      <c r="A217" s="12">
        <v>44648</v>
      </c>
      <c r="B217" s="18">
        <v>5.03</v>
      </c>
    </row>
    <row r="218" spans="1:2" x14ac:dyDescent="0.25">
      <c r="A218" s="12">
        <v>44649</v>
      </c>
      <c r="B218" s="18">
        <v>5.4</v>
      </c>
    </row>
    <row r="219" spans="1:2" x14ac:dyDescent="0.25">
      <c r="A219" s="12">
        <v>44650</v>
      </c>
      <c r="B219" s="18">
        <v>5.04</v>
      </c>
    </row>
    <row r="220" spans="1:2" x14ac:dyDescent="0.25">
      <c r="A220" s="12">
        <v>44651</v>
      </c>
      <c r="B220" s="18">
        <v>5.01</v>
      </c>
    </row>
    <row r="221" spans="1:2" x14ac:dyDescent="0.25">
      <c r="A221" s="12">
        <v>44652</v>
      </c>
      <c r="B221" s="18">
        <v>5.08</v>
      </c>
    </row>
    <row r="222" spans="1:2" x14ac:dyDescent="0.25">
      <c r="A222" s="12">
        <v>44655</v>
      </c>
      <c r="B222" s="18">
        <v>5.33</v>
      </c>
    </row>
    <row r="223" spans="1:2" x14ac:dyDescent="0.25">
      <c r="A223" s="12">
        <v>44656</v>
      </c>
      <c r="B223" s="18">
        <v>5.1100000000000003</v>
      </c>
    </row>
    <row r="224" spans="1:2" x14ac:dyDescent="0.25">
      <c r="A224" s="12">
        <v>44657</v>
      </c>
      <c r="B224" s="18">
        <v>4.68</v>
      </c>
    </row>
    <row r="225" spans="1:2" x14ac:dyDescent="0.25">
      <c r="A225" s="12">
        <v>44658</v>
      </c>
      <c r="B225" s="18">
        <v>4.5199999999999996</v>
      </c>
    </row>
    <row r="226" spans="1:2" x14ac:dyDescent="0.25">
      <c r="A226" s="12">
        <v>44659</v>
      </c>
      <c r="B226" s="18">
        <v>4.45</v>
      </c>
    </row>
    <row r="227" spans="1:2" x14ac:dyDescent="0.25">
      <c r="A227" s="12">
        <v>44662</v>
      </c>
      <c r="B227" s="18">
        <v>4.46</v>
      </c>
    </row>
    <row r="228" spans="1:2" x14ac:dyDescent="0.25">
      <c r="A228" s="12">
        <v>44663</v>
      </c>
      <c r="B228" s="18">
        <v>4.3099999999999996</v>
      </c>
    </row>
    <row r="229" spans="1:2" x14ac:dyDescent="0.25">
      <c r="A229" s="12">
        <v>44664</v>
      </c>
      <c r="B229" s="18">
        <v>4.37</v>
      </c>
    </row>
    <row r="230" spans="1:2" x14ac:dyDescent="0.25">
      <c r="A230" s="12">
        <v>44665</v>
      </c>
      <c r="B230" s="18">
        <v>4.34</v>
      </c>
    </row>
    <row r="231" spans="1:2" x14ac:dyDescent="0.25">
      <c r="A231" s="12">
        <v>44669</v>
      </c>
      <c r="B231" s="18">
        <v>4.12</v>
      </c>
    </row>
    <row r="232" spans="1:2" x14ac:dyDescent="0.25">
      <c r="A232" s="12">
        <v>44670</v>
      </c>
      <c r="B232" s="18">
        <v>4.26</v>
      </c>
    </row>
    <row r="233" spans="1:2" x14ac:dyDescent="0.25">
      <c r="A233" s="12">
        <v>44671</v>
      </c>
      <c r="B233" s="18">
        <v>4.0599999999999996</v>
      </c>
    </row>
    <row r="234" spans="1:2" x14ac:dyDescent="0.25">
      <c r="A234" s="12">
        <v>44672</v>
      </c>
      <c r="B234" s="18">
        <v>3.85</v>
      </c>
    </row>
    <row r="235" spans="1:2" x14ac:dyDescent="0.25">
      <c r="A235" s="12">
        <v>44673</v>
      </c>
      <c r="B235" s="18">
        <v>3.83</v>
      </c>
    </row>
    <row r="236" spans="1:2" x14ac:dyDescent="0.25">
      <c r="A236" s="12">
        <v>44676</v>
      </c>
      <c r="B236" s="18">
        <v>3.83</v>
      </c>
    </row>
    <row r="237" spans="1:2" x14ac:dyDescent="0.25">
      <c r="A237" s="12">
        <v>44677</v>
      </c>
      <c r="B237" s="18">
        <v>3.5</v>
      </c>
    </row>
    <row r="238" spans="1:2" x14ac:dyDescent="0.25">
      <c r="A238" s="12">
        <v>44678</v>
      </c>
      <c r="B238" s="18">
        <v>3.57</v>
      </c>
    </row>
    <row r="239" spans="1:2" x14ac:dyDescent="0.25">
      <c r="A239" s="12">
        <v>44679</v>
      </c>
      <c r="B239" s="18">
        <v>3.68</v>
      </c>
    </row>
    <row r="240" spans="1:2" x14ac:dyDescent="0.25">
      <c r="A240" s="12">
        <v>44680</v>
      </c>
      <c r="B240" s="18">
        <v>3.56</v>
      </c>
    </row>
    <row r="241" spans="1:2" x14ac:dyDescent="0.25">
      <c r="A241" s="12">
        <v>44683</v>
      </c>
      <c r="B241" s="18">
        <v>3.68</v>
      </c>
    </row>
    <row r="242" spans="1:2" x14ac:dyDescent="0.25">
      <c r="A242" s="12">
        <v>44684</v>
      </c>
      <c r="B242" s="18">
        <v>3.49</v>
      </c>
    </row>
    <row r="243" spans="1:2" x14ac:dyDescent="0.25">
      <c r="A243" s="12">
        <v>44685</v>
      </c>
      <c r="B243" s="18">
        <v>3.94</v>
      </c>
    </row>
    <row r="244" spans="1:2" x14ac:dyDescent="0.25">
      <c r="A244" s="12">
        <v>44686</v>
      </c>
      <c r="B244" s="18">
        <v>3.6</v>
      </c>
    </row>
    <row r="245" spans="1:2" x14ac:dyDescent="0.25">
      <c r="A245" s="12">
        <v>44687</v>
      </c>
      <c r="B245" s="18">
        <v>3.32</v>
      </c>
    </row>
    <row r="246" spans="1:2" x14ac:dyDescent="0.25">
      <c r="A246" s="12">
        <v>44690</v>
      </c>
      <c r="B246" s="18">
        <v>3.04</v>
      </c>
    </row>
    <row r="247" spans="1:2" x14ac:dyDescent="0.25">
      <c r="A247" s="12">
        <v>44691</v>
      </c>
      <c r="B247" s="18">
        <v>2.95</v>
      </c>
    </row>
    <row r="248" spans="1:2" x14ac:dyDescent="0.25">
      <c r="A248" s="12">
        <v>44692</v>
      </c>
      <c r="B248" s="18">
        <v>2.85</v>
      </c>
    </row>
    <row r="249" spans="1:2" x14ac:dyDescent="0.25">
      <c r="A249" s="12">
        <v>44693</v>
      </c>
      <c r="B249" s="18">
        <v>3.07</v>
      </c>
    </row>
    <row r="250" spans="1:2" x14ac:dyDescent="0.25">
      <c r="A250" s="12">
        <v>44694</v>
      </c>
      <c r="B250" s="18">
        <v>3.71</v>
      </c>
    </row>
    <row r="251" spans="1:2" x14ac:dyDescent="0.25">
      <c r="A251" s="12">
        <v>44697</v>
      </c>
      <c r="B251" s="18">
        <v>3.63</v>
      </c>
    </row>
    <row r="252" spans="1:2" x14ac:dyDescent="0.25">
      <c r="A252" s="12">
        <v>44698</v>
      </c>
      <c r="B252" s="18">
        <v>3.69</v>
      </c>
    </row>
    <row r="253" spans="1:2" x14ac:dyDescent="0.25">
      <c r="A253" s="12">
        <v>44699</v>
      </c>
      <c r="B253" s="18">
        <v>3.58</v>
      </c>
    </row>
    <row r="254" spans="1:2" x14ac:dyDescent="0.25">
      <c r="A254" s="12">
        <v>44700</v>
      </c>
      <c r="B254" s="18">
        <v>3.56</v>
      </c>
    </row>
    <row r="255" spans="1:2" x14ac:dyDescent="0.25">
      <c r="A255" s="12">
        <v>44701</v>
      </c>
      <c r="B255" s="18">
        <v>3.66</v>
      </c>
    </row>
    <row r="256" spans="1:2" x14ac:dyDescent="0.25">
      <c r="A256" s="12">
        <v>44704</v>
      </c>
      <c r="B256" s="18">
        <v>3.7</v>
      </c>
    </row>
    <row r="257" spans="1:2" x14ac:dyDescent="0.25">
      <c r="A257" s="12">
        <v>44705</v>
      </c>
      <c r="B257" s="18">
        <v>3.44</v>
      </c>
    </row>
    <row r="258" spans="1:2" x14ac:dyDescent="0.25">
      <c r="A258" s="12">
        <v>44706</v>
      </c>
      <c r="B258" s="18">
        <v>3.72</v>
      </c>
    </row>
    <row r="259" spans="1:2" x14ac:dyDescent="0.25">
      <c r="A259" s="12">
        <v>44707</v>
      </c>
      <c r="B259" s="18">
        <v>3.85</v>
      </c>
    </row>
    <row r="260" spans="1:2" x14ac:dyDescent="0.25">
      <c r="A260" s="12">
        <v>44708</v>
      </c>
      <c r="B260" s="18">
        <v>4.1900000000000004</v>
      </c>
    </row>
    <row r="261" spans="1:2" x14ac:dyDescent="0.25">
      <c r="A261" s="12">
        <v>44712</v>
      </c>
      <c r="B261" s="18">
        <v>4.13</v>
      </c>
    </row>
    <row r="262" spans="1:2" x14ac:dyDescent="0.25">
      <c r="A262" s="12">
        <v>44713</v>
      </c>
      <c r="B262" s="18">
        <v>4.05</v>
      </c>
    </row>
    <row r="263" spans="1:2" x14ac:dyDescent="0.25">
      <c r="A263" s="12">
        <v>44714</v>
      </c>
      <c r="B263" s="18">
        <v>4.12</v>
      </c>
    </row>
    <row r="264" spans="1:2" x14ac:dyDescent="0.25">
      <c r="A264" s="12">
        <v>44715</v>
      </c>
      <c r="B264" s="18">
        <v>4.05</v>
      </c>
    </row>
    <row r="265" spans="1:2" x14ac:dyDescent="0.25">
      <c r="A265" s="12">
        <v>44718</v>
      </c>
      <c r="B265" s="18">
        <v>4.12</v>
      </c>
    </row>
    <row r="266" spans="1:2" x14ac:dyDescent="0.25">
      <c r="A266" s="12">
        <v>44719</v>
      </c>
      <c r="B266" s="18">
        <v>4.17</v>
      </c>
    </row>
    <row r="267" spans="1:2" x14ac:dyDescent="0.25">
      <c r="A267" s="12">
        <v>44720</v>
      </c>
      <c r="B267" s="18">
        <v>4.32</v>
      </c>
    </row>
    <row r="268" spans="1:2" x14ac:dyDescent="0.25">
      <c r="A268" s="12">
        <v>44721</v>
      </c>
      <c r="B268" s="18">
        <v>4.0999999999999996</v>
      </c>
    </row>
    <row r="269" spans="1:2" x14ac:dyDescent="0.25">
      <c r="A269" s="12">
        <v>44722</v>
      </c>
      <c r="B269" s="18">
        <v>3.89</v>
      </c>
    </row>
    <row r="270" spans="1:2" x14ac:dyDescent="0.25">
      <c r="A270" s="12">
        <v>44725</v>
      </c>
      <c r="B270" s="18">
        <v>3.69</v>
      </c>
    </row>
    <row r="271" spans="1:2" x14ac:dyDescent="0.25">
      <c r="A271" s="12">
        <v>44726</v>
      </c>
      <c r="B271" s="18">
        <v>3.76</v>
      </c>
    </row>
    <row r="272" spans="1:2" x14ac:dyDescent="0.25">
      <c r="A272" s="12">
        <v>44727</v>
      </c>
      <c r="B272" s="18">
        <v>4.04</v>
      </c>
    </row>
    <row r="273" spans="1:2" x14ac:dyDescent="0.25">
      <c r="A273" s="12">
        <v>44728</v>
      </c>
      <c r="B273" s="18">
        <v>3.77</v>
      </c>
    </row>
    <row r="274" spans="1:2" x14ac:dyDescent="0.25">
      <c r="A274" s="12">
        <v>44729</v>
      </c>
      <c r="B274" s="18">
        <v>3.73</v>
      </c>
    </row>
    <row r="275" spans="1:2" x14ac:dyDescent="0.25">
      <c r="A275" s="12">
        <v>44733</v>
      </c>
      <c r="B275" s="18">
        <v>3.94</v>
      </c>
    </row>
    <row r="276" spans="1:2" x14ac:dyDescent="0.25">
      <c r="A276" s="12">
        <v>44734</v>
      </c>
      <c r="B276" s="18">
        <v>3.8</v>
      </c>
    </row>
    <row r="277" spans="1:2" x14ac:dyDescent="0.25">
      <c r="A277" s="12">
        <v>44735</v>
      </c>
      <c r="B277" s="18">
        <v>3.94</v>
      </c>
    </row>
    <row r="278" spans="1:2" x14ac:dyDescent="0.25">
      <c r="A278" s="12">
        <v>44736</v>
      </c>
      <c r="B278" s="18">
        <v>4.08</v>
      </c>
    </row>
    <row r="279" spans="1:2" x14ac:dyDescent="0.25">
      <c r="A279" s="12">
        <v>44739</v>
      </c>
      <c r="B279" s="18">
        <v>3.96</v>
      </c>
    </row>
    <row r="280" spans="1:2" x14ac:dyDescent="0.25">
      <c r="A280" s="12">
        <v>44740</v>
      </c>
      <c r="B280" s="18">
        <v>3.69</v>
      </c>
    </row>
    <row r="281" spans="1:2" x14ac:dyDescent="0.25">
      <c r="A281" s="12">
        <v>44741</v>
      </c>
      <c r="B281" s="18">
        <v>3.52</v>
      </c>
    </row>
    <row r="282" spans="1:2" x14ac:dyDescent="0.25">
      <c r="A282" s="12">
        <v>44742</v>
      </c>
      <c r="B282" s="18">
        <v>3.46</v>
      </c>
    </row>
    <row r="283" spans="1:2" x14ac:dyDescent="0.25">
      <c r="A283" s="12">
        <v>44743</v>
      </c>
      <c r="B283" s="18">
        <v>3.64</v>
      </c>
    </row>
    <row r="284" spans="1:2" x14ac:dyDescent="0.25">
      <c r="A284" s="12">
        <v>44747</v>
      </c>
      <c r="B284" s="18">
        <v>3.96</v>
      </c>
    </row>
    <row r="285" spans="1:2" x14ac:dyDescent="0.25">
      <c r="A285" s="12">
        <v>44748</v>
      </c>
      <c r="B285" s="18">
        <v>4.07</v>
      </c>
    </row>
    <row r="286" spans="1:2" x14ac:dyDescent="0.25">
      <c r="A286" s="12">
        <v>44749</v>
      </c>
      <c r="B286" s="18">
        <v>4.1100000000000003</v>
      </c>
    </row>
    <row r="287" spans="1:2" x14ac:dyDescent="0.25">
      <c r="A287" s="12">
        <v>44750</v>
      </c>
      <c r="B287" s="18">
        <v>4.09</v>
      </c>
    </row>
    <row r="288" spans="1:2" x14ac:dyDescent="0.25">
      <c r="A288" s="12">
        <v>44753</v>
      </c>
      <c r="B288" s="18">
        <v>3.85</v>
      </c>
    </row>
    <row r="289" spans="1:2" x14ac:dyDescent="0.25">
      <c r="A289" s="12">
        <v>44754</v>
      </c>
      <c r="B289" s="18">
        <v>3.82</v>
      </c>
    </row>
    <row r="290" spans="1:2" x14ac:dyDescent="0.25">
      <c r="A290" s="12">
        <v>44755</v>
      </c>
      <c r="B290" s="18">
        <v>3.83</v>
      </c>
    </row>
    <row r="291" spans="1:2" x14ac:dyDescent="0.25">
      <c r="A291" s="12">
        <v>44756</v>
      </c>
      <c r="B291" s="18">
        <v>3.58</v>
      </c>
    </row>
    <row r="292" spans="1:2" x14ac:dyDescent="0.25">
      <c r="A292" s="12">
        <v>44757</v>
      </c>
      <c r="B292" s="18">
        <v>3.59</v>
      </c>
    </row>
    <row r="293" spans="1:2" x14ac:dyDescent="0.25">
      <c r="A293" s="12">
        <v>44760</v>
      </c>
      <c r="B293" s="18">
        <v>3.64</v>
      </c>
    </row>
    <row r="294" spans="1:2" x14ac:dyDescent="0.25">
      <c r="A294" s="12">
        <v>44761</v>
      </c>
      <c r="B294" s="18">
        <v>4.0599999999999996</v>
      </c>
    </row>
    <row r="295" spans="1:2" x14ac:dyDescent="0.25">
      <c r="A295" s="12">
        <v>44762</v>
      </c>
      <c r="B295" s="18">
        <v>4.18</v>
      </c>
    </row>
    <row r="296" spans="1:2" x14ac:dyDescent="0.25">
      <c r="A296" s="12">
        <v>44763</v>
      </c>
      <c r="B296" s="18">
        <v>4.12</v>
      </c>
    </row>
    <row r="297" spans="1:2" x14ac:dyDescent="0.25">
      <c r="A297" s="12">
        <v>44764</v>
      </c>
      <c r="B297" s="18">
        <v>3.78</v>
      </c>
    </row>
    <row r="298" spans="1:2" x14ac:dyDescent="0.25">
      <c r="A298" s="12">
        <v>44767</v>
      </c>
      <c r="B298" s="18">
        <v>3.69</v>
      </c>
    </row>
    <row r="299" spans="1:2" x14ac:dyDescent="0.25">
      <c r="A299" s="12">
        <v>44768</v>
      </c>
      <c r="B299" s="18">
        <v>3.5</v>
      </c>
    </row>
    <row r="300" spans="1:2" x14ac:dyDescent="0.25">
      <c r="A300" s="12">
        <v>44769</v>
      </c>
      <c r="B300" s="18">
        <v>3.58</v>
      </c>
    </row>
    <row r="301" spans="1:2" x14ac:dyDescent="0.25">
      <c r="A301" s="12">
        <v>44770</v>
      </c>
      <c r="B301" s="18">
        <v>3.75</v>
      </c>
    </row>
    <row r="302" spans="1:2" x14ac:dyDescent="0.25">
      <c r="A302" s="12">
        <v>44771</v>
      </c>
      <c r="B302" s="18">
        <v>3.72</v>
      </c>
    </row>
    <row r="303" spans="1:2" x14ac:dyDescent="0.25">
      <c r="A303" s="12">
        <v>44774</v>
      </c>
      <c r="B303" s="18">
        <v>3.92</v>
      </c>
    </row>
    <row r="304" spans="1:2" x14ac:dyDescent="0.25">
      <c r="A304" s="12">
        <v>44775</v>
      </c>
      <c r="B304" s="18">
        <v>3.24</v>
      </c>
    </row>
    <row r="305" spans="1:2" x14ac:dyDescent="0.25">
      <c r="A305" s="12">
        <v>44776</v>
      </c>
      <c r="B305" s="18">
        <v>3.53</v>
      </c>
    </row>
    <row r="306" spans="1:2" x14ac:dyDescent="0.25">
      <c r="A306" s="12">
        <v>44777</v>
      </c>
      <c r="B306" s="18">
        <v>3.73</v>
      </c>
    </row>
    <row r="307" spans="1:2" x14ac:dyDescent="0.25">
      <c r="A307" s="12">
        <v>44778</v>
      </c>
      <c r="B307" s="18">
        <v>3.97</v>
      </c>
    </row>
    <row r="308" spans="1:2" x14ac:dyDescent="0.25">
      <c r="A308" s="12">
        <v>44781</v>
      </c>
      <c r="B308" s="18">
        <v>4.04</v>
      </c>
    </row>
    <row r="309" spans="1:2" x14ac:dyDescent="0.25">
      <c r="A309" s="12">
        <v>44782</v>
      </c>
      <c r="B309" s="18">
        <v>3.73</v>
      </c>
    </row>
    <row r="310" spans="1:2" x14ac:dyDescent="0.25">
      <c r="A310" s="12">
        <v>44783</v>
      </c>
      <c r="B310" s="18">
        <v>3.89</v>
      </c>
    </row>
    <row r="311" spans="1:2" x14ac:dyDescent="0.25">
      <c r="A311" s="12">
        <v>44784</v>
      </c>
      <c r="B311" s="18">
        <v>4.01</v>
      </c>
    </row>
    <row r="312" spans="1:2" x14ac:dyDescent="0.25">
      <c r="A312" s="12">
        <v>44785</v>
      </c>
      <c r="B312" s="18">
        <v>4.0999999999999996</v>
      </c>
    </row>
    <row r="313" spans="1:2" x14ac:dyDescent="0.25">
      <c r="A313" s="12">
        <v>44788</v>
      </c>
      <c r="B313" s="18">
        <v>4.07</v>
      </c>
    </row>
    <row r="314" spans="1:2" x14ac:dyDescent="0.25">
      <c r="A314" s="12">
        <v>44789</v>
      </c>
      <c r="B314" s="18">
        <v>3.99</v>
      </c>
    </row>
    <row r="315" spans="1:2" x14ac:dyDescent="0.25">
      <c r="A315" s="12">
        <v>44790</v>
      </c>
      <c r="B315" s="18">
        <v>3.77</v>
      </c>
    </row>
    <row r="316" spans="1:2" x14ac:dyDescent="0.25">
      <c r="A316" s="12">
        <v>44791</v>
      </c>
      <c r="B316" s="18">
        <v>3.68</v>
      </c>
    </row>
    <row r="317" spans="1:2" x14ac:dyDescent="0.25">
      <c r="A317" s="12">
        <v>44792</v>
      </c>
      <c r="B317" s="18">
        <v>3.39</v>
      </c>
    </row>
    <row r="318" spans="1:2" x14ac:dyDescent="0.25">
      <c r="A318" s="12">
        <v>44795</v>
      </c>
      <c r="B318" s="18">
        <v>3.28</v>
      </c>
    </row>
    <row r="319" spans="1:2" x14ac:dyDescent="0.25">
      <c r="A319" s="12">
        <v>44796</v>
      </c>
      <c r="B319" s="18">
        <v>3.31</v>
      </c>
    </row>
    <row r="320" spans="1:2" x14ac:dyDescent="0.25">
      <c r="A320" s="12">
        <v>44797</v>
      </c>
      <c r="B320" s="18">
        <v>3.33</v>
      </c>
    </row>
    <row r="321" spans="1:2" x14ac:dyDescent="0.25">
      <c r="A321" s="12">
        <v>44798</v>
      </c>
      <c r="B321" s="18">
        <v>3.51</v>
      </c>
    </row>
    <row r="322" spans="1:2" x14ac:dyDescent="0.25">
      <c r="A322" s="12">
        <v>44799</v>
      </c>
      <c r="B322" s="18">
        <v>3.25</v>
      </c>
    </row>
    <row r="323" spans="1:2" x14ac:dyDescent="0.25">
      <c r="A323" s="12">
        <v>44802</v>
      </c>
      <c r="B323" s="18">
        <v>3.27</v>
      </c>
    </row>
    <row r="324" spans="1:2" x14ac:dyDescent="0.25">
      <c r="A324" s="12">
        <v>44803</v>
      </c>
      <c r="B324" s="18">
        <v>3.22</v>
      </c>
    </row>
    <row r="325" spans="1:2" x14ac:dyDescent="0.25">
      <c r="A325" s="12">
        <v>44804</v>
      </c>
      <c r="B325" s="18">
        <v>3.23</v>
      </c>
    </row>
    <row r="326" spans="1:2" x14ac:dyDescent="0.25">
      <c r="A326" s="12">
        <v>44805</v>
      </c>
      <c r="B326" s="18">
        <v>3.16</v>
      </c>
    </row>
    <row r="327" spans="1:2" x14ac:dyDescent="0.25">
      <c r="A327" s="12">
        <v>44806</v>
      </c>
      <c r="B327" s="18">
        <v>3.03</v>
      </c>
    </row>
    <row r="328" spans="1:2" x14ac:dyDescent="0.25">
      <c r="A328" s="12">
        <v>44810</v>
      </c>
      <c r="B328" s="18">
        <v>2.94</v>
      </c>
    </row>
    <row r="329" spans="1:2" x14ac:dyDescent="0.25">
      <c r="A329" s="12">
        <v>44811</v>
      </c>
      <c r="B329" s="18">
        <v>3.13</v>
      </c>
    </row>
    <row r="330" spans="1:2" x14ac:dyDescent="0.25">
      <c r="A330" s="12">
        <v>44812</v>
      </c>
      <c r="B330" s="18">
        <v>3.21</v>
      </c>
    </row>
    <row r="331" spans="1:2" x14ac:dyDescent="0.25">
      <c r="A331" s="12">
        <v>44813</v>
      </c>
      <c r="B331" s="18">
        <v>3.27</v>
      </c>
    </row>
    <row r="332" spans="1:2" x14ac:dyDescent="0.25">
      <c r="A332" s="12">
        <v>44816</v>
      </c>
      <c r="B332" s="18">
        <v>3.3</v>
      </c>
    </row>
    <row r="333" spans="1:2" x14ac:dyDescent="0.25">
      <c r="A333" s="12">
        <v>44817</v>
      </c>
      <c r="B333" s="18">
        <v>3.06</v>
      </c>
    </row>
    <row r="334" spans="1:2" x14ac:dyDescent="0.25">
      <c r="A334" s="12">
        <v>44818</v>
      </c>
      <c r="B334" s="18">
        <v>2.99</v>
      </c>
    </row>
    <row r="335" spans="1:2" x14ac:dyDescent="0.25">
      <c r="A335" s="12">
        <v>44819</v>
      </c>
      <c r="B335" s="18">
        <v>2.98</v>
      </c>
    </row>
    <row r="336" spans="1:2" x14ac:dyDescent="0.25">
      <c r="A336" s="12">
        <v>44820</v>
      </c>
      <c r="B336" s="18">
        <v>2.99</v>
      </c>
    </row>
    <row r="337" spans="1:2" x14ac:dyDescent="0.25">
      <c r="A337" s="12">
        <v>44823</v>
      </c>
      <c r="B337" s="18">
        <v>2.94</v>
      </c>
    </row>
    <row r="338" spans="1:2" x14ac:dyDescent="0.25">
      <c r="A338" s="12">
        <v>44824</v>
      </c>
      <c r="B338" s="18">
        <v>2.75</v>
      </c>
    </row>
    <row r="339" spans="1:2" x14ac:dyDescent="0.25">
      <c r="A339" s="12">
        <v>44825</v>
      </c>
      <c r="B339" s="18">
        <v>2.8</v>
      </c>
    </row>
    <row r="340" spans="1:2" x14ac:dyDescent="0.25">
      <c r="A340" s="12">
        <v>44826</v>
      </c>
      <c r="B340" s="18">
        <v>2.68</v>
      </c>
    </row>
    <row r="341" spans="1:2" x14ac:dyDescent="0.25">
      <c r="A341" s="12">
        <v>44827</v>
      </c>
      <c r="B341" s="18">
        <v>2.69</v>
      </c>
    </row>
    <row r="342" spans="1:2" x14ac:dyDescent="0.25">
      <c r="A342" s="12">
        <v>44830</v>
      </c>
      <c r="B342" s="18">
        <v>2.59</v>
      </c>
    </row>
    <row r="343" spans="1:2" x14ac:dyDescent="0.25">
      <c r="A343" s="12">
        <v>44831</v>
      </c>
      <c r="B343" s="18">
        <v>2.69</v>
      </c>
    </row>
    <row r="344" spans="1:2" x14ac:dyDescent="0.25">
      <c r="A344" s="12">
        <v>44832</v>
      </c>
      <c r="B344" s="18">
        <v>2.79</v>
      </c>
    </row>
    <row r="345" spans="1:2" x14ac:dyDescent="0.25">
      <c r="A345" s="12">
        <v>44833</v>
      </c>
      <c r="B345" s="18">
        <v>2.56</v>
      </c>
    </row>
    <row r="346" spans="1:2" x14ac:dyDescent="0.25">
      <c r="A346" s="12">
        <v>44834</v>
      </c>
      <c r="B346" s="18">
        <v>2.63</v>
      </c>
    </row>
    <row r="347" spans="1:2" x14ac:dyDescent="0.25">
      <c r="A347" s="12">
        <v>44837</v>
      </c>
      <c r="B347" s="18">
        <v>2.68</v>
      </c>
    </row>
    <row r="348" spans="1:2" x14ac:dyDescent="0.25">
      <c r="A348" s="12">
        <v>44838</v>
      </c>
      <c r="B348" s="18">
        <v>2.85</v>
      </c>
    </row>
    <row r="349" spans="1:2" x14ac:dyDescent="0.25">
      <c r="A349" s="12">
        <v>44839</v>
      </c>
      <c r="B349" s="18">
        <v>2.77</v>
      </c>
    </row>
    <row r="350" spans="1:2" x14ac:dyDescent="0.25">
      <c r="A350" s="12">
        <v>44840</v>
      </c>
      <c r="B350" s="18">
        <v>2.75</v>
      </c>
    </row>
    <row r="351" spans="1:2" x14ac:dyDescent="0.25">
      <c r="A351" s="12">
        <v>44841</v>
      </c>
      <c r="B351" s="18">
        <v>2.5499999999999998</v>
      </c>
    </row>
    <row r="352" spans="1:2" x14ac:dyDescent="0.25">
      <c r="A352" s="12">
        <v>44844</v>
      </c>
      <c r="B352" s="18">
        <v>2.48</v>
      </c>
    </row>
    <row r="353" spans="1:2" x14ac:dyDescent="0.25">
      <c r="A353" s="12">
        <v>44845</v>
      </c>
      <c r="B353" s="18">
        <v>2.4700000000000002</v>
      </c>
    </row>
    <row r="354" spans="1:2" x14ac:dyDescent="0.25">
      <c r="A354" s="12">
        <v>44846</v>
      </c>
      <c r="B354" s="18">
        <v>2.4300000000000002</v>
      </c>
    </row>
    <row r="355" spans="1:2" x14ac:dyDescent="0.25">
      <c r="A355" s="12">
        <v>44847</v>
      </c>
      <c r="B355" s="18">
        <v>2.4</v>
      </c>
    </row>
    <row r="356" spans="1:2" x14ac:dyDescent="0.25">
      <c r="A356" s="12">
        <v>44848</v>
      </c>
      <c r="B356" s="18">
        <v>2.25</v>
      </c>
    </row>
    <row r="357" spans="1:2" x14ac:dyDescent="0.25">
      <c r="A357" s="12">
        <v>44851</v>
      </c>
      <c r="B357" s="18">
        <v>2.2400000000000002</v>
      </c>
    </row>
    <row r="358" spans="1:2" x14ac:dyDescent="0.25">
      <c r="A358" s="12">
        <v>44852</v>
      </c>
      <c r="B358" s="18">
        <v>2.2400000000000002</v>
      </c>
    </row>
    <row r="359" spans="1:2" x14ac:dyDescent="0.25">
      <c r="A359" s="12">
        <v>44853</v>
      </c>
      <c r="B359" s="18">
        <v>2.13</v>
      </c>
    </row>
    <row r="360" spans="1:2" x14ac:dyDescent="0.25">
      <c r="A360" s="12">
        <v>44854</v>
      </c>
      <c r="B360" s="18">
        <v>2.11</v>
      </c>
    </row>
    <row r="361" spans="1:2" x14ac:dyDescent="0.25">
      <c r="A361" s="12">
        <v>44855</v>
      </c>
      <c r="B361" s="18">
        <v>2.0499999999999998</v>
      </c>
    </row>
    <row r="362" spans="1:2" x14ac:dyDescent="0.25">
      <c r="A362" s="12">
        <v>44858</v>
      </c>
      <c r="B362" s="18">
        <v>2.0099999999999998</v>
      </c>
    </row>
    <row r="363" spans="1:2" x14ac:dyDescent="0.25">
      <c r="A363" s="12">
        <v>44859</v>
      </c>
      <c r="B363" s="18">
        <v>2.12</v>
      </c>
    </row>
    <row r="364" spans="1:2" x14ac:dyDescent="0.25">
      <c r="A364" s="12">
        <v>44860</v>
      </c>
      <c r="B364" s="18">
        <v>2.11</v>
      </c>
    </row>
    <row r="365" spans="1:2" x14ac:dyDescent="0.25">
      <c r="A365" s="12">
        <v>44861</v>
      </c>
      <c r="B365" s="18">
        <v>2.12</v>
      </c>
    </row>
    <row r="366" spans="1:2" x14ac:dyDescent="0.25">
      <c r="A366" s="12">
        <v>44862</v>
      </c>
      <c r="B366" s="18">
        <v>2.17</v>
      </c>
    </row>
    <row r="367" spans="1:2" x14ac:dyDescent="0.25">
      <c r="A367" s="12">
        <v>44865</v>
      </c>
      <c r="B367" s="18">
        <v>2.2000000000000002</v>
      </c>
    </row>
    <row r="368" spans="1:2" x14ac:dyDescent="0.25">
      <c r="A368" s="12">
        <v>44866</v>
      </c>
      <c r="B368" s="18">
        <v>2.17</v>
      </c>
    </row>
    <row r="369" spans="1:2" x14ac:dyDescent="0.25">
      <c r="A369" s="12">
        <v>44867</v>
      </c>
      <c r="B369" s="18">
        <v>2.04</v>
      </c>
    </row>
    <row r="370" spans="1:2" x14ac:dyDescent="0.25">
      <c r="A370" s="12">
        <v>44868</v>
      </c>
      <c r="B370" s="18">
        <v>1.97</v>
      </c>
    </row>
    <row r="371" spans="1:2" x14ac:dyDescent="0.25">
      <c r="A371" s="12">
        <v>44869</v>
      </c>
      <c r="B371" s="18">
        <v>2.04</v>
      </c>
    </row>
    <row r="372" spans="1:2" x14ac:dyDescent="0.25">
      <c r="A372" s="12">
        <v>44872</v>
      </c>
      <c r="B372" s="18">
        <v>1.99</v>
      </c>
    </row>
    <row r="373" spans="1:2" x14ac:dyDescent="0.25">
      <c r="A373" s="12">
        <v>44873</v>
      </c>
      <c r="B373" s="18">
        <v>2.02</v>
      </c>
    </row>
    <row r="374" spans="1:2" x14ac:dyDescent="0.25">
      <c r="A374" s="12">
        <v>44874</v>
      </c>
      <c r="B374" s="18">
        <v>1.88</v>
      </c>
    </row>
    <row r="375" spans="1:2" x14ac:dyDescent="0.25">
      <c r="A375" s="12">
        <v>44875</v>
      </c>
      <c r="B375" s="18">
        <v>2.11</v>
      </c>
    </row>
    <row r="376" spans="1:2" x14ac:dyDescent="0.25">
      <c r="A376" s="12">
        <v>44876</v>
      </c>
      <c r="B376" s="18">
        <v>2.4500000000000002</v>
      </c>
    </row>
    <row r="377" spans="1:2" x14ac:dyDescent="0.25">
      <c r="A377" s="12">
        <v>44879</v>
      </c>
      <c r="B377" s="18">
        <v>2.14</v>
      </c>
    </row>
    <row r="378" spans="1:2" x14ac:dyDescent="0.25">
      <c r="A378" s="12">
        <v>44880</v>
      </c>
      <c r="B378" s="18">
        <v>2.04</v>
      </c>
    </row>
    <row r="379" spans="1:2" x14ac:dyDescent="0.25">
      <c r="A379" s="12">
        <v>44881</v>
      </c>
      <c r="B379" s="18">
        <v>1.94</v>
      </c>
    </row>
    <row r="380" spans="1:2" x14ac:dyDescent="0.25">
      <c r="A380" s="12">
        <v>44882</v>
      </c>
      <c r="B380" s="18">
        <v>1.88</v>
      </c>
    </row>
    <row r="381" spans="1:2" x14ac:dyDescent="0.25">
      <c r="A381" s="12">
        <v>44883</v>
      </c>
      <c r="B381" s="18">
        <v>1.95</v>
      </c>
    </row>
    <row r="382" spans="1:2" x14ac:dyDescent="0.25">
      <c r="A382" s="12">
        <v>44886</v>
      </c>
      <c r="B382" s="18">
        <v>1.83</v>
      </c>
    </row>
    <row r="383" spans="1:2" x14ac:dyDescent="0.25">
      <c r="A383" s="12">
        <v>44887</v>
      </c>
      <c r="B383" s="18">
        <v>1.67</v>
      </c>
    </row>
    <row r="384" spans="1:2" x14ac:dyDescent="0.25">
      <c r="A384" s="12">
        <v>44888</v>
      </c>
      <c r="B384" s="18">
        <v>1.6</v>
      </c>
    </row>
    <row r="385" spans="1:2" x14ac:dyDescent="0.25">
      <c r="A385" s="12">
        <v>44890</v>
      </c>
      <c r="B385" s="18">
        <v>1.6</v>
      </c>
    </row>
    <row r="386" spans="1:2" x14ac:dyDescent="0.25">
      <c r="A386" s="12">
        <v>44893</v>
      </c>
      <c r="B386" s="18">
        <v>1.58</v>
      </c>
    </row>
    <row r="387" spans="1:2" x14ac:dyDescent="0.25">
      <c r="A387" s="12">
        <v>44894</v>
      </c>
      <c r="B387" s="18">
        <v>1.56</v>
      </c>
    </row>
    <row r="388" spans="1:2" x14ac:dyDescent="0.25">
      <c r="A388" s="12">
        <v>44895</v>
      </c>
      <c r="B388" s="18">
        <v>1.63</v>
      </c>
    </row>
    <row r="389" spans="1:2" x14ac:dyDescent="0.25">
      <c r="A389" s="12">
        <v>44896</v>
      </c>
      <c r="B389" s="18">
        <v>1.65</v>
      </c>
    </row>
    <row r="390" spans="1:2" x14ac:dyDescent="0.25">
      <c r="A390" s="12">
        <v>44897</v>
      </c>
      <c r="B390" s="18">
        <v>1.62</v>
      </c>
    </row>
    <row r="391" spans="1:2" x14ac:dyDescent="0.25">
      <c r="A391" s="12">
        <v>44900</v>
      </c>
      <c r="B391" s="18">
        <v>1.54</v>
      </c>
    </row>
    <row r="392" spans="1:2" x14ac:dyDescent="0.25">
      <c r="A392" s="12">
        <v>44901</v>
      </c>
      <c r="B392" s="18">
        <v>1.49</v>
      </c>
    </row>
    <row r="393" spans="1:2" x14ac:dyDescent="0.25">
      <c r="A393" s="12">
        <v>44902</v>
      </c>
      <c r="B393" s="18">
        <v>1.41</v>
      </c>
    </row>
    <row r="394" spans="1:2" x14ac:dyDescent="0.25">
      <c r="A394" s="12">
        <v>44903</v>
      </c>
      <c r="B394" s="18">
        <v>1.42</v>
      </c>
    </row>
    <row r="395" spans="1:2" x14ac:dyDescent="0.25">
      <c r="A395" s="12">
        <v>44904</v>
      </c>
      <c r="B395" s="18">
        <v>1.42</v>
      </c>
    </row>
    <row r="396" spans="1:2" x14ac:dyDescent="0.25">
      <c r="A396" s="12">
        <v>44907</v>
      </c>
      <c r="B396" s="18">
        <v>1.36</v>
      </c>
    </row>
    <row r="397" spans="1:2" x14ac:dyDescent="0.25">
      <c r="A397" s="12">
        <v>44908</v>
      </c>
      <c r="B397" s="18">
        <v>1.4</v>
      </c>
    </row>
    <row r="398" spans="1:2" x14ac:dyDescent="0.25">
      <c r="A398" s="12">
        <v>44909</v>
      </c>
      <c r="B398" s="18">
        <v>1.35</v>
      </c>
    </row>
    <row r="399" spans="1:2" x14ac:dyDescent="0.25">
      <c r="A399" s="12">
        <v>44910</v>
      </c>
      <c r="B399" s="18">
        <v>1.33</v>
      </c>
    </row>
    <row r="400" spans="1:2" x14ac:dyDescent="0.25">
      <c r="A400" s="12">
        <v>44911</v>
      </c>
      <c r="B400" s="18">
        <v>1.36</v>
      </c>
    </row>
    <row r="401" spans="1:2" x14ac:dyDescent="0.25">
      <c r="A401" s="12">
        <v>44914</v>
      </c>
      <c r="B401" s="18">
        <v>1.34</v>
      </c>
    </row>
    <row r="402" spans="1:2" x14ac:dyDescent="0.25">
      <c r="A402" s="12">
        <v>44915</v>
      </c>
      <c r="B402" s="18">
        <v>1.37</v>
      </c>
    </row>
    <row r="403" spans="1:2" x14ac:dyDescent="0.25">
      <c r="A403" s="12">
        <v>44916</v>
      </c>
      <c r="B403" s="18">
        <v>1.52</v>
      </c>
    </row>
    <row r="404" spans="1:2" x14ac:dyDescent="0.25">
      <c r="A404" s="12">
        <v>44917</v>
      </c>
      <c r="B404" s="18">
        <v>1.52</v>
      </c>
    </row>
    <row r="405" spans="1:2" x14ac:dyDescent="0.25">
      <c r="A405" s="12">
        <v>44918</v>
      </c>
      <c r="B405" s="18">
        <v>1.42</v>
      </c>
    </row>
    <row r="406" spans="1:2" x14ac:dyDescent="0.25">
      <c r="A406" s="12">
        <v>44922</v>
      </c>
      <c r="B406" s="18">
        <v>1.41</v>
      </c>
    </row>
    <row r="407" spans="1:2" x14ac:dyDescent="0.25">
      <c r="A407" s="12">
        <v>44923</v>
      </c>
      <c r="B407" s="18">
        <v>1.56</v>
      </c>
    </row>
    <row r="408" spans="1:2" x14ac:dyDescent="0.25">
      <c r="A408" s="12">
        <v>44924</v>
      </c>
      <c r="B408" s="18">
        <v>1.75</v>
      </c>
    </row>
    <row r="409" spans="1:2" x14ac:dyDescent="0.25">
      <c r="A409" s="12">
        <v>44925</v>
      </c>
      <c r="B409" s="18">
        <v>1.74</v>
      </c>
    </row>
    <row r="410" spans="1:2" x14ac:dyDescent="0.25">
      <c r="A410" s="12">
        <v>44929</v>
      </c>
      <c r="B410" s="18">
        <v>2.0099999999999998</v>
      </c>
    </row>
    <row r="411" spans="1:2" x14ac:dyDescent="0.25">
      <c r="A411" s="12">
        <v>44930</v>
      </c>
      <c r="B411" s="18">
        <v>2.29</v>
      </c>
    </row>
    <row r="412" spans="1:2" x14ac:dyDescent="0.25">
      <c r="A412" s="12">
        <v>44931</v>
      </c>
      <c r="B412" s="18">
        <v>2.33</v>
      </c>
    </row>
    <row r="413" spans="1:2" x14ac:dyDescent="0.25">
      <c r="A413" s="12">
        <v>44932</v>
      </c>
      <c r="B413" s="18">
        <v>2.54</v>
      </c>
    </row>
    <row r="414" spans="1:2" x14ac:dyDescent="0.25">
      <c r="A414" s="12">
        <v>44935</v>
      </c>
      <c r="B414" s="18">
        <v>2.38</v>
      </c>
    </row>
    <row r="415" spans="1:2" x14ac:dyDescent="0.25">
      <c r="A415" s="12">
        <v>44936</v>
      </c>
      <c r="B415" s="18">
        <v>2.7</v>
      </c>
    </row>
    <row r="416" spans="1:2" x14ac:dyDescent="0.25">
      <c r="A416" s="12">
        <v>44937</v>
      </c>
      <c r="B416" s="18">
        <v>2.75</v>
      </c>
    </row>
    <row r="417" spans="1:2" x14ac:dyDescent="0.25">
      <c r="A417" s="12">
        <v>44938</v>
      </c>
      <c r="B417" s="18">
        <v>2.65</v>
      </c>
    </row>
    <row r="418" spans="1:2" x14ac:dyDescent="0.25">
      <c r="A418" s="12">
        <v>44939</v>
      </c>
      <c r="B418" s="18">
        <v>2.52</v>
      </c>
    </row>
    <row r="419" spans="1:2" x14ac:dyDescent="0.25">
      <c r="A419" s="12">
        <v>44943</v>
      </c>
      <c r="B419" s="18">
        <v>2.69</v>
      </c>
    </row>
    <row r="420" spans="1:2" x14ac:dyDescent="0.25">
      <c r="A420" s="12">
        <v>44944</v>
      </c>
      <c r="B420" s="18">
        <v>2.58</v>
      </c>
    </row>
    <row r="421" spans="1:2" x14ac:dyDescent="0.25">
      <c r="A421" s="12">
        <v>44945</v>
      </c>
      <c r="B421" s="18">
        <v>2.4900000000000002</v>
      </c>
    </row>
    <row r="422" spans="1:2" x14ac:dyDescent="0.25">
      <c r="A422" s="12">
        <v>44946</v>
      </c>
      <c r="B422" s="18">
        <v>2.54</v>
      </c>
    </row>
    <row r="423" spans="1:2" x14ac:dyDescent="0.25">
      <c r="A423" s="12">
        <v>44949</v>
      </c>
      <c r="B423" s="18">
        <v>2.63</v>
      </c>
    </row>
    <row r="424" spans="1:2" x14ac:dyDescent="0.25">
      <c r="A424" s="12">
        <v>44950</v>
      </c>
      <c r="B424" s="18">
        <v>2.41</v>
      </c>
    </row>
    <row r="425" spans="1:2" x14ac:dyDescent="0.25">
      <c r="A425" s="12">
        <v>44951</v>
      </c>
      <c r="B425" s="18">
        <v>2.21</v>
      </c>
    </row>
    <row r="426" spans="1:2" x14ac:dyDescent="0.25">
      <c r="A426" s="12">
        <v>44952</v>
      </c>
      <c r="B426" s="18">
        <v>2.2000000000000002</v>
      </c>
    </row>
    <row r="427" spans="1:2" x14ac:dyDescent="0.25">
      <c r="A427" s="12">
        <v>44953</v>
      </c>
      <c r="B427" s="18">
        <v>2.33</v>
      </c>
    </row>
    <row r="428" spans="1:2" x14ac:dyDescent="0.25">
      <c r="A428" s="12">
        <v>44956</v>
      </c>
      <c r="B428" s="18">
        <v>2.34</v>
      </c>
    </row>
    <row r="429" spans="1:2" x14ac:dyDescent="0.25">
      <c r="A429" s="12">
        <v>44957</v>
      </c>
      <c r="B429" s="18">
        <v>2.44</v>
      </c>
    </row>
    <row r="430" spans="1:2" x14ac:dyDescent="0.25">
      <c r="A430" s="12">
        <v>44958</v>
      </c>
      <c r="B430" s="18">
        <v>2.59</v>
      </c>
    </row>
    <row r="431" spans="1:2" x14ac:dyDescent="0.25">
      <c r="A431" s="12">
        <v>44959</v>
      </c>
      <c r="B431" s="18">
        <v>2.7</v>
      </c>
    </row>
    <row r="432" spans="1:2" x14ac:dyDescent="0.25">
      <c r="A432" s="12">
        <v>44960</v>
      </c>
      <c r="B432" s="18">
        <v>2.63</v>
      </c>
    </row>
    <row r="433" spans="1:2" x14ac:dyDescent="0.25">
      <c r="A433" s="12">
        <v>44963</v>
      </c>
      <c r="B433" s="18">
        <v>2.4300000000000002</v>
      </c>
    </row>
    <row r="434" spans="1:2" x14ac:dyDescent="0.25">
      <c r="A434" s="12">
        <v>44964</v>
      </c>
      <c r="B434" s="18">
        <v>2.31</v>
      </c>
    </row>
    <row r="435" spans="1:2" x14ac:dyDescent="0.25">
      <c r="A435" s="12">
        <v>44965</v>
      </c>
      <c r="B435" s="18">
        <v>2.2200000000000002</v>
      </c>
    </row>
    <row r="436" spans="1:2" x14ac:dyDescent="0.25">
      <c r="A436" s="12">
        <v>44966</v>
      </c>
      <c r="B436" s="18">
        <v>2.15</v>
      </c>
    </row>
    <row r="437" spans="1:2" x14ac:dyDescent="0.25">
      <c r="A437" s="12">
        <v>44967</v>
      </c>
      <c r="B437" s="18">
        <v>2.09</v>
      </c>
    </row>
    <row r="438" spans="1:2" x14ac:dyDescent="0.25">
      <c r="A438" s="12">
        <v>44970</v>
      </c>
      <c r="B438" s="18">
        <v>2.13</v>
      </c>
    </row>
    <row r="439" spans="1:2" x14ac:dyDescent="0.25">
      <c r="A439" s="12">
        <v>44971</v>
      </c>
      <c r="B439" s="18">
        <v>2.13</v>
      </c>
    </row>
    <row r="440" spans="1:2" x14ac:dyDescent="0.25">
      <c r="A440" s="12">
        <v>44972</v>
      </c>
      <c r="B440" s="18">
        <v>2.2200000000000002</v>
      </c>
    </row>
    <row r="441" spans="1:2" x14ac:dyDescent="0.25">
      <c r="A441" s="12">
        <v>44973</v>
      </c>
      <c r="B441" s="18">
        <v>2.0699999999999998</v>
      </c>
    </row>
    <row r="442" spans="1:2" x14ac:dyDescent="0.25">
      <c r="A442" s="12">
        <v>44974</v>
      </c>
      <c r="B442" s="18">
        <v>2.21</v>
      </c>
    </row>
    <row r="443" spans="1:2" x14ac:dyDescent="0.25">
      <c r="A443" s="12">
        <v>44978</v>
      </c>
      <c r="B443" s="18">
        <v>2.06</v>
      </c>
    </row>
    <row r="444" spans="1:2" x14ac:dyDescent="0.25">
      <c r="A444" s="12">
        <v>44979</v>
      </c>
      <c r="B444" s="18">
        <v>2.19</v>
      </c>
    </row>
    <row r="445" spans="1:2" x14ac:dyDescent="0.25">
      <c r="A445" s="12">
        <v>44980</v>
      </c>
      <c r="B445" s="18">
        <v>2.27</v>
      </c>
    </row>
    <row r="446" spans="1:2" x14ac:dyDescent="0.25">
      <c r="A446" s="12">
        <v>44981</v>
      </c>
      <c r="B446" s="18">
        <v>2.13</v>
      </c>
    </row>
    <row r="447" spans="1:2" x14ac:dyDescent="0.25">
      <c r="A447" s="12">
        <v>44984</v>
      </c>
      <c r="B447" s="18">
        <v>2.23</v>
      </c>
    </row>
    <row r="448" spans="1:2" x14ac:dyDescent="0.25">
      <c r="A448" s="12">
        <v>44985</v>
      </c>
      <c r="B448" s="18">
        <v>2.2000000000000002</v>
      </c>
    </row>
    <row r="449" spans="1:2" x14ac:dyDescent="0.25">
      <c r="A449" s="12">
        <v>44986</v>
      </c>
      <c r="B449" s="18">
        <v>2.17</v>
      </c>
    </row>
    <row r="450" spans="1:2" x14ac:dyDescent="0.25">
      <c r="A450" s="12">
        <v>44987</v>
      </c>
      <c r="B450" s="18">
        <v>2.27</v>
      </c>
    </row>
    <row r="451" spans="1:2" x14ac:dyDescent="0.25">
      <c r="A451" s="12">
        <v>44988</v>
      </c>
      <c r="B451" s="18">
        <v>2.39</v>
      </c>
    </row>
    <row r="452" spans="1:2" x14ac:dyDescent="0.25">
      <c r="A452" s="12">
        <v>44991</v>
      </c>
      <c r="B452" s="18">
        <v>2.2999999999999998</v>
      </c>
    </row>
    <row r="453" spans="1:2" x14ac:dyDescent="0.25">
      <c r="A453" s="12">
        <v>44992</v>
      </c>
      <c r="B453" s="18">
        <v>2.33</v>
      </c>
    </row>
    <row r="454" spans="1:2" x14ac:dyDescent="0.25">
      <c r="A454" s="12">
        <v>44993</v>
      </c>
      <c r="B454" s="18">
        <v>2.27</v>
      </c>
    </row>
    <row r="455" spans="1:2" x14ac:dyDescent="0.25">
      <c r="A455" s="12">
        <v>44994</v>
      </c>
      <c r="B455" s="18">
        <v>2.16</v>
      </c>
    </row>
    <row r="456" spans="1:2" x14ac:dyDescent="0.25">
      <c r="A456" s="12">
        <v>44995</v>
      </c>
      <c r="B456" s="18">
        <v>2.02</v>
      </c>
    </row>
    <row r="457" spans="1:2" x14ac:dyDescent="0.25">
      <c r="A457" s="12">
        <v>44998</v>
      </c>
      <c r="B457" s="18">
        <v>2</v>
      </c>
    </row>
    <row r="458" spans="1:2" x14ac:dyDescent="0.25">
      <c r="A458" s="12">
        <v>44999</v>
      </c>
      <c r="B458" s="18">
        <v>2.06</v>
      </c>
    </row>
    <row r="459" spans="1:2" x14ac:dyDescent="0.25">
      <c r="A459" s="12">
        <v>45000</v>
      </c>
      <c r="B459" s="18">
        <v>2.13</v>
      </c>
    </row>
    <row r="460" spans="1:2" x14ac:dyDescent="0.25">
      <c r="A460" s="12">
        <v>45001</v>
      </c>
      <c r="B460" s="18">
        <v>2.17</v>
      </c>
    </row>
    <row r="461" spans="1:2" x14ac:dyDescent="0.25">
      <c r="A461" s="12">
        <v>45002</v>
      </c>
      <c r="B461" s="18">
        <v>2.31</v>
      </c>
    </row>
    <row r="462" spans="1:2" x14ac:dyDescent="0.25">
      <c r="A462" s="12">
        <v>45005</v>
      </c>
      <c r="B462" s="18">
        <v>2.4300000000000002</v>
      </c>
    </row>
    <row r="463" spans="1:2" x14ac:dyDescent="0.25">
      <c r="A463" s="12">
        <v>45006</v>
      </c>
      <c r="B463" s="18">
        <v>2.64</v>
      </c>
    </row>
    <row r="464" spans="1:2" x14ac:dyDescent="0.25">
      <c r="A464" s="12">
        <v>45007</v>
      </c>
      <c r="B464" s="18">
        <v>2.5</v>
      </c>
    </row>
    <row r="465" spans="1:2" x14ac:dyDescent="0.25">
      <c r="A465" s="12">
        <v>45008</v>
      </c>
      <c r="B465" s="18">
        <v>2.4</v>
      </c>
    </row>
    <row r="466" spans="1:2" x14ac:dyDescent="0.25">
      <c r="A466" s="12">
        <v>45009</v>
      </c>
      <c r="B466" s="18">
        <v>2.39</v>
      </c>
    </row>
    <row r="467" spans="1:2" x14ac:dyDescent="0.25">
      <c r="A467" s="12">
        <v>45012</v>
      </c>
      <c r="B467" s="18">
        <v>2.37</v>
      </c>
    </row>
    <row r="468" spans="1:2" x14ac:dyDescent="0.25">
      <c r="A468" s="12">
        <v>45013</v>
      </c>
      <c r="B468" s="18">
        <v>2.36</v>
      </c>
    </row>
    <row r="469" spans="1:2" x14ac:dyDescent="0.25">
      <c r="A469" s="12">
        <v>45014</v>
      </c>
      <c r="B469" s="18">
        <v>2.3199999999999998</v>
      </c>
    </row>
    <row r="470" spans="1:2" x14ac:dyDescent="0.25">
      <c r="A470" s="12">
        <v>45015</v>
      </c>
      <c r="B470" s="18">
        <v>2.39</v>
      </c>
    </row>
    <row r="471" spans="1:2" x14ac:dyDescent="0.25">
      <c r="A471" s="12">
        <v>45016</v>
      </c>
      <c r="B471" s="18">
        <v>2.42</v>
      </c>
    </row>
    <row r="472" spans="1:2" x14ac:dyDescent="0.25">
      <c r="A472" s="12">
        <v>45019</v>
      </c>
      <c r="B472" s="18">
        <v>2.56</v>
      </c>
    </row>
    <row r="473" spans="1:2" x14ac:dyDescent="0.25">
      <c r="A473" s="12">
        <v>45020</v>
      </c>
      <c r="B473" s="18">
        <v>2.54</v>
      </c>
    </row>
    <row r="474" spans="1:2" x14ac:dyDescent="0.25">
      <c r="A474" s="12">
        <v>45021</v>
      </c>
      <c r="B474" s="18">
        <v>2.34</v>
      </c>
    </row>
    <row r="475" spans="1:2" x14ac:dyDescent="0.25">
      <c r="A475" s="12">
        <v>45022</v>
      </c>
      <c r="B475" s="18">
        <v>2.2799999999999998</v>
      </c>
    </row>
    <row r="476" spans="1:2" x14ac:dyDescent="0.25">
      <c r="A476" s="12">
        <v>45026</v>
      </c>
      <c r="B476" s="18">
        <v>2.31</v>
      </c>
    </row>
    <row r="477" spans="1:2" x14ac:dyDescent="0.25">
      <c r="A477" s="12">
        <v>45027</v>
      </c>
      <c r="B477" s="18">
        <v>2.2799999999999998</v>
      </c>
    </row>
    <row r="478" spans="1:2" x14ac:dyDescent="0.25">
      <c r="A478" s="12">
        <v>45028</v>
      </c>
      <c r="B478" s="18">
        <v>2.25</v>
      </c>
    </row>
    <row r="479" spans="1:2" x14ac:dyDescent="0.25">
      <c r="A479" s="12">
        <v>45029</v>
      </c>
      <c r="B479" s="18">
        <v>2.29</v>
      </c>
    </row>
    <row r="480" spans="1:2" x14ac:dyDescent="0.25">
      <c r="A480" s="12">
        <v>45030</v>
      </c>
      <c r="B480" s="18">
        <v>2.2799999999999998</v>
      </c>
    </row>
    <row r="481" spans="1:2" x14ac:dyDescent="0.25">
      <c r="A481" s="12">
        <v>45033</v>
      </c>
      <c r="B481" s="18">
        <v>2.27</v>
      </c>
    </row>
    <row r="482" spans="1:2" x14ac:dyDescent="0.25">
      <c r="A482" s="12">
        <v>45034</v>
      </c>
      <c r="B482" s="18">
        <v>2.39</v>
      </c>
    </row>
    <row r="483" spans="1:2" x14ac:dyDescent="0.25">
      <c r="A483" s="12">
        <v>45035</v>
      </c>
      <c r="B483" s="18">
        <v>2.36</v>
      </c>
    </row>
    <row r="484" spans="1:2" x14ac:dyDescent="0.25">
      <c r="A484" s="12">
        <v>45036</v>
      </c>
      <c r="B484" s="18">
        <v>2.2200000000000002</v>
      </c>
    </row>
    <row r="485" spans="1:2" x14ac:dyDescent="0.25">
      <c r="A485" s="12">
        <v>45037</v>
      </c>
      <c r="B485" s="18">
        <v>2.25</v>
      </c>
    </row>
    <row r="486" spans="1:2" x14ac:dyDescent="0.25">
      <c r="A486" s="12">
        <v>45040</v>
      </c>
      <c r="B486" s="18">
        <v>2.2799999999999998</v>
      </c>
    </row>
    <row r="487" spans="1:2" x14ac:dyDescent="0.25">
      <c r="A487" s="12">
        <v>45041</v>
      </c>
      <c r="B487" s="18">
        <v>2.21</v>
      </c>
    </row>
    <row r="488" spans="1:2" x14ac:dyDescent="0.25">
      <c r="A488" s="12">
        <v>45042</v>
      </c>
      <c r="B488" s="18">
        <v>2.33</v>
      </c>
    </row>
    <row r="489" spans="1:2" x14ac:dyDescent="0.25">
      <c r="A489" s="12">
        <v>45043</v>
      </c>
      <c r="B489" s="18">
        <v>2.38</v>
      </c>
    </row>
    <row r="490" spans="1:2" x14ac:dyDescent="0.25">
      <c r="A490" s="12">
        <v>45044</v>
      </c>
      <c r="B490" s="18">
        <v>2.33</v>
      </c>
    </row>
    <row r="491" spans="1:2" x14ac:dyDescent="0.25">
      <c r="A491" s="12">
        <v>45047</v>
      </c>
      <c r="B491" s="18">
        <v>2.2400000000000002</v>
      </c>
    </row>
    <row r="492" spans="1:2" x14ac:dyDescent="0.25">
      <c r="A492" s="12">
        <v>45048</v>
      </c>
      <c r="B492" s="18">
        <v>2.2000000000000002</v>
      </c>
    </row>
    <row r="493" spans="1:2" x14ac:dyDescent="0.25">
      <c r="A493" s="12">
        <v>45049</v>
      </c>
      <c r="B493" s="18">
        <v>2.12</v>
      </c>
    </row>
    <row r="494" spans="1:2" x14ac:dyDescent="0.25">
      <c r="A494" s="12">
        <v>45050</v>
      </c>
      <c r="B494" s="18">
        <v>2.09</v>
      </c>
    </row>
    <row r="495" spans="1:2" x14ac:dyDescent="0.25">
      <c r="A495" s="12">
        <v>45051</v>
      </c>
      <c r="B495" s="18">
        <v>2.1</v>
      </c>
    </row>
    <row r="496" spans="1:2" x14ac:dyDescent="0.25">
      <c r="A496" s="12">
        <v>45054</v>
      </c>
      <c r="B496" s="18">
        <v>2.15</v>
      </c>
    </row>
    <row r="497" spans="1:2" x14ac:dyDescent="0.25">
      <c r="A497" s="12">
        <v>45055</v>
      </c>
      <c r="B497" s="18">
        <v>2.19</v>
      </c>
    </row>
    <row r="498" spans="1:2" x14ac:dyDescent="0.25">
      <c r="A498" s="12">
        <v>45056</v>
      </c>
      <c r="B498" s="18">
        <v>2.25</v>
      </c>
    </row>
    <row r="499" spans="1:2" x14ac:dyDescent="0.25">
      <c r="A499" s="12">
        <v>45057</v>
      </c>
      <c r="B499" s="18">
        <v>2.12</v>
      </c>
    </row>
    <row r="500" spans="1:2" x14ac:dyDescent="0.25">
      <c r="A500" s="12">
        <v>45058</v>
      </c>
      <c r="B500" s="18">
        <v>2.1</v>
      </c>
    </row>
    <row r="501" spans="1:2" x14ac:dyDescent="0.25">
      <c r="A501" s="12">
        <v>45061</v>
      </c>
      <c r="B501" s="18">
        <v>2</v>
      </c>
    </row>
    <row r="502" spans="1:2" x14ac:dyDescent="0.25">
      <c r="A502" s="12">
        <v>45062</v>
      </c>
      <c r="B502" s="18">
        <v>1.86</v>
      </c>
    </row>
    <row r="503" spans="1:2" x14ac:dyDescent="0.25">
      <c r="A503" s="12">
        <v>45063</v>
      </c>
      <c r="B503" s="18">
        <v>1.93</v>
      </c>
    </row>
    <row r="504" spans="1:2" x14ac:dyDescent="0.25">
      <c r="A504" s="12">
        <v>45064</v>
      </c>
      <c r="B504" s="18">
        <v>1.9</v>
      </c>
    </row>
    <row r="505" spans="1:2" x14ac:dyDescent="0.25">
      <c r="A505" s="12">
        <v>45065</v>
      </c>
      <c r="B505" s="18">
        <v>1.78</v>
      </c>
    </row>
    <row r="506" spans="1:2" x14ac:dyDescent="0.25">
      <c r="A506" s="12">
        <v>45068</v>
      </c>
      <c r="B506" s="18">
        <v>1.85</v>
      </c>
    </row>
    <row r="507" spans="1:2" x14ac:dyDescent="0.25">
      <c r="A507" s="12">
        <v>45069</v>
      </c>
      <c r="B507" s="18">
        <v>1.86</v>
      </c>
    </row>
    <row r="508" spans="1:2" x14ac:dyDescent="0.25">
      <c r="A508" s="12">
        <v>45070</v>
      </c>
      <c r="B508" s="18">
        <v>1.78</v>
      </c>
    </row>
    <row r="509" spans="1:2" x14ac:dyDescent="0.25">
      <c r="A509" s="12">
        <v>45071</v>
      </c>
      <c r="B509" s="18">
        <v>1.71</v>
      </c>
    </row>
    <row r="510" spans="1:2" x14ac:dyDescent="0.25">
      <c r="A510" s="12">
        <v>45072</v>
      </c>
      <c r="B510" s="18">
        <v>1.76</v>
      </c>
    </row>
    <row r="511" spans="1:2" x14ac:dyDescent="0.25">
      <c r="A511" s="12">
        <v>45076</v>
      </c>
      <c r="B511" s="18">
        <v>1.65</v>
      </c>
    </row>
    <row r="512" spans="1:2" x14ac:dyDescent="0.25">
      <c r="A512" s="12">
        <v>45077</v>
      </c>
      <c r="B512" s="18">
        <v>1.58</v>
      </c>
    </row>
    <row r="513" spans="1:2" x14ac:dyDescent="0.25">
      <c r="A513" s="12">
        <v>45078</v>
      </c>
      <c r="B513" s="18">
        <v>1.61</v>
      </c>
    </row>
    <row r="514" spans="1:2" x14ac:dyDescent="0.25">
      <c r="A514" s="12">
        <v>45079</v>
      </c>
      <c r="B514" s="18">
        <v>1.72</v>
      </c>
    </row>
    <row r="515" spans="1:2" x14ac:dyDescent="0.25">
      <c r="A515" s="12">
        <v>45082</v>
      </c>
      <c r="B515" s="18">
        <v>1.69</v>
      </c>
    </row>
    <row r="516" spans="1:2" x14ac:dyDescent="0.25">
      <c r="A516" s="12">
        <v>45083</v>
      </c>
      <c r="B516" s="18">
        <v>1.79</v>
      </c>
    </row>
    <row r="517" spans="1:2" x14ac:dyDescent="0.25">
      <c r="A517" s="12">
        <v>45084</v>
      </c>
      <c r="B517" s="18">
        <v>1.88</v>
      </c>
    </row>
    <row r="518" spans="1:2" x14ac:dyDescent="0.25">
      <c r="A518" s="12">
        <v>45085</v>
      </c>
      <c r="B518" s="18">
        <v>1.95</v>
      </c>
    </row>
    <row r="519" spans="1:2" x14ac:dyDescent="0.25">
      <c r="A519" s="12">
        <v>45086</v>
      </c>
      <c r="B519" s="18">
        <v>2.0099999999999998</v>
      </c>
    </row>
    <row r="520" spans="1:2" x14ac:dyDescent="0.25">
      <c r="A520" s="12">
        <v>45089</v>
      </c>
      <c r="B520" s="18">
        <v>2.04</v>
      </c>
    </row>
    <row r="521" spans="1:2" x14ac:dyDescent="0.25">
      <c r="A521" s="12">
        <v>45090</v>
      </c>
      <c r="B521" s="18">
        <v>2.08</v>
      </c>
    </row>
    <row r="522" spans="1:2" x14ac:dyDescent="0.25">
      <c r="A522" s="12">
        <v>45091</v>
      </c>
      <c r="B522" s="18">
        <v>2.0099999999999998</v>
      </c>
    </row>
    <row r="523" spans="1:2" x14ac:dyDescent="0.25">
      <c r="A523" s="12">
        <v>45092</v>
      </c>
      <c r="B523" s="18">
        <v>1.94</v>
      </c>
    </row>
    <row r="524" spans="1:2" x14ac:dyDescent="0.25">
      <c r="A524" s="12">
        <v>45093</v>
      </c>
      <c r="B524" s="18">
        <v>1.87</v>
      </c>
    </row>
    <row r="525" spans="1:2" x14ac:dyDescent="0.25">
      <c r="A525" s="12">
        <v>45097</v>
      </c>
      <c r="B525" s="18">
        <v>1.78</v>
      </c>
    </row>
    <row r="526" spans="1:2" x14ac:dyDescent="0.25">
      <c r="A526" s="12">
        <v>45098</v>
      </c>
      <c r="B526" s="18">
        <v>1.75</v>
      </c>
    </row>
    <row r="527" spans="1:2" x14ac:dyDescent="0.25">
      <c r="A527" s="12">
        <v>45099</v>
      </c>
      <c r="B527" s="18">
        <v>1.81</v>
      </c>
    </row>
    <row r="528" spans="1:2" x14ac:dyDescent="0.25">
      <c r="A528" s="12">
        <v>45100</v>
      </c>
      <c r="B528" s="18">
        <v>1.81</v>
      </c>
    </row>
    <row r="529" spans="1:2" x14ac:dyDescent="0.25">
      <c r="A529" s="12">
        <v>45103</v>
      </c>
      <c r="B529" s="18">
        <v>1.82</v>
      </c>
    </row>
    <row r="530" spans="1:2" x14ac:dyDescent="0.25">
      <c r="A530" s="12">
        <v>45104</v>
      </c>
      <c r="B530" s="18">
        <v>1.82</v>
      </c>
    </row>
    <row r="531" spans="1:2" x14ac:dyDescent="0.25">
      <c r="A531" s="12">
        <v>45105</v>
      </c>
      <c r="B531" s="18">
        <v>1.89</v>
      </c>
    </row>
    <row r="532" spans="1:2" x14ac:dyDescent="0.25">
      <c r="A532" s="12">
        <v>45106</v>
      </c>
      <c r="B532" s="18">
        <v>2.04</v>
      </c>
    </row>
    <row r="533" spans="1:2" x14ac:dyDescent="0.25">
      <c r="A533" s="12">
        <v>45107</v>
      </c>
      <c r="B533" s="18">
        <v>2.0499999999999998</v>
      </c>
    </row>
    <row r="534" spans="1:2" x14ac:dyDescent="0.25">
      <c r="A534" s="12">
        <v>45110</v>
      </c>
      <c r="B534" s="18">
        <v>2.0099999999999998</v>
      </c>
    </row>
    <row r="535" spans="1:2" x14ac:dyDescent="0.25">
      <c r="A535" s="12">
        <v>45112</v>
      </c>
      <c r="B535" s="18">
        <v>1.95</v>
      </c>
    </row>
    <row r="536" spans="1:2" x14ac:dyDescent="0.25">
      <c r="A536" s="12">
        <v>45113</v>
      </c>
      <c r="B536" s="18">
        <v>1.88</v>
      </c>
    </row>
    <row r="537" spans="1:2" x14ac:dyDescent="0.25">
      <c r="A537" s="12">
        <v>45114</v>
      </c>
      <c r="B537" s="18">
        <v>1.98</v>
      </c>
    </row>
    <row r="538" spans="1:2" x14ac:dyDescent="0.25">
      <c r="A538" s="12">
        <v>45117</v>
      </c>
      <c r="B538" s="18">
        <v>1.95</v>
      </c>
    </row>
    <row r="539" spans="1:2" x14ac:dyDescent="0.25">
      <c r="A539" s="12">
        <v>45118</v>
      </c>
      <c r="B539" s="18">
        <v>1.92</v>
      </c>
    </row>
    <row r="540" spans="1:2" x14ac:dyDescent="0.25">
      <c r="A540" s="12">
        <v>45119</v>
      </c>
      <c r="B540" s="18">
        <v>2.0699999999999998</v>
      </c>
    </row>
    <row r="541" spans="1:2" x14ac:dyDescent="0.25">
      <c r="A541" s="12">
        <v>45120</v>
      </c>
      <c r="B541" s="18">
        <v>2.2000000000000002</v>
      </c>
    </row>
    <row r="542" spans="1:2" x14ac:dyDescent="0.25">
      <c r="A542" s="12">
        <v>45121</v>
      </c>
      <c r="B542" s="18">
        <v>2.09</v>
      </c>
    </row>
    <row r="543" spans="1:2" x14ac:dyDescent="0.25">
      <c r="A543" s="12">
        <v>45124</v>
      </c>
      <c r="B543" s="18">
        <v>2.1800000000000002</v>
      </c>
    </row>
    <row r="544" spans="1:2" x14ac:dyDescent="0.25">
      <c r="A544" s="12">
        <v>45125</v>
      </c>
      <c r="B544" s="18">
        <v>2.17</v>
      </c>
    </row>
    <row r="545" spans="1:2" x14ac:dyDescent="0.25">
      <c r="A545" s="12">
        <v>45126</v>
      </c>
      <c r="B545" s="18">
        <v>2.2599999999999998</v>
      </c>
    </row>
    <row r="546" spans="1:2" x14ac:dyDescent="0.25">
      <c r="A546" s="12">
        <v>45127</v>
      </c>
      <c r="B546" s="18">
        <v>2.17</v>
      </c>
    </row>
    <row r="547" spans="1:2" x14ac:dyDescent="0.25">
      <c r="A547" s="12">
        <v>45128</v>
      </c>
      <c r="B547" s="18">
        <v>2.16</v>
      </c>
    </row>
    <row r="548" spans="1:2" x14ac:dyDescent="0.25">
      <c r="A548" s="12">
        <v>45131</v>
      </c>
      <c r="B548" s="18">
        <v>2.11</v>
      </c>
    </row>
    <row r="549" spans="1:2" x14ac:dyDescent="0.25">
      <c r="A549" s="12">
        <v>45132</v>
      </c>
      <c r="B549" s="18">
        <v>2.1</v>
      </c>
    </row>
    <row r="550" spans="1:2" x14ac:dyDescent="0.25">
      <c r="A550" s="12">
        <v>45133</v>
      </c>
      <c r="B550" s="18">
        <v>2.17</v>
      </c>
    </row>
    <row r="551" spans="1:2" x14ac:dyDescent="0.25">
      <c r="A551" s="12">
        <v>45134</v>
      </c>
      <c r="B551" s="18">
        <v>1.65</v>
      </c>
    </row>
    <row r="552" spans="1:2" x14ac:dyDescent="0.25">
      <c r="A552" s="12">
        <v>45135</v>
      </c>
      <c r="B552" s="18">
        <v>1.64</v>
      </c>
    </row>
    <row r="553" spans="1:2" x14ac:dyDescent="0.25">
      <c r="A553" s="12">
        <v>45138</v>
      </c>
      <c r="B553" s="18">
        <v>1.59</v>
      </c>
    </row>
    <row r="554" spans="1:2" x14ac:dyDescent="0.25">
      <c r="A554" s="12">
        <v>45139</v>
      </c>
      <c r="B554" s="18">
        <v>1.53</v>
      </c>
    </row>
    <row r="555" spans="1:2" x14ac:dyDescent="0.25">
      <c r="A555" s="12">
        <v>45140</v>
      </c>
      <c r="B555" s="18">
        <v>1.43</v>
      </c>
    </row>
    <row r="556" spans="1:2" x14ac:dyDescent="0.25">
      <c r="A556" s="12">
        <v>45141</v>
      </c>
      <c r="B556" s="18">
        <v>1.47</v>
      </c>
    </row>
    <row r="557" spans="1:2" x14ac:dyDescent="0.25">
      <c r="A557" s="12">
        <v>45142</v>
      </c>
      <c r="B557" s="18">
        <v>1.45</v>
      </c>
    </row>
    <row r="558" spans="1:2" x14ac:dyDescent="0.25">
      <c r="A558" s="12">
        <v>45145</v>
      </c>
      <c r="B558" s="18">
        <v>1.46</v>
      </c>
    </row>
    <row r="559" spans="1:2" x14ac:dyDescent="0.25">
      <c r="A559" s="12">
        <v>45146</v>
      </c>
      <c r="B559" s="18">
        <v>1.41</v>
      </c>
    </row>
    <row r="560" spans="1:2" x14ac:dyDescent="0.25">
      <c r="A560" s="12">
        <v>45147</v>
      </c>
      <c r="B560" s="18">
        <v>1.35</v>
      </c>
    </row>
    <row r="561" spans="1:2" x14ac:dyDescent="0.25">
      <c r="A561" s="12">
        <v>45148</v>
      </c>
      <c r="B561" s="18">
        <v>1.39</v>
      </c>
    </row>
    <row r="562" spans="1:2" x14ac:dyDescent="0.25">
      <c r="A562" s="12">
        <v>45149</v>
      </c>
      <c r="B562" s="18">
        <v>1.45</v>
      </c>
    </row>
    <row r="563" spans="1:2" x14ac:dyDescent="0.25">
      <c r="A563" s="12">
        <v>45152</v>
      </c>
      <c r="B563" s="18">
        <v>1.44</v>
      </c>
    </row>
    <row r="564" spans="1:2" x14ac:dyDescent="0.25">
      <c r="A564" s="12">
        <v>45153</v>
      </c>
      <c r="B564" s="18">
        <v>1.37</v>
      </c>
    </row>
    <row r="565" spans="1:2" x14ac:dyDescent="0.25">
      <c r="A565" s="12">
        <v>45154</v>
      </c>
      <c r="B565" s="18">
        <v>1.32</v>
      </c>
    </row>
    <row r="566" spans="1:2" x14ac:dyDescent="0.25">
      <c r="A566" s="12">
        <v>45155</v>
      </c>
      <c r="B566" s="18">
        <v>1.33</v>
      </c>
    </row>
    <row r="567" spans="1:2" x14ac:dyDescent="0.25">
      <c r="A567" s="12">
        <v>45156</v>
      </c>
      <c r="B567" s="18">
        <v>1.3</v>
      </c>
    </row>
    <row r="568" spans="1:2" x14ac:dyDescent="0.25">
      <c r="A568" s="12">
        <v>45159</v>
      </c>
      <c r="B568" s="18">
        <v>1.29</v>
      </c>
    </row>
    <row r="569" spans="1:2" x14ac:dyDescent="0.25">
      <c r="A569" s="12">
        <v>45160</v>
      </c>
      <c r="B569" s="18">
        <v>1.25</v>
      </c>
    </row>
    <row r="570" spans="1:2" x14ac:dyDescent="0.25">
      <c r="A570" s="12">
        <v>45161</v>
      </c>
      <c r="B570" s="18">
        <v>1.24</v>
      </c>
    </row>
    <row r="571" spans="1:2" x14ac:dyDescent="0.25">
      <c r="A571" s="12">
        <v>45162</v>
      </c>
      <c r="B571" s="18">
        <v>1.21</v>
      </c>
    </row>
    <row r="572" spans="1:2" x14ac:dyDescent="0.25">
      <c r="A572" s="12">
        <v>45163</v>
      </c>
      <c r="B572" s="18">
        <v>1.25</v>
      </c>
    </row>
    <row r="573" spans="1:2" x14ac:dyDescent="0.25">
      <c r="A573" s="12">
        <v>45166</v>
      </c>
      <c r="B573" s="18">
        <v>1.23</v>
      </c>
    </row>
    <row r="574" spans="1:2" x14ac:dyDescent="0.25">
      <c r="A574" s="12">
        <v>45167</v>
      </c>
      <c r="B574" s="18">
        <v>1.34</v>
      </c>
    </row>
    <row r="575" spans="1:2" x14ac:dyDescent="0.25">
      <c r="A575" s="12">
        <v>45168</v>
      </c>
      <c r="B575" s="18">
        <v>1.28</v>
      </c>
    </row>
    <row r="576" spans="1:2" x14ac:dyDescent="0.25">
      <c r="A576" s="12">
        <v>45169</v>
      </c>
      <c r="B576" s="18">
        <v>1.23</v>
      </c>
    </row>
    <row r="577" spans="1:2" x14ac:dyDescent="0.25">
      <c r="A577" s="12">
        <v>45170</v>
      </c>
      <c r="B577" s="18">
        <v>1.26</v>
      </c>
    </row>
    <row r="578" spans="1:2" x14ac:dyDescent="0.25">
      <c r="A578" s="12">
        <v>45174</v>
      </c>
      <c r="B578" s="18">
        <v>1.23</v>
      </c>
    </row>
    <row r="579" spans="1:2" x14ac:dyDescent="0.25">
      <c r="A579" s="12">
        <v>45175</v>
      </c>
      <c r="B579" s="18">
        <v>1.21</v>
      </c>
    </row>
    <row r="580" spans="1:2" x14ac:dyDescent="0.25">
      <c r="A580" s="12">
        <v>45176</v>
      </c>
      <c r="B580" s="18">
        <v>1.1499999999999999</v>
      </c>
    </row>
    <row r="581" spans="1:2" x14ac:dyDescent="0.25">
      <c r="A581" s="12">
        <v>45177</v>
      </c>
      <c r="B581" s="18">
        <v>1.1200000000000001</v>
      </c>
    </row>
    <row r="582" spans="1:2" x14ac:dyDescent="0.25">
      <c r="A582" s="12">
        <v>45180</v>
      </c>
      <c r="B582" s="18">
        <v>1.02</v>
      </c>
    </row>
    <row r="583" spans="1:2" x14ac:dyDescent="0.25">
      <c r="A583" s="12">
        <v>45181</v>
      </c>
      <c r="B583" s="18">
        <v>1.03</v>
      </c>
    </row>
    <row r="584" spans="1:2" x14ac:dyDescent="0.25">
      <c r="A584" s="12">
        <v>45182</v>
      </c>
      <c r="B584" s="18">
        <v>1.02</v>
      </c>
    </row>
    <row r="585" spans="1:2" x14ac:dyDescent="0.25">
      <c r="A585" s="12">
        <v>45183</v>
      </c>
      <c r="B585" s="18">
        <v>0.996</v>
      </c>
    </row>
    <row r="586" spans="1:2" x14ac:dyDescent="0.25">
      <c r="A586" s="12">
        <v>45184</v>
      </c>
      <c r="B586" s="18">
        <v>1.04</v>
      </c>
    </row>
    <row r="587" spans="1:2" x14ac:dyDescent="0.25">
      <c r="A587" s="12">
        <v>45187</v>
      </c>
      <c r="B587" s="18">
        <v>1.01</v>
      </c>
    </row>
    <row r="588" spans="1:2" x14ac:dyDescent="0.25">
      <c r="A588" s="12">
        <v>45188</v>
      </c>
      <c r="B588" s="18">
        <v>0.98599999999999999</v>
      </c>
    </row>
    <row r="589" spans="1:2" x14ac:dyDescent="0.25">
      <c r="A589" s="12">
        <v>45189</v>
      </c>
      <c r="B589" s="18">
        <v>1</v>
      </c>
    </row>
    <row r="590" spans="1:2" x14ac:dyDescent="0.25">
      <c r="A590" s="12">
        <v>45190</v>
      </c>
      <c r="B590" s="18">
        <v>0.98499999999999999</v>
      </c>
    </row>
    <row r="591" spans="1:2" x14ac:dyDescent="0.25">
      <c r="A591" s="12">
        <v>45191</v>
      </c>
      <c r="B591" s="18">
        <v>0.92700000000000005</v>
      </c>
    </row>
    <row r="592" spans="1:2" x14ac:dyDescent="0.25">
      <c r="A592" s="12">
        <v>45194</v>
      </c>
      <c r="B592" s="18">
        <v>0.90400000000000003</v>
      </c>
    </row>
    <row r="593" spans="1:2" x14ac:dyDescent="0.25">
      <c r="A593" s="12">
        <v>45195</v>
      </c>
      <c r="B593" s="18">
        <v>0.88400000000000001</v>
      </c>
    </row>
    <row r="594" spans="1:2" x14ac:dyDescent="0.25">
      <c r="A594" s="12">
        <v>45196</v>
      </c>
      <c r="B594" s="18">
        <v>0.88500000000000001</v>
      </c>
    </row>
    <row r="595" spans="1:2" x14ac:dyDescent="0.25">
      <c r="A595" s="12">
        <v>45197</v>
      </c>
      <c r="B595" s="18">
        <v>0.88</v>
      </c>
    </row>
    <row r="596" spans="1:2" x14ac:dyDescent="0.25">
      <c r="A596" s="12">
        <v>45198</v>
      </c>
      <c r="B596" s="18">
        <v>0.89600000000000002</v>
      </c>
    </row>
    <row r="597" spans="1:2" x14ac:dyDescent="0.25">
      <c r="A597" s="12">
        <v>45201</v>
      </c>
      <c r="B597" s="18">
        <v>0.86399999999999999</v>
      </c>
    </row>
    <row r="598" spans="1:2" x14ac:dyDescent="0.25">
      <c r="A598" s="12">
        <v>45202</v>
      </c>
      <c r="B598" s="18">
        <v>0.81499999999999995</v>
      </c>
    </row>
    <row r="599" spans="1:2" x14ac:dyDescent="0.25">
      <c r="A599" s="12">
        <v>45203</v>
      </c>
      <c r="B599" s="18">
        <v>0.79</v>
      </c>
    </row>
    <row r="600" spans="1:2" x14ac:dyDescent="0.25">
      <c r="A600" s="12">
        <v>45204</v>
      </c>
      <c r="B600" s="18">
        <v>0.73299999999999998</v>
      </c>
    </row>
    <row r="601" spans="1:2" x14ac:dyDescent="0.25">
      <c r="A601" s="12">
        <v>45205</v>
      </c>
      <c r="B601" s="18">
        <v>0.69</v>
      </c>
    </row>
    <row r="602" spans="1:2" x14ac:dyDescent="0.25">
      <c r="A602" s="12">
        <v>45208</v>
      </c>
      <c r="B602" s="18">
        <v>0.68899999999999995</v>
      </c>
    </row>
    <row r="603" spans="1:2" x14ac:dyDescent="0.25">
      <c r="A603" s="12">
        <v>45209</v>
      </c>
      <c r="B603" s="18">
        <v>0.745</v>
      </c>
    </row>
    <row r="604" spans="1:2" x14ac:dyDescent="0.25">
      <c r="A604" s="12">
        <v>45210</v>
      </c>
      <c r="B604" s="18">
        <v>0.67300000000000004</v>
      </c>
    </row>
    <row r="605" spans="1:2" x14ac:dyDescent="0.25">
      <c r="A605" s="12">
        <v>45211</v>
      </c>
      <c r="B605" s="18">
        <v>0.64400000000000002</v>
      </c>
    </row>
    <row r="606" spans="1:2" x14ac:dyDescent="0.25">
      <c r="A606" s="12">
        <v>45212</v>
      </c>
      <c r="B606" s="18">
        <v>0.64400000000000002</v>
      </c>
    </row>
    <row r="607" spans="1:2" x14ac:dyDescent="0.25">
      <c r="A607" s="12">
        <v>45215</v>
      </c>
      <c r="B607" s="18">
        <v>0.66300000000000003</v>
      </c>
    </row>
    <row r="608" spans="1:2" x14ac:dyDescent="0.25">
      <c r="A608" s="12">
        <v>45216</v>
      </c>
      <c r="B608" s="18">
        <v>0.65200000000000002</v>
      </c>
    </row>
    <row r="609" spans="1:2" x14ac:dyDescent="0.25">
      <c r="A609" s="12">
        <v>45217</v>
      </c>
      <c r="B609" s="18">
        <v>0.623</v>
      </c>
    </row>
    <row r="610" spans="1:2" x14ac:dyDescent="0.25">
      <c r="A610" s="12">
        <v>45218</v>
      </c>
      <c r="B610" s="18">
        <v>0.56000000000000005</v>
      </c>
    </row>
    <row r="611" spans="1:2" x14ac:dyDescent="0.25">
      <c r="A611" s="12">
        <v>45219</v>
      </c>
      <c r="B611" s="18">
        <v>0.54700000000000004</v>
      </c>
    </row>
    <row r="612" spans="1:2" x14ac:dyDescent="0.25">
      <c r="A612" s="12">
        <v>45222</v>
      </c>
      <c r="B612" s="18">
        <v>0.50600000000000001</v>
      </c>
    </row>
    <row r="613" spans="1:2" x14ac:dyDescent="0.25">
      <c r="A613" s="12">
        <v>45223</v>
      </c>
      <c r="B613" s="18">
        <v>0.50800000000000001</v>
      </c>
    </row>
    <row r="614" spans="1:2" x14ac:dyDescent="0.25">
      <c r="A614" s="12">
        <v>45224</v>
      </c>
      <c r="B614" s="18">
        <v>0.48</v>
      </c>
    </row>
    <row r="615" spans="1:2" x14ac:dyDescent="0.25">
      <c r="A615" s="12">
        <v>45225</v>
      </c>
      <c r="B615" s="18">
        <v>0.46899999999999997</v>
      </c>
    </row>
    <row r="616" spans="1:2" x14ac:dyDescent="0.25">
      <c r="A616" s="12">
        <v>45226</v>
      </c>
      <c r="B616" s="18">
        <v>0.45500000000000002</v>
      </c>
    </row>
    <row r="617" spans="1:2" x14ac:dyDescent="0.25">
      <c r="A617" s="12">
        <v>45229</v>
      </c>
      <c r="B617" s="18">
        <v>0.47699999999999998</v>
      </c>
    </row>
    <row r="618" spans="1:2" x14ac:dyDescent="0.25">
      <c r="A618" s="12">
        <v>45230</v>
      </c>
      <c r="B618" s="18">
        <v>0.48499999999999999</v>
      </c>
    </row>
    <row r="619" spans="1:2" x14ac:dyDescent="0.25">
      <c r="A619" s="12">
        <v>45231</v>
      </c>
      <c r="B619" s="18">
        <v>0.47</v>
      </c>
    </row>
    <row r="620" spans="1:2" x14ac:dyDescent="0.25">
      <c r="A620" s="12">
        <v>45232</v>
      </c>
      <c r="B620" s="18">
        <v>0.52800000000000002</v>
      </c>
    </row>
    <row r="621" spans="1:2" x14ac:dyDescent="0.25">
      <c r="A621" s="12">
        <v>45233</v>
      </c>
      <c r="B621" s="18">
        <v>0.63</v>
      </c>
    </row>
    <row r="622" spans="1:2" x14ac:dyDescent="0.25">
      <c r="A622" s="12">
        <v>45236</v>
      </c>
      <c r="B622" s="18">
        <v>0.625</v>
      </c>
    </row>
    <row r="623" spans="1:2" x14ac:dyDescent="0.25">
      <c r="A623" s="12">
        <v>45237</v>
      </c>
      <c r="B623" s="18">
        <v>0.6</v>
      </c>
    </row>
    <row r="624" spans="1:2" x14ac:dyDescent="0.25">
      <c r="A624" s="12">
        <v>45238</v>
      </c>
      <c r="B624" s="18">
        <v>0.6</v>
      </c>
    </row>
    <row r="625" spans="1:2" x14ac:dyDescent="0.25">
      <c r="A625" s="12">
        <v>45239</v>
      </c>
      <c r="B625" s="18">
        <v>0.55100000000000005</v>
      </c>
    </row>
    <row r="626" spans="1:2" x14ac:dyDescent="0.25">
      <c r="A626" s="12">
        <v>45240</v>
      </c>
      <c r="B626" s="18">
        <v>0.54</v>
      </c>
    </row>
    <row r="627" spans="1:2" x14ac:dyDescent="0.25">
      <c r="A627" s="12">
        <v>45243</v>
      </c>
      <c r="B627" s="18">
        <v>0.5</v>
      </c>
    </row>
    <row r="628" spans="1:2" x14ac:dyDescent="0.25">
      <c r="A628" s="12">
        <v>45244</v>
      </c>
      <c r="B628" s="18">
        <v>0.53</v>
      </c>
    </row>
    <row r="629" spans="1:2" x14ac:dyDescent="0.25">
      <c r="A629" s="12">
        <v>45245</v>
      </c>
      <c r="B629" s="18">
        <v>0.53</v>
      </c>
    </row>
    <row r="630" spans="1:2" x14ac:dyDescent="0.25">
      <c r="A630" s="12">
        <v>45246</v>
      </c>
      <c r="B630" s="18">
        <v>0.76100000000000001</v>
      </c>
    </row>
    <row r="631" spans="1:2" x14ac:dyDescent="0.25">
      <c r="A631" s="12">
        <v>45247</v>
      </c>
      <c r="B631" s="18">
        <v>0.82399999999999995</v>
      </c>
    </row>
    <row r="632" spans="1:2" x14ac:dyDescent="0.25">
      <c r="A632" s="12">
        <v>45250</v>
      </c>
      <c r="B632" s="18">
        <v>0.78300000000000003</v>
      </c>
    </row>
    <row r="633" spans="1:2" x14ac:dyDescent="0.25">
      <c r="A633" s="12">
        <v>45251</v>
      </c>
      <c r="B633" s="18">
        <v>0.70199999999999996</v>
      </c>
    </row>
    <row r="634" spans="1:2" x14ac:dyDescent="0.25">
      <c r="A634" s="12">
        <v>45252</v>
      </c>
      <c r="B634" s="18">
        <v>0.70199999999999996</v>
      </c>
    </row>
    <row r="635" spans="1:2" x14ac:dyDescent="0.25">
      <c r="A635" s="12">
        <v>45254</v>
      </c>
      <c r="B635" s="18">
        <v>0.76400000000000001</v>
      </c>
    </row>
    <row r="636" spans="1:2" x14ac:dyDescent="0.25">
      <c r="A636" s="12">
        <v>45257</v>
      </c>
      <c r="B636" s="18">
        <v>0.79100000000000004</v>
      </c>
    </row>
    <row r="637" spans="1:2" x14ac:dyDescent="0.25">
      <c r="A637" s="12">
        <v>45258</v>
      </c>
      <c r="B637" s="18">
        <v>0.85</v>
      </c>
    </row>
    <row r="638" spans="1:2" x14ac:dyDescent="0.25">
      <c r="A638" s="12">
        <v>45259</v>
      </c>
      <c r="B638" s="18">
        <v>1</v>
      </c>
    </row>
    <row r="639" spans="1:2" x14ac:dyDescent="0.25">
      <c r="A639" s="12">
        <v>45260</v>
      </c>
      <c r="B639" s="18">
        <v>0.91</v>
      </c>
    </row>
    <row r="640" spans="1:2" x14ac:dyDescent="0.25">
      <c r="A640" s="12">
        <v>45261</v>
      </c>
      <c r="B640" s="18">
        <v>1.03</v>
      </c>
    </row>
    <row r="641" spans="1:2" x14ac:dyDescent="0.25">
      <c r="A641" s="12">
        <v>45264</v>
      </c>
      <c r="B641" s="18">
        <v>1.05</v>
      </c>
    </row>
    <row r="642" spans="1:2" x14ac:dyDescent="0.25">
      <c r="A642" s="12">
        <v>45265</v>
      </c>
      <c r="B642" s="18">
        <v>1.21</v>
      </c>
    </row>
    <row r="643" spans="1:2" x14ac:dyDescent="0.25">
      <c r="A643" s="12">
        <v>45266</v>
      </c>
      <c r="B643" s="18">
        <v>1.21</v>
      </c>
    </row>
    <row r="644" spans="1:2" x14ac:dyDescent="0.25">
      <c r="A644" s="12">
        <v>45267</v>
      </c>
      <c r="B644" s="18">
        <v>1.1399999999999999</v>
      </c>
    </row>
    <row r="645" spans="1:2" x14ac:dyDescent="0.25">
      <c r="A645" s="12">
        <v>45268</v>
      </c>
      <c r="B645" s="18">
        <v>1.1100000000000001</v>
      </c>
    </row>
    <row r="646" spans="1:2" x14ac:dyDescent="0.25">
      <c r="A646" s="12">
        <v>45271</v>
      </c>
      <c r="B646" s="18">
        <v>1.1399999999999999</v>
      </c>
    </row>
    <row r="647" spans="1:2" x14ac:dyDescent="0.25">
      <c r="A647" s="12">
        <v>45272</v>
      </c>
      <c r="B647" s="18">
        <v>1.1100000000000001</v>
      </c>
    </row>
    <row r="648" spans="1:2" x14ac:dyDescent="0.25">
      <c r="A648" s="12">
        <v>45273</v>
      </c>
      <c r="B648" s="18">
        <v>1.19</v>
      </c>
    </row>
    <row r="649" spans="1:2" x14ac:dyDescent="0.25">
      <c r="A649" s="12">
        <v>45274</v>
      </c>
      <c r="B649" s="18">
        <v>1.37</v>
      </c>
    </row>
    <row r="650" spans="1:2" x14ac:dyDescent="0.25">
      <c r="A650" s="12">
        <v>45275</v>
      </c>
      <c r="B650" s="18">
        <v>1.22</v>
      </c>
    </row>
    <row r="651" spans="1:2" x14ac:dyDescent="0.25">
      <c r="A651" s="12">
        <v>45278</v>
      </c>
      <c r="B651" s="18">
        <v>1.21</v>
      </c>
    </row>
    <row r="652" spans="1:2" x14ac:dyDescent="0.25">
      <c r="A652" s="12">
        <v>45279</v>
      </c>
      <c r="B652" s="18">
        <v>1.27</v>
      </c>
    </row>
    <row r="653" spans="1:2" x14ac:dyDescent="0.25">
      <c r="A653" s="12">
        <v>45280</v>
      </c>
      <c r="B653" s="18">
        <v>1.19</v>
      </c>
    </row>
    <row r="654" spans="1:2" x14ac:dyDescent="0.25">
      <c r="A654" s="12">
        <v>45281</v>
      </c>
      <c r="B654" s="18">
        <v>1.31</v>
      </c>
    </row>
    <row r="655" spans="1:2" x14ac:dyDescent="0.25">
      <c r="A655" s="12">
        <v>45282</v>
      </c>
      <c r="B655" s="18">
        <v>1.24</v>
      </c>
    </row>
    <row r="656" spans="1:2" x14ac:dyDescent="0.25">
      <c r="A656" s="12">
        <v>45286</v>
      </c>
      <c r="B656" s="18">
        <v>1.32</v>
      </c>
    </row>
    <row r="657" spans="1:2" x14ac:dyDescent="0.25">
      <c r="A657" s="12">
        <v>45287</v>
      </c>
      <c r="B657" s="18">
        <v>1.3</v>
      </c>
    </row>
    <row r="658" spans="1:2" x14ac:dyDescent="0.25">
      <c r="A658" s="12">
        <v>45288</v>
      </c>
      <c r="B658" s="18">
        <v>1.24</v>
      </c>
    </row>
    <row r="659" spans="1:2" x14ac:dyDescent="0.25">
      <c r="A659" s="12">
        <v>45289</v>
      </c>
      <c r="B659" s="18">
        <v>1.18</v>
      </c>
    </row>
    <row r="660" spans="1:2" x14ac:dyDescent="0.25">
      <c r="A660" s="12">
        <v>45293</v>
      </c>
      <c r="B660" s="18">
        <v>1.23</v>
      </c>
    </row>
    <row r="661" spans="1:2" x14ac:dyDescent="0.25">
      <c r="A661" s="12">
        <v>45294</v>
      </c>
      <c r="B661" s="18">
        <v>1.18</v>
      </c>
    </row>
    <row r="662" spans="1:2" x14ac:dyDescent="0.25">
      <c r="A662" s="12">
        <v>45295</v>
      </c>
      <c r="B662" s="18">
        <v>1.18</v>
      </c>
    </row>
    <row r="663" spans="1:2" x14ac:dyDescent="0.25">
      <c r="A663" s="12">
        <v>45296</v>
      </c>
      <c r="B663" s="18">
        <v>1.18</v>
      </c>
    </row>
    <row r="664" spans="1:2" x14ac:dyDescent="0.25">
      <c r="A664" s="12">
        <v>45299</v>
      </c>
      <c r="B664" s="18">
        <v>1.25</v>
      </c>
    </row>
    <row r="665" spans="1:2" x14ac:dyDescent="0.25">
      <c r="A665" s="12">
        <v>45300</v>
      </c>
      <c r="B665" s="18">
        <v>1.24</v>
      </c>
    </row>
    <row r="666" spans="1:2" x14ac:dyDescent="0.25">
      <c r="A666" s="12">
        <v>45301</v>
      </c>
      <c r="B666" s="18">
        <v>1.24</v>
      </c>
    </row>
    <row r="667" spans="1:2" x14ac:dyDescent="0.25">
      <c r="A667" s="12">
        <v>45302</v>
      </c>
      <c r="B667" s="18">
        <v>1.17</v>
      </c>
    </row>
    <row r="668" spans="1:2" x14ac:dyDescent="0.25">
      <c r="A668" s="12">
        <v>45303</v>
      </c>
      <c r="B668" s="18">
        <v>1.1000000000000001</v>
      </c>
    </row>
    <row r="669" spans="1:2" x14ac:dyDescent="0.25">
      <c r="A669" s="12">
        <v>45307</v>
      </c>
      <c r="B669" s="18">
        <v>1.06</v>
      </c>
    </row>
    <row r="670" spans="1:2" x14ac:dyDescent="0.25">
      <c r="A670" s="12">
        <v>45308</v>
      </c>
      <c r="B670" s="18">
        <v>1.05</v>
      </c>
    </row>
    <row r="671" spans="1:2" x14ac:dyDescent="0.25">
      <c r="A671" s="12">
        <v>45309</v>
      </c>
      <c r="B671" s="18">
        <v>1.04</v>
      </c>
    </row>
    <row r="672" spans="1:2" x14ac:dyDescent="0.25">
      <c r="A672" s="12">
        <v>45310</v>
      </c>
      <c r="B672" s="18">
        <v>1.05</v>
      </c>
    </row>
    <row r="673" spans="1:2" x14ac:dyDescent="0.25">
      <c r="A673" s="12">
        <v>45313</v>
      </c>
      <c r="B673" s="18">
        <v>1.18</v>
      </c>
    </row>
    <row r="674" spans="1:2" x14ac:dyDescent="0.25">
      <c r="A674" s="12">
        <v>45314</v>
      </c>
      <c r="B674" s="18">
        <v>1.1599999999999999</v>
      </c>
    </row>
    <row r="675" spans="1:2" x14ac:dyDescent="0.25">
      <c r="A675" s="12">
        <v>45315</v>
      </c>
      <c r="B675" s="18">
        <v>1.1299999999999999</v>
      </c>
    </row>
    <row r="676" spans="1:2" x14ac:dyDescent="0.25">
      <c r="A676" s="12">
        <v>45316</v>
      </c>
      <c r="B676" s="18">
        <v>1.1499999999999999</v>
      </c>
    </row>
    <row r="677" spans="1:2" x14ac:dyDescent="0.25">
      <c r="A677" s="12">
        <v>45317</v>
      </c>
      <c r="B677" s="18">
        <v>1.1399999999999999</v>
      </c>
    </row>
    <row r="678" spans="1:2" x14ac:dyDescent="0.25">
      <c r="A678" s="12">
        <v>45320</v>
      </c>
      <c r="B678" s="18">
        <v>1.19</v>
      </c>
    </row>
    <row r="679" spans="1:2" x14ac:dyDescent="0.25">
      <c r="A679" s="12">
        <v>45321</v>
      </c>
      <c r="B679" s="18">
        <v>1.17</v>
      </c>
    </row>
    <row r="680" spans="1:2" x14ac:dyDescent="0.25">
      <c r="A680" s="12">
        <v>45322</v>
      </c>
      <c r="B680" s="18">
        <v>1.1299999999999999</v>
      </c>
    </row>
    <row r="681" spans="1:2" x14ac:dyDescent="0.25">
      <c r="A681" s="12">
        <v>45323</v>
      </c>
      <c r="B681" s="18">
        <v>1.1399999999999999</v>
      </c>
    </row>
    <row r="682" spans="1:2" x14ac:dyDescent="0.25">
      <c r="A682" s="12">
        <v>45324</v>
      </c>
      <c r="B682" s="18">
        <v>1.1499999999999999</v>
      </c>
    </row>
    <row r="683" spans="1:2" x14ac:dyDescent="0.25">
      <c r="A683" s="12">
        <v>45327</v>
      </c>
      <c r="B683" s="18">
        <v>1.1499999999999999</v>
      </c>
    </row>
    <row r="684" spans="1:2" x14ac:dyDescent="0.25">
      <c r="A684" s="12">
        <v>45328</v>
      </c>
      <c r="B684" s="18">
        <v>1.1299999999999999</v>
      </c>
    </row>
    <row r="685" spans="1:2" x14ac:dyDescent="0.25">
      <c r="A685" s="12">
        <v>45329</v>
      </c>
      <c r="B685" s="18">
        <v>1.1200000000000001</v>
      </c>
    </row>
    <row r="686" spans="1:2" x14ac:dyDescent="0.25">
      <c r="A686" s="12">
        <v>45330</v>
      </c>
      <c r="B686" s="18">
        <v>1.1100000000000001</v>
      </c>
    </row>
    <row r="687" spans="1:2" x14ac:dyDescent="0.25">
      <c r="A687" s="12">
        <v>45331</v>
      </c>
      <c r="B687" s="18">
        <v>1.1299999999999999</v>
      </c>
    </row>
    <row r="688" spans="1:2" x14ac:dyDescent="0.25">
      <c r="A688" s="12">
        <v>45334</v>
      </c>
      <c r="B688" s="18">
        <v>1.27</v>
      </c>
    </row>
    <row r="689" spans="1:2" x14ac:dyDescent="0.25">
      <c r="A689" s="12">
        <v>45335</v>
      </c>
      <c r="B689" s="18">
        <v>1.3</v>
      </c>
    </row>
    <row r="690" spans="1:2" x14ac:dyDescent="0.25">
      <c r="A690" s="12"/>
      <c r="B690" s="18"/>
    </row>
    <row r="691" spans="1:2" x14ac:dyDescent="0.25">
      <c r="A691" s="12"/>
      <c r="B691" s="18"/>
    </row>
    <row r="692" spans="1:2" x14ac:dyDescent="0.25">
      <c r="A692" s="12"/>
      <c r="B692" s="18"/>
    </row>
    <row r="693" spans="1:2" x14ac:dyDescent="0.25">
      <c r="A693" s="12"/>
      <c r="B693" s="18"/>
    </row>
    <row r="694" spans="1:2" x14ac:dyDescent="0.25">
      <c r="A694" s="12"/>
      <c r="B694" s="18"/>
    </row>
    <row r="695" spans="1:2" x14ac:dyDescent="0.25">
      <c r="A695" s="12"/>
      <c r="B695" s="18"/>
    </row>
    <row r="696" spans="1:2" x14ac:dyDescent="0.25">
      <c r="A696" s="12"/>
      <c r="B696" s="18"/>
    </row>
    <row r="697" spans="1:2" x14ac:dyDescent="0.25">
      <c r="A697" s="12"/>
      <c r="B697" s="18"/>
    </row>
    <row r="698" spans="1:2" x14ac:dyDescent="0.25">
      <c r="A698" s="12"/>
      <c r="B698" s="18"/>
    </row>
    <row r="699" spans="1:2" x14ac:dyDescent="0.25">
      <c r="A699" s="12"/>
      <c r="B699" s="18"/>
    </row>
    <row r="700" spans="1:2" x14ac:dyDescent="0.25">
      <c r="A700" s="12"/>
      <c r="B700" s="18"/>
    </row>
    <row r="701" spans="1:2" x14ac:dyDescent="0.25">
      <c r="A701" s="12"/>
      <c r="B701" s="18"/>
    </row>
    <row r="702" spans="1:2" x14ac:dyDescent="0.25">
      <c r="A702" s="12"/>
      <c r="B702" s="18"/>
    </row>
    <row r="703" spans="1:2" x14ac:dyDescent="0.25">
      <c r="A703" s="12"/>
      <c r="B703" s="18"/>
    </row>
    <row r="704" spans="1:2" x14ac:dyDescent="0.25">
      <c r="A704" s="12"/>
      <c r="B704" s="18"/>
    </row>
    <row r="705" spans="1:2" x14ac:dyDescent="0.25">
      <c r="A705" s="12"/>
      <c r="B705" s="18"/>
    </row>
    <row r="706" spans="1:2" x14ac:dyDescent="0.25">
      <c r="A706" s="12"/>
      <c r="B706" s="18"/>
    </row>
    <row r="707" spans="1:2" x14ac:dyDescent="0.25">
      <c r="A707" s="12"/>
      <c r="B707" s="18"/>
    </row>
    <row r="708" spans="1:2" x14ac:dyDescent="0.25">
      <c r="A708" s="12"/>
      <c r="B708" s="18"/>
    </row>
    <row r="709" spans="1:2" x14ac:dyDescent="0.25">
      <c r="A709" s="12"/>
      <c r="B709" s="18"/>
    </row>
    <row r="710" spans="1:2" x14ac:dyDescent="0.25">
      <c r="A710" s="12"/>
      <c r="B710" s="18"/>
    </row>
    <row r="711" spans="1:2" x14ac:dyDescent="0.25">
      <c r="A711" s="12"/>
      <c r="B711" s="18"/>
    </row>
    <row r="712" spans="1:2" x14ac:dyDescent="0.25">
      <c r="A712" s="12"/>
      <c r="B712" s="18"/>
    </row>
    <row r="713" spans="1:2" x14ac:dyDescent="0.25">
      <c r="A713" s="12"/>
      <c r="B713" s="18"/>
    </row>
    <row r="714" spans="1:2" x14ac:dyDescent="0.25">
      <c r="A714" s="12"/>
      <c r="B714" s="18"/>
    </row>
    <row r="715" spans="1:2" x14ac:dyDescent="0.25">
      <c r="A715" s="12"/>
      <c r="B715" s="18"/>
    </row>
    <row r="716" spans="1:2" x14ac:dyDescent="0.25">
      <c r="A716" s="12"/>
      <c r="B716" s="18"/>
    </row>
    <row r="717" spans="1:2" x14ac:dyDescent="0.25">
      <c r="A717" s="12"/>
      <c r="B717" s="18"/>
    </row>
    <row r="718" spans="1:2" x14ac:dyDescent="0.25">
      <c r="A718" s="12"/>
      <c r="B718" s="18"/>
    </row>
    <row r="719" spans="1:2" x14ac:dyDescent="0.25">
      <c r="A719" s="12"/>
      <c r="B719" s="18"/>
    </row>
    <row r="720" spans="1:2" x14ac:dyDescent="0.25">
      <c r="A720" s="12"/>
      <c r="B720" s="18"/>
    </row>
    <row r="721" spans="1:2" x14ac:dyDescent="0.25">
      <c r="A721" s="12"/>
      <c r="B721" s="18"/>
    </row>
    <row r="722" spans="1:2" x14ac:dyDescent="0.25">
      <c r="A722" s="12"/>
      <c r="B722" s="18"/>
    </row>
    <row r="723" spans="1:2" x14ac:dyDescent="0.25">
      <c r="A723" s="12"/>
      <c r="B723" s="18"/>
    </row>
    <row r="724" spans="1:2" x14ac:dyDescent="0.25">
      <c r="A724" s="12"/>
      <c r="B724" s="18"/>
    </row>
    <row r="725" spans="1:2" x14ac:dyDescent="0.25">
      <c r="A725" s="12"/>
      <c r="B725" s="18"/>
    </row>
    <row r="726" spans="1:2" x14ac:dyDescent="0.25">
      <c r="A726" s="12"/>
      <c r="B726" s="18"/>
    </row>
    <row r="727" spans="1:2" x14ac:dyDescent="0.25">
      <c r="A727" s="12"/>
      <c r="B727" s="18"/>
    </row>
    <row r="728" spans="1:2" x14ac:dyDescent="0.25">
      <c r="A728" s="12"/>
      <c r="B728" s="18"/>
    </row>
    <row r="729" spans="1:2" x14ac:dyDescent="0.25">
      <c r="A729" s="12"/>
      <c r="B729" s="18"/>
    </row>
    <row r="730" spans="1:2" x14ac:dyDescent="0.25">
      <c r="A730" s="12"/>
      <c r="B730" s="18"/>
    </row>
    <row r="731" spans="1:2" x14ac:dyDescent="0.25">
      <c r="A731" s="12"/>
      <c r="B731" s="18"/>
    </row>
    <row r="732" spans="1:2" x14ac:dyDescent="0.25">
      <c r="A732" s="12"/>
      <c r="B732" s="18"/>
    </row>
    <row r="733" spans="1:2" x14ac:dyDescent="0.25">
      <c r="A733" s="12"/>
      <c r="B733" s="18"/>
    </row>
    <row r="734" spans="1:2" x14ac:dyDescent="0.25">
      <c r="A734" s="12"/>
      <c r="B734" s="18"/>
    </row>
    <row r="735" spans="1:2" x14ac:dyDescent="0.25">
      <c r="A735" s="12"/>
      <c r="B735" s="18"/>
    </row>
    <row r="736" spans="1:2" x14ac:dyDescent="0.25">
      <c r="A736" s="12"/>
      <c r="B736" s="18"/>
    </row>
    <row r="737" spans="1:2" x14ac:dyDescent="0.25">
      <c r="A737" s="12"/>
      <c r="B737" s="18"/>
    </row>
    <row r="738" spans="1:2" x14ac:dyDescent="0.25">
      <c r="A738" s="12"/>
      <c r="B738" s="18"/>
    </row>
    <row r="739" spans="1:2" x14ac:dyDescent="0.25">
      <c r="A739" s="12"/>
      <c r="B739" s="18"/>
    </row>
    <row r="740" spans="1:2" x14ac:dyDescent="0.25">
      <c r="A740" s="12"/>
      <c r="B740" s="18"/>
    </row>
    <row r="741" spans="1:2" x14ac:dyDescent="0.25">
      <c r="A741" s="12"/>
      <c r="B741" s="18"/>
    </row>
    <row r="742" spans="1:2" x14ac:dyDescent="0.25">
      <c r="A742" s="12"/>
      <c r="B742" s="18"/>
    </row>
    <row r="743" spans="1:2" x14ac:dyDescent="0.25">
      <c r="A743" s="12"/>
      <c r="B743" s="18"/>
    </row>
    <row r="744" spans="1:2" x14ac:dyDescent="0.25">
      <c r="A744" s="12"/>
      <c r="B744" s="18"/>
    </row>
    <row r="745" spans="1:2" x14ac:dyDescent="0.25">
      <c r="A745" s="12"/>
      <c r="B745" s="18"/>
    </row>
    <row r="746" spans="1:2" x14ac:dyDescent="0.25">
      <c r="A746" s="12"/>
      <c r="B746" s="18"/>
    </row>
    <row r="747" spans="1:2" x14ac:dyDescent="0.25">
      <c r="A747" s="12"/>
      <c r="B747" s="18"/>
    </row>
    <row r="748" spans="1:2" x14ac:dyDescent="0.25">
      <c r="A748" s="12"/>
      <c r="B748" s="18"/>
    </row>
    <row r="749" spans="1:2" x14ac:dyDescent="0.25">
      <c r="A749" s="12"/>
      <c r="B749" s="18"/>
    </row>
    <row r="750" spans="1:2" x14ac:dyDescent="0.25">
      <c r="A750" s="12"/>
      <c r="B750" s="18"/>
    </row>
    <row r="751" spans="1:2" x14ac:dyDescent="0.25">
      <c r="A751" s="12"/>
      <c r="B751" s="18"/>
    </row>
    <row r="752" spans="1:2" x14ac:dyDescent="0.25">
      <c r="A752" s="12"/>
      <c r="B752" s="18"/>
    </row>
    <row r="753" spans="1:2" x14ac:dyDescent="0.25">
      <c r="A753" s="12"/>
      <c r="B753" s="18"/>
    </row>
    <row r="754" spans="1:2" x14ac:dyDescent="0.25">
      <c r="A754" s="12"/>
      <c r="B754" s="18"/>
    </row>
    <row r="755" spans="1:2" x14ac:dyDescent="0.25">
      <c r="A755" s="12"/>
      <c r="B755" s="18"/>
    </row>
    <row r="756" spans="1:2" x14ac:dyDescent="0.25">
      <c r="A756" s="12"/>
      <c r="B756" s="18"/>
    </row>
    <row r="757" spans="1:2" x14ac:dyDescent="0.25">
      <c r="A757" s="12"/>
      <c r="B757" s="18"/>
    </row>
    <row r="758" spans="1:2" x14ac:dyDescent="0.25">
      <c r="A758" s="12"/>
      <c r="B758" s="18"/>
    </row>
    <row r="759" spans="1:2" x14ac:dyDescent="0.25">
      <c r="A759" s="12"/>
      <c r="B759" s="18"/>
    </row>
    <row r="760" spans="1:2" x14ac:dyDescent="0.25">
      <c r="A760" s="12"/>
      <c r="B760" s="18"/>
    </row>
    <row r="761" spans="1:2" x14ac:dyDescent="0.25">
      <c r="A761" s="12"/>
      <c r="B761" s="18"/>
    </row>
    <row r="762" spans="1:2" x14ac:dyDescent="0.25">
      <c r="A762" s="12"/>
      <c r="B762" s="18"/>
    </row>
    <row r="763" spans="1:2" x14ac:dyDescent="0.25">
      <c r="A763" s="12"/>
      <c r="B763" s="18"/>
    </row>
    <row r="764" spans="1:2" x14ac:dyDescent="0.25">
      <c r="A764" s="12"/>
      <c r="B764" s="18"/>
    </row>
    <row r="765" spans="1:2" x14ac:dyDescent="0.25">
      <c r="A765" s="12"/>
      <c r="B765" s="18"/>
    </row>
    <row r="766" spans="1:2" x14ac:dyDescent="0.25">
      <c r="A766" s="12"/>
      <c r="B766" s="18"/>
    </row>
    <row r="767" spans="1:2" x14ac:dyDescent="0.25">
      <c r="A767" s="12"/>
      <c r="B767" s="18"/>
    </row>
    <row r="768" spans="1:2" x14ac:dyDescent="0.25">
      <c r="A768" s="12"/>
      <c r="B768" s="18"/>
    </row>
    <row r="769" spans="1:2" x14ac:dyDescent="0.25">
      <c r="A769" s="12"/>
      <c r="B769" s="18"/>
    </row>
    <row r="770" spans="1:2" x14ac:dyDescent="0.25">
      <c r="A770" s="12"/>
      <c r="B770" s="18"/>
    </row>
    <row r="771" spans="1:2" x14ac:dyDescent="0.25">
      <c r="A771" s="12"/>
      <c r="B771" s="18"/>
    </row>
    <row r="772" spans="1:2" x14ac:dyDescent="0.25">
      <c r="A772" s="12"/>
      <c r="B772" s="18"/>
    </row>
    <row r="773" spans="1:2" x14ac:dyDescent="0.25">
      <c r="A773" s="12"/>
      <c r="B773" s="18"/>
    </row>
    <row r="774" spans="1:2" x14ac:dyDescent="0.25">
      <c r="A774" s="12"/>
      <c r="B774" s="18"/>
    </row>
    <row r="775" spans="1:2" x14ac:dyDescent="0.25">
      <c r="A775" s="12"/>
      <c r="B775" s="18"/>
    </row>
    <row r="776" spans="1:2" x14ac:dyDescent="0.25">
      <c r="A776" s="12"/>
      <c r="B776" s="18"/>
    </row>
    <row r="777" spans="1:2" x14ac:dyDescent="0.25">
      <c r="A777" s="12"/>
      <c r="B777" s="18"/>
    </row>
    <row r="778" spans="1:2" x14ac:dyDescent="0.25">
      <c r="A778" s="12"/>
      <c r="B778" s="18"/>
    </row>
    <row r="779" spans="1:2" x14ac:dyDescent="0.25">
      <c r="A779" s="12"/>
      <c r="B779" s="18"/>
    </row>
    <row r="780" spans="1:2" x14ac:dyDescent="0.25">
      <c r="A780" s="12"/>
      <c r="B780" s="18"/>
    </row>
    <row r="781" spans="1:2" x14ac:dyDescent="0.25">
      <c r="A781" s="12"/>
      <c r="B781" s="18"/>
    </row>
    <row r="782" spans="1:2" x14ac:dyDescent="0.25">
      <c r="A782" s="12"/>
      <c r="B782" s="18"/>
    </row>
    <row r="783" spans="1:2" x14ac:dyDescent="0.25">
      <c r="A783" s="12"/>
      <c r="B783" s="18"/>
    </row>
    <row r="784" spans="1:2" x14ac:dyDescent="0.25">
      <c r="A784" s="12"/>
      <c r="B784" s="18"/>
    </row>
    <row r="785" spans="1:2" x14ac:dyDescent="0.25">
      <c r="A785" s="12"/>
      <c r="B785" s="18"/>
    </row>
    <row r="786" spans="1:2" x14ac:dyDescent="0.25">
      <c r="A786" s="12"/>
      <c r="B786" s="18"/>
    </row>
    <row r="787" spans="1:2" x14ac:dyDescent="0.25">
      <c r="A787" s="12"/>
      <c r="B787" s="18"/>
    </row>
    <row r="788" spans="1:2" x14ac:dyDescent="0.25">
      <c r="A788" s="12"/>
      <c r="B788" s="18"/>
    </row>
    <row r="789" spans="1:2" x14ac:dyDescent="0.25">
      <c r="A789" s="12"/>
      <c r="B789" s="18"/>
    </row>
    <row r="790" spans="1:2" x14ac:dyDescent="0.25">
      <c r="A790" s="12"/>
      <c r="B790" s="18"/>
    </row>
    <row r="791" spans="1:2" x14ac:dyDescent="0.25">
      <c r="A791" s="12"/>
      <c r="B791" s="18"/>
    </row>
    <row r="792" spans="1:2" x14ac:dyDescent="0.25">
      <c r="A792" s="12"/>
      <c r="B792" s="18"/>
    </row>
    <row r="793" spans="1:2" x14ac:dyDescent="0.25">
      <c r="A793" s="12"/>
      <c r="B793" s="18"/>
    </row>
    <row r="794" spans="1:2" x14ac:dyDescent="0.25">
      <c r="A794" s="12"/>
      <c r="B794" s="18"/>
    </row>
    <row r="795" spans="1:2" x14ac:dyDescent="0.25">
      <c r="A795" s="12"/>
      <c r="B795" s="18"/>
    </row>
    <row r="796" spans="1:2" x14ac:dyDescent="0.25">
      <c r="A796" s="12"/>
      <c r="B796" s="18"/>
    </row>
    <row r="797" spans="1:2" x14ac:dyDescent="0.25">
      <c r="A797" s="12"/>
      <c r="B797" s="18"/>
    </row>
    <row r="798" spans="1:2" x14ac:dyDescent="0.25">
      <c r="A798" s="12"/>
      <c r="B798" s="18"/>
    </row>
    <row r="799" spans="1:2" x14ac:dyDescent="0.25">
      <c r="A799" s="12"/>
      <c r="B799" s="18"/>
    </row>
    <row r="800" spans="1:2" x14ac:dyDescent="0.25">
      <c r="A800" s="12"/>
      <c r="B800" s="18"/>
    </row>
    <row r="801" spans="1:2" x14ac:dyDescent="0.25">
      <c r="A801" s="12"/>
      <c r="B801" s="18"/>
    </row>
    <row r="802" spans="1:2" x14ac:dyDescent="0.25">
      <c r="A802" s="12"/>
      <c r="B802" s="18"/>
    </row>
    <row r="803" spans="1:2" x14ac:dyDescent="0.25">
      <c r="A803" s="12"/>
      <c r="B803" s="18"/>
    </row>
    <row r="804" spans="1:2" x14ac:dyDescent="0.25">
      <c r="A804" s="12"/>
      <c r="B804" s="18"/>
    </row>
    <row r="805" spans="1:2" x14ac:dyDescent="0.25">
      <c r="A805" s="12"/>
      <c r="B805" s="18"/>
    </row>
    <row r="806" spans="1:2" x14ac:dyDescent="0.25">
      <c r="A806" s="12"/>
      <c r="B806" s="18"/>
    </row>
    <row r="807" spans="1:2" x14ac:dyDescent="0.25">
      <c r="A807" s="12"/>
      <c r="B807" s="18"/>
    </row>
    <row r="808" spans="1:2" x14ac:dyDescent="0.25">
      <c r="A808" s="12"/>
      <c r="B808" s="18"/>
    </row>
    <row r="809" spans="1:2" x14ac:dyDescent="0.25">
      <c r="A809" s="12"/>
      <c r="B809" s="18"/>
    </row>
    <row r="810" spans="1:2" x14ac:dyDescent="0.25">
      <c r="A810" s="12"/>
      <c r="B810" s="18"/>
    </row>
    <row r="811" spans="1:2" x14ac:dyDescent="0.25">
      <c r="A811" s="12"/>
      <c r="B811" s="18"/>
    </row>
    <row r="812" spans="1:2" x14ac:dyDescent="0.25">
      <c r="A812" s="12"/>
      <c r="B812" s="18"/>
    </row>
    <row r="813" spans="1:2" x14ac:dyDescent="0.25">
      <c r="A813" s="12"/>
      <c r="B813" s="18"/>
    </row>
    <row r="814" spans="1:2" x14ac:dyDescent="0.25">
      <c r="A814" s="12"/>
      <c r="B814" s="18"/>
    </row>
    <row r="815" spans="1:2" x14ac:dyDescent="0.25">
      <c r="A815" s="12"/>
      <c r="B815" s="18"/>
    </row>
    <row r="816" spans="1:2" x14ac:dyDescent="0.25">
      <c r="A816" s="12"/>
      <c r="B816" s="18"/>
    </row>
    <row r="817" spans="1:2" x14ac:dyDescent="0.25">
      <c r="A817" s="12"/>
      <c r="B817" s="18"/>
    </row>
    <row r="818" spans="1:2" x14ac:dyDescent="0.25">
      <c r="A818" s="12"/>
      <c r="B818" s="18"/>
    </row>
    <row r="819" spans="1:2" x14ac:dyDescent="0.25">
      <c r="A819" s="12"/>
      <c r="B819" s="18"/>
    </row>
    <row r="820" spans="1:2" x14ac:dyDescent="0.25">
      <c r="A820" s="12"/>
      <c r="B820" s="18"/>
    </row>
    <row r="821" spans="1:2" x14ac:dyDescent="0.25">
      <c r="A821" s="12"/>
      <c r="B821" s="18"/>
    </row>
    <row r="822" spans="1:2" x14ac:dyDescent="0.25">
      <c r="A822" s="12"/>
      <c r="B822" s="18"/>
    </row>
    <row r="823" spans="1:2" x14ac:dyDescent="0.25">
      <c r="A823" s="12"/>
      <c r="B823" s="18"/>
    </row>
    <row r="824" spans="1:2" x14ac:dyDescent="0.25">
      <c r="A824" s="12"/>
      <c r="B824" s="18"/>
    </row>
    <row r="825" spans="1:2" x14ac:dyDescent="0.25">
      <c r="A825" s="12"/>
      <c r="B825" s="18"/>
    </row>
    <row r="826" spans="1:2" x14ac:dyDescent="0.25">
      <c r="A826" s="12"/>
      <c r="B826" s="18"/>
    </row>
    <row r="827" spans="1:2" x14ac:dyDescent="0.25">
      <c r="A827" s="12"/>
      <c r="B827" s="18"/>
    </row>
    <row r="828" spans="1:2" x14ac:dyDescent="0.25">
      <c r="A828" s="12"/>
      <c r="B828" s="18"/>
    </row>
    <row r="829" spans="1:2" x14ac:dyDescent="0.25">
      <c r="A829" s="12"/>
      <c r="B829" s="18"/>
    </row>
    <row r="830" spans="1:2" x14ac:dyDescent="0.25">
      <c r="A830" s="12"/>
      <c r="B830" s="18"/>
    </row>
    <row r="831" spans="1:2" x14ac:dyDescent="0.25">
      <c r="A831" s="12"/>
      <c r="B831" s="18"/>
    </row>
    <row r="832" spans="1:2" x14ac:dyDescent="0.25">
      <c r="A832" s="12"/>
      <c r="B832" s="18"/>
    </row>
    <row r="833" spans="1:2" x14ac:dyDescent="0.25">
      <c r="A833" s="12"/>
      <c r="B833" s="18"/>
    </row>
    <row r="834" spans="1:2" x14ac:dyDescent="0.25">
      <c r="A834" s="12"/>
      <c r="B834" s="18"/>
    </row>
    <row r="835" spans="1:2" x14ac:dyDescent="0.25">
      <c r="A835" s="12"/>
      <c r="B835" s="18"/>
    </row>
    <row r="836" spans="1:2" x14ac:dyDescent="0.25">
      <c r="A836" s="12"/>
      <c r="B836" s="18"/>
    </row>
    <row r="837" spans="1:2" x14ac:dyDescent="0.25">
      <c r="A837" s="12"/>
      <c r="B837" s="18"/>
    </row>
    <row r="838" spans="1:2" x14ac:dyDescent="0.25">
      <c r="A838" s="12"/>
      <c r="B838" s="18"/>
    </row>
    <row r="839" spans="1:2" x14ac:dyDescent="0.25">
      <c r="A839" s="12"/>
      <c r="B839" s="18"/>
    </row>
    <row r="840" spans="1:2" x14ac:dyDescent="0.25">
      <c r="A840" s="12"/>
      <c r="B840" s="18"/>
    </row>
    <row r="841" spans="1:2" x14ac:dyDescent="0.25">
      <c r="A841" s="12"/>
      <c r="B841" s="18"/>
    </row>
    <row r="842" spans="1:2" x14ac:dyDescent="0.25">
      <c r="A842" s="12"/>
      <c r="B842" s="18"/>
    </row>
    <row r="843" spans="1:2" x14ac:dyDescent="0.25">
      <c r="A843" s="12"/>
      <c r="B843" s="18"/>
    </row>
    <row r="844" spans="1:2" x14ac:dyDescent="0.25">
      <c r="A844" s="12"/>
      <c r="B844" s="18"/>
    </row>
    <row r="845" spans="1:2" x14ac:dyDescent="0.25">
      <c r="A845" s="12"/>
      <c r="B845" s="18"/>
    </row>
    <row r="846" spans="1:2" x14ac:dyDescent="0.25">
      <c r="A846" s="12"/>
      <c r="B846" s="18"/>
    </row>
    <row r="847" spans="1:2" x14ac:dyDescent="0.25">
      <c r="A847" s="12"/>
      <c r="B847" s="18"/>
    </row>
    <row r="848" spans="1:2" x14ac:dyDescent="0.25">
      <c r="A848" s="12"/>
      <c r="B848" s="18"/>
    </row>
    <row r="849" spans="1:2" x14ac:dyDescent="0.25">
      <c r="A849" s="12"/>
      <c r="B849" s="18"/>
    </row>
    <row r="850" spans="1:2" x14ac:dyDescent="0.25">
      <c r="A850" s="12"/>
      <c r="B850" s="18"/>
    </row>
    <row r="851" spans="1:2" x14ac:dyDescent="0.25">
      <c r="A851" s="12"/>
      <c r="B851" s="18"/>
    </row>
    <row r="852" spans="1:2" x14ac:dyDescent="0.25">
      <c r="A852" s="12"/>
      <c r="B852" s="18"/>
    </row>
    <row r="853" spans="1:2" x14ac:dyDescent="0.25">
      <c r="A853" s="12"/>
      <c r="B853" s="18"/>
    </row>
    <row r="854" spans="1:2" x14ac:dyDescent="0.25">
      <c r="A854" s="12"/>
      <c r="B854" s="18"/>
    </row>
    <row r="855" spans="1:2" x14ac:dyDescent="0.25">
      <c r="A855" s="12"/>
      <c r="B855" s="18"/>
    </row>
    <row r="856" spans="1:2" x14ac:dyDescent="0.25">
      <c r="A856" s="12"/>
      <c r="B856" s="18"/>
    </row>
    <row r="857" spans="1:2" x14ac:dyDescent="0.25">
      <c r="A857" s="12"/>
      <c r="B857" s="18"/>
    </row>
    <row r="858" spans="1:2" x14ac:dyDescent="0.25">
      <c r="A858" s="12"/>
      <c r="B858" s="18"/>
    </row>
    <row r="859" spans="1:2" x14ac:dyDescent="0.25">
      <c r="A859" s="12"/>
      <c r="B859" s="18"/>
    </row>
    <row r="860" spans="1:2" x14ac:dyDescent="0.25">
      <c r="A860" s="12"/>
      <c r="B860" s="18"/>
    </row>
    <row r="861" spans="1:2" x14ac:dyDescent="0.25">
      <c r="A861" s="12"/>
      <c r="B861" s="18"/>
    </row>
    <row r="862" spans="1:2" x14ac:dyDescent="0.25">
      <c r="A862" s="12"/>
      <c r="B862" s="18"/>
    </row>
    <row r="863" spans="1:2" x14ac:dyDescent="0.25">
      <c r="A863" s="12"/>
      <c r="B863" s="18"/>
    </row>
    <row r="864" spans="1:2" x14ac:dyDescent="0.25">
      <c r="A864" s="12"/>
      <c r="B864" s="18"/>
    </row>
    <row r="865" spans="1:2" x14ac:dyDescent="0.25">
      <c r="A865" s="12"/>
      <c r="B865" s="18"/>
    </row>
    <row r="866" spans="1:2" x14ac:dyDescent="0.25">
      <c r="A866" s="12"/>
      <c r="B866" s="18"/>
    </row>
    <row r="867" spans="1:2" x14ac:dyDescent="0.25">
      <c r="A867" s="12"/>
      <c r="B867" s="18"/>
    </row>
    <row r="868" spans="1:2" x14ac:dyDescent="0.25">
      <c r="A868" s="12"/>
      <c r="B868" s="18"/>
    </row>
    <row r="869" spans="1:2" x14ac:dyDescent="0.25">
      <c r="A869" s="12"/>
      <c r="B869" s="18"/>
    </row>
    <row r="870" spans="1:2" x14ac:dyDescent="0.25">
      <c r="A870" s="12"/>
      <c r="B870" s="18"/>
    </row>
    <row r="871" spans="1:2" x14ac:dyDescent="0.25">
      <c r="A871" s="12"/>
      <c r="B871" s="18"/>
    </row>
    <row r="872" spans="1:2" x14ac:dyDescent="0.25">
      <c r="A872" s="12"/>
      <c r="B872" s="18"/>
    </row>
    <row r="873" spans="1:2" x14ac:dyDescent="0.25">
      <c r="A873" s="12"/>
      <c r="B873" s="18"/>
    </row>
    <row r="874" spans="1:2" x14ac:dyDescent="0.25">
      <c r="A874" s="12"/>
      <c r="B874" s="18"/>
    </row>
    <row r="875" spans="1:2" x14ac:dyDescent="0.25">
      <c r="A875" s="12"/>
      <c r="B875" s="18"/>
    </row>
    <row r="876" spans="1:2" x14ac:dyDescent="0.25">
      <c r="A876" s="12"/>
      <c r="B876" s="18"/>
    </row>
    <row r="877" spans="1:2" x14ac:dyDescent="0.25">
      <c r="A877" s="12"/>
      <c r="B877" s="18"/>
    </row>
    <row r="878" spans="1:2" x14ac:dyDescent="0.25">
      <c r="A878" s="12"/>
      <c r="B878" s="18"/>
    </row>
    <row r="879" spans="1:2" x14ac:dyDescent="0.25">
      <c r="A879" s="12"/>
      <c r="B879" s="18"/>
    </row>
    <row r="880" spans="1:2" x14ac:dyDescent="0.25">
      <c r="A880" s="12"/>
      <c r="B880" s="18"/>
    </row>
    <row r="881" spans="1:2" x14ac:dyDescent="0.25">
      <c r="A881" s="12"/>
      <c r="B881" s="18"/>
    </row>
    <row r="882" spans="1:2" x14ac:dyDescent="0.25">
      <c r="A882" s="12"/>
      <c r="B882" s="18"/>
    </row>
    <row r="883" spans="1:2" x14ac:dyDescent="0.25">
      <c r="A883" s="12"/>
      <c r="B883" s="18"/>
    </row>
    <row r="884" spans="1:2" x14ac:dyDescent="0.25">
      <c r="A884" s="12"/>
      <c r="B884" s="18"/>
    </row>
    <row r="885" spans="1:2" x14ac:dyDescent="0.25">
      <c r="A885" s="12"/>
      <c r="B885" s="18"/>
    </row>
    <row r="886" spans="1:2" x14ac:dyDescent="0.25">
      <c r="A886" s="12"/>
      <c r="B886" s="18"/>
    </row>
    <row r="887" spans="1:2" x14ac:dyDescent="0.25">
      <c r="A887" s="12"/>
      <c r="B887" s="18"/>
    </row>
    <row r="888" spans="1:2" x14ac:dyDescent="0.25">
      <c r="A888" s="12"/>
      <c r="B888" s="18"/>
    </row>
    <row r="889" spans="1:2" x14ac:dyDescent="0.25">
      <c r="A889" s="12"/>
      <c r="B889" s="18"/>
    </row>
    <row r="890" spans="1:2" x14ac:dyDescent="0.25">
      <c r="A890" s="12"/>
      <c r="B890" s="18"/>
    </row>
    <row r="891" spans="1:2" x14ac:dyDescent="0.25">
      <c r="A891" s="12"/>
      <c r="B891" s="18"/>
    </row>
    <row r="892" spans="1:2" x14ac:dyDescent="0.25">
      <c r="A892" s="12"/>
      <c r="B892" s="18"/>
    </row>
    <row r="893" spans="1:2" x14ac:dyDescent="0.25">
      <c r="A893" s="12"/>
      <c r="B893" s="18"/>
    </row>
    <row r="894" spans="1:2" x14ac:dyDescent="0.25">
      <c r="A894" s="12"/>
      <c r="B894" s="18"/>
    </row>
    <row r="895" spans="1:2" x14ac:dyDescent="0.25">
      <c r="A895" s="12"/>
      <c r="B895" s="18"/>
    </row>
    <row r="896" spans="1:2" x14ac:dyDescent="0.25">
      <c r="A896" s="12"/>
      <c r="B896" s="18"/>
    </row>
    <row r="897" spans="1:2" x14ac:dyDescent="0.25">
      <c r="A897" s="12"/>
      <c r="B897" s="18"/>
    </row>
    <row r="898" spans="1:2" x14ac:dyDescent="0.25">
      <c r="A898" s="12"/>
      <c r="B898" s="18"/>
    </row>
    <row r="899" spans="1:2" x14ac:dyDescent="0.25">
      <c r="A899" s="12"/>
      <c r="B899" s="18"/>
    </row>
    <row r="900" spans="1:2" x14ac:dyDescent="0.25">
      <c r="A900" s="12"/>
      <c r="B900" s="18"/>
    </row>
    <row r="901" spans="1:2" x14ac:dyDescent="0.25">
      <c r="A901" s="12"/>
      <c r="B901" s="18"/>
    </row>
    <row r="902" spans="1:2" x14ac:dyDescent="0.25">
      <c r="A902" s="12"/>
      <c r="B902" s="18"/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58"/>
  <sheetViews>
    <sheetView topLeftCell="A39" workbookViewId="0">
      <selection activeCell="I62" sqref="I62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43</v>
      </c>
      <c r="B1" s="1" t="s">
        <v>70</v>
      </c>
      <c r="C1" s="1" t="s">
        <v>0</v>
      </c>
      <c r="D1" s="1" t="s">
        <v>134</v>
      </c>
      <c r="H1" s="117" t="s">
        <v>135</v>
      </c>
      <c r="I1" s="118"/>
      <c r="J1" s="118"/>
      <c r="K1" s="118"/>
      <c r="L1" s="118"/>
      <c r="M1" s="119"/>
    </row>
    <row r="2" spans="1:13" ht="15.75" thickBot="1" x14ac:dyDescent="0.3">
      <c r="B2" s="12">
        <v>45404</v>
      </c>
      <c r="C2">
        <v>0.93</v>
      </c>
      <c r="D2" s="54">
        <f>C2/C3-1</f>
        <v>-2.1052631578947323E-2</v>
      </c>
      <c r="H2" s="55"/>
      <c r="I2" s="56"/>
      <c r="J2" s="56"/>
      <c r="K2" s="56"/>
      <c r="L2" s="56"/>
      <c r="M2" s="57"/>
    </row>
    <row r="3" spans="1:13" ht="15.75" thickBot="1" x14ac:dyDescent="0.3">
      <c r="B3" s="12">
        <v>45397</v>
      </c>
      <c r="C3">
        <v>0.95</v>
      </c>
      <c r="D3" s="54">
        <f t="shared" ref="D3:D66" si="0">C3/C4-1</f>
        <v>-9.5238095238095344E-2</v>
      </c>
      <c r="H3" s="58" t="s">
        <v>136</v>
      </c>
      <c r="I3" s="59" t="s">
        <v>137</v>
      </c>
      <c r="J3" s="60" t="s">
        <v>138</v>
      </c>
      <c r="K3" s="61" t="s">
        <v>139</v>
      </c>
      <c r="L3" s="61" t="s">
        <v>140</v>
      </c>
      <c r="M3" s="62" t="s">
        <v>141</v>
      </c>
    </row>
    <row r="4" spans="1:13" x14ac:dyDescent="0.25">
      <c r="B4" s="12">
        <v>45390</v>
      </c>
      <c r="C4" s="18">
        <v>1.05</v>
      </c>
      <c r="D4" s="54">
        <f>C4/C5-1</f>
        <v>-3.669724770642202E-2</v>
      </c>
      <c r="H4" s="63">
        <f>$I$19-3*$I$23</f>
        <v>-0.36126016972227615</v>
      </c>
      <c r="I4" s="64">
        <f>H4</f>
        <v>-0.36126016972227615</v>
      </c>
      <c r="J4" s="65">
        <f>COUNTIF(D:D,"&lt;="&amp;H4)</f>
        <v>0</v>
      </c>
      <c r="K4" s="65" t="str">
        <f>"Less than "&amp;TEXT(H4,"0,00%")</f>
        <v>Less than -36,13%</v>
      </c>
      <c r="L4" s="66">
        <f>J4/$I$31</f>
        <v>0</v>
      </c>
      <c r="M4" s="67">
        <f>L4</f>
        <v>0</v>
      </c>
    </row>
    <row r="5" spans="1:13" x14ac:dyDescent="0.25">
      <c r="B5" s="12">
        <v>45383</v>
      </c>
      <c r="C5" s="18">
        <v>1.0900000000000001</v>
      </c>
      <c r="D5" s="54">
        <f t="shared" si="0"/>
        <v>-3.5398230088495408E-2</v>
      </c>
      <c r="H5" s="68">
        <f>$I$19-2.4*$I$23</f>
        <v>-0.29189476141026732</v>
      </c>
      <c r="I5" s="69">
        <f>H5</f>
        <v>-0.29189476141026732</v>
      </c>
      <c r="J5" s="70">
        <f>COUNTIFS(D:D,"&lt;="&amp;H5,D:D,"&gt;"&amp;H4)</f>
        <v>0</v>
      </c>
      <c r="K5" s="71" t="str">
        <f t="shared" ref="K5:K14" si="1">TEXT(H4,"0,00%")&amp;" to "&amp;TEXT(H5,"0,00%")</f>
        <v>-36,13% to -29,19%</v>
      </c>
      <c r="L5" s="72">
        <f>J5/$I$31</f>
        <v>0</v>
      </c>
      <c r="M5" s="73">
        <f>M4+L5</f>
        <v>0</v>
      </c>
    </row>
    <row r="6" spans="1:13" x14ac:dyDescent="0.25">
      <c r="B6" s="12">
        <v>45376</v>
      </c>
      <c r="C6" s="18">
        <v>1.1299999999999999</v>
      </c>
      <c r="D6" s="54">
        <f t="shared" si="0"/>
        <v>0.1188118811881187</v>
      </c>
      <c r="H6" s="68">
        <f>$I$19-1.8*$I$23</f>
        <v>-0.22252935309825861</v>
      </c>
      <c r="I6" s="69">
        <f t="shared" ref="I6:I14" si="2">H6</f>
        <v>-0.22252935309825861</v>
      </c>
      <c r="J6" s="70">
        <f t="shared" ref="J6:J14" si="3">COUNTIFS(D:D,"&lt;="&amp;H6,D:D,"&gt;"&amp;H5)</f>
        <v>2</v>
      </c>
      <c r="K6" s="71" t="str">
        <f t="shared" si="1"/>
        <v>-29,19% to -22,25%</v>
      </c>
      <c r="L6" s="72">
        <f t="shared" ref="L6:L15" si="4">J6/$I$31</f>
        <v>1.3071895424836602E-2</v>
      </c>
      <c r="M6" s="73">
        <f t="shared" ref="M6:M15" si="5">M5+L6</f>
        <v>1.3071895424836602E-2</v>
      </c>
    </row>
    <row r="7" spans="1:13" x14ac:dyDescent="0.25">
      <c r="B7" s="12">
        <v>45369</v>
      </c>
      <c r="C7" s="18">
        <v>1.01</v>
      </c>
      <c r="D7" s="54">
        <f t="shared" si="0"/>
        <v>1.8145161290322509E-2</v>
      </c>
      <c r="H7" s="68">
        <f>$I$19-1.2*$I$23</f>
        <v>-0.15316394478624978</v>
      </c>
      <c r="I7" s="69">
        <f t="shared" si="2"/>
        <v>-0.15316394478624978</v>
      </c>
      <c r="J7" s="70">
        <f t="shared" si="3"/>
        <v>9</v>
      </c>
      <c r="K7" s="71" t="str">
        <f t="shared" si="1"/>
        <v>-22,25% to -15,32%</v>
      </c>
      <c r="L7" s="72">
        <f t="shared" si="4"/>
        <v>5.8823529411764705E-2</v>
      </c>
      <c r="M7" s="73">
        <f>M6+L7</f>
        <v>7.1895424836601302E-2</v>
      </c>
    </row>
    <row r="8" spans="1:13" x14ac:dyDescent="0.25">
      <c r="B8" s="12">
        <v>45362</v>
      </c>
      <c r="C8" s="18">
        <v>0.99199999999999999</v>
      </c>
      <c r="D8" s="54">
        <f t="shared" si="0"/>
        <v>-1.7821782178217838E-2</v>
      </c>
      <c r="H8" s="68">
        <f>$I$19-0.6*$I$23</f>
        <v>-8.3798536474240987E-2</v>
      </c>
      <c r="I8" s="69">
        <f t="shared" si="2"/>
        <v>-8.3798536474240987E-2</v>
      </c>
      <c r="J8" s="70">
        <f t="shared" si="3"/>
        <v>25</v>
      </c>
      <c r="K8" s="71" t="str">
        <f t="shared" si="1"/>
        <v>-15,32% to -8,38%</v>
      </c>
      <c r="L8" s="72">
        <f t="shared" si="4"/>
        <v>0.16339869281045752</v>
      </c>
      <c r="M8" s="73">
        <f t="shared" si="5"/>
        <v>0.23529411764705882</v>
      </c>
    </row>
    <row r="9" spans="1:13" x14ac:dyDescent="0.25">
      <c r="B9" s="12">
        <v>45355</v>
      </c>
      <c r="C9" s="18">
        <v>1.01</v>
      </c>
      <c r="D9" s="54">
        <f t="shared" si="0"/>
        <v>-6.4814814814814881E-2</v>
      </c>
      <c r="H9" s="68">
        <f>$I$19</f>
        <v>-1.4433128162232205E-2</v>
      </c>
      <c r="I9" s="69">
        <f t="shared" si="2"/>
        <v>-1.4433128162232205E-2</v>
      </c>
      <c r="J9" s="70">
        <f t="shared" si="3"/>
        <v>52</v>
      </c>
      <c r="K9" s="71" t="str">
        <f t="shared" si="1"/>
        <v>-8,38% to -1,44%</v>
      </c>
      <c r="L9" s="72">
        <f t="shared" si="4"/>
        <v>0.33986928104575165</v>
      </c>
      <c r="M9" s="73">
        <f t="shared" si="5"/>
        <v>0.57516339869281041</v>
      </c>
    </row>
    <row r="10" spans="1:13" x14ac:dyDescent="0.25">
      <c r="B10" s="12">
        <v>45348</v>
      </c>
      <c r="C10" s="18">
        <v>1.08</v>
      </c>
      <c r="D10" s="54">
        <f t="shared" si="0"/>
        <v>-6.0869565217391175E-2</v>
      </c>
      <c r="H10" s="68">
        <f>$I$19+0.6*$I$23</f>
        <v>5.493228014977658E-2</v>
      </c>
      <c r="I10" s="69">
        <f t="shared" si="2"/>
        <v>5.493228014977658E-2</v>
      </c>
      <c r="J10" s="70">
        <f t="shared" si="3"/>
        <v>34</v>
      </c>
      <c r="K10" s="71" t="str">
        <f t="shared" si="1"/>
        <v>-1,44% to 5,49%</v>
      </c>
      <c r="L10" s="72">
        <f t="shared" si="4"/>
        <v>0.22222222222222221</v>
      </c>
      <c r="M10" s="73">
        <f t="shared" si="5"/>
        <v>0.79738562091503262</v>
      </c>
    </row>
    <row r="11" spans="1:13" x14ac:dyDescent="0.25">
      <c r="B11" s="12">
        <v>45341</v>
      </c>
      <c r="C11" s="18">
        <v>1.1499999999999999</v>
      </c>
      <c r="D11" s="54">
        <f t="shared" si="0"/>
        <v>-6.1224489795918546E-2</v>
      </c>
      <c r="H11" s="68">
        <f>$I$19+1.2*$I$23</f>
        <v>0.12429768846178536</v>
      </c>
      <c r="I11" s="69">
        <f t="shared" si="2"/>
        <v>0.12429768846178536</v>
      </c>
      <c r="J11" s="70">
        <f t="shared" si="3"/>
        <v>17</v>
      </c>
      <c r="K11" s="71" t="str">
        <f t="shared" si="1"/>
        <v>5,49% to 12,43%</v>
      </c>
      <c r="L11" s="72">
        <f t="shared" si="4"/>
        <v>0.1111111111111111</v>
      </c>
      <c r="M11" s="73">
        <f t="shared" si="5"/>
        <v>0.90849673202614367</v>
      </c>
    </row>
    <row r="12" spans="1:13" x14ac:dyDescent="0.25">
      <c r="B12" s="12">
        <v>45334</v>
      </c>
      <c r="C12" s="18">
        <v>1.2250000000000001</v>
      </c>
      <c r="D12" s="54">
        <f t="shared" si="0"/>
        <v>8.4070796460177233E-2</v>
      </c>
      <c r="H12" s="68">
        <f>$I$19+1.8*$I$23</f>
        <v>0.19366309677379417</v>
      </c>
      <c r="I12" s="69">
        <f t="shared" si="2"/>
        <v>0.19366309677379417</v>
      </c>
      <c r="J12" s="70">
        <f t="shared" si="3"/>
        <v>7</v>
      </c>
      <c r="K12" s="71" t="str">
        <f t="shared" si="1"/>
        <v>12,43% to 19,37%</v>
      </c>
      <c r="L12" s="72">
        <f t="shared" si="4"/>
        <v>4.5751633986928102E-2</v>
      </c>
      <c r="M12" s="73">
        <f t="shared" si="5"/>
        <v>0.95424836601307172</v>
      </c>
    </row>
    <row r="13" spans="1:13" x14ac:dyDescent="0.25">
      <c r="B13" s="12">
        <v>45327</v>
      </c>
      <c r="C13" s="18">
        <v>1.1299999999999999</v>
      </c>
      <c r="D13" s="54">
        <f t="shared" si="0"/>
        <v>-1.7391304347826098E-2</v>
      </c>
      <c r="H13" s="68">
        <f>$I$19+2.4*$I$23</f>
        <v>0.26302850508580294</v>
      </c>
      <c r="I13" s="69">
        <f t="shared" si="2"/>
        <v>0.26302850508580294</v>
      </c>
      <c r="J13" s="70">
        <f t="shared" si="3"/>
        <v>3</v>
      </c>
      <c r="K13" s="71" t="str">
        <f t="shared" si="1"/>
        <v>19,37% to 26,30%</v>
      </c>
      <c r="L13" s="72">
        <f t="shared" si="4"/>
        <v>1.9607843137254902E-2</v>
      </c>
      <c r="M13" s="73">
        <f t="shared" si="5"/>
        <v>0.97385620915032667</v>
      </c>
    </row>
    <row r="14" spans="1:13" x14ac:dyDescent="0.25">
      <c r="B14" s="12">
        <v>45320</v>
      </c>
      <c r="C14" s="18">
        <v>1.1499999999999999</v>
      </c>
      <c r="D14" s="54">
        <f t="shared" si="0"/>
        <v>8.7719298245614308E-3</v>
      </c>
      <c r="H14" s="68">
        <f>$I$19+3*$I$23</f>
        <v>0.33239391339781177</v>
      </c>
      <c r="I14" s="69">
        <f t="shared" si="2"/>
        <v>0.33239391339781177</v>
      </c>
      <c r="J14" s="70">
        <f t="shared" si="3"/>
        <v>0</v>
      </c>
      <c r="K14" s="71" t="str">
        <f t="shared" si="1"/>
        <v>26,30% to 33,24%</v>
      </c>
      <c r="L14" s="72">
        <f t="shared" si="4"/>
        <v>0</v>
      </c>
      <c r="M14" s="73">
        <f t="shared" si="5"/>
        <v>0.97385620915032667</v>
      </c>
    </row>
    <row r="15" spans="1:13" ht="15.75" thickBot="1" x14ac:dyDescent="0.3">
      <c r="B15" s="12">
        <v>45313</v>
      </c>
      <c r="C15" s="18">
        <v>1.1399999999999999</v>
      </c>
      <c r="D15" s="54">
        <f t="shared" si="0"/>
        <v>8.5714285714285632E-2</v>
      </c>
      <c r="H15" s="74"/>
      <c r="I15" s="75" t="s">
        <v>142</v>
      </c>
      <c r="J15" s="75">
        <f>COUNTIF(D:D,"&gt;"&amp;H14)</f>
        <v>4</v>
      </c>
      <c r="K15" s="75" t="str">
        <f>"Greater than "&amp;TEXT(H14,"0,00%")</f>
        <v>Greater than 33,24%</v>
      </c>
      <c r="L15" s="76">
        <f t="shared" si="4"/>
        <v>2.6143790849673203E-2</v>
      </c>
      <c r="M15" s="76">
        <f t="shared" si="5"/>
        <v>0.99999999999999989</v>
      </c>
    </row>
    <row r="16" spans="1:13" ht="15.75" thickBot="1" x14ac:dyDescent="0.3">
      <c r="B16" s="12">
        <v>45306</v>
      </c>
      <c r="C16" s="18">
        <v>1.05</v>
      </c>
      <c r="D16" s="54">
        <f t="shared" si="0"/>
        <v>-4.5454545454545525E-2</v>
      </c>
      <c r="H16" s="77"/>
      <c r="M16" s="78"/>
    </row>
    <row r="17" spans="2:13" x14ac:dyDescent="0.25">
      <c r="B17" s="12">
        <v>45299</v>
      </c>
      <c r="C17" s="18">
        <v>1.1000000000000001</v>
      </c>
      <c r="D17" s="54">
        <f t="shared" si="0"/>
        <v>-6.7796610169491456E-2</v>
      </c>
      <c r="H17" s="120" t="s">
        <v>143</v>
      </c>
      <c r="I17" s="121"/>
      <c r="M17" s="78"/>
    </row>
    <row r="18" spans="2:13" x14ac:dyDescent="0.25">
      <c r="B18" s="12">
        <v>45292</v>
      </c>
      <c r="C18" s="18">
        <v>1.18</v>
      </c>
      <c r="D18" s="54">
        <f t="shared" si="0"/>
        <v>0</v>
      </c>
      <c r="H18" s="122"/>
      <c r="I18" s="123"/>
      <c r="M18" s="78"/>
    </row>
    <row r="19" spans="2:13" x14ac:dyDescent="0.25">
      <c r="B19" s="12">
        <v>45285</v>
      </c>
      <c r="C19" s="18">
        <v>1.18</v>
      </c>
      <c r="D19" s="54">
        <f t="shared" si="0"/>
        <v>-4.8387096774193616E-2</v>
      </c>
      <c r="H19" s="79" t="s">
        <v>144</v>
      </c>
      <c r="I19" s="80">
        <f>AVERAGE(D:D)</f>
        <v>-1.4433128162232205E-2</v>
      </c>
      <c r="M19" s="78"/>
    </row>
    <row r="20" spans="2:13" x14ac:dyDescent="0.25">
      <c r="B20" s="12">
        <v>45278</v>
      </c>
      <c r="C20" s="18">
        <v>1.24</v>
      </c>
      <c r="D20" s="54">
        <f t="shared" si="0"/>
        <v>1.6393442622950838E-2</v>
      </c>
      <c r="H20" s="79" t="s">
        <v>145</v>
      </c>
      <c r="I20" s="80">
        <f>_xlfn.STDEV.S(D:D)/SQRT(COUNT(D:D))</f>
        <v>9.3464348115852771E-3</v>
      </c>
      <c r="M20" s="78"/>
    </row>
    <row r="21" spans="2:13" x14ac:dyDescent="0.25">
      <c r="B21" s="12">
        <v>45271</v>
      </c>
      <c r="C21" s="18">
        <v>1.22</v>
      </c>
      <c r="D21" s="54">
        <f t="shared" si="0"/>
        <v>9.9099099099098975E-2</v>
      </c>
      <c r="H21" s="79" t="s">
        <v>146</v>
      </c>
      <c r="I21" s="80">
        <f>MEDIAN(D:D)</f>
        <v>-3.3441208198489725E-2</v>
      </c>
      <c r="M21" s="78"/>
    </row>
    <row r="22" spans="2:13" x14ac:dyDescent="0.25">
      <c r="B22" s="12">
        <v>45264</v>
      </c>
      <c r="C22" s="18">
        <v>1.1100000000000001</v>
      </c>
      <c r="D22" s="54">
        <f t="shared" si="0"/>
        <v>7.7669902912621325E-2</v>
      </c>
      <c r="H22" s="79" t="s">
        <v>147</v>
      </c>
      <c r="I22" s="80">
        <f>MODE(D:D)</f>
        <v>0</v>
      </c>
      <c r="M22" s="78"/>
    </row>
    <row r="23" spans="2:13" x14ac:dyDescent="0.25">
      <c r="B23" s="12">
        <v>45257</v>
      </c>
      <c r="C23" s="18">
        <v>1.03</v>
      </c>
      <c r="D23" s="54">
        <f t="shared" si="0"/>
        <v>0.34816753926701582</v>
      </c>
      <c r="H23" s="79" t="s">
        <v>148</v>
      </c>
      <c r="I23" s="80">
        <f>_xlfn.STDEV.S(D:D)</f>
        <v>0.11560901385334799</v>
      </c>
      <c r="M23" s="78"/>
    </row>
    <row r="24" spans="2:13" x14ac:dyDescent="0.25">
      <c r="B24" s="12">
        <v>45250</v>
      </c>
      <c r="C24" s="18">
        <v>0.76400000000000001</v>
      </c>
      <c r="D24" s="54">
        <f t="shared" si="0"/>
        <v>-7.2815533980582492E-2</v>
      </c>
      <c r="H24" s="79" t="s">
        <v>149</v>
      </c>
      <c r="I24" s="80">
        <f>_xlfn.VAR.S(D:D)</f>
        <v>1.3365444084143606E-2</v>
      </c>
      <c r="M24" s="78"/>
    </row>
    <row r="25" spans="2:13" x14ac:dyDescent="0.25">
      <c r="B25" s="12">
        <v>45243</v>
      </c>
      <c r="C25" s="18">
        <v>0.82399999999999995</v>
      </c>
      <c r="D25" s="54">
        <f t="shared" si="0"/>
        <v>0.52592592592592569</v>
      </c>
      <c r="H25" s="79" t="s">
        <v>150</v>
      </c>
      <c r="I25" s="81">
        <f>KURT(D:D)</f>
        <v>4.9340455915570836</v>
      </c>
      <c r="M25" s="78"/>
    </row>
    <row r="26" spans="2:13" x14ac:dyDescent="0.25">
      <c r="B26" s="12">
        <v>45236</v>
      </c>
      <c r="C26" s="18">
        <v>0.54</v>
      </c>
      <c r="D26" s="54">
        <f t="shared" si="0"/>
        <v>-0.14285714285714279</v>
      </c>
      <c r="H26" s="79" t="s">
        <v>151</v>
      </c>
      <c r="I26" s="81">
        <f>SKEW(D:D)</f>
        <v>1.5864629641284789</v>
      </c>
      <c r="M26" s="78"/>
    </row>
    <row r="27" spans="2:13" x14ac:dyDescent="0.25">
      <c r="B27" s="12">
        <v>45229</v>
      </c>
      <c r="C27" s="18">
        <v>0.63</v>
      </c>
      <c r="D27" s="54">
        <f t="shared" si="0"/>
        <v>0.38461538461538458</v>
      </c>
      <c r="H27" s="79" t="s">
        <v>139</v>
      </c>
      <c r="I27" s="80">
        <f>I29-I28</f>
        <v>0.7666666666666665</v>
      </c>
      <c r="M27" s="78"/>
    </row>
    <row r="28" spans="2:13" x14ac:dyDescent="0.25">
      <c r="B28" s="12">
        <v>45222</v>
      </c>
      <c r="C28" s="18">
        <v>0.45500000000000002</v>
      </c>
      <c r="D28" s="54">
        <f t="shared" si="0"/>
        <v>-0.16819012797074961</v>
      </c>
      <c r="H28" s="79" t="s">
        <v>152</v>
      </c>
      <c r="I28" s="80">
        <f>MIN(D:D)</f>
        <v>-0.24074074074074081</v>
      </c>
      <c r="M28" s="78"/>
    </row>
    <row r="29" spans="2:13" x14ac:dyDescent="0.25">
      <c r="B29" s="12">
        <v>45215</v>
      </c>
      <c r="C29" s="18">
        <v>0.54700000000000004</v>
      </c>
      <c r="D29" s="54">
        <f t="shared" si="0"/>
        <v>-0.15062111801242228</v>
      </c>
      <c r="H29" s="79" t="s">
        <v>153</v>
      </c>
      <c r="I29" s="80">
        <f>MAX(D:D)</f>
        <v>0.52592592592592569</v>
      </c>
      <c r="M29" s="78"/>
    </row>
    <row r="30" spans="2:13" x14ac:dyDescent="0.25">
      <c r="B30" s="12">
        <v>45208</v>
      </c>
      <c r="C30" s="18">
        <v>0.64400000000000002</v>
      </c>
      <c r="D30" s="54">
        <f t="shared" si="0"/>
        <v>-6.6666666666666541E-2</v>
      </c>
      <c r="H30" s="79" t="s">
        <v>154</v>
      </c>
      <c r="I30" s="81">
        <f>SUM(D:D)</f>
        <v>-2.2082686088215273</v>
      </c>
      <c r="M30" s="78"/>
    </row>
    <row r="31" spans="2:13" ht="15.75" thickBot="1" x14ac:dyDescent="0.3">
      <c r="B31" s="12">
        <v>45201</v>
      </c>
      <c r="C31" s="18">
        <v>0.69</v>
      </c>
      <c r="D31" s="54">
        <f t="shared" si="0"/>
        <v>-0.22991071428571441</v>
      </c>
      <c r="H31" s="82" t="s">
        <v>155</v>
      </c>
      <c r="I31" s="83">
        <f>COUNT(D:D)</f>
        <v>153</v>
      </c>
      <c r="M31" s="78"/>
    </row>
    <row r="32" spans="2:13" ht="15.75" thickBot="1" x14ac:dyDescent="0.3">
      <c r="B32" s="12">
        <v>45194</v>
      </c>
      <c r="C32" s="18">
        <v>0.89600000000000002</v>
      </c>
      <c r="D32" s="54">
        <f t="shared" si="0"/>
        <v>-3.3441208198489725E-2</v>
      </c>
      <c r="H32" s="84"/>
      <c r="M32" s="78"/>
    </row>
    <row r="33" spans="2:13" x14ac:dyDescent="0.25">
      <c r="B33" s="12">
        <v>45187</v>
      </c>
      <c r="C33" s="18">
        <v>0.92700000000000005</v>
      </c>
      <c r="D33" s="54">
        <f t="shared" si="0"/>
        <v>-0.1086538461538461</v>
      </c>
      <c r="H33" s="85"/>
      <c r="I33" s="86" t="s">
        <v>156</v>
      </c>
      <c r="J33" s="86" t="s">
        <v>155</v>
      </c>
      <c r="K33" s="86" t="s">
        <v>157</v>
      </c>
      <c r="L33" s="87" t="s">
        <v>158</v>
      </c>
      <c r="M33" s="78"/>
    </row>
    <row r="34" spans="2:13" x14ac:dyDescent="0.25">
      <c r="B34" s="12">
        <v>45180</v>
      </c>
      <c r="C34" s="18">
        <v>1.04</v>
      </c>
      <c r="D34" s="54">
        <f t="shared" si="0"/>
        <v>-7.1428571428571508E-2</v>
      </c>
      <c r="H34" s="88" t="s">
        <v>159</v>
      </c>
      <c r="I34" s="72">
        <f>AVERAGEIF(D:D,"&gt;0")</f>
        <v>0.10010576389818351</v>
      </c>
      <c r="J34" s="70">
        <f>COUNTIF(D:D,"&gt;0")</f>
        <v>53</v>
      </c>
      <c r="K34" s="72">
        <f>J34/$I$31</f>
        <v>0.34640522875816993</v>
      </c>
      <c r="L34" s="73">
        <f>K34*I34</f>
        <v>3.4677160043161612E-2</v>
      </c>
      <c r="M34" s="78"/>
    </row>
    <row r="35" spans="2:13" x14ac:dyDescent="0.25">
      <c r="B35" s="12">
        <v>45173</v>
      </c>
      <c r="C35" s="18">
        <v>1.1200000000000001</v>
      </c>
      <c r="D35" s="54">
        <f t="shared" si="0"/>
        <v>-0.11111111111111105</v>
      </c>
      <c r="H35" s="88" t="s">
        <v>160</v>
      </c>
      <c r="I35" s="72">
        <f>AVERAGEIF(D:D,"&lt;0")</f>
        <v>-7.8269521827346422E-2</v>
      </c>
      <c r="J35" s="70">
        <f>COUNTIF(D:D,"&lt;0")</f>
        <v>96</v>
      </c>
      <c r="K35" s="72">
        <f>J35/$I$31</f>
        <v>0.62745098039215685</v>
      </c>
      <c r="L35" s="73">
        <f t="shared" ref="L35:L36" si="6">K35*I35</f>
        <v>-4.9110288205393836E-2</v>
      </c>
      <c r="M35" s="78"/>
    </row>
    <row r="36" spans="2:13" ht="15.75" thickBot="1" x14ac:dyDescent="0.3">
      <c r="B36" s="12">
        <v>45166</v>
      </c>
      <c r="C36" s="18">
        <v>1.26</v>
      </c>
      <c r="D36" s="54">
        <f t="shared" si="0"/>
        <v>8.0000000000000071E-3</v>
      </c>
      <c r="H36" s="89" t="s">
        <v>161</v>
      </c>
      <c r="I36" s="75">
        <v>0</v>
      </c>
      <c r="J36" s="75">
        <f>COUNTIF(D:D,"0")</f>
        <v>4</v>
      </c>
      <c r="K36" s="90">
        <f>J36/$I$31</f>
        <v>2.6143790849673203E-2</v>
      </c>
      <c r="L36" s="76">
        <f t="shared" si="6"/>
        <v>0</v>
      </c>
      <c r="M36" s="78"/>
    </row>
    <row r="37" spans="2:13" ht="15.75" thickBot="1" x14ac:dyDescent="0.3">
      <c r="B37" s="12">
        <v>45159</v>
      </c>
      <c r="C37" s="18">
        <v>1.25</v>
      </c>
      <c r="D37" s="54">
        <f t="shared" si="0"/>
        <v>-3.8461538461538547E-2</v>
      </c>
      <c r="H37" s="84"/>
      <c r="I37" s="91"/>
      <c r="J37" s="91"/>
      <c r="K37" s="91"/>
      <c r="L37" s="91"/>
      <c r="M37" s="78"/>
    </row>
    <row r="38" spans="2:13" x14ac:dyDescent="0.25">
      <c r="B38" s="12">
        <v>45152</v>
      </c>
      <c r="C38" s="18">
        <v>1.3</v>
      </c>
      <c r="D38" s="54">
        <f t="shared" si="0"/>
        <v>-0.10344827586206895</v>
      </c>
      <c r="H38" s="63" t="s">
        <v>162</v>
      </c>
      <c r="I38" s="86" t="s">
        <v>163</v>
      </c>
      <c r="J38" s="86" t="s">
        <v>164</v>
      </c>
      <c r="K38" s="86" t="s">
        <v>165</v>
      </c>
      <c r="L38" s="86" t="s">
        <v>166</v>
      </c>
      <c r="M38" s="87" t="s">
        <v>167</v>
      </c>
    </row>
    <row r="39" spans="2:13" x14ac:dyDescent="0.25">
      <c r="B39" s="12">
        <v>45145</v>
      </c>
      <c r="C39" s="18">
        <v>1.45</v>
      </c>
      <c r="D39" s="54">
        <f t="shared" si="0"/>
        <v>0</v>
      </c>
      <c r="H39" s="92">
        <v>1</v>
      </c>
      <c r="I39" s="72">
        <f>$I$19+($H39*$I$23)</f>
        <v>0.10117588569111578</v>
      </c>
      <c r="J39" s="72">
        <f>$I$19-($H39*$I$23)</f>
        <v>-0.1300421420155802</v>
      </c>
      <c r="K39" s="70">
        <f>COUNTIFS(D:D,"&lt;"&amp;I39,D:D,"&gt;"&amp;J39)</f>
        <v>120</v>
      </c>
      <c r="L39" s="72">
        <f>K39/$I$31</f>
        <v>0.78431372549019607</v>
      </c>
      <c r="M39" s="73">
        <v>0.68269999999999997</v>
      </c>
    </row>
    <row r="40" spans="2:13" x14ac:dyDescent="0.25">
      <c r="B40" s="12">
        <v>45138</v>
      </c>
      <c r="C40" s="18">
        <v>1.45</v>
      </c>
      <c r="D40" s="54">
        <f t="shared" si="0"/>
        <v>-0.11585365853658536</v>
      </c>
      <c r="H40" s="92">
        <v>2</v>
      </c>
      <c r="I40" s="72">
        <f>$I$19+($H40*$I$23)</f>
        <v>0.21678489954446375</v>
      </c>
      <c r="J40" s="72">
        <f>$I$19-($H40*$I$23)</f>
        <v>-0.24565115586892819</v>
      </c>
      <c r="K40" s="70">
        <f>COUNTIFS(D:D,"&lt;"&amp;I40,D:D,"&gt;"&amp;J40)</f>
        <v>148</v>
      </c>
      <c r="L40" s="72">
        <f>K40/$I$31</f>
        <v>0.9673202614379085</v>
      </c>
      <c r="M40" s="73">
        <v>0.95450000000000002</v>
      </c>
    </row>
    <row r="41" spans="2:13" x14ac:dyDescent="0.25">
      <c r="B41" s="12">
        <v>45131</v>
      </c>
      <c r="C41" s="18">
        <v>1.64</v>
      </c>
      <c r="D41" s="54">
        <f t="shared" si="0"/>
        <v>-0.24074074074074081</v>
      </c>
      <c r="H41" s="92">
        <v>3</v>
      </c>
      <c r="I41" s="72">
        <f>$I$19+($H41*$I$23)</f>
        <v>0.33239391339781177</v>
      </c>
      <c r="J41" s="72">
        <f>$I$19-($H41*$I$23)</f>
        <v>-0.36126016972227615</v>
      </c>
      <c r="K41" s="70">
        <f>COUNTIFS(D:D,"&lt;"&amp;I41,D:D,"&gt;"&amp;J41)</f>
        <v>149</v>
      </c>
      <c r="L41" s="72">
        <f>K41/$I$31</f>
        <v>0.97385620915032678</v>
      </c>
      <c r="M41" s="93">
        <v>0.99729999999999996</v>
      </c>
    </row>
    <row r="42" spans="2:13" ht="15.75" thickBot="1" x14ac:dyDescent="0.3">
      <c r="B42" s="12">
        <v>45124</v>
      </c>
      <c r="C42" s="18">
        <v>2.16</v>
      </c>
      <c r="D42" s="54">
        <f t="shared" si="0"/>
        <v>3.3492822966507241E-2</v>
      </c>
      <c r="H42" s="68"/>
      <c r="M42" s="93"/>
    </row>
    <row r="43" spans="2:13" ht="15.75" thickBot="1" x14ac:dyDescent="0.3">
      <c r="B43" s="12">
        <v>45117</v>
      </c>
      <c r="C43" s="18">
        <v>2.09</v>
      </c>
      <c r="D43" s="54">
        <f t="shared" si="0"/>
        <v>5.555555555555558E-2</v>
      </c>
      <c r="H43" s="124" t="s">
        <v>168</v>
      </c>
      <c r="I43" s="125"/>
      <c r="J43" s="125"/>
      <c r="K43" s="125"/>
      <c r="L43" s="125"/>
      <c r="M43" s="126"/>
    </row>
    <row r="44" spans="2:13" x14ac:dyDescent="0.25">
      <c r="B44" s="12">
        <v>45110</v>
      </c>
      <c r="C44" s="18">
        <v>1.98</v>
      </c>
      <c r="D44" s="54">
        <f t="shared" si="0"/>
        <v>-3.4146341463414553E-2</v>
      </c>
      <c r="H44" s="94">
        <v>0.01</v>
      </c>
      <c r="I44" s="95">
        <f t="shared" ref="I44:I58" si="7">_xlfn.PERCENTILE.INC(D:D,H44)</f>
        <v>-0.2171252036936448</v>
      </c>
      <c r="J44" s="96">
        <v>0.2</v>
      </c>
      <c r="K44" s="95">
        <f t="shared" ref="K44:K56" si="8">_xlfn.PERCENTILE.INC(D:D,J44)</f>
        <v>-9.5179644752476061E-2</v>
      </c>
      <c r="L44" s="96">
        <v>0.85</v>
      </c>
      <c r="M44" s="97">
        <f t="shared" ref="M44:M58" si="9">_xlfn.PERCENTILE.INC(D:D,L44)</f>
        <v>7.7977506488512899E-2</v>
      </c>
    </row>
    <row r="45" spans="2:13" x14ac:dyDescent="0.25">
      <c r="B45" s="12">
        <v>45103</v>
      </c>
      <c r="C45" s="18">
        <v>2.0499999999999998</v>
      </c>
      <c r="D45" s="54">
        <f t="shared" si="0"/>
        <v>0.13259668508287281</v>
      </c>
      <c r="H45" s="98">
        <v>0.02</v>
      </c>
      <c r="I45" s="99">
        <f t="shared" si="7"/>
        <v>-0.20362063271910716</v>
      </c>
      <c r="J45" s="100">
        <v>0.25</v>
      </c>
      <c r="K45" s="99">
        <f t="shared" si="8"/>
        <v>-7.9942897930049939E-2</v>
      </c>
      <c r="L45" s="100">
        <v>0.86</v>
      </c>
      <c r="M45" s="101">
        <f t="shared" si="9"/>
        <v>8.27091912731098E-2</v>
      </c>
    </row>
    <row r="46" spans="2:13" x14ac:dyDescent="0.25">
      <c r="B46" s="12">
        <v>45096</v>
      </c>
      <c r="C46" s="18">
        <v>1.81</v>
      </c>
      <c r="D46" s="54">
        <f t="shared" si="0"/>
        <v>-3.208556149732622E-2</v>
      </c>
      <c r="H46" s="98">
        <v>0.03</v>
      </c>
      <c r="I46" s="99">
        <f t="shared" si="7"/>
        <v>-0.18523773960667156</v>
      </c>
      <c r="J46" s="100">
        <v>0.3</v>
      </c>
      <c r="K46" s="99">
        <f t="shared" si="8"/>
        <v>-6.8538662619107724E-2</v>
      </c>
      <c r="L46" s="100">
        <v>0.87</v>
      </c>
      <c r="M46" s="101">
        <f t="shared" si="9"/>
        <v>8.7662964381463065E-2</v>
      </c>
    </row>
    <row r="47" spans="2:13" x14ac:dyDescent="0.25">
      <c r="B47" s="12">
        <v>45089</v>
      </c>
      <c r="C47" s="18">
        <v>1.87</v>
      </c>
      <c r="D47" s="54">
        <f t="shared" si="0"/>
        <v>-6.9651741293532132E-2</v>
      </c>
      <c r="H47" s="98">
        <v>0.04</v>
      </c>
      <c r="I47" s="99">
        <f t="shared" si="7"/>
        <v>-0.17313299871364787</v>
      </c>
      <c r="J47" s="100">
        <v>0.35</v>
      </c>
      <c r="K47" s="99">
        <f t="shared" si="8"/>
        <v>-6.1153504880213073E-2</v>
      </c>
      <c r="L47" s="100">
        <v>0.88</v>
      </c>
      <c r="M47" s="101">
        <f t="shared" si="9"/>
        <v>9.7835422553921081E-2</v>
      </c>
    </row>
    <row r="48" spans="2:13" x14ac:dyDescent="0.25">
      <c r="B48" s="12">
        <v>45082</v>
      </c>
      <c r="C48" s="18">
        <v>2.0099999999999998</v>
      </c>
      <c r="D48" s="54">
        <f t="shared" si="0"/>
        <v>0.16860465116279055</v>
      </c>
      <c r="H48" s="98">
        <v>0.05</v>
      </c>
      <c r="I48" s="99">
        <f t="shared" si="7"/>
        <v>-0.16999370449703094</v>
      </c>
      <c r="J48" s="100">
        <v>0.4</v>
      </c>
      <c r="K48" s="99">
        <f t="shared" si="8"/>
        <v>-4.6041055718475131E-2</v>
      </c>
      <c r="L48" s="100">
        <v>0.89</v>
      </c>
      <c r="M48" s="101">
        <f t="shared" si="9"/>
        <v>0.11784563998568538</v>
      </c>
    </row>
    <row r="49" spans="2:13" x14ac:dyDescent="0.25">
      <c r="B49" s="12">
        <v>45075</v>
      </c>
      <c r="C49" s="18">
        <v>1.72</v>
      </c>
      <c r="D49" s="54">
        <f t="shared" si="0"/>
        <v>-2.2727272727272707E-2</v>
      </c>
      <c r="H49" s="98">
        <v>0.06</v>
      </c>
      <c r="I49" s="99">
        <f t="shared" si="7"/>
        <v>-0.1609078023794798</v>
      </c>
      <c r="J49" s="100">
        <v>0.45</v>
      </c>
      <c r="K49" s="99">
        <f t="shared" si="8"/>
        <v>-3.8201301186375901E-2</v>
      </c>
      <c r="L49" s="100">
        <v>0.9</v>
      </c>
      <c r="M49" s="101">
        <f t="shared" si="9"/>
        <v>0.12141495839724835</v>
      </c>
    </row>
    <row r="50" spans="2:13" x14ac:dyDescent="0.25">
      <c r="B50" s="12">
        <v>45068</v>
      </c>
      <c r="C50" s="18">
        <v>1.76</v>
      </c>
      <c r="D50" s="54">
        <f t="shared" si="0"/>
        <v>-1.1235955056179803E-2</v>
      </c>
      <c r="H50" s="98">
        <v>7.0000000000000007E-2</v>
      </c>
      <c r="I50" s="99">
        <f t="shared" si="7"/>
        <v>-0.15325602709703129</v>
      </c>
      <c r="J50" s="100">
        <v>0.5</v>
      </c>
      <c r="K50" s="99">
        <f t="shared" si="8"/>
        <v>-3.3441208198489725E-2</v>
      </c>
      <c r="L50" s="100">
        <v>0.91</v>
      </c>
      <c r="M50" s="101">
        <f t="shared" si="9"/>
        <v>0.12526765080413144</v>
      </c>
    </row>
    <row r="51" spans="2:13" x14ac:dyDescent="0.25">
      <c r="B51" s="12">
        <v>45061</v>
      </c>
      <c r="C51" s="18">
        <v>1.78</v>
      </c>
      <c r="D51" s="54">
        <f t="shared" si="0"/>
        <v>-0.15238095238095239</v>
      </c>
      <c r="H51" s="98">
        <v>0.08</v>
      </c>
      <c r="I51" s="99">
        <f t="shared" si="7"/>
        <v>-0.15048112999337887</v>
      </c>
      <c r="J51" s="100">
        <v>0.55000000000000004</v>
      </c>
      <c r="K51" s="99">
        <f t="shared" si="8"/>
        <v>-2.1476787792577282E-2</v>
      </c>
      <c r="L51" s="100">
        <v>0.92</v>
      </c>
      <c r="M51" s="101">
        <f t="shared" si="9"/>
        <v>0.13198207383871188</v>
      </c>
    </row>
    <row r="52" spans="2:13" x14ac:dyDescent="0.25">
      <c r="B52" s="12">
        <v>45054</v>
      </c>
      <c r="C52" s="18">
        <v>2.1</v>
      </c>
      <c r="D52" s="54">
        <f t="shared" si="0"/>
        <v>0</v>
      </c>
      <c r="H52" s="98">
        <v>0.09</v>
      </c>
      <c r="I52" s="99">
        <f t="shared" si="7"/>
        <v>-0.1450616388687454</v>
      </c>
      <c r="J52" s="100">
        <v>0.6</v>
      </c>
      <c r="K52" s="99">
        <f t="shared" si="8"/>
        <v>-9.7103963699453223E-3</v>
      </c>
      <c r="L52" s="100">
        <v>0.93</v>
      </c>
      <c r="M52" s="101">
        <f t="shared" si="9"/>
        <v>0.14401233565979546</v>
      </c>
    </row>
    <row r="53" spans="2:13" x14ac:dyDescent="0.25">
      <c r="B53" s="12">
        <v>45047</v>
      </c>
      <c r="C53" s="18">
        <v>2.1</v>
      </c>
      <c r="D53" s="54">
        <f t="shared" si="0"/>
        <v>-9.8712446351931327E-2</v>
      </c>
      <c r="H53" s="98">
        <v>0.1</v>
      </c>
      <c r="I53" s="99">
        <f t="shared" si="7"/>
        <v>-0.12390395644988823</v>
      </c>
      <c r="J53" s="100">
        <v>0.65</v>
      </c>
      <c r="K53" s="99">
        <f t="shared" si="8"/>
        <v>0</v>
      </c>
      <c r="L53" s="100">
        <v>0.94</v>
      </c>
      <c r="M53" s="101">
        <f t="shared" si="9"/>
        <v>0.14611452413022749</v>
      </c>
    </row>
    <row r="54" spans="2:13" x14ac:dyDescent="0.25">
      <c r="B54" s="12">
        <v>45040</v>
      </c>
      <c r="C54" s="18">
        <v>2.33</v>
      </c>
      <c r="D54" s="54">
        <f t="shared" si="0"/>
        <v>3.5555555555555562E-2</v>
      </c>
      <c r="H54" s="98">
        <v>0.11</v>
      </c>
      <c r="I54" s="99">
        <f t="shared" si="7"/>
        <v>-0.12258746113676842</v>
      </c>
      <c r="J54" s="100">
        <v>0.7</v>
      </c>
      <c r="K54" s="99">
        <f t="shared" si="8"/>
        <v>1.252092050209197E-2</v>
      </c>
      <c r="L54" s="100">
        <v>0.95</v>
      </c>
      <c r="M54" s="101">
        <f t="shared" si="9"/>
        <v>0.16949289946286941</v>
      </c>
    </row>
    <row r="55" spans="2:13" x14ac:dyDescent="0.25">
      <c r="B55" s="12">
        <v>45033</v>
      </c>
      <c r="C55" s="18">
        <v>2.25</v>
      </c>
      <c r="D55" s="54">
        <f t="shared" si="0"/>
        <v>-1.3157894736842035E-2</v>
      </c>
      <c r="H55" s="98">
        <v>0.12</v>
      </c>
      <c r="I55" s="99">
        <f t="shared" si="7"/>
        <v>-0.1184917043740573</v>
      </c>
      <c r="J55" s="100">
        <v>0.75</v>
      </c>
      <c r="K55" s="99">
        <f t="shared" si="8"/>
        <v>3.3492822966507241E-2</v>
      </c>
      <c r="L55" s="100">
        <v>0.96</v>
      </c>
      <c r="M55" s="101">
        <f t="shared" si="9"/>
        <v>0.19856798253735253</v>
      </c>
    </row>
    <row r="56" spans="2:13" x14ac:dyDescent="0.25">
      <c r="B56" s="12">
        <v>45026</v>
      </c>
      <c r="C56" s="18">
        <v>2.2799999999999998</v>
      </c>
      <c r="D56" s="54">
        <f t="shared" si="0"/>
        <v>0</v>
      </c>
      <c r="H56" s="98">
        <v>0.13</v>
      </c>
      <c r="I56" s="99">
        <f t="shared" si="7"/>
        <v>-0.1175440498780157</v>
      </c>
      <c r="J56" s="100">
        <v>0.8</v>
      </c>
      <c r="K56" s="99">
        <f t="shared" si="8"/>
        <v>5.4503249767873796E-2</v>
      </c>
      <c r="L56" s="100">
        <v>0.97</v>
      </c>
      <c r="M56" s="101">
        <f t="shared" si="9"/>
        <v>0.21430390146164452</v>
      </c>
    </row>
    <row r="57" spans="2:13" x14ac:dyDescent="0.25">
      <c r="B57" s="12">
        <v>45019</v>
      </c>
      <c r="C57" s="18">
        <v>2.2799999999999998</v>
      </c>
      <c r="D57" s="54">
        <f t="shared" si="0"/>
        <v>-5.7851239669421517E-2</v>
      </c>
      <c r="H57" s="98">
        <v>0.14000000000000001</v>
      </c>
      <c r="I57" s="99">
        <f t="shared" si="7"/>
        <v>-0.11452574525745254</v>
      </c>
      <c r="J57" s="100"/>
      <c r="K57" s="99"/>
      <c r="L57" s="100">
        <v>0.98</v>
      </c>
      <c r="M57" s="101">
        <f t="shared" si="9"/>
        <v>0.34325492220337844</v>
      </c>
    </row>
    <row r="58" spans="2:13" ht="15.75" thickBot="1" x14ac:dyDescent="0.3">
      <c r="B58" s="12">
        <v>45012</v>
      </c>
      <c r="C58" s="18">
        <v>2.42</v>
      </c>
      <c r="D58" s="54">
        <f t="shared" si="0"/>
        <v>1.2552301255229992E-2</v>
      </c>
      <c r="H58" s="102">
        <v>0.15</v>
      </c>
      <c r="I58" s="103">
        <f t="shared" si="7"/>
        <v>-0.10914529914529909</v>
      </c>
      <c r="J58" s="104"/>
      <c r="K58" s="105"/>
      <c r="L58" s="106">
        <v>0.99</v>
      </c>
      <c r="M58" s="107">
        <f t="shared" si="9"/>
        <v>0.42068965517241308</v>
      </c>
    </row>
    <row r="59" spans="2:13" ht="15.75" thickBot="1" x14ac:dyDescent="0.3">
      <c r="B59" s="12">
        <v>45005</v>
      </c>
      <c r="C59" s="18">
        <v>2.39</v>
      </c>
      <c r="D59" s="54">
        <f t="shared" si="0"/>
        <v>3.463203463203457E-2</v>
      </c>
    </row>
    <row r="60" spans="2:13" x14ac:dyDescent="0.25">
      <c r="B60" s="12">
        <v>44998</v>
      </c>
      <c r="C60" s="18">
        <v>2.31</v>
      </c>
      <c r="D60" s="54">
        <f t="shared" si="0"/>
        <v>0.14356435643564347</v>
      </c>
      <c r="H60" s="108" t="s">
        <v>169</v>
      </c>
      <c r="I60" s="109">
        <v>0.24</v>
      </c>
    </row>
    <row r="61" spans="2:13" ht="15.75" thickBot="1" x14ac:dyDescent="0.3">
      <c r="B61" s="12">
        <v>44991</v>
      </c>
      <c r="C61" s="18">
        <v>2.02</v>
      </c>
      <c r="D61" s="54">
        <f t="shared" si="0"/>
        <v>-0.15481171548117156</v>
      </c>
      <c r="H61" s="110" t="s">
        <v>170</v>
      </c>
      <c r="I61" s="111">
        <v>1.1000000000000001</v>
      </c>
    </row>
    <row r="62" spans="2:13" ht="15.75" thickBot="1" x14ac:dyDescent="0.3">
      <c r="B62" s="12">
        <v>44984</v>
      </c>
      <c r="C62" s="18">
        <v>2.39</v>
      </c>
      <c r="D62" s="54">
        <f t="shared" si="0"/>
        <v>0.12206572769953072</v>
      </c>
      <c r="H62" s="112"/>
    </row>
    <row r="63" spans="2:13" x14ac:dyDescent="0.25">
      <c r="B63" s="12">
        <v>44977</v>
      </c>
      <c r="C63" s="18">
        <v>2.13</v>
      </c>
      <c r="D63" s="54">
        <f t="shared" si="0"/>
        <v>-3.6199095022624417E-2</v>
      </c>
      <c r="H63" s="108" t="s">
        <v>171</v>
      </c>
      <c r="I63" s="113">
        <v>1.07</v>
      </c>
    </row>
    <row r="64" spans="2:13" x14ac:dyDescent="0.25">
      <c r="B64" s="12">
        <v>44970</v>
      </c>
      <c r="C64" s="18">
        <v>2.21</v>
      </c>
      <c r="D64" s="54">
        <f t="shared" si="0"/>
        <v>5.741626794258381E-2</v>
      </c>
      <c r="H64" s="114" t="s">
        <v>172</v>
      </c>
      <c r="I64" s="115">
        <f>I63*(1-I60)</f>
        <v>0.81320000000000003</v>
      </c>
    </row>
    <row r="65" spans="2:9" ht="15.75" thickBot="1" x14ac:dyDescent="0.3">
      <c r="B65" s="12">
        <v>44963</v>
      </c>
      <c r="C65" s="18">
        <v>2.09</v>
      </c>
      <c r="D65" s="54">
        <f t="shared" si="0"/>
        <v>-0.20532319391634979</v>
      </c>
      <c r="H65" s="110" t="s">
        <v>173</v>
      </c>
      <c r="I65" s="116">
        <f>I63*(1+I61)</f>
        <v>2.2470000000000003</v>
      </c>
    </row>
    <row r="66" spans="2:9" x14ac:dyDescent="0.25">
      <c r="B66" s="12">
        <v>44956</v>
      </c>
      <c r="C66" s="18">
        <v>2.63</v>
      </c>
      <c r="D66" s="54">
        <f t="shared" si="0"/>
        <v>0.12875536480686689</v>
      </c>
    </row>
    <row r="67" spans="2:9" x14ac:dyDescent="0.25">
      <c r="B67" s="12">
        <v>44949</v>
      </c>
      <c r="C67" s="18">
        <v>2.33</v>
      </c>
      <c r="D67" s="54">
        <f t="shared" ref="D67:D130" si="10">C67/C68-1</f>
        <v>-8.2677165354330673E-2</v>
      </c>
    </row>
    <row r="68" spans="2:9" x14ac:dyDescent="0.25">
      <c r="B68" s="12">
        <v>44942</v>
      </c>
      <c r="C68" s="18">
        <v>2.54</v>
      </c>
      <c r="D68" s="54">
        <f t="shared" si="10"/>
        <v>7.9365079365079083E-3</v>
      </c>
    </row>
    <row r="69" spans="2:9" x14ac:dyDescent="0.25">
      <c r="B69" s="12">
        <v>44935</v>
      </c>
      <c r="C69" s="18">
        <v>2.52</v>
      </c>
      <c r="D69" s="54">
        <f t="shared" si="10"/>
        <v>-7.8740157480314821E-3</v>
      </c>
    </row>
    <row r="70" spans="2:9" x14ac:dyDescent="0.25">
      <c r="B70" s="12">
        <v>44928</v>
      </c>
      <c r="C70" s="18">
        <v>2.54</v>
      </c>
      <c r="D70" s="54">
        <f t="shared" si="10"/>
        <v>0.45977011494252884</v>
      </c>
    </row>
    <row r="71" spans="2:9" x14ac:dyDescent="0.25">
      <c r="B71" s="12">
        <v>44921</v>
      </c>
      <c r="C71" s="18">
        <v>1.74</v>
      </c>
      <c r="D71" s="54">
        <f t="shared" si="10"/>
        <v>0.22535211267605648</v>
      </c>
    </row>
    <row r="72" spans="2:9" x14ac:dyDescent="0.25">
      <c r="B72" s="12">
        <v>44914</v>
      </c>
      <c r="C72" s="18">
        <v>1.42</v>
      </c>
      <c r="D72" s="54">
        <f t="shared" si="10"/>
        <v>4.4117647058823373E-2</v>
      </c>
    </row>
    <row r="73" spans="2:9" x14ac:dyDescent="0.25">
      <c r="B73" s="12">
        <v>44907</v>
      </c>
      <c r="C73" s="18">
        <v>1.36</v>
      </c>
      <c r="D73" s="54">
        <f t="shared" si="10"/>
        <v>-4.2253521126760396E-2</v>
      </c>
    </row>
    <row r="74" spans="2:9" x14ac:dyDescent="0.25">
      <c r="B74" s="12">
        <v>44900</v>
      </c>
      <c r="C74" s="18">
        <v>1.42</v>
      </c>
      <c r="D74" s="54">
        <f t="shared" si="10"/>
        <v>-0.12345679012345689</v>
      </c>
    </row>
    <row r="75" spans="2:9" x14ac:dyDescent="0.25">
      <c r="B75" s="12">
        <v>44893</v>
      </c>
      <c r="C75" s="18">
        <v>1.62</v>
      </c>
      <c r="D75" s="54">
        <f t="shared" si="10"/>
        <v>1.2499999999999956E-2</v>
      </c>
    </row>
    <row r="76" spans="2:9" x14ac:dyDescent="0.25">
      <c r="B76" s="12">
        <v>44886</v>
      </c>
      <c r="C76" s="18">
        <v>1.6</v>
      </c>
      <c r="D76" s="54">
        <f t="shared" si="10"/>
        <v>-0.1794871794871794</v>
      </c>
    </row>
    <row r="77" spans="2:9" x14ac:dyDescent="0.25">
      <c r="B77" s="12">
        <v>44879</v>
      </c>
      <c r="C77" s="18">
        <v>1.95</v>
      </c>
      <c r="D77" s="54">
        <f t="shared" si="10"/>
        <v>-0.20408163265306134</v>
      </c>
    </row>
    <row r="78" spans="2:9" x14ac:dyDescent="0.25">
      <c r="B78" s="12">
        <v>44872</v>
      </c>
      <c r="C78" s="18">
        <v>2.4500000000000002</v>
      </c>
      <c r="D78" s="54">
        <f t="shared" si="10"/>
        <v>0.20098039215686292</v>
      </c>
    </row>
    <row r="79" spans="2:9" x14ac:dyDescent="0.25">
      <c r="B79" s="12">
        <v>44865</v>
      </c>
      <c r="C79" s="18">
        <v>2.04</v>
      </c>
      <c r="D79" s="54">
        <f t="shared" si="10"/>
        <v>-5.9907834101382451E-2</v>
      </c>
    </row>
    <row r="80" spans="2:9" x14ac:dyDescent="0.25">
      <c r="B80" s="12">
        <v>44858</v>
      </c>
      <c r="C80" s="18">
        <v>2.17</v>
      </c>
      <c r="D80" s="54">
        <f t="shared" si="10"/>
        <v>5.8536585365853711E-2</v>
      </c>
    </row>
    <row r="81" spans="2:4" x14ac:dyDescent="0.25">
      <c r="B81" s="12">
        <v>44851</v>
      </c>
      <c r="C81" s="18">
        <v>2.0499999999999998</v>
      </c>
      <c r="D81" s="54">
        <f t="shared" si="10"/>
        <v>-8.8888888888889017E-2</v>
      </c>
    </row>
    <row r="82" spans="2:4" x14ac:dyDescent="0.25">
      <c r="B82" s="12">
        <v>44844</v>
      </c>
      <c r="C82" s="18">
        <v>2.25</v>
      </c>
      <c r="D82" s="54">
        <f t="shared" si="10"/>
        <v>-0.11764705882352933</v>
      </c>
    </row>
    <row r="83" spans="2:4" x14ac:dyDescent="0.25">
      <c r="B83" s="12">
        <v>44837</v>
      </c>
      <c r="C83" s="18">
        <v>2.5499999999999998</v>
      </c>
      <c r="D83" s="54">
        <f t="shared" si="10"/>
        <v>-3.041825095057038E-2</v>
      </c>
    </row>
    <row r="84" spans="2:4" x14ac:dyDescent="0.25">
      <c r="B84" s="12">
        <v>44830</v>
      </c>
      <c r="C84" s="18">
        <v>2.63</v>
      </c>
      <c r="D84" s="54">
        <f t="shared" si="10"/>
        <v>-2.2304832713754719E-2</v>
      </c>
    </row>
    <row r="85" spans="2:4" x14ac:dyDescent="0.25">
      <c r="B85" s="12">
        <v>44823</v>
      </c>
      <c r="C85" s="18">
        <v>2.69</v>
      </c>
      <c r="D85" s="54">
        <f t="shared" si="10"/>
        <v>-0.10033444816053516</v>
      </c>
    </row>
    <row r="86" spans="2:4" x14ac:dyDescent="0.25">
      <c r="B86" s="12">
        <v>44816</v>
      </c>
      <c r="C86" s="18">
        <v>2.99</v>
      </c>
      <c r="D86" s="54">
        <f t="shared" si="10"/>
        <v>-8.5626911314984677E-2</v>
      </c>
    </row>
    <row r="87" spans="2:4" x14ac:dyDescent="0.25">
      <c r="B87" s="12">
        <v>44809</v>
      </c>
      <c r="C87" s="18">
        <v>3.27</v>
      </c>
      <c r="D87" s="54">
        <f t="shared" si="10"/>
        <v>7.9207920792079278E-2</v>
      </c>
    </row>
    <row r="88" spans="2:4" x14ac:dyDescent="0.25">
      <c r="B88" s="12">
        <v>44802</v>
      </c>
      <c r="C88" s="18">
        <v>3.03</v>
      </c>
      <c r="D88" s="54">
        <f t="shared" si="10"/>
        <v>-6.7692307692307718E-2</v>
      </c>
    </row>
    <row r="89" spans="2:4" x14ac:dyDescent="0.25">
      <c r="B89" s="12">
        <v>44795</v>
      </c>
      <c r="C89" s="18">
        <v>3.25</v>
      </c>
      <c r="D89" s="54">
        <f t="shared" si="10"/>
        <v>-4.1297935103244865E-2</v>
      </c>
    </row>
    <row r="90" spans="2:4" x14ac:dyDescent="0.25">
      <c r="B90" s="12">
        <v>44788</v>
      </c>
      <c r="C90" s="18">
        <v>3.39</v>
      </c>
      <c r="D90" s="54">
        <f t="shared" si="10"/>
        <v>-0.173170731707317</v>
      </c>
    </row>
    <row r="91" spans="2:4" x14ac:dyDescent="0.25">
      <c r="B91" s="12">
        <v>44781</v>
      </c>
      <c r="C91" s="18">
        <v>4.0999999999999996</v>
      </c>
      <c r="D91" s="54">
        <f t="shared" si="10"/>
        <v>3.2745591939546514E-2</v>
      </c>
    </row>
    <row r="92" spans="2:4" x14ac:dyDescent="0.25">
      <c r="B92" s="12">
        <v>44774</v>
      </c>
      <c r="C92" s="18">
        <v>3.97</v>
      </c>
      <c r="D92" s="54">
        <f t="shared" si="10"/>
        <v>6.7204301075268758E-2</v>
      </c>
    </row>
    <row r="93" spans="2:4" x14ac:dyDescent="0.25">
      <c r="B93" s="12">
        <v>44767</v>
      </c>
      <c r="C93" s="18">
        <v>3.72</v>
      </c>
      <c r="D93" s="54">
        <f t="shared" si="10"/>
        <v>-1.5873015873015817E-2</v>
      </c>
    </row>
    <row r="94" spans="2:4" x14ac:dyDescent="0.25">
      <c r="B94" s="12">
        <v>44760</v>
      </c>
      <c r="C94" s="18">
        <v>3.78</v>
      </c>
      <c r="D94" s="54">
        <f t="shared" si="10"/>
        <v>5.2924791086351064E-2</v>
      </c>
    </row>
    <row r="95" spans="2:4" x14ac:dyDescent="0.25">
      <c r="B95" s="12">
        <v>44753</v>
      </c>
      <c r="C95" s="18">
        <v>3.59</v>
      </c>
      <c r="D95" s="54">
        <f t="shared" si="10"/>
        <v>-0.12224938875305624</v>
      </c>
    </row>
    <row r="96" spans="2:4" x14ac:dyDescent="0.25">
      <c r="B96" s="12">
        <v>44746</v>
      </c>
      <c r="C96" s="18">
        <v>4.09</v>
      </c>
      <c r="D96" s="54">
        <f t="shared" si="10"/>
        <v>0.12362637362637363</v>
      </c>
    </row>
    <row r="97" spans="2:4" x14ac:dyDescent="0.25">
      <c r="B97" s="12">
        <v>44739</v>
      </c>
      <c r="C97" s="18">
        <v>3.64</v>
      </c>
      <c r="D97" s="54">
        <f t="shared" si="10"/>
        <v>-0.10784313725490191</v>
      </c>
    </row>
    <row r="98" spans="2:4" x14ac:dyDescent="0.25">
      <c r="B98" s="12">
        <v>44732</v>
      </c>
      <c r="C98" s="18">
        <v>4.08</v>
      </c>
      <c r="D98" s="54">
        <f t="shared" si="10"/>
        <v>9.3833780160857971E-2</v>
      </c>
    </row>
    <row r="99" spans="2:4" x14ac:dyDescent="0.25">
      <c r="B99" s="12">
        <v>44725</v>
      </c>
      <c r="C99" s="18">
        <v>3.73</v>
      </c>
      <c r="D99" s="54">
        <f t="shared" si="10"/>
        <v>-4.1131105398457657E-2</v>
      </c>
    </row>
    <row r="100" spans="2:4" x14ac:dyDescent="0.25">
      <c r="B100" s="12">
        <v>44718</v>
      </c>
      <c r="C100" s="18">
        <v>3.89</v>
      </c>
      <c r="D100" s="54">
        <f t="shared" si="10"/>
        <v>-3.9506172839506082E-2</v>
      </c>
    </row>
    <row r="101" spans="2:4" x14ac:dyDescent="0.25">
      <c r="B101" s="12">
        <v>44711</v>
      </c>
      <c r="C101" s="18">
        <v>4.05</v>
      </c>
      <c r="D101" s="54">
        <f t="shared" si="10"/>
        <v>-3.341288782816243E-2</v>
      </c>
    </row>
    <row r="102" spans="2:4" x14ac:dyDescent="0.25">
      <c r="B102" s="12">
        <v>44704</v>
      </c>
      <c r="C102" s="18">
        <v>4.1900000000000004</v>
      </c>
      <c r="D102" s="54">
        <f t="shared" si="10"/>
        <v>0.14480874316939896</v>
      </c>
    </row>
    <row r="103" spans="2:4" x14ac:dyDescent="0.25">
      <c r="B103" s="12">
        <v>44697</v>
      </c>
      <c r="C103" s="18">
        <v>3.66</v>
      </c>
      <c r="D103" s="54">
        <f t="shared" si="10"/>
        <v>-1.3477088948786964E-2</v>
      </c>
    </row>
    <row r="104" spans="2:4" x14ac:dyDescent="0.25">
      <c r="B104" s="12">
        <v>44690</v>
      </c>
      <c r="C104" s="18">
        <v>3.71</v>
      </c>
      <c r="D104" s="54">
        <f t="shared" si="10"/>
        <v>0.11746987951807242</v>
      </c>
    </row>
    <row r="105" spans="2:4" x14ac:dyDescent="0.25">
      <c r="B105" s="12">
        <v>44683</v>
      </c>
      <c r="C105" s="18">
        <v>3.32</v>
      </c>
      <c r="D105" s="54">
        <f t="shared" si="10"/>
        <v>-6.7415730337078705E-2</v>
      </c>
    </row>
    <row r="106" spans="2:4" x14ac:dyDescent="0.25">
      <c r="B106" s="12">
        <v>44676</v>
      </c>
      <c r="C106" s="18">
        <v>3.56</v>
      </c>
      <c r="D106" s="54">
        <f t="shared" si="10"/>
        <v>-7.0496083550913857E-2</v>
      </c>
    </row>
    <row r="107" spans="2:4" x14ac:dyDescent="0.25">
      <c r="B107" s="12">
        <v>44669</v>
      </c>
      <c r="C107" s="18">
        <v>3.83</v>
      </c>
      <c r="D107" s="54">
        <f t="shared" si="10"/>
        <v>-0.11751152073732718</v>
      </c>
    </row>
    <row r="108" spans="2:4" x14ac:dyDescent="0.25">
      <c r="B108" s="12">
        <v>44662</v>
      </c>
      <c r="C108" s="18">
        <v>4.34</v>
      </c>
      <c r="D108" s="54">
        <f t="shared" si="10"/>
        <v>-2.4719101123595544E-2</v>
      </c>
    </row>
    <row r="109" spans="2:4" x14ac:dyDescent="0.25">
      <c r="B109" s="12">
        <v>44655</v>
      </c>
      <c r="C109" s="18">
        <v>4.45</v>
      </c>
      <c r="D109" s="54">
        <f t="shared" si="10"/>
        <v>-0.12401574803149606</v>
      </c>
    </row>
    <row r="110" spans="2:4" x14ac:dyDescent="0.25">
      <c r="B110" s="12">
        <v>44648</v>
      </c>
      <c r="C110" s="18">
        <v>5.08</v>
      </c>
      <c r="D110" s="54">
        <f t="shared" si="10"/>
        <v>-7.8125E-3</v>
      </c>
    </row>
    <row r="111" spans="2:4" x14ac:dyDescent="0.25">
      <c r="B111" s="12">
        <v>44641</v>
      </c>
      <c r="C111" s="18">
        <v>5.12</v>
      </c>
      <c r="D111" s="54">
        <f t="shared" si="10"/>
        <v>-0.10489510489510478</v>
      </c>
    </row>
    <row r="112" spans="2:4" x14ac:dyDescent="0.25">
      <c r="B112" s="12">
        <v>44634</v>
      </c>
      <c r="C112" s="18">
        <v>5.72</v>
      </c>
      <c r="D112" s="54">
        <f t="shared" si="10"/>
        <v>0.14629258517034049</v>
      </c>
    </row>
    <row r="113" spans="2:4" x14ac:dyDescent="0.25">
      <c r="B113" s="12">
        <v>44627</v>
      </c>
      <c r="C113" s="18">
        <v>4.99</v>
      </c>
      <c r="D113" s="54">
        <f t="shared" si="10"/>
        <v>-0.192556634304207</v>
      </c>
    </row>
    <row r="114" spans="2:4" x14ac:dyDescent="0.25">
      <c r="B114" s="12">
        <v>44620</v>
      </c>
      <c r="C114" s="18">
        <v>6.18</v>
      </c>
      <c r="D114" s="54">
        <f t="shared" si="10"/>
        <v>-8.1723625557206692E-2</v>
      </c>
    </row>
    <row r="115" spans="2:4" x14ac:dyDescent="0.25">
      <c r="B115" s="12">
        <v>44613</v>
      </c>
      <c r="C115" s="18">
        <v>6.73</v>
      </c>
      <c r="D115" s="54">
        <f t="shared" si="10"/>
        <v>-3.4433285509325562E-2</v>
      </c>
    </row>
    <row r="116" spans="2:4" x14ac:dyDescent="0.25">
      <c r="B116" s="12">
        <v>44606</v>
      </c>
      <c r="C116" s="18">
        <v>6.97</v>
      </c>
      <c r="D116" s="54">
        <f t="shared" si="10"/>
        <v>-4.9113233287858216E-2</v>
      </c>
    </row>
    <row r="117" spans="2:4" x14ac:dyDescent="0.25">
      <c r="B117" s="12">
        <v>44599</v>
      </c>
      <c r="C117" s="18">
        <v>7.33</v>
      </c>
      <c r="D117" s="54">
        <f t="shared" si="10"/>
        <v>6.5406976744186052E-2</v>
      </c>
    </row>
    <row r="118" spans="2:4" x14ac:dyDescent="0.25">
      <c r="B118" s="12">
        <v>44592</v>
      </c>
      <c r="C118" s="18">
        <v>6.88</v>
      </c>
      <c r="D118" s="54">
        <f t="shared" si="10"/>
        <v>3.4586466165413388E-2</v>
      </c>
    </row>
    <row r="119" spans="2:4" x14ac:dyDescent="0.25">
      <c r="B119" s="12">
        <v>44585</v>
      </c>
      <c r="C119" s="18">
        <v>6.65</v>
      </c>
      <c r="D119" s="54">
        <f t="shared" si="10"/>
        <v>1.8376722817764257E-2</v>
      </c>
    </row>
    <row r="120" spans="2:4" x14ac:dyDescent="0.25">
      <c r="B120" s="12">
        <v>44578</v>
      </c>
      <c r="C120" s="18">
        <v>6.53</v>
      </c>
      <c r="D120" s="54">
        <f t="shared" si="10"/>
        <v>-0.11875843454790824</v>
      </c>
    </row>
    <row r="121" spans="2:4" x14ac:dyDescent="0.25">
      <c r="B121" s="12">
        <v>44571</v>
      </c>
      <c r="C121" s="18">
        <v>7.41</v>
      </c>
      <c r="D121" s="54">
        <f t="shared" si="10"/>
        <v>-7.1428571428571508E-2</v>
      </c>
    </row>
    <row r="122" spans="2:4" x14ac:dyDescent="0.25">
      <c r="B122" s="12">
        <v>44564</v>
      </c>
      <c r="C122" s="18">
        <v>7.98</v>
      </c>
      <c r="D122" s="54">
        <f t="shared" si="10"/>
        <v>2.5125628140703071E-3</v>
      </c>
    </row>
    <row r="123" spans="2:4" x14ac:dyDescent="0.25">
      <c r="B123" s="12">
        <v>44557</v>
      </c>
      <c r="C123" s="18">
        <v>7.96</v>
      </c>
      <c r="D123" s="54">
        <f t="shared" si="10"/>
        <v>-2.211302211302224E-2</v>
      </c>
    </row>
    <row r="124" spans="2:4" x14ac:dyDescent="0.25">
      <c r="B124" s="12">
        <v>44550</v>
      </c>
      <c r="C124" s="18">
        <v>8.14</v>
      </c>
      <c r="D124" s="54">
        <f t="shared" si="10"/>
        <v>1.8773466833541974E-2</v>
      </c>
    </row>
    <row r="125" spans="2:4" x14ac:dyDescent="0.25">
      <c r="B125" s="12">
        <v>44543</v>
      </c>
      <c r="C125" s="18">
        <v>7.99</v>
      </c>
      <c r="D125" s="54">
        <f t="shared" si="10"/>
        <v>-5.9999999999999942E-2</v>
      </c>
    </row>
    <row r="126" spans="2:4" x14ac:dyDescent="0.25">
      <c r="B126" s="12">
        <v>44536</v>
      </c>
      <c r="C126" s="18">
        <v>8.5</v>
      </c>
      <c r="D126" s="54">
        <f t="shared" si="10"/>
        <v>6.25E-2</v>
      </c>
    </row>
    <row r="127" spans="2:4" x14ac:dyDescent="0.25">
      <c r="B127" s="12">
        <v>44529</v>
      </c>
      <c r="C127" s="18">
        <v>8</v>
      </c>
      <c r="D127" s="54">
        <f t="shared" si="10"/>
        <v>-0.17269906928645296</v>
      </c>
    </row>
    <row r="128" spans="2:4" x14ac:dyDescent="0.25">
      <c r="B128" s="12">
        <v>44522</v>
      </c>
      <c r="C128" s="18">
        <v>9.67</v>
      </c>
      <c r="D128" s="54">
        <f t="shared" si="10"/>
        <v>-3.7810945273631935E-2</v>
      </c>
    </row>
    <row r="129" spans="2:4" x14ac:dyDescent="0.25">
      <c r="B129" s="12">
        <v>44515</v>
      </c>
      <c r="C129" s="18">
        <v>10.050000000000001</v>
      </c>
      <c r="D129" s="54">
        <f t="shared" si="10"/>
        <v>-0.14974619289340096</v>
      </c>
    </row>
    <row r="130" spans="2:4" x14ac:dyDescent="0.25">
      <c r="B130" s="12">
        <v>44508</v>
      </c>
      <c r="C130" s="18">
        <v>11.82</v>
      </c>
      <c r="D130" s="54">
        <f t="shared" si="10"/>
        <v>-0.10114068441064639</v>
      </c>
    </row>
    <row r="131" spans="2:4" x14ac:dyDescent="0.25">
      <c r="B131" s="12">
        <v>44501</v>
      </c>
      <c r="C131" s="18">
        <v>13.15</v>
      </c>
      <c r="D131" s="54">
        <f t="shared" ref="D131:D151" si="11">C131/C132-1</f>
        <v>2.0170674941815347E-2</v>
      </c>
    </row>
    <row r="132" spans="2:4" x14ac:dyDescent="0.25">
      <c r="B132" s="12">
        <v>44494</v>
      </c>
      <c r="C132" s="18">
        <v>12.89</v>
      </c>
      <c r="D132" s="54">
        <f t="shared" si="11"/>
        <v>-7.9942897930049939E-2</v>
      </c>
    </row>
    <row r="133" spans="2:4" x14ac:dyDescent="0.25">
      <c r="B133" s="12">
        <v>44487</v>
      </c>
      <c r="C133" s="18">
        <v>14.01</v>
      </c>
      <c r="D133" s="54">
        <f t="shared" si="11"/>
        <v>-3.4458993797381154E-2</v>
      </c>
    </row>
    <row r="134" spans="2:4" x14ac:dyDescent="0.25">
      <c r="B134" s="12">
        <v>44480</v>
      </c>
      <c r="C134" s="18">
        <v>14.51</v>
      </c>
      <c r="D134" s="54">
        <f t="shared" si="11"/>
        <v>-6.164383561643838E-3</v>
      </c>
    </row>
    <row r="135" spans="2:4" x14ac:dyDescent="0.25">
      <c r="B135" s="12">
        <v>44473</v>
      </c>
      <c r="C135" s="18">
        <v>14.6</v>
      </c>
      <c r="D135" s="54">
        <f t="shared" si="11"/>
        <v>-1.0169491525423791E-2</v>
      </c>
    </row>
    <row r="136" spans="2:4" x14ac:dyDescent="0.25">
      <c r="B136" s="12">
        <v>44466</v>
      </c>
      <c r="C136" s="18">
        <v>14.75</v>
      </c>
      <c r="D136" s="54">
        <f t="shared" si="11"/>
        <v>-9.5091969024047152E-2</v>
      </c>
    </row>
    <row r="137" spans="2:4" x14ac:dyDescent="0.25">
      <c r="B137" s="12">
        <v>44459</v>
      </c>
      <c r="C137" s="18">
        <v>16.299999</v>
      </c>
      <c r="D137" s="54">
        <f t="shared" si="11"/>
        <v>1.8438229870927358E-3</v>
      </c>
    </row>
    <row r="138" spans="2:4" x14ac:dyDescent="0.25">
      <c r="B138" s="12">
        <v>44452</v>
      </c>
      <c r="C138" s="18">
        <v>16.27</v>
      </c>
      <c r="D138" s="54">
        <f t="shared" si="11"/>
        <v>-6.7621829935711752E-2</v>
      </c>
    </row>
    <row r="139" spans="2:4" x14ac:dyDescent="0.25">
      <c r="B139" s="12">
        <v>44445</v>
      </c>
      <c r="C139" s="18">
        <v>17.450001</v>
      </c>
      <c r="D139" s="54">
        <f t="shared" si="11"/>
        <v>3.622333729216165E-2</v>
      </c>
    </row>
    <row r="140" spans="2:4" x14ac:dyDescent="0.25">
      <c r="B140" s="12">
        <v>44438</v>
      </c>
      <c r="C140" s="18">
        <v>16.84</v>
      </c>
      <c r="D140" s="54">
        <f t="shared" si="11"/>
        <v>-7.9781370479856339E-2</v>
      </c>
    </row>
    <row r="141" spans="2:4" x14ac:dyDescent="0.25">
      <c r="B141" s="12">
        <v>44431</v>
      </c>
      <c r="C141" s="18">
        <v>18.299999</v>
      </c>
      <c r="D141" s="54">
        <f t="shared" si="11"/>
        <v>0.17082527191298769</v>
      </c>
    </row>
    <row r="142" spans="2:4" x14ac:dyDescent="0.25">
      <c r="B142" s="12">
        <v>44424</v>
      </c>
      <c r="C142" s="18">
        <v>15.63</v>
      </c>
      <c r="D142" s="54">
        <f t="shared" si="11"/>
        <v>-7.3503315145031611E-2</v>
      </c>
    </row>
    <row r="143" spans="2:4" x14ac:dyDescent="0.25">
      <c r="B143" s="12">
        <v>44417</v>
      </c>
      <c r="C143" s="18">
        <v>16.870000999999998</v>
      </c>
      <c r="D143" s="54">
        <f t="shared" si="11"/>
        <v>-8.6626859048557714E-2</v>
      </c>
    </row>
    <row r="144" spans="2:4" x14ac:dyDescent="0.25">
      <c r="B144" s="12">
        <v>44410</v>
      </c>
      <c r="C144" s="18">
        <v>18.469999000000001</v>
      </c>
      <c r="D144" s="54">
        <f t="shared" si="11"/>
        <v>4.0563323943662022E-2</v>
      </c>
    </row>
    <row r="145" spans="2:4" x14ac:dyDescent="0.25">
      <c r="B145" s="12">
        <v>44403</v>
      </c>
      <c r="C145" s="18">
        <v>17.75</v>
      </c>
      <c r="D145" s="54">
        <f t="shared" si="11"/>
        <v>-3.8982081157665549E-2</v>
      </c>
    </row>
    <row r="146" spans="2:4" x14ac:dyDescent="0.25">
      <c r="B146" s="12">
        <v>44396</v>
      </c>
      <c r="C146" s="18">
        <v>18.469999000000001</v>
      </c>
      <c r="D146" s="54">
        <f t="shared" si="11"/>
        <v>-4.2012549688145606E-2</v>
      </c>
    </row>
    <row r="147" spans="2:4" x14ac:dyDescent="0.25">
      <c r="B147" s="12">
        <v>44389</v>
      </c>
      <c r="C147" s="18">
        <v>19.280000999999999</v>
      </c>
      <c r="D147" s="54">
        <f t="shared" si="11"/>
        <v>-0.16173908695652184</v>
      </c>
    </row>
    <row r="148" spans="2:4" x14ac:dyDescent="0.25">
      <c r="B148" s="12">
        <v>44382</v>
      </c>
      <c r="C148" s="18">
        <v>23</v>
      </c>
      <c r="D148" s="54">
        <f t="shared" si="11"/>
        <v>-3.8977912516240387E-3</v>
      </c>
    </row>
    <row r="149" spans="2:4" x14ac:dyDescent="0.25">
      <c r="B149" s="12">
        <v>44375</v>
      </c>
      <c r="C149" s="18">
        <v>23.09</v>
      </c>
      <c r="D149" s="54">
        <f t="shared" si="11"/>
        <v>-5.3688524590163933E-2</v>
      </c>
    </row>
    <row r="150" spans="2:4" x14ac:dyDescent="0.25">
      <c r="B150" s="12">
        <v>44368</v>
      </c>
      <c r="C150" s="18">
        <v>24.4</v>
      </c>
      <c r="D150" s="54">
        <f t="shared" si="11"/>
        <v>-6.1538461538461542E-2</v>
      </c>
    </row>
    <row r="151" spans="2:4" x14ac:dyDescent="0.25">
      <c r="B151" s="12">
        <v>44361</v>
      </c>
      <c r="C151" s="18">
        <v>26</v>
      </c>
      <c r="D151" s="54">
        <f t="shared" si="11"/>
        <v>-9.5022624434389136E-2</v>
      </c>
    </row>
    <row r="152" spans="2:4" x14ac:dyDescent="0.25">
      <c r="B152" s="12">
        <v>44354</v>
      </c>
      <c r="C152" s="18">
        <v>28.73</v>
      </c>
      <c r="D152" s="54">
        <f>C152/C153-1</f>
        <v>0.20562316407889236</v>
      </c>
    </row>
    <row r="153" spans="2:4" x14ac:dyDescent="0.25">
      <c r="B153" s="12">
        <v>44347</v>
      </c>
      <c r="C153" s="18">
        <v>23.83</v>
      </c>
      <c r="D153" s="54">
        <f t="shared" ref="D153:D154" si="12">C153/C154-1</f>
        <v>5.0611980202950324E-3</v>
      </c>
    </row>
    <row r="154" spans="2:4" x14ac:dyDescent="0.25">
      <c r="B154" s="12">
        <v>44340</v>
      </c>
      <c r="C154" s="18">
        <v>23.709999</v>
      </c>
      <c r="D154" s="54">
        <f t="shared" si="12"/>
        <v>5.5654499361286636E-2</v>
      </c>
    </row>
    <row r="155" spans="2:4" x14ac:dyDescent="0.25">
      <c r="B155" s="12">
        <v>44333</v>
      </c>
      <c r="C155" s="18">
        <v>22.459999</v>
      </c>
      <c r="D155" s="54"/>
    </row>
    <row r="156" spans="2:4" x14ac:dyDescent="0.25">
      <c r="B156" s="12"/>
      <c r="C156" s="17"/>
      <c r="D156" s="54"/>
    </row>
    <row r="157" spans="2:4" x14ac:dyDescent="0.25">
      <c r="B157" s="12"/>
      <c r="C157" s="17"/>
      <c r="D157" s="54"/>
    </row>
    <row r="158" spans="2:4" x14ac:dyDescent="0.25">
      <c r="B158" s="12"/>
      <c r="C158" s="17"/>
      <c r="D158" s="54"/>
    </row>
  </sheetData>
  <mergeCells count="4">
    <mergeCell ref="H1:M1"/>
    <mergeCell ref="H17:I17"/>
    <mergeCell ref="H18:I18"/>
    <mergeCell ref="H43:M43"/>
  </mergeCells>
  <hyperlinks>
    <hyperlink ref="A1" location="Main!A1" display="Main" xr:uid="{D252785F-C9B5-4588-8297-C3A21B328E45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Revenue by Segment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2024-04-30T12:34:13Z</dcterms:modified>
</cp:coreProperties>
</file>