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imon\Documents\models\E-Com\"/>
    </mc:Choice>
  </mc:AlternateContent>
  <xr:revisionPtr revIDLastSave="0" documentId="13_ncr:1_{AD012DF9-933C-41A0-85D5-CBC013E1098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in" sheetId="1" r:id="rId1"/>
    <sheet name="Model" sheetId="2" r:id="rId2"/>
    <sheet name="Net S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" i="2" l="1"/>
  <c r="J5" i="2"/>
  <c r="J41" i="2" s="1"/>
  <c r="J4" i="2"/>
  <c r="J37" i="2" s="1"/>
  <c r="J3" i="2"/>
  <c r="J36" i="2" s="1"/>
  <c r="F5" i="2"/>
  <c r="F4" i="2"/>
  <c r="F37" i="2" s="1"/>
  <c r="F3" i="2"/>
  <c r="F36" i="2" s="1"/>
  <c r="F26" i="2"/>
  <c r="F22" i="2"/>
  <c r="F20" i="2"/>
  <c r="F16" i="2"/>
  <c r="F9" i="2"/>
  <c r="F7" i="2"/>
  <c r="F8" i="2"/>
  <c r="F10" i="2"/>
  <c r="F11" i="2"/>
  <c r="F12" i="2"/>
  <c r="F13" i="2"/>
  <c r="F14" i="2"/>
  <c r="F15" i="2"/>
  <c r="F17" i="2"/>
  <c r="F18" i="2"/>
  <c r="F19" i="2"/>
  <c r="F21" i="2"/>
  <c r="F25" i="2"/>
  <c r="F24" i="2"/>
  <c r="F23" i="2"/>
  <c r="J25" i="2"/>
  <c r="J24" i="2"/>
  <c r="J23" i="2"/>
  <c r="G30" i="2"/>
  <c r="H30" i="2"/>
  <c r="I30" i="2"/>
  <c r="E3" i="3"/>
  <c r="E4" i="3"/>
  <c r="I15" i="3" s="1"/>
  <c r="E5" i="3"/>
  <c r="E6" i="3"/>
  <c r="E7" i="3"/>
  <c r="E8" i="3"/>
  <c r="E9" i="3"/>
  <c r="E2" i="3"/>
  <c r="I12" i="3" s="1"/>
  <c r="I3" i="3"/>
  <c r="I4" i="3"/>
  <c r="I5" i="3"/>
  <c r="I6" i="3"/>
  <c r="I7" i="3"/>
  <c r="I14" i="3" s="1"/>
  <c r="I8" i="3"/>
  <c r="I2" i="3"/>
  <c r="N12" i="3"/>
  <c r="O12" i="3"/>
  <c r="P12" i="3"/>
  <c r="N14" i="3"/>
  <c r="O14" i="3"/>
  <c r="P14" i="3"/>
  <c r="N15" i="3"/>
  <c r="O15" i="3"/>
  <c r="P15" i="3"/>
  <c r="R12" i="3"/>
  <c r="R13" i="3"/>
  <c r="R14" i="3"/>
  <c r="R15" i="3"/>
  <c r="Q15" i="3"/>
  <c r="Q14" i="3"/>
  <c r="Q13" i="3"/>
  <c r="Q12" i="3"/>
  <c r="S9" i="3"/>
  <c r="R9" i="3"/>
  <c r="Q9" i="3"/>
  <c r="P9" i="3"/>
  <c r="O9" i="3"/>
  <c r="N9" i="3"/>
  <c r="M9" i="3"/>
  <c r="N25" i="2"/>
  <c r="N41" i="2" s="1"/>
  <c r="N24" i="2"/>
  <c r="N23" i="2"/>
  <c r="R25" i="2"/>
  <c r="R24" i="2"/>
  <c r="R40" i="2" s="1"/>
  <c r="R23" i="2"/>
  <c r="R5" i="2"/>
  <c r="R4" i="2"/>
  <c r="R3" i="2"/>
  <c r="N4" i="2"/>
  <c r="N40" i="2" s="1"/>
  <c r="N5" i="2"/>
  <c r="N3" i="2"/>
  <c r="D9" i="3"/>
  <c r="H9" i="3"/>
  <c r="K30" i="2"/>
  <c r="L30" i="2"/>
  <c r="M30" i="2"/>
  <c r="C9" i="3"/>
  <c r="G9" i="3"/>
  <c r="G12" i="3"/>
  <c r="H12" i="3"/>
  <c r="J12" i="3"/>
  <c r="F12" i="3"/>
  <c r="G15" i="3"/>
  <c r="H15" i="3"/>
  <c r="J15" i="3"/>
  <c r="F15" i="3"/>
  <c r="G14" i="3"/>
  <c r="H14" i="3"/>
  <c r="J14" i="3"/>
  <c r="F14" i="3"/>
  <c r="J13" i="3"/>
  <c r="I13" i="3"/>
  <c r="H13" i="3"/>
  <c r="G13" i="3"/>
  <c r="F13" i="3"/>
  <c r="J9" i="3"/>
  <c r="O30" i="2"/>
  <c r="B9" i="3"/>
  <c r="F9" i="3"/>
  <c r="S30" i="2"/>
  <c r="P30" i="2"/>
  <c r="Q30" i="2"/>
  <c r="R30" i="2"/>
  <c r="X30" i="2"/>
  <c r="Y30" i="2"/>
  <c r="Z30" i="2"/>
  <c r="AA30" i="2"/>
  <c r="W30" i="2"/>
  <c r="W29" i="2"/>
  <c r="AA61" i="2"/>
  <c r="AA53" i="2"/>
  <c r="Z61" i="2"/>
  <c r="Z53" i="2"/>
  <c r="Y61" i="2"/>
  <c r="Y53" i="2"/>
  <c r="AA44" i="2"/>
  <c r="Z44" i="2"/>
  <c r="Y44" i="2"/>
  <c r="X61" i="2"/>
  <c r="X53" i="2"/>
  <c r="X44" i="2"/>
  <c r="W44" i="2"/>
  <c r="W61" i="2"/>
  <c r="W53" i="2"/>
  <c r="V21" i="2"/>
  <c r="V9" i="2"/>
  <c r="V16" i="2" s="1"/>
  <c r="V20" i="2" s="1"/>
  <c r="V22" i="2" s="1"/>
  <c r="V26" i="2" s="1"/>
  <c r="W21" i="2"/>
  <c r="W33" i="2" s="1"/>
  <c r="X21" i="2"/>
  <c r="X33" i="2" s="1"/>
  <c r="W9" i="2"/>
  <c r="W16" i="2" s="1"/>
  <c r="W20" i="2" s="1"/>
  <c r="X9" i="2"/>
  <c r="X16" i="2" s="1"/>
  <c r="X20" i="2" s="1"/>
  <c r="C36" i="2"/>
  <c r="D36" i="2"/>
  <c r="E36" i="2"/>
  <c r="G36" i="2"/>
  <c r="H36" i="2"/>
  <c r="I36" i="2"/>
  <c r="K36" i="2"/>
  <c r="L36" i="2"/>
  <c r="M36" i="2"/>
  <c r="O36" i="2"/>
  <c r="P36" i="2"/>
  <c r="Q36" i="2"/>
  <c r="S36" i="2"/>
  <c r="C37" i="2"/>
  <c r="D37" i="2"/>
  <c r="E37" i="2"/>
  <c r="G37" i="2"/>
  <c r="H37" i="2"/>
  <c r="K37" i="2"/>
  <c r="L37" i="2"/>
  <c r="M37" i="2"/>
  <c r="O37" i="2"/>
  <c r="P37" i="2"/>
  <c r="Q37" i="2"/>
  <c r="S37" i="2"/>
  <c r="C38" i="2"/>
  <c r="D38" i="2"/>
  <c r="E38" i="2"/>
  <c r="G38" i="2"/>
  <c r="H38" i="2"/>
  <c r="I38" i="2"/>
  <c r="J38" i="2"/>
  <c r="K38" i="2"/>
  <c r="L38" i="2"/>
  <c r="M38" i="2"/>
  <c r="O38" i="2"/>
  <c r="P38" i="2"/>
  <c r="Q38" i="2"/>
  <c r="S38" i="2"/>
  <c r="C39" i="2"/>
  <c r="D39" i="2"/>
  <c r="E39" i="2"/>
  <c r="G39" i="2"/>
  <c r="H39" i="2"/>
  <c r="I39" i="2"/>
  <c r="K39" i="2"/>
  <c r="L39" i="2"/>
  <c r="M39" i="2"/>
  <c r="O39" i="2"/>
  <c r="P39" i="2"/>
  <c r="Q39" i="2"/>
  <c r="S39" i="2"/>
  <c r="C40" i="2"/>
  <c r="D40" i="2"/>
  <c r="E40" i="2"/>
  <c r="F40" i="2"/>
  <c r="G40" i="2"/>
  <c r="H40" i="2"/>
  <c r="I40" i="2"/>
  <c r="K40" i="2"/>
  <c r="L40" i="2"/>
  <c r="M40" i="2"/>
  <c r="O40" i="2"/>
  <c r="P40" i="2"/>
  <c r="Q40" i="2"/>
  <c r="S40" i="2"/>
  <c r="C41" i="2"/>
  <c r="D41" i="2"/>
  <c r="E41" i="2"/>
  <c r="F41" i="2"/>
  <c r="G41" i="2"/>
  <c r="H41" i="2"/>
  <c r="I41" i="2"/>
  <c r="K41" i="2"/>
  <c r="L41" i="2"/>
  <c r="M41" i="2"/>
  <c r="O41" i="2"/>
  <c r="P41" i="2"/>
  <c r="Q41" i="2"/>
  <c r="R41" i="2"/>
  <c r="S41" i="2"/>
  <c r="Z39" i="2"/>
  <c r="AA39" i="2"/>
  <c r="Z40" i="2"/>
  <c r="AA40" i="2"/>
  <c r="Y39" i="2"/>
  <c r="Y40" i="2"/>
  <c r="X40" i="2"/>
  <c r="W40" i="2"/>
  <c r="X39" i="2"/>
  <c r="W39" i="2"/>
  <c r="AA41" i="2"/>
  <c r="Z41" i="2"/>
  <c r="Y41" i="2"/>
  <c r="X41" i="2"/>
  <c r="W41" i="2"/>
  <c r="AA36" i="2"/>
  <c r="AA37" i="2"/>
  <c r="AA38" i="2"/>
  <c r="Z36" i="2"/>
  <c r="Z37" i="2"/>
  <c r="Z38" i="2"/>
  <c r="Y36" i="2"/>
  <c r="Y37" i="2"/>
  <c r="Y38" i="2"/>
  <c r="X38" i="2"/>
  <c r="X37" i="2"/>
  <c r="X36" i="2"/>
  <c r="W38" i="2"/>
  <c r="W37" i="2"/>
  <c r="W36" i="2"/>
  <c r="J19" i="2"/>
  <c r="J18" i="2"/>
  <c r="J17" i="2"/>
  <c r="J15" i="2"/>
  <c r="J14" i="2"/>
  <c r="J13" i="2"/>
  <c r="J12" i="2"/>
  <c r="J11" i="2"/>
  <c r="J10" i="2"/>
  <c r="J8" i="2"/>
  <c r="J7" i="2"/>
  <c r="E21" i="2"/>
  <c r="E9" i="2"/>
  <c r="E16" i="2" s="1"/>
  <c r="E20" i="2" s="1"/>
  <c r="C21" i="2"/>
  <c r="C9" i="2"/>
  <c r="C16" i="2" s="1"/>
  <c r="C20" i="2" s="1"/>
  <c r="H21" i="2"/>
  <c r="D21" i="2"/>
  <c r="D9" i="2"/>
  <c r="D16" i="2" s="1"/>
  <c r="D20" i="2" s="1"/>
  <c r="H9" i="2"/>
  <c r="H16" i="2" s="1"/>
  <c r="H20" i="2" s="1"/>
  <c r="G21" i="2"/>
  <c r="G9" i="2"/>
  <c r="G16" i="2" s="1"/>
  <c r="G20" i="2" s="1"/>
  <c r="N27" i="2"/>
  <c r="N19" i="2"/>
  <c r="N18" i="2"/>
  <c r="N17" i="2"/>
  <c r="N15" i="2"/>
  <c r="N14" i="2"/>
  <c r="N13" i="2"/>
  <c r="N12" i="2"/>
  <c r="N11" i="2"/>
  <c r="N10" i="2"/>
  <c r="N8" i="2"/>
  <c r="N7" i="2"/>
  <c r="K21" i="2"/>
  <c r="K9" i="2"/>
  <c r="K16" i="2" s="1"/>
  <c r="K20" i="2" s="1"/>
  <c r="I21" i="2"/>
  <c r="I9" i="2"/>
  <c r="I16" i="2" s="1"/>
  <c r="I20" i="2" s="1"/>
  <c r="R19" i="2"/>
  <c r="R17" i="2"/>
  <c r="R11" i="2"/>
  <c r="R12" i="2"/>
  <c r="R13" i="2"/>
  <c r="R14" i="2"/>
  <c r="R15" i="2"/>
  <c r="R10" i="2"/>
  <c r="R8" i="2"/>
  <c r="R7" i="2"/>
  <c r="L9" i="2"/>
  <c r="L16" i="2" s="1"/>
  <c r="L20" i="2" s="1"/>
  <c r="L22" i="2" s="1"/>
  <c r="L26" i="2" s="1"/>
  <c r="P21" i="2"/>
  <c r="P9" i="2"/>
  <c r="P16" i="2" s="1"/>
  <c r="P20" i="2" s="1"/>
  <c r="Z21" i="2"/>
  <c r="Y9" i="2"/>
  <c r="Y16" i="2" s="1"/>
  <c r="Y20" i="2" s="1"/>
  <c r="Y22" i="2" s="1"/>
  <c r="Y31" i="2" s="1"/>
  <c r="Z9" i="2"/>
  <c r="Z16" i="2" s="1"/>
  <c r="Z20" i="2" s="1"/>
  <c r="AA21" i="2"/>
  <c r="AA18" i="2"/>
  <c r="R18" i="2" s="1"/>
  <c r="AA9" i="2"/>
  <c r="AA16" i="2" s="1"/>
  <c r="M9" i="2"/>
  <c r="M16" i="2" s="1"/>
  <c r="M20" i="2" s="1"/>
  <c r="Q21" i="2"/>
  <c r="Q9" i="2"/>
  <c r="O9" i="2"/>
  <c r="O16" i="2" s="1"/>
  <c r="O20" i="2" s="1"/>
  <c r="O22" i="2" s="1"/>
  <c r="O26" i="2" s="1"/>
  <c r="S21" i="2"/>
  <c r="S9" i="2"/>
  <c r="S16" i="2" s="1"/>
  <c r="S20" i="2" s="1"/>
  <c r="L4" i="1"/>
  <c r="N30" i="2" l="1"/>
  <c r="J30" i="2"/>
  <c r="J40" i="2"/>
  <c r="J39" i="2"/>
  <c r="F38" i="2"/>
  <c r="F39" i="2"/>
  <c r="F31" i="2"/>
  <c r="I9" i="3"/>
  <c r="R36" i="2"/>
  <c r="R38" i="2"/>
  <c r="R37" i="2"/>
  <c r="R39" i="2"/>
  <c r="N36" i="2"/>
  <c r="N37" i="2"/>
  <c r="N38" i="2"/>
  <c r="N39" i="2"/>
  <c r="L31" i="2"/>
  <c r="V31" i="2"/>
  <c r="Y29" i="2"/>
  <c r="X29" i="2"/>
  <c r="W22" i="2"/>
  <c r="X22" i="2"/>
  <c r="O31" i="2"/>
  <c r="AA20" i="2"/>
  <c r="AA33" i="2" s="1"/>
  <c r="G22" i="2"/>
  <c r="P22" i="2"/>
  <c r="Y26" i="2"/>
  <c r="H33" i="2"/>
  <c r="L33" i="2"/>
  <c r="R21" i="2"/>
  <c r="P33" i="2"/>
  <c r="S22" i="2"/>
  <c r="R9" i="2"/>
  <c r="R16" i="2" s="1"/>
  <c r="C22" i="2"/>
  <c r="C31" i="2" s="1"/>
  <c r="G33" i="2"/>
  <c r="K33" i="2"/>
  <c r="S33" i="2"/>
  <c r="J21" i="2"/>
  <c r="N9" i="2"/>
  <c r="N21" i="2"/>
  <c r="M22" i="2"/>
  <c r="M31" i="2" s="1"/>
  <c r="M33" i="2"/>
  <c r="S29" i="2"/>
  <c r="Q29" i="2"/>
  <c r="Z33" i="2"/>
  <c r="Z29" i="2"/>
  <c r="AA29" i="2"/>
  <c r="M29" i="2"/>
  <c r="K29" i="2"/>
  <c r="I33" i="2"/>
  <c r="P29" i="2"/>
  <c r="O33" i="2"/>
  <c r="J9" i="2"/>
  <c r="J16" i="2" s="1"/>
  <c r="J20" i="2" s="1"/>
  <c r="E22" i="2"/>
  <c r="E31" i="2" s="1"/>
  <c r="I29" i="2"/>
  <c r="G29" i="2"/>
  <c r="H22" i="2"/>
  <c r="D22" i="2"/>
  <c r="L29" i="2"/>
  <c r="H29" i="2"/>
  <c r="K22" i="2"/>
  <c r="K31" i="2" s="1"/>
  <c r="O29" i="2"/>
  <c r="I22" i="2"/>
  <c r="Y33" i="2"/>
  <c r="Z22" i="2"/>
  <c r="Z31" i="2" s="1"/>
  <c r="Q16" i="2"/>
  <c r="Q20" i="2" s="1"/>
  <c r="Q22" i="2" s="1"/>
  <c r="Q31" i="2" s="1"/>
  <c r="Y32" i="2" l="1"/>
  <c r="X26" i="2"/>
  <c r="W26" i="2"/>
  <c r="W32" i="2"/>
  <c r="X31" i="2"/>
  <c r="X32" i="2"/>
  <c r="W31" i="2"/>
  <c r="P26" i="2"/>
  <c r="P31" i="2"/>
  <c r="D26" i="2"/>
  <c r="D31" i="2"/>
  <c r="S26" i="2"/>
  <c r="S31" i="2"/>
  <c r="G26" i="2"/>
  <c r="G31" i="2"/>
  <c r="H26" i="2"/>
  <c r="H31" i="2"/>
  <c r="AA22" i="2"/>
  <c r="I26" i="2"/>
  <c r="I31" i="2"/>
  <c r="J22" i="2"/>
  <c r="P32" i="2"/>
  <c r="G32" i="2"/>
  <c r="C26" i="2"/>
  <c r="Q32" i="2"/>
  <c r="R29" i="2"/>
  <c r="I32" i="2"/>
  <c r="J33" i="2"/>
  <c r="S32" i="2"/>
  <c r="N16" i="2"/>
  <c r="N20" i="2" s="1"/>
  <c r="N33" i="2" s="1"/>
  <c r="E26" i="2"/>
  <c r="Z26" i="2"/>
  <c r="Z32" i="2"/>
  <c r="M26" i="2"/>
  <c r="M32" i="2"/>
  <c r="O32" i="2"/>
  <c r="K32" i="2"/>
  <c r="R20" i="2"/>
  <c r="R33" i="2" s="1"/>
  <c r="AA32" i="2"/>
  <c r="N29" i="2"/>
  <c r="J29" i="2"/>
  <c r="L32" i="2"/>
  <c r="H32" i="2"/>
  <c r="K26" i="2"/>
  <c r="Q33" i="2"/>
  <c r="Q26" i="2"/>
  <c r="R26" i="2" l="1"/>
  <c r="J32" i="2"/>
  <c r="J31" i="2"/>
  <c r="AA26" i="2"/>
  <c r="AA31" i="2"/>
  <c r="R22" i="2"/>
  <c r="R31" i="2" s="1"/>
  <c r="N22" i="2"/>
  <c r="N31" i="2" s="1"/>
  <c r="R32" i="2" l="1"/>
  <c r="N26" i="2"/>
  <c r="N32" i="2"/>
  <c r="J26" i="2"/>
</calcChain>
</file>

<file path=xl/sharedStrings.xml><?xml version="1.0" encoding="utf-8"?>
<sst xmlns="http://schemas.openxmlformats.org/spreadsheetml/2006/main" count="127" uniqueCount="96">
  <si>
    <t>Price</t>
  </si>
  <si>
    <t>Shares</t>
  </si>
  <si>
    <t>MC</t>
  </si>
  <si>
    <t>Cash</t>
  </si>
  <si>
    <t>Debt</t>
  </si>
  <si>
    <t>Net Cash</t>
  </si>
  <si>
    <t>EV</t>
  </si>
  <si>
    <t>Main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</si>
  <si>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</si>
  <si>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</si>
  <si>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</si>
  <si>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</si>
  <si>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</si>
  <si>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</si>
  <si>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</si>
  <si>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</si>
  <si>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</si>
  <si>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</si>
  <si>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FY21</t>
  </si>
  <si>
    <t>FY22</t>
  </si>
  <si>
    <t>FY23</t>
  </si>
  <si>
    <t>FY24</t>
  </si>
  <si>
    <t>FY20</t>
  </si>
  <si>
    <t>FY19</t>
  </si>
  <si>
    <t>FY18</t>
  </si>
  <si>
    <t>Q319</t>
  </si>
  <si>
    <t>Q419</t>
  </si>
  <si>
    <t>Q120</t>
  </si>
  <si>
    <t>Q220</t>
  </si>
  <si>
    <t>Q320</t>
  </si>
  <si>
    <t>Q420</t>
  </si>
  <si>
    <t>Q119</t>
  </si>
  <si>
    <t>Q219</t>
  </si>
  <si>
    <t>Net Product Sales</t>
  </si>
  <si>
    <t>Net Service Sales</t>
  </si>
  <si>
    <t>Total Net Sales</t>
  </si>
  <si>
    <t>COS</t>
  </si>
  <si>
    <t>Fulfillment</t>
  </si>
  <si>
    <t>Tech</t>
  </si>
  <si>
    <t>S&amp;M</t>
  </si>
  <si>
    <t>G&amp;A</t>
  </si>
  <si>
    <t>Other</t>
  </si>
  <si>
    <t>Opinc</t>
  </si>
  <si>
    <t>Interest Inc</t>
  </si>
  <si>
    <t>Interest Exp</t>
  </si>
  <si>
    <t>Other inc</t>
  </si>
  <si>
    <t>Income Tax</t>
  </si>
  <si>
    <t>EBITDA</t>
  </si>
  <si>
    <t>Net Income</t>
  </si>
  <si>
    <t>EPS</t>
  </si>
  <si>
    <t>Revenue y/y</t>
  </si>
  <si>
    <t>Net Income y/y</t>
  </si>
  <si>
    <t>Tax Rate</t>
  </si>
  <si>
    <t>Management</t>
  </si>
  <si>
    <t>Employees</t>
  </si>
  <si>
    <t xml:space="preserve"> </t>
  </si>
  <si>
    <t>International</t>
  </si>
  <si>
    <t>AWS</t>
  </si>
  <si>
    <t>US %</t>
  </si>
  <si>
    <t>International %</t>
  </si>
  <si>
    <t>AWS %</t>
  </si>
  <si>
    <t>US</t>
  </si>
  <si>
    <t>NI US</t>
  </si>
  <si>
    <t>NI Int.</t>
  </si>
  <si>
    <t>NI AWS</t>
  </si>
  <si>
    <t>Net Margin</t>
  </si>
  <si>
    <t>US Margin</t>
  </si>
  <si>
    <t>Internation Margin</t>
  </si>
  <si>
    <t>AWS Margin</t>
  </si>
  <si>
    <t>FY17</t>
  </si>
  <si>
    <t>MS</t>
  </si>
  <si>
    <t>Inventories</t>
  </si>
  <si>
    <t>AR</t>
  </si>
  <si>
    <t>PP&amp;E</t>
  </si>
  <si>
    <t>Operating Leases</t>
  </si>
  <si>
    <t>Goodwill</t>
  </si>
  <si>
    <t>Assets</t>
  </si>
  <si>
    <t>AP</t>
  </si>
  <si>
    <t>Accrued Exp.</t>
  </si>
  <si>
    <t>Unearned Rev</t>
  </si>
  <si>
    <t>Long-term Lease</t>
  </si>
  <si>
    <t>Long-Term Debt</t>
  </si>
  <si>
    <t>Other ltl</t>
  </si>
  <si>
    <t>S/E</t>
  </si>
  <si>
    <t>Liabilities</t>
  </si>
  <si>
    <t>Net Sales</t>
  </si>
  <si>
    <t>Online Stores</t>
  </si>
  <si>
    <t>Physical Stores</t>
  </si>
  <si>
    <t>Third-Party Seller Services</t>
  </si>
  <si>
    <t>Subsciption Services</t>
  </si>
  <si>
    <t>Advertising Services</t>
  </si>
  <si>
    <t>AWS Growth y/y</t>
  </si>
  <si>
    <t>ads y/y</t>
  </si>
  <si>
    <t>aws y/y</t>
  </si>
  <si>
    <t>3rd party y/y</t>
  </si>
  <si>
    <t>Online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</si>
</sst>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2" fillId="0" borderId="0" xfId="1"/>
    <xf numFmtId="2" fontId="0" fillId="0" borderId="0" xfId="0" applyNumberFormat="1"/>
    <xf numFmtId="0" fontId="1" fillId="0" borderId="0" xfId="0" applyFont="1"/>
    <xf numFmtId="3" fontId="1" fillId="0" borderId="0" xfId="0" applyNumberFormat="1" applyFont="1"/>
    <xf numFmtId="10" fontId="0" fillId="0" borderId="0" xfId="0" applyNumberFormat="1"/>
    <xf numFmtId="9" fontId="0" fillId="0" borderId="0" xfId="0" applyNumberFormat="1"/>
    <xf numFmtId="3" fontId="0" fillId="2" borderId="0" xfId="0" applyNumberFormat="1" applyFill="1"/>
    <xf numFmtId="14" fontId="0" fillId="0" borderId="0" xfId="0" applyNumberFormat="1"/>
    <xf numFmtId="0" fontId="0" fillId="0" borderId="0" xfId="0" applyFont="1"/>
    <xf numFmtId="3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1"/>
  <sheetViews>
    <sheetView workbookViewId="0">
      <selection activeCell="B4" sqref="B4:B11"/>
    </sheetView>
  </sheetViews>
  <sheetFormatPr defaultColWidth="8.85546875" defaultRowHeight="15" x14ac:dyDescent="0.25"/>
  <cols>
    <col min="12" max="12" width="11.140625" bestFit="1" customWidth="1"/>
    <col min="13" max="13" width="10.140625" bestFit="1" customWidth="1"/>
  </cols>
  <sheetData>
    <row r="2" spans="2:19" x14ac:dyDescent="0.25">
      <c r="K2" t="s">
        <v>0</v>
      </c>
      <c r="L2">
        <v>128.78</v>
      </c>
      <c r="M2" s="9">
        <v>45119</v>
      </c>
    </row>
    <row r="3" spans="2:19" x14ac:dyDescent="0.25">
      <c r="K3" t="s">
        <v>1</v>
      </c>
      <c r="L3" s="1">
        <v>10171</v>
      </c>
    </row>
    <row r="4" spans="2:19" x14ac:dyDescent="0.25">
      <c r="B4" s="4" t="s">
        <v>85</v>
      </c>
      <c r="K4" t="s">
        <v>2</v>
      </c>
      <c r="L4" s="1">
        <f>L2*L3</f>
        <v>1309821.3800000001</v>
      </c>
    </row>
    <row r="5" spans="2:19" x14ac:dyDescent="0.25">
      <c r="B5" t="s">
        <v>86</v>
      </c>
      <c r="K5" t="s">
        <v>3</v>
      </c>
    </row>
    <row r="6" spans="2:19" x14ac:dyDescent="0.25">
      <c r="B6" t="s">
        <v>87</v>
      </c>
      <c r="K6" t="s">
        <v>4</v>
      </c>
    </row>
    <row r="7" spans="2:19" x14ac:dyDescent="0.25">
      <c r="B7" t="s">
        <v>88</v>
      </c>
      <c r="K7" t="s">
        <v>5</v>
      </c>
    </row>
    <row r="8" spans="2:19" x14ac:dyDescent="0.25">
      <c r="B8" t="s">
        <v>89</v>
      </c>
      <c r="K8" t="s">
        <v>6</v>
      </c>
    </row>
    <row r="9" spans="2:19" x14ac:dyDescent="0.25">
      <c r="B9" t="s">
        <v>90</v>
      </c>
      <c r="S9" t="s">
        <v>53</v>
      </c>
    </row>
    <row r="10" spans="2:19" x14ac:dyDescent="0.25">
      <c r="B10" t="s">
        <v>57</v>
      </c>
    </row>
    <row r="11" spans="2:19" x14ac:dyDescent="0.25">
      <c r="B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FE1B-0872-4079-929A-2D64CB797B54}">
  <dimension ref="A1:AC62"/>
  <sheetViews>
    <sheetView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V31" sqref="V31"/>
    </sheetView>
  </sheetViews>
  <sheetFormatPr defaultColWidth="11.42578125" defaultRowHeight="15" x14ac:dyDescent="0.25"/>
  <cols>
    <col min="1" max="1" width="17" customWidth="1"/>
  </cols>
  <sheetData>
    <row r="1" spans="1:29" x14ac:dyDescent="0.25">
      <c r="A1" s="2" t="s">
        <v>7</v>
      </c>
      <c r="C1" s="4" t="s">
        <v>31</v>
      </c>
      <c r="D1" s="4" t="s">
        <v>32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V1" s="4" t="s">
        <v>69</v>
      </c>
      <c r="W1" s="4" t="s">
        <v>24</v>
      </c>
      <c r="X1" s="4" t="s">
        <v>23</v>
      </c>
      <c r="Y1" s="4" t="s">
        <v>22</v>
      </c>
      <c r="Z1" s="4" t="s">
        <v>18</v>
      </c>
      <c r="AA1" s="4" t="s">
        <v>19</v>
      </c>
      <c r="AB1" s="4" t="s">
        <v>20</v>
      </c>
      <c r="AC1" s="4" t="s">
        <v>21</v>
      </c>
    </row>
    <row r="2" spans="1:29" x14ac:dyDescent="0.25">
      <c r="A2" s="2"/>
    </row>
    <row r="3" spans="1:29" x14ac:dyDescent="0.25">
      <c r="A3" t="s">
        <v>61</v>
      </c>
      <c r="C3" s="1">
        <v>35812</v>
      </c>
      <c r="D3" s="1">
        <v>38653</v>
      </c>
      <c r="E3" s="1">
        <v>42638</v>
      </c>
      <c r="F3" s="1">
        <f>X3-E3-D3-C3</f>
        <v>53630</v>
      </c>
      <c r="G3" s="1">
        <v>46127</v>
      </c>
      <c r="H3" s="1">
        <v>55436</v>
      </c>
      <c r="I3" s="1">
        <v>59373</v>
      </c>
      <c r="J3" s="1">
        <f>Y3-I3-H3-G3</f>
        <v>75346</v>
      </c>
      <c r="K3" s="1">
        <v>64336</v>
      </c>
      <c r="L3" s="1">
        <v>67550</v>
      </c>
      <c r="M3" s="1">
        <v>65557</v>
      </c>
      <c r="N3" s="1">
        <f>Z3-M3-L3-K3</f>
        <v>82390</v>
      </c>
      <c r="O3" s="1">
        <v>69244</v>
      </c>
      <c r="P3" s="1">
        <v>74430</v>
      </c>
      <c r="Q3" s="1">
        <v>78843</v>
      </c>
      <c r="R3" s="1">
        <f>AA3-SUM(O3:Q3)</f>
        <v>93363</v>
      </c>
      <c r="S3" s="1">
        <v>76881</v>
      </c>
      <c r="V3" s="1">
        <v>106110</v>
      </c>
      <c r="W3" s="1">
        <v>141366</v>
      </c>
      <c r="X3" s="1">
        <v>170733</v>
      </c>
      <c r="Y3" s="1">
        <v>236282</v>
      </c>
      <c r="Z3" s="1">
        <v>279833</v>
      </c>
      <c r="AA3" s="1">
        <v>315880</v>
      </c>
    </row>
    <row r="4" spans="1:29" x14ac:dyDescent="0.25">
      <c r="A4" t="s">
        <v>56</v>
      </c>
      <c r="C4" s="1">
        <v>16192</v>
      </c>
      <c r="D4" s="1">
        <v>16370</v>
      </c>
      <c r="E4" s="1">
        <v>18348</v>
      </c>
      <c r="F4" s="1">
        <f>X4-E4-D4-C4</f>
        <v>23813</v>
      </c>
      <c r="G4" s="1">
        <v>19106</v>
      </c>
      <c r="H4" s="1">
        <v>22668</v>
      </c>
      <c r="I4" s="1">
        <v>25171</v>
      </c>
      <c r="J4" s="1">
        <f>Y4-I4-H4-G4</f>
        <v>37467</v>
      </c>
      <c r="K4" s="1">
        <v>30649</v>
      </c>
      <c r="L4" s="1">
        <v>30721</v>
      </c>
      <c r="M4" s="1">
        <v>29145</v>
      </c>
      <c r="N4" s="1">
        <f t="shared" ref="N4:N5" si="0">Z4-M4-L4-K4</f>
        <v>37272</v>
      </c>
      <c r="O4" s="1">
        <v>28759</v>
      </c>
      <c r="P4" s="1">
        <v>27065</v>
      </c>
      <c r="Q4" s="1">
        <v>27720</v>
      </c>
      <c r="R4" s="1">
        <f>AA4-SUM(O4:Q4)</f>
        <v>34463</v>
      </c>
      <c r="S4" s="1">
        <v>29123</v>
      </c>
      <c r="V4" s="1">
        <v>54297</v>
      </c>
      <c r="W4" s="1">
        <v>65866</v>
      </c>
      <c r="X4" s="1">
        <v>74723</v>
      </c>
      <c r="Y4" s="1">
        <v>104412</v>
      </c>
      <c r="Z4" s="1">
        <v>127787</v>
      </c>
      <c r="AA4" s="1">
        <v>118007</v>
      </c>
    </row>
    <row r="5" spans="1:29" x14ac:dyDescent="0.25">
      <c r="A5" t="s">
        <v>57</v>
      </c>
      <c r="C5" s="1">
        <v>7696</v>
      </c>
      <c r="D5" s="1">
        <v>8381</v>
      </c>
      <c r="E5" s="1">
        <v>8995</v>
      </c>
      <c r="F5" s="1">
        <f>X5-E5-D5-C5</f>
        <v>9954</v>
      </c>
      <c r="G5" s="1">
        <v>10219</v>
      </c>
      <c r="H5" s="1">
        <v>10808</v>
      </c>
      <c r="I5" s="1">
        <v>11601</v>
      </c>
      <c r="J5" s="1">
        <f>Y5-I5-H5-G5</f>
        <v>12742</v>
      </c>
      <c r="K5" s="1">
        <v>13503</v>
      </c>
      <c r="L5" s="1">
        <v>14809</v>
      </c>
      <c r="M5" s="1">
        <v>16110</v>
      </c>
      <c r="N5" s="1">
        <f t="shared" si="0"/>
        <v>17780</v>
      </c>
      <c r="O5" s="1">
        <v>18441</v>
      </c>
      <c r="P5" s="1">
        <v>19739</v>
      </c>
      <c r="Q5" s="1">
        <v>20538</v>
      </c>
      <c r="R5" s="1">
        <f>AA5-SUM(O5:Q5)</f>
        <v>21378</v>
      </c>
      <c r="S5" s="1">
        <v>21354</v>
      </c>
      <c r="V5" s="1">
        <v>17459</v>
      </c>
      <c r="W5" s="1">
        <v>25655</v>
      </c>
      <c r="X5" s="1">
        <v>35026</v>
      </c>
      <c r="Y5" s="1">
        <v>45370</v>
      </c>
      <c r="Z5" s="1">
        <v>62202</v>
      </c>
      <c r="AA5" s="1">
        <v>80096</v>
      </c>
    </row>
    <row r="6" spans="1:29" x14ac:dyDescent="0.25">
      <c r="A6" s="2"/>
    </row>
    <row r="7" spans="1:29" x14ac:dyDescent="0.25">
      <c r="A7" t="s">
        <v>33</v>
      </c>
      <c r="C7" s="1">
        <v>34283</v>
      </c>
      <c r="D7" s="1">
        <v>35856</v>
      </c>
      <c r="E7" s="1">
        <v>39726</v>
      </c>
      <c r="F7" s="1">
        <f>X7-E7-D7-C7</f>
        <v>50543</v>
      </c>
      <c r="G7" s="1">
        <v>41841</v>
      </c>
      <c r="H7" s="1">
        <v>50244</v>
      </c>
      <c r="I7" s="1">
        <v>52774</v>
      </c>
      <c r="J7" s="1">
        <f>Y7-I7-H7-G7</f>
        <v>71056</v>
      </c>
      <c r="K7" s="1">
        <v>57491</v>
      </c>
      <c r="L7" s="1">
        <v>58004</v>
      </c>
      <c r="M7" s="1">
        <v>54876</v>
      </c>
      <c r="N7" s="1">
        <f>Z7-M7-L7-K7</f>
        <v>71416</v>
      </c>
      <c r="O7" s="1">
        <v>56455</v>
      </c>
      <c r="P7" s="1">
        <v>56575</v>
      </c>
      <c r="Q7" s="1">
        <v>59340</v>
      </c>
      <c r="R7" s="1">
        <f>AA7-Q7-P7-O7</f>
        <v>70531</v>
      </c>
      <c r="S7" s="1">
        <v>56981</v>
      </c>
      <c r="V7" s="1">
        <v>118573</v>
      </c>
      <c r="W7" s="1">
        <v>141915</v>
      </c>
      <c r="X7" s="1">
        <v>160408</v>
      </c>
      <c r="Y7" s="1">
        <v>215915</v>
      </c>
      <c r="Z7" s="1">
        <v>241787</v>
      </c>
      <c r="AA7" s="1">
        <v>242901</v>
      </c>
    </row>
    <row r="8" spans="1:29" x14ac:dyDescent="0.25">
      <c r="A8" t="s">
        <v>34</v>
      </c>
      <c r="C8" s="1">
        <v>25417</v>
      </c>
      <c r="D8" s="1">
        <v>27548</v>
      </c>
      <c r="E8" s="1">
        <v>30255</v>
      </c>
      <c r="F8" s="1">
        <f>X8-E8-D8-C8</f>
        <v>36894</v>
      </c>
      <c r="G8" s="1">
        <v>33611</v>
      </c>
      <c r="H8" s="1">
        <v>38668</v>
      </c>
      <c r="I8" s="1">
        <v>43371</v>
      </c>
      <c r="J8" s="1">
        <f>Y8-I8-H8-G8</f>
        <v>54499</v>
      </c>
      <c r="K8" s="1">
        <v>51027</v>
      </c>
      <c r="L8" s="1">
        <v>55076</v>
      </c>
      <c r="M8" s="1">
        <v>55936</v>
      </c>
      <c r="N8" s="1">
        <f>Z8-M8-L8-K8</f>
        <v>65996</v>
      </c>
      <c r="O8" s="1">
        <v>59989</v>
      </c>
      <c r="P8" s="1">
        <v>64659</v>
      </c>
      <c r="Q8" s="1">
        <v>67761</v>
      </c>
      <c r="R8" s="1">
        <f>AA8-Q8-P8-O8</f>
        <v>78673</v>
      </c>
      <c r="S8" s="1">
        <v>70377</v>
      </c>
      <c r="V8" s="1">
        <v>59293</v>
      </c>
      <c r="W8" s="1">
        <v>90972</v>
      </c>
      <c r="X8" s="1">
        <v>120114</v>
      </c>
      <c r="Y8" s="1">
        <v>170149</v>
      </c>
      <c r="Z8" s="1">
        <v>228035</v>
      </c>
      <c r="AA8" s="1">
        <v>271082</v>
      </c>
    </row>
    <row r="9" spans="1:29" x14ac:dyDescent="0.25">
      <c r="A9" s="4" t="s">
        <v>35</v>
      </c>
      <c r="B9" s="4"/>
      <c r="C9" s="5">
        <f>C7+C8</f>
        <v>59700</v>
      </c>
      <c r="D9" s="5">
        <f>D7+D8</f>
        <v>63404</v>
      </c>
      <c r="E9" s="5">
        <f>E7+E8</f>
        <v>69981</v>
      </c>
      <c r="F9" s="5">
        <f>F7+F8</f>
        <v>87437</v>
      </c>
      <c r="G9" s="5">
        <f t="shared" ref="G9:S9" si="1">G7+G8</f>
        <v>75452</v>
      </c>
      <c r="H9" s="5">
        <f t="shared" si="1"/>
        <v>88912</v>
      </c>
      <c r="I9" s="5">
        <f t="shared" si="1"/>
        <v>96145</v>
      </c>
      <c r="J9" s="5">
        <f t="shared" si="1"/>
        <v>125555</v>
      </c>
      <c r="K9" s="5">
        <f t="shared" si="1"/>
        <v>108518</v>
      </c>
      <c r="L9" s="5">
        <f t="shared" si="1"/>
        <v>113080</v>
      </c>
      <c r="M9" s="5">
        <f t="shared" si="1"/>
        <v>110812</v>
      </c>
      <c r="N9" s="5">
        <f t="shared" si="1"/>
        <v>137412</v>
      </c>
      <c r="O9" s="5">
        <f t="shared" si="1"/>
        <v>116444</v>
      </c>
      <c r="P9" s="5">
        <f t="shared" si="1"/>
        <v>121234</v>
      </c>
      <c r="Q9" s="5">
        <f t="shared" si="1"/>
        <v>127101</v>
      </c>
      <c r="R9" s="5">
        <f t="shared" si="1"/>
        <v>149204</v>
      </c>
      <c r="S9" s="5">
        <f t="shared" si="1"/>
        <v>127358</v>
      </c>
      <c r="V9" s="5">
        <f t="shared" ref="V9:AA9" si="2">V7+V8</f>
        <v>177866</v>
      </c>
      <c r="W9" s="5">
        <f t="shared" si="2"/>
        <v>232887</v>
      </c>
      <c r="X9" s="5">
        <f t="shared" si="2"/>
        <v>280522</v>
      </c>
      <c r="Y9" s="5">
        <f t="shared" si="2"/>
        <v>386064</v>
      </c>
      <c r="Z9" s="5">
        <f t="shared" si="2"/>
        <v>469822</v>
      </c>
      <c r="AA9" s="5">
        <f t="shared" si="2"/>
        <v>513983</v>
      </c>
    </row>
    <row r="10" spans="1:29" x14ac:dyDescent="0.25">
      <c r="A10" t="s">
        <v>36</v>
      </c>
      <c r="C10" s="1">
        <v>33920</v>
      </c>
      <c r="D10" s="1">
        <v>36337</v>
      </c>
      <c r="E10" s="1">
        <v>41302</v>
      </c>
      <c r="F10" s="1">
        <f>X10-E10-D10-C10</f>
        <v>53977</v>
      </c>
      <c r="G10" s="1">
        <v>44257</v>
      </c>
      <c r="H10" s="1">
        <v>52660</v>
      </c>
      <c r="I10" s="1">
        <v>57106</v>
      </c>
      <c r="J10" s="1">
        <f t="shared" ref="J10:J15" si="3">Y10-I10-H10-G10</f>
        <v>79284</v>
      </c>
      <c r="K10" s="1">
        <v>62403</v>
      </c>
      <c r="L10" s="1">
        <v>64176</v>
      </c>
      <c r="M10" s="1">
        <v>62930</v>
      </c>
      <c r="N10" s="1">
        <f t="shared" ref="N10:N15" si="4">Z10-M10-L10-K10</f>
        <v>82835</v>
      </c>
      <c r="O10" s="1">
        <v>66499</v>
      </c>
      <c r="P10" s="1">
        <v>66424</v>
      </c>
      <c r="Q10" s="1">
        <v>70268</v>
      </c>
      <c r="R10" s="1">
        <f>AA10-SUM(O10:Q10)</f>
        <v>85640</v>
      </c>
      <c r="S10" s="1">
        <v>67791</v>
      </c>
      <c r="V10" s="1">
        <v>111934</v>
      </c>
      <c r="W10" s="1">
        <v>139156</v>
      </c>
      <c r="X10" s="1">
        <v>165536</v>
      </c>
      <c r="Y10" s="1">
        <v>233307</v>
      </c>
      <c r="Z10" s="1">
        <v>272344</v>
      </c>
      <c r="AA10" s="1">
        <v>288831</v>
      </c>
    </row>
    <row r="11" spans="1:29" x14ac:dyDescent="0.25">
      <c r="A11" t="s">
        <v>37</v>
      </c>
      <c r="C11" s="1">
        <v>8601</v>
      </c>
      <c r="D11" s="1">
        <v>9271</v>
      </c>
      <c r="E11" s="1">
        <v>10167</v>
      </c>
      <c r="F11" s="1">
        <f>X11-E11-D11-C11</f>
        <v>12193</v>
      </c>
      <c r="G11" s="1">
        <v>11531</v>
      </c>
      <c r="H11" s="1">
        <v>13806</v>
      </c>
      <c r="I11" s="1">
        <v>14705</v>
      </c>
      <c r="J11" s="1">
        <f t="shared" si="3"/>
        <v>18475</v>
      </c>
      <c r="K11" s="1">
        <v>16530</v>
      </c>
      <c r="L11" s="1">
        <v>17638</v>
      </c>
      <c r="M11" s="1">
        <v>18498</v>
      </c>
      <c r="N11" s="1">
        <f t="shared" si="4"/>
        <v>22445</v>
      </c>
      <c r="O11" s="1">
        <v>20271</v>
      </c>
      <c r="P11" s="1">
        <v>20342</v>
      </c>
      <c r="Q11" s="1">
        <v>20583</v>
      </c>
      <c r="R11" s="1">
        <f t="shared" ref="R11:R15" si="5">AA11-SUM(O11:Q11)</f>
        <v>23103</v>
      </c>
      <c r="S11" s="1">
        <v>20905</v>
      </c>
      <c r="V11" s="1">
        <v>25249</v>
      </c>
      <c r="W11" s="1">
        <v>34027</v>
      </c>
      <c r="X11" s="1">
        <v>40232</v>
      </c>
      <c r="Y11" s="1">
        <v>58517</v>
      </c>
      <c r="Z11" s="1">
        <v>75111</v>
      </c>
      <c r="AA11" s="1">
        <v>84299</v>
      </c>
    </row>
    <row r="12" spans="1:29" x14ac:dyDescent="0.25">
      <c r="A12" t="s">
        <v>38</v>
      </c>
      <c r="C12" s="1">
        <v>7927</v>
      </c>
      <c r="D12" s="1">
        <v>9065</v>
      </c>
      <c r="E12" s="1">
        <v>9200</v>
      </c>
      <c r="F12" s="1">
        <f>X12-E12-D12-C12</f>
        <v>9739</v>
      </c>
      <c r="G12" s="1">
        <v>9325</v>
      </c>
      <c r="H12" s="1">
        <v>10388</v>
      </c>
      <c r="I12" s="1">
        <v>10976</v>
      </c>
      <c r="J12" s="1">
        <f t="shared" si="3"/>
        <v>12051</v>
      </c>
      <c r="K12" s="1">
        <v>12488</v>
      </c>
      <c r="L12" s="1">
        <v>13871</v>
      </c>
      <c r="M12" s="1">
        <v>14380</v>
      </c>
      <c r="N12" s="1">
        <f t="shared" si="4"/>
        <v>15313</v>
      </c>
      <c r="O12" s="1">
        <v>14842</v>
      </c>
      <c r="P12" s="1">
        <v>18072</v>
      </c>
      <c r="Q12" s="1">
        <v>19485</v>
      </c>
      <c r="R12" s="1">
        <f t="shared" si="5"/>
        <v>20814</v>
      </c>
      <c r="S12" s="1">
        <v>20450</v>
      </c>
      <c r="V12" s="1">
        <v>22620</v>
      </c>
      <c r="W12" s="1">
        <v>28837</v>
      </c>
      <c r="X12" s="1">
        <v>35931</v>
      </c>
      <c r="Y12" s="1">
        <v>42740</v>
      </c>
      <c r="Z12" s="1">
        <v>56052</v>
      </c>
      <c r="AA12" s="1">
        <v>73213</v>
      </c>
    </row>
    <row r="13" spans="1:29" x14ac:dyDescent="0.25">
      <c r="A13" t="s">
        <v>39</v>
      </c>
      <c r="C13" s="1">
        <v>3664</v>
      </c>
      <c r="D13" s="1">
        <v>4291</v>
      </c>
      <c r="E13" s="1">
        <v>4752</v>
      </c>
      <c r="F13" s="1">
        <f>X13-E13-D13-C13</f>
        <v>6171</v>
      </c>
      <c r="G13" s="1">
        <v>4828</v>
      </c>
      <c r="H13" s="1">
        <v>4345</v>
      </c>
      <c r="I13" s="1">
        <v>5434</v>
      </c>
      <c r="J13" s="1">
        <f t="shared" si="3"/>
        <v>7401</v>
      </c>
      <c r="K13" s="1">
        <v>6207</v>
      </c>
      <c r="L13" s="1">
        <v>7524</v>
      </c>
      <c r="M13" s="1">
        <v>8010</v>
      </c>
      <c r="N13" s="1">
        <f t="shared" si="4"/>
        <v>10810</v>
      </c>
      <c r="O13" s="1">
        <v>8320</v>
      </c>
      <c r="P13" s="1">
        <v>10086</v>
      </c>
      <c r="Q13" s="1">
        <v>11014</v>
      </c>
      <c r="R13" s="1">
        <f t="shared" si="5"/>
        <v>12818</v>
      </c>
      <c r="S13" s="1">
        <v>10172</v>
      </c>
      <c r="V13" s="1">
        <v>10069</v>
      </c>
      <c r="W13" s="1">
        <v>13814</v>
      </c>
      <c r="X13" s="1">
        <v>18878</v>
      </c>
      <c r="Y13" s="1">
        <v>22008</v>
      </c>
      <c r="Z13" s="1">
        <v>32551</v>
      </c>
      <c r="AA13" s="1">
        <v>42238</v>
      </c>
    </row>
    <row r="14" spans="1:29" x14ac:dyDescent="0.25">
      <c r="A14" t="s">
        <v>40</v>
      </c>
      <c r="C14" s="1">
        <v>1173</v>
      </c>
      <c r="D14" s="1">
        <v>1270</v>
      </c>
      <c r="E14" s="1">
        <v>1348</v>
      </c>
      <c r="F14" s="1">
        <f>X14-E14-D14-C14</f>
        <v>1412</v>
      </c>
      <c r="G14" s="1">
        <v>1452</v>
      </c>
      <c r="H14" s="1">
        <v>1580</v>
      </c>
      <c r="I14" s="1">
        <v>1668</v>
      </c>
      <c r="J14" s="1">
        <f t="shared" si="3"/>
        <v>1968</v>
      </c>
      <c r="K14" s="1">
        <v>1987</v>
      </c>
      <c r="L14" s="1">
        <v>2158</v>
      </c>
      <c r="M14" s="1">
        <v>2153</v>
      </c>
      <c r="N14" s="1">
        <f t="shared" si="4"/>
        <v>2525</v>
      </c>
      <c r="O14" s="1">
        <v>2594</v>
      </c>
      <c r="P14" s="1">
        <v>2903</v>
      </c>
      <c r="Q14" s="1">
        <v>3061</v>
      </c>
      <c r="R14" s="1">
        <f t="shared" si="5"/>
        <v>3333</v>
      </c>
      <c r="S14" s="1">
        <v>3043</v>
      </c>
      <c r="V14" s="1">
        <v>3674</v>
      </c>
      <c r="W14" s="1">
        <v>4336</v>
      </c>
      <c r="X14" s="1">
        <v>5203</v>
      </c>
      <c r="Y14" s="1">
        <v>6668</v>
      </c>
      <c r="Z14" s="1">
        <v>8823</v>
      </c>
      <c r="AA14" s="1">
        <v>11891</v>
      </c>
    </row>
    <row r="15" spans="1:29" x14ac:dyDescent="0.25">
      <c r="A15" t="s">
        <v>41</v>
      </c>
      <c r="C15" s="1">
        <v>-5</v>
      </c>
      <c r="D15" s="1">
        <v>86</v>
      </c>
      <c r="E15" s="1">
        <v>55</v>
      </c>
      <c r="F15" s="1">
        <f>X15-E15-D15-C15</f>
        <v>65</v>
      </c>
      <c r="G15" s="1">
        <v>70</v>
      </c>
      <c r="H15" s="1">
        <v>290</v>
      </c>
      <c r="I15" s="1">
        <v>62</v>
      </c>
      <c r="J15" s="1">
        <f t="shared" si="3"/>
        <v>-497</v>
      </c>
      <c r="K15" s="1">
        <v>38</v>
      </c>
      <c r="L15" s="1">
        <v>11</v>
      </c>
      <c r="M15" s="1">
        <v>-11</v>
      </c>
      <c r="N15" s="1">
        <f t="shared" si="4"/>
        <v>24</v>
      </c>
      <c r="O15" s="1">
        <v>249</v>
      </c>
      <c r="P15" s="1">
        <v>90</v>
      </c>
      <c r="Q15" s="1">
        <v>165</v>
      </c>
      <c r="R15" s="1">
        <f t="shared" si="5"/>
        <v>759</v>
      </c>
      <c r="S15" s="1">
        <v>223</v>
      </c>
      <c r="V15" s="1">
        <v>214</v>
      </c>
      <c r="W15" s="1">
        <v>296</v>
      </c>
      <c r="X15" s="1">
        <v>201</v>
      </c>
      <c r="Y15" s="1">
        <v>-75</v>
      </c>
      <c r="Z15" s="1">
        <v>62</v>
      </c>
      <c r="AA15" s="1">
        <v>1263</v>
      </c>
    </row>
    <row r="16" spans="1:29" x14ac:dyDescent="0.25">
      <c r="A16" t="s">
        <v>42</v>
      </c>
      <c r="C16" s="5">
        <f>C9-SUM(C10:C15)</f>
        <v>4420</v>
      </c>
      <c r="D16" s="5">
        <f>D9-SUM(D10:D15)</f>
        <v>3084</v>
      </c>
      <c r="E16" s="5">
        <f>E9-SUM(E10:E15)</f>
        <v>3157</v>
      </c>
      <c r="F16" s="5">
        <f>F9-SUM(F10:F15)</f>
        <v>3880</v>
      </c>
      <c r="G16" s="5">
        <f t="shared" ref="G16:S16" si="6">G9-SUM(G10:G15)</f>
        <v>3989</v>
      </c>
      <c r="H16" s="5">
        <f t="shared" si="6"/>
        <v>5843</v>
      </c>
      <c r="I16" s="5">
        <f t="shared" si="6"/>
        <v>6194</v>
      </c>
      <c r="J16" s="5">
        <f t="shared" si="6"/>
        <v>6873</v>
      </c>
      <c r="K16" s="5">
        <f t="shared" si="6"/>
        <v>8865</v>
      </c>
      <c r="L16" s="5">
        <f t="shared" si="6"/>
        <v>7702</v>
      </c>
      <c r="M16" s="5">
        <f t="shared" si="6"/>
        <v>4852</v>
      </c>
      <c r="N16" s="5">
        <f t="shared" si="6"/>
        <v>3460</v>
      </c>
      <c r="O16" s="5">
        <f t="shared" si="6"/>
        <v>3669</v>
      </c>
      <c r="P16" s="5">
        <f t="shared" si="6"/>
        <v>3317</v>
      </c>
      <c r="Q16" s="5">
        <f t="shared" si="6"/>
        <v>2525</v>
      </c>
      <c r="R16" s="5">
        <f t="shared" si="6"/>
        <v>2737</v>
      </c>
      <c r="S16" s="5">
        <f t="shared" si="6"/>
        <v>4774</v>
      </c>
      <c r="V16" s="5">
        <f t="shared" ref="V16:AA16" si="7">V9-SUM(V10:V15)</f>
        <v>4106</v>
      </c>
      <c r="W16" s="5">
        <f t="shared" si="7"/>
        <v>12421</v>
      </c>
      <c r="X16" s="5">
        <f t="shared" si="7"/>
        <v>14541</v>
      </c>
      <c r="Y16" s="5">
        <f t="shared" si="7"/>
        <v>22899</v>
      </c>
      <c r="Z16" s="5">
        <f t="shared" si="7"/>
        <v>24879</v>
      </c>
      <c r="AA16" s="5">
        <f t="shared" si="7"/>
        <v>12248</v>
      </c>
    </row>
    <row r="17" spans="1:27" x14ac:dyDescent="0.25">
      <c r="A17" t="s">
        <v>43</v>
      </c>
      <c r="C17" s="1">
        <v>183</v>
      </c>
      <c r="D17" s="1">
        <v>215</v>
      </c>
      <c r="E17" s="1">
        <v>224</v>
      </c>
      <c r="F17" s="1">
        <f>X17-E17-D17-C17</f>
        <v>210</v>
      </c>
      <c r="G17" s="1">
        <v>202</v>
      </c>
      <c r="H17" s="1">
        <v>135</v>
      </c>
      <c r="I17" s="1">
        <v>118</v>
      </c>
      <c r="J17" s="1">
        <f>Y17-I17-H17-G17</f>
        <v>100</v>
      </c>
      <c r="K17" s="1">
        <v>105</v>
      </c>
      <c r="L17" s="1">
        <v>106</v>
      </c>
      <c r="M17" s="1">
        <v>119</v>
      </c>
      <c r="N17" s="1">
        <f>Z17-M17-L17-K17</f>
        <v>118</v>
      </c>
      <c r="O17" s="1">
        <v>108</v>
      </c>
      <c r="P17" s="1">
        <v>159</v>
      </c>
      <c r="Q17" s="1">
        <v>277</v>
      </c>
      <c r="R17" s="1">
        <f>AA17-SUM(O17:Q17)</f>
        <v>445</v>
      </c>
      <c r="S17" s="1">
        <v>611</v>
      </c>
      <c r="V17" s="1">
        <v>202</v>
      </c>
      <c r="W17" s="1">
        <v>440</v>
      </c>
      <c r="X17" s="1">
        <v>832</v>
      </c>
      <c r="Y17" s="1">
        <v>555</v>
      </c>
      <c r="Z17" s="1">
        <v>448</v>
      </c>
      <c r="AA17" s="1">
        <v>989</v>
      </c>
    </row>
    <row r="18" spans="1:27" x14ac:dyDescent="0.25">
      <c r="A18" t="s">
        <v>44</v>
      </c>
      <c r="C18" s="1">
        <v>-366</v>
      </c>
      <c r="D18" s="1">
        <v>-383</v>
      </c>
      <c r="E18" s="1">
        <v>-396</v>
      </c>
      <c r="F18" s="1">
        <f>X18-E18-D18-C18</f>
        <v>-455</v>
      </c>
      <c r="G18" s="1">
        <v>-402</v>
      </c>
      <c r="H18" s="1">
        <v>-403</v>
      </c>
      <c r="I18" s="1">
        <v>-428</v>
      </c>
      <c r="J18" s="1">
        <f>Y18-I18-H18-G18</f>
        <v>-414</v>
      </c>
      <c r="K18" s="1">
        <v>-399</v>
      </c>
      <c r="L18" s="1">
        <v>-435</v>
      </c>
      <c r="M18" s="1">
        <v>-493</v>
      </c>
      <c r="N18" s="1">
        <f>Z18-M18-L18-K18</f>
        <v>-482</v>
      </c>
      <c r="O18" s="1">
        <v>-472</v>
      </c>
      <c r="P18" s="1">
        <v>-584</v>
      </c>
      <c r="Q18" s="1">
        <v>-617</v>
      </c>
      <c r="R18" s="1">
        <f t="shared" ref="R18:R19" si="8">AA18-SUM(O18:Q18)</f>
        <v>-694</v>
      </c>
      <c r="S18" s="1">
        <v>-823</v>
      </c>
      <c r="V18" s="1">
        <v>-848</v>
      </c>
      <c r="W18" s="1">
        <v>-1417</v>
      </c>
      <c r="X18" s="1">
        <v>-1600</v>
      </c>
      <c r="Y18" s="1">
        <v>-1647</v>
      </c>
      <c r="Z18" s="1">
        <v>-1809</v>
      </c>
      <c r="AA18" s="1">
        <f>-2367</f>
        <v>-2367</v>
      </c>
    </row>
    <row r="19" spans="1:27" x14ac:dyDescent="0.25">
      <c r="A19" t="s">
        <v>45</v>
      </c>
      <c r="C19" s="1">
        <v>164</v>
      </c>
      <c r="D19" s="1">
        <v>-27</v>
      </c>
      <c r="E19" s="1">
        <v>-353</v>
      </c>
      <c r="F19" s="1">
        <f>X19-E19-D19-C19</f>
        <v>419</v>
      </c>
      <c r="G19" s="1">
        <v>-406</v>
      </c>
      <c r="H19" s="1">
        <v>646</v>
      </c>
      <c r="I19" s="1">
        <v>925</v>
      </c>
      <c r="J19" s="1">
        <f>Y19-I19-H19-G19</f>
        <v>1206</v>
      </c>
      <c r="K19" s="1">
        <v>1697</v>
      </c>
      <c r="L19" s="1">
        <v>1261</v>
      </c>
      <c r="M19" s="1">
        <v>-163</v>
      </c>
      <c r="N19" s="1">
        <f>Z19-M19-L19-K19</f>
        <v>11838</v>
      </c>
      <c r="O19" s="1">
        <v>-8570</v>
      </c>
      <c r="P19" s="1">
        <v>-5545</v>
      </c>
      <c r="Q19" s="1">
        <v>759</v>
      </c>
      <c r="R19" s="1">
        <f t="shared" si="8"/>
        <v>-3450</v>
      </c>
      <c r="S19" s="1">
        <v>-443</v>
      </c>
      <c r="V19" s="1">
        <v>346</v>
      </c>
      <c r="W19" s="1">
        <v>-183</v>
      </c>
      <c r="X19" s="1">
        <v>203</v>
      </c>
      <c r="Y19" s="1">
        <v>2371</v>
      </c>
      <c r="Z19" s="1">
        <v>14633</v>
      </c>
      <c r="AA19" s="8">
        <v>-16806</v>
      </c>
    </row>
    <row r="20" spans="1:27" x14ac:dyDescent="0.25">
      <c r="A20" t="s">
        <v>47</v>
      </c>
      <c r="C20" s="5">
        <f>C16+C17+C18+C19</f>
        <v>4401</v>
      </c>
      <c r="D20" s="5">
        <f>D16+D17+D18+D19</f>
        <v>2889</v>
      </c>
      <c r="E20" s="5">
        <f>E16+E17+E18+E19</f>
        <v>2632</v>
      </c>
      <c r="F20" s="5">
        <f>F16+F17+F18+F19</f>
        <v>4054</v>
      </c>
      <c r="G20" s="5">
        <f t="shared" ref="G20:S20" si="9">G16+G17+G18+G19</f>
        <v>3383</v>
      </c>
      <c r="H20" s="5">
        <f t="shared" si="9"/>
        <v>6221</v>
      </c>
      <c r="I20" s="5">
        <f t="shared" si="9"/>
        <v>6809</v>
      </c>
      <c r="J20" s="5">
        <f t="shared" si="9"/>
        <v>7765</v>
      </c>
      <c r="K20" s="5">
        <f t="shared" si="9"/>
        <v>10268</v>
      </c>
      <c r="L20" s="5">
        <f t="shared" si="9"/>
        <v>8634</v>
      </c>
      <c r="M20" s="5">
        <f t="shared" si="9"/>
        <v>4315</v>
      </c>
      <c r="N20" s="5">
        <f t="shared" si="9"/>
        <v>14934</v>
      </c>
      <c r="O20" s="5">
        <f t="shared" si="9"/>
        <v>-5265</v>
      </c>
      <c r="P20" s="5">
        <f t="shared" si="9"/>
        <v>-2653</v>
      </c>
      <c r="Q20" s="5">
        <f t="shared" si="9"/>
        <v>2944</v>
      </c>
      <c r="R20" s="5">
        <f t="shared" si="9"/>
        <v>-962</v>
      </c>
      <c r="S20" s="5">
        <f t="shared" si="9"/>
        <v>4119</v>
      </c>
      <c r="V20" s="5">
        <f t="shared" ref="V20:AA20" si="10">V16+V17+V18+V19</f>
        <v>3806</v>
      </c>
      <c r="W20" s="5">
        <f t="shared" si="10"/>
        <v>11261</v>
      </c>
      <c r="X20" s="5">
        <f t="shared" si="10"/>
        <v>13976</v>
      </c>
      <c r="Y20" s="5">
        <f t="shared" si="10"/>
        <v>24178</v>
      </c>
      <c r="Z20" s="5">
        <f t="shared" si="10"/>
        <v>38151</v>
      </c>
      <c r="AA20" s="5">
        <f t="shared" si="10"/>
        <v>-5936</v>
      </c>
    </row>
    <row r="21" spans="1:27" x14ac:dyDescent="0.25">
      <c r="A21" t="s">
        <v>46</v>
      </c>
      <c r="C21" s="1">
        <f>-836-4</f>
        <v>-840</v>
      </c>
      <c r="D21" s="1">
        <f>-257-7</f>
        <v>-264</v>
      </c>
      <c r="E21" s="1">
        <f>-494-4</f>
        <v>-498</v>
      </c>
      <c r="F21" s="1">
        <f>X21-E21-D21-C21</f>
        <v>-786</v>
      </c>
      <c r="G21" s="1">
        <f>-744-104</f>
        <v>-848</v>
      </c>
      <c r="H21" s="1">
        <f>-984+6</f>
        <v>-978</v>
      </c>
      <c r="I21" s="1">
        <f>-569+91</f>
        <v>-478</v>
      </c>
      <c r="J21" s="1">
        <f>U21-I21-H21-G21</f>
        <v>2304</v>
      </c>
      <c r="K21" s="1">
        <f>-2156-5</f>
        <v>-2161</v>
      </c>
      <c r="L21" s="1">
        <v>-868</v>
      </c>
      <c r="M21" s="1">
        <v>-1155</v>
      </c>
      <c r="N21" s="1">
        <f>Z21-M21-L21-K21</f>
        <v>-603</v>
      </c>
      <c r="O21" s="1">
        <v>1422</v>
      </c>
      <c r="P21" s="1">
        <f>637-12</f>
        <v>625</v>
      </c>
      <c r="Q21" s="1">
        <f>-69-3</f>
        <v>-72</v>
      </c>
      <c r="R21" s="1">
        <f>AA21-SUM(O21:Q21)</f>
        <v>1239</v>
      </c>
      <c r="S21" s="1">
        <f>-948+1</f>
        <v>-947</v>
      </c>
      <c r="V21" s="1">
        <f>-769-4</f>
        <v>-773</v>
      </c>
      <c r="W21" s="1">
        <f>-1197+9</f>
        <v>-1188</v>
      </c>
      <c r="X21" s="1">
        <f>-2374-14</f>
        <v>-2388</v>
      </c>
      <c r="Y21" s="1">
        <v>-2863</v>
      </c>
      <c r="Z21" s="1">
        <f>-4791+4</f>
        <v>-4787</v>
      </c>
      <c r="AA21" s="1">
        <f>3217-3</f>
        <v>3214</v>
      </c>
    </row>
    <row r="22" spans="1:27" x14ac:dyDescent="0.25">
      <c r="A22" s="4" t="s">
        <v>48</v>
      </c>
      <c r="C22" s="5">
        <f>C20+C21</f>
        <v>3561</v>
      </c>
      <c r="D22" s="5">
        <f>D20+D21</f>
        <v>2625</v>
      </c>
      <c r="E22" s="5">
        <f>E20+E21</f>
        <v>2134</v>
      </c>
      <c r="F22" s="5">
        <f>F20+F21</f>
        <v>3268</v>
      </c>
      <c r="G22" s="5">
        <f t="shared" ref="G22:S22" si="11">G20+G21</f>
        <v>2535</v>
      </c>
      <c r="H22" s="5">
        <f t="shared" si="11"/>
        <v>5243</v>
      </c>
      <c r="I22" s="5">
        <f t="shared" si="11"/>
        <v>6331</v>
      </c>
      <c r="J22" s="5">
        <f t="shared" si="11"/>
        <v>10069</v>
      </c>
      <c r="K22" s="5">
        <f t="shared" si="11"/>
        <v>8107</v>
      </c>
      <c r="L22" s="5">
        <f t="shared" si="11"/>
        <v>7766</v>
      </c>
      <c r="M22" s="5">
        <f t="shared" si="11"/>
        <v>3160</v>
      </c>
      <c r="N22" s="5">
        <f t="shared" si="11"/>
        <v>14331</v>
      </c>
      <c r="O22" s="5">
        <f t="shared" si="11"/>
        <v>-3843</v>
      </c>
      <c r="P22" s="5">
        <f t="shared" si="11"/>
        <v>-2028</v>
      </c>
      <c r="Q22" s="5">
        <f t="shared" si="11"/>
        <v>2872</v>
      </c>
      <c r="R22" s="5">
        <f t="shared" si="11"/>
        <v>277</v>
      </c>
      <c r="S22" s="5">
        <f t="shared" si="11"/>
        <v>3172</v>
      </c>
      <c r="V22" s="5">
        <f t="shared" ref="V22:AA22" si="12">V20+V21</f>
        <v>3033</v>
      </c>
      <c r="W22" s="5">
        <f t="shared" si="12"/>
        <v>10073</v>
      </c>
      <c r="X22" s="5">
        <f t="shared" si="12"/>
        <v>11588</v>
      </c>
      <c r="Y22" s="5">
        <f t="shared" si="12"/>
        <v>21315</v>
      </c>
      <c r="Z22" s="5">
        <f t="shared" si="12"/>
        <v>33364</v>
      </c>
      <c r="AA22" s="5">
        <f t="shared" si="12"/>
        <v>-2722</v>
      </c>
    </row>
    <row r="23" spans="1:27" s="10" customFormat="1" x14ac:dyDescent="0.25">
      <c r="A23" s="10" t="s">
        <v>62</v>
      </c>
      <c r="C23" s="11">
        <v>2287</v>
      </c>
      <c r="D23" s="11">
        <v>1564</v>
      </c>
      <c r="E23" s="11">
        <v>1282</v>
      </c>
      <c r="F23" s="1">
        <f>X23-E23-D23-C23</f>
        <v>1900</v>
      </c>
      <c r="G23" s="11">
        <v>1312</v>
      </c>
      <c r="H23" s="11">
        <v>2141</v>
      </c>
      <c r="I23" s="11">
        <v>2252</v>
      </c>
      <c r="J23" s="1">
        <f>Y23-I23-H23-G23</f>
        <v>2946</v>
      </c>
      <c r="K23" s="11">
        <v>3450</v>
      </c>
      <c r="L23" s="11">
        <v>3147</v>
      </c>
      <c r="M23" s="11">
        <v>880</v>
      </c>
      <c r="N23" s="1">
        <f>Z23-M23-L23-K23</f>
        <v>-206</v>
      </c>
      <c r="O23" s="11">
        <v>-1568</v>
      </c>
      <c r="P23" s="11">
        <v>-627</v>
      </c>
      <c r="Q23" s="11">
        <v>-412</v>
      </c>
      <c r="R23" s="1">
        <f>AA23-SUM(O23:Q23)</f>
        <v>-240</v>
      </c>
      <c r="S23" s="11">
        <v>898</v>
      </c>
      <c r="V23" s="10">
        <v>2837</v>
      </c>
      <c r="W23" s="11">
        <v>7267</v>
      </c>
      <c r="X23" s="11">
        <v>7033</v>
      </c>
      <c r="Y23" s="11">
        <v>8651</v>
      </c>
      <c r="Z23" s="11">
        <v>7271</v>
      </c>
      <c r="AA23" s="11">
        <v>-2847</v>
      </c>
    </row>
    <row r="24" spans="1:27" s="10" customFormat="1" x14ac:dyDescent="0.25">
      <c r="A24" s="10" t="s">
        <v>63</v>
      </c>
      <c r="C24" s="11">
        <v>-90</v>
      </c>
      <c r="D24" s="11">
        <v>-601</v>
      </c>
      <c r="E24" s="11">
        <v>-386</v>
      </c>
      <c r="F24" s="1">
        <f>X24-E24-D24-C24</f>
        <v>-616</v>
      </c>
      <c r="G24" s="11">
        <v>-398</v>
      </c>
      <c r="H24" s="11">
        <v>345</v>
      </c>
      <c r="I24" s="11">
        <v>407</v>
      </c>
      <c r="J24" s="1">
        <f>Y24-I24-H24-G24</f>
        <v>363</v>
      </c>
      <c r="K24" s="11">
        <v>1252</v>
      </c>
      <c r="L24" s="11">
        <v>362</v>
      </c>
      <c r="M24" s="11">
        <v>-911</v>
      </c>
      <c r="N24" s="1">
        <f t="shared" ref="N24:N25" si="13">Z24-M24-L24-K24</f>
        <v>-1627</v>
      </c>
      <c r="O24" s="11">
        <v>-1281</v>
      </c>
      <c r="P24" s="11">
        <v>-1771</v>
      </c>
      <c r="Q24" s="11">
        <v>-2466</v>
      </c>
      <c r="R24" s="1">
        <f>AA24-SUM(O24:Q24)</f>
        <v>-2228</v>
      </c>
      <c r="S24" s="11">
        <v>-1247</v>
      </c>
      <c r="V24" s="10">
        <v>-3062</v>
      </c>
      <c r="W24" s="11">
        <v>-2142</v>
      </c>
      <c r="X24" s="11">
        <v>-1693</v>
      </c>
      <c r="Y24" s="11">
        <v>717</v>
      </c>
      <c r="Z24" s="11">
        <v>-924</v>
      </c>
      <c r="AA24" s="11">
        <v>-7746</v>
      </c>
    </row>
    <row r="25" spans="1:27" s="10" customFormat="1" x14ac:dyDescent="0.25">
      <c r="A25" s="10" t="s">
        <v>64</v>
      </c>
      <c r="C25" s="11">
        <v>2223</v>
      </c>
      <c r="D25" s="11">
        <v>2121</v>
      </c>
      <c r="E25" s="11">
        <v>2261</v>
      </c>
      <c r="F25" s="1">
        <f>X25-E25-D25-C25</f>
        <v>2596</v>
      </c>
      <c r="G25" s="11">
        <v>3075</v>
      </c>
      <c r="H25" s="11">
        <v>3357</v>
      </c>
      <c r="I25" s="11">
        <v>3535</v>
      </c>
      <c r="J25" s="1">
        <f>Y25-I25-H25-G25</f>
        <v>3564</v>
      </c>
      <c r="K25" s="11">
        <v>4163</v>
      </c>
      <c r="L25" s="11">
        <v>4193</v>
      </c>
      <c r="M25" s="11">
        <v>4883</v>
      </c>
      <c r="N25" s="1">
        <f t="shared" si="13"/>
        <v>5293</v>
      </c>
      <c r="O25" s="11">
        <v>6518</v>
      </c>
      <c r="P25" s="11">
        <v>5715</v>
      </c>
      <c r="Q25" s="11">
        <v>5403</v>
      </c>
      <c r="R25" s="1">
        <f>AA25-SUM(O25:Q25)</f>
        <v>5205</v>
      </c>
      <c r="S25" s="11">
        <v>5123</v>
      </c>
      <c r="V25" s="10">
        <v>4331</v>
      </c>
      <c r="W25" s="11">
        <v>7296</v>
      </c>
      <c r="X25" s="11">
        <v>9201</v>
      </c>
      <c r="Y25" s="11">
        <v>13531</v>
      </c>
      <c r="Z25" s="11">
        <v>18532</v>
      </c>
      <c r="AA25" s="11">
        <v>22841</v>
      </c>
    </row>
    <row r="26" spans="1:27" x14ac:dyDescent="0.25">
      <c r="A26" t="s">
        <v>49</v>
      </c>
      <c r="C26" s="3">
        <f>C22/C27</f>
        <v>7.2525458248472505</v>
      </c>
      <c r="D26" s="3">
        <f>D22/D27</f>
        <v>5.3245436105476678</v>
      </c>
      <c r="E26" s="3">
        <f>E22/E27</f>
        <v>4.3111111111111109</v>
      </c>
      <c r="F26" s="3">
        <f>F22/F27</f>
        <v>6.6020202020202019</v>
      </c>
      <c r="G26" s="3">
        <f t="shared" ref="G26:Q26" si="14">G22/G27</f>
        <v>5.0903614457831328</v>
      </c>
      <c r="H26" s="3">
        <f t="shared" si="14"/>
        <v>10.486000000000001</v>
      </c>
      <c r="I26" s="3">
        <f t="shared" si="14"/>
        <v>12.636726546906187</v>
      </c>
      <c r="J26" s="3">
        <f t="shared" si="14"/>
        <v>20.097804391217565</v>
      </c>
      <c r="K26" s="3">
        <f t="shared" si="14"/>
        <v>16.085317460317459</v>
      </c>
      <c r="L26" s="3">
        <f t="shared" si="14"/>
        <v>0.76868256953380187</v>
      </c>
      <c r="M26" s="3">
        <f t="shared" si="14"/>
        <v>0.31188314251875249</v>
      </c>
      <c r="N26" s="3">
        <f t="shared" si="14"/>
        <v>1.4144295302013423</v>
      </c>
      <c r="O26" s="3">
        <f t="shared" si="14"/>
        <v>-0.37783895388850652</v>
      </c>
      <c r="P26" s="3">
        <f t="shared" si="14"/>
        <v>-0.19931203931203931</v>
      </c>
      <c r="Q26" s="3">
        <f t="shared" si="14"/>
        <v>0.28181728976547932</v>
      </c>
      <c r="R26" s="3">
        <f>AA26-SUM(O26:Q26)</f>
        <v>2.8182854480311437E-2</v>
      </c>
      <c r="S26" s="3">
        <f>S22/S27</f>
        <v>0.30946341463414634</v>
      </c>
      <c r="V26" s="3">
        <f t="shared" ref="V26:AA26" si="15">V22/V27</f>
        <v>6.3187499999999996</v>
      </c>
      <c r="W26" s="3">
        <f t="shared" si="15"/>
        <v>20.683778234086244</v>
      </c>
      <c r="X26" s="3">
        <f t="shared" si="15"/>
        <v>23.457489878542511</v>
      </c>
      <c r="Y26" s="3">
        <f t="shared" si="15"/>
        <v>42.544910179640716</v>
      </c>
      <c r="Z26" s="3">
        <f t="shared" si="15"/>
        <v>3.2978155579717305</v>
      </c>
      <c r="AA26" s="3">
        <f t="shared" si="15"/>
        <v>-0.2671508489547551</v>
      </c>
    </row>
    <row r="27" spans="1:27" x14ac:dyDescent="0.25">
      <c r="A27" t="s">
        <v>1</v>
      </c>
      <c r="C27" s="1">
        <v>491</v>
      </c>
      <c r="D27" s="1">
        <v>493</v>
      </c>
      <c r="E27" s="1">
        <v>495</v>
      </c>
      <c r="F27" s="1">
        <v>495</v>
      </c>
      <c r="G27" s="1">
        <v>498</v>
      </c>
      <c r="H27" s="1">
        <v>500</v>
      </c>
      <c r="I27" s="1">
        <v>501</v>
      </c>
      <c r="J27" s="1">
        <v>501</v>
      </c>
      <c r="K27" s="1">
        <v>504</v>
      </c>
      <c r="L27" s="1">
        <v>10103</v>
      </c>
      <c r="M27" s="1">
        <v>10132</v>
      </c>
      <c r="N27" s="1">
        <f>M27</f>
        <v>10132</v>
      </c>
      <c r="O27" s="1">
        <v>10171</v>
      </c>
      <c r="P27" s="1">
        <v>10175</v>
      </c>
      <c r="Q27" s="1">
        <v>10191</v>
      </c>
      <c r="R27" s="1">
        <v>10189</v>
      </c>
      <c r="S27" s="1">
        <v>10250</v>
      </c>
      <c r="V27" s="1">
        <v>480</v>
      </c>
      <c r="W27" s="1">
        <v>487</v>
      </c>
      <c r="X27" s="1">
        <v>494</v>
      </c>
      <c r="Y27" s="1">
        <v>501</v>
      </c>
      <c r="Z27" s="1">
        <v>10117</v>
      </c>
      <c r="AA27" s="1">
        <v>10189</v>
      </c>
    </row>
    <row r="29" spans="1:27" x14ac:dyDescent="0.25">
      <c r="A29" t="s">
        <v>50</v>
      </c>
      <c r="G29" s="6">
        <f t="shared" ref="G29:H29" si="16">G9/C9-1</f>
        <v>0.26385259631490787</v>
      </c>
      <c r="H29" s="6">
        <f t="shared" si="16"/>
        <v>0.40230900258658764</v>
      </c>
      <c r="I29" s="6">
        <f t="shared" ref="I29" si="17">I9/E9-1</f>
        <v>0.37387290836084075</v>
      </c>
      <c r="J29" s="6">
        <f t="shared" ref="J29" si="18">J9/F9-1</f>
        <v>0.43594816839553041</v>
      </c>
      <c r="K29" s="6">
        <f t="shared" ref="K29" si="19">K9/G9-1</f>
        <v>0.43823888034777081</v>
      </c>
      <c r="L29" s="6">
        <f t="shared" ref="L29:M29" si="20">L9/H9-1</f>
        <v>0.27181932697498645</v>
      </c>
      <c r="M29" s="6">
        <f t="shared" si="20"/>
        <v>0.15255083467679031</v>
      </c>
      <c r="N29" s="6">
        <f t="shared" ref="N29:S29" si="21">N9/J9-1</f>
        <v>9.4436701047349692E-2</v>
      </c>
      <c r="O29" s="6">
        <f t="shared" si="21"/>
        <v>7.3038574245747334E-2</v>
      </c>
      <c r="P29" s="6">
        <f t="shared" si="21"/>
        <v>7.2108241952600016E-2</v>
      </c>
      <c r="Q29" s="6">
        <f t="shared" si="21"/>
        <v>0.14699671515720314</v>
      </c>
      <c r="R29" s="6">
        <f t="shared" si="21"/>
        <v>8.5814921549791867E-2</v>
      </c>
      <c r="S29" s="6">
        <f t="shared" si="21"/>
        <v>9.3727456975026602E-2</v>
      </c>
      <c r="V29" s="7"/>
      <c r="W29" s="7">
        <f>W9/V9-1</f>
        <v>0.3093396152159491</v>
      </c>
      <c r="X29" s="7">
        <f t="shared" ref="W29:Y29" si="22">X9/W9-1</f>
        <v>0.20454125820676983</v>
      </c>
      <c r="Y29" s="7">
        <f t="shared" si="22"/>
        <v>0.37623430604373276</v>
      </c>
      <c r="Z29" s="7">
        <f>Z9/Y9-1</f>
        <v>0.21695366571345676</v>
      </c>
      <c r="AA29" s="7">
        <f>AA9/Z9-1</f>
        <v>9.399517263985091E-2</v>
      </c>
    </row>
    <row r="30" spans="1:27" x14ac:dyDescent="0.25">
      <c r="A30" t="s">
        <v>91</v>
      </c>
      <c r="G30" s="6">
        <f t="shared" ref="G30" si="23">G5/C5-1</f>
        <v>0.32783264033264037</v>
      </c>
      <c r="H30" s="6">
        <f t="shared" ref="H30" si="24">H5/D5-1</f>
        <v>0.28958358191146649</v>
      </c>
      <c r="I30" s="6">
        <f t="shared" ref="I30" si="25">I5/E5-1</f>
        <v>0.28971650917176217</v>
      </c>
      <c r="J30" s="6">
        <f t="shared" ref="J30" si="26">J5/F5-1</f>
        <v>0.28008840667068524</v>
      </c>
      <c r="K30" s="6">
        <f t="shared" ref="K30:N30" si="27">K5/G5-1</f>
        <v>0.32136216850963883</v>
      </c>
      <c r="L30" s="6">
        <f t="shared" si="27"/>
        <v>0.37018874907475952</v>
      </c>
      <c r="M30" s="6">
        <f t="shared" si="27"/>
        <v>0.3886733902249806</v>
      </c>
      <c r="N30" s="6">
        <f t="shared" si="27"/>
        <v>0.39538533982106427</v>
      </c>
      <c r="O30" s="6">
        <f>O5/K5-1</f>
        <v>0.36569651188624741</v>
      </c>
      <c r="P30" s="6">
        <f t="shared" ref="K30:R30" si="28">P5/L5-1</f>
        <v>0.33290566547369838</v>
      </c>
      <c r="Q30" s="6">
        <f t="shared" si="28"/>
        <v>0.27486033519553077</v>
      </c>
      <c r="R30" s="6">
        <f t="shared" si="28"/>
        <v>0.20236220472440936</v>
      </c>
      <c r="S30" s="6">
        <f>S5/O5-1</f>
        <v>0.157963234097934</v>
      </c>
      <c r="V30" s="7"/>
      <c r="W30" s="7">
        <f>W5/V5-1</f>
        <v>0.46944269431238905</v>
      </c>
      <c r="X30" s="7">
        <f t="shared" ref="X30:AA30" si="29">X5/W5-1</f>
        <v>0.36526992788930035</v>
      </c>
      <c r="Y30" s="7">
        <f t="shared" si="29"/>
        <v>0.29532347399074976</v>
      </c>
      <c r="Z30" s="7">
        <f t="shared" si="29"/>
        <v>0.37099404893101173</v>
      </c>
      <c r="AA30" s="7">
        <f t="shared" si="29"/>
        <v>0.28767563743931057</v>
      </c>
    </row>
    <row r="31" spans="1:27" x14ac:dyDescent="0.25">
      <c r="A31" t="s">
        <v>65</v>
      </c>
      <c r="C31" s="7">
        <f t="shared" ref="C31:I31" si="30">C22/C9</f>
        <v>5.9648241206030149E-2</v>
      </c>
      <c r="D31" s="7">
        <f t="shared" si="30"/>
        <v>4.1401173427544007E-2</v>
      </c>
      <c r="E31" s="7">
        <f t="shared" si="30"/>
        <v>3.0493991226189964E-2</v>
      </c>
      <c r="F31" s="7">
        <f t="shared" si="30"/>
        <v>3.7375481775449755E-2</v>
      </c>
      <c r="G31" s="7">
        <f t="shared" si="30"/>
        <v>3.3597518952446587E-2</v>
      </c>
      <c r="H31" s="7">
        <f t="shared" si="30"/>
        <v>5.896841821126507E-2</v>
      </c>
      <c r="I31" s="7">
        <f t="shared" si="30"/>
        <v>6.5848458058141351E-2</v>
      </c>
      <c r="J31" s="7">
        <f t="shared" ref="J31:S31" si="31">J22/J9</f>
        <v>8.0195930070487031E-2</v>
      </c>
      <c r="K31" s="7">
        <f t="shared" si="31"/>
        <v>7.470650030409702E-2</v>
      </c>
      <c r="L31" s="7">
        <f t="shared" si="31"/>
        <v>6.8677042801556426E-2</v>
      </c>
      <c r="M31" s="7">
        <f t="shared" si="31"/>
        <v>2.8516767137133161E-2</v>
      </c>
      <c r="N31" s="7">
        <f t="shared" si="31"/>
        <v>0.10429220155444939</v>
      </c>
      <c r="O31" s="7">
        <f t="shared" si="31"/>
        <v>-3.3002988561025043E-2</v>
      </c>
      <c r="P31" s="7">
        <f t="shared" si="31"/>
        <v>-1.6727980599501788E-2</v>
      </c>
      <c r="Q31" s="7">
        <f t="shared" si="31"/>
        <v>2.2596203019645794E-2</v>
      </c>
      <c r="R31" s="7">
        <f t="shared" si="31"/>
        <v>1.8565185919948526E-3</v>
      </c>
      <c r="S31" s="7">
        <f t="shared" si="31"/>
        <v>2.4906170008951147E-2</v>
      </c>
      <c r="T31" s="7"/>
      <c r="U31" s="7"/>
      <c r="V31" s="7">
        <f t="shared" ref="V31:AA31" si="32">V22/V9</f>
        <v>1.7052162864178651E-2</v>
      </c>
      <c r="W31" s="7">
        <f t="shared" si="32"/>
        <v>4.3252736305590261E-2</v>
      </c>
      <c r="X31" s="7">
        <f t="shared" si="32"/>
        <v>4.1308703060722513E-2</v>
      </c>
      <c r="Y31" s="7">
        <f t="shared" si="32"/>
        <v>5.5211053089643171E-2</v>
      </c>
      <c r="Z31" s="7">
        <f t="shared" si="32"/>
        <v>7.1014128755145567E-2</v>
      </c>
      <c r="AA31" s="7">
        <f t="shared" si="32"/>
        <v>-5.2958950004183018E-3</v>
      </c>
    </row>
    <row r="32" spans="1:27" x14ac:dyDescent="0.25">
      <c r="A32" t="s">
        <v>51</v>
      </c>
      <c r="G32" s="6">
        <f t="shared" ref="G32:J32" si="33">-(G22/C22-1)</f>
        <v>0.2881213142375737</v>
      </c>
      <c r="H32" s="6">
        <f t="shared" si="33"/>
        <v>-0.9973333333333334</v>
      </c>
      <c r="I32" s="6">
        <f t="shared" si="33"/>
        <v>-1.9667291471415185</v>
      </c>
      <c r="J32" s="6">
        <f t="shared" si="33"/>
        <v>-2.0810893512851898</v>
      </c>
      <c r="K32" s="6">
        <f>K22/G22-1</f>
        <v>2.1980276134122287</v>
      </c>
      <c r="L32" s="6">
        <f>-(L22/H22-1)</f>
        <v>-0.48121304596604997</v>
      </c>
      <c r="M32" s="6">
        <f t="shared" ref="M32" si="34">-(M22/I22-1)</f>
        <v>0.50086874111514768</v>
      </c>
      <c r="N32" s="6">
        <f t="shared" ref="N32" si="35">-(N22/J22-1)</f>
        <v>-0.42327937233091673</v>
      </c>
      <c r="O32" s="6">
        <f t="shared" ref="O32:P32" si="36">-(O22/K22-1)</f>
        <v>1.4740347847539164</v>
      </c>
      <c r="P32" s="6">
        <f t="shared" si="36"/>
        <v>1.2611382951326293</v>
      </c>
      <c r="Q32" s="6">
        <f>-(Q22/M22-1)</f>
        <v>9.1139240506329156E-2</v>
      </c>
      <c r="R32" s="6">
        <f>-(R22/N22-1)</f>
        <v>0.9806712720675459</v>
      </c>
      <c r="S32" s="6">
        <f>-(S22/O22-1)</f>
        <v>1.8253968253968254</v>
      </c>
      <c r="W32" s="7">
        <f>W22/V22-1</f>
        <v>2.3211341905703922</v>
      </c>
      <c r="X32" s="7">
        <f>X22/W22-1</f>
        <v>0.1504020649260398</v>
      </c>
      <c r="Y32" s="7">
        <f>Y22/X22-1</f>
        <v>0.83940283051432507</v>
      </c>
      <c r="Z32" s="7">
        <f>Z22/Y22-1</f>
        <v>0.56528266479005396</v>
      </c>
      <c r="AA32" s="7">
        <f>AA22/Z22-1</f>
        <v>-1.0815849418534949</v>
      </c>
    </row>
    <row r="33" spans="1:28" x14ac:dyDescent="0.25">
      <c r="A33" t="s">
        <v>52</v>
      </c>
      <c r="G33" s="6">
        <f t="shared" ref="G33:K33" si="37">-G21/G20</f>
        <v>0.25066509015666566</v>
      </c>
      <c r="H33" s="6">
        <f t="shared" si="37"/>
        <v>0.1572094518566147</v>
      </c>
      <c r="I33" s="6">
        <f t="shared" si="37"/>
        <v>7.0201204288441774E-2</v>
      </c>
      <c r="J33" s="6">
        <f t="shared" si="37"/>
        <v>-0.29671603348358017</v>
      </c>
      <c r="K33" s="6">
        <f t="shared" si="37"/>
        <v>0.21045968056096612</v>
      </c>
      <c r="L33" s="6">
        <f>-L21/L20</f>
        <v>0.1005327773917072</v>
      </c>
      <c r="M33" s="6">
        <f>-M21/M20</f>
        <v>0.26767091541135574</v>
      </c>
      <c r="N33" s="6">
        <f>-N21/N20</f>
        <v>4.0377661711530732E-2</v>
      </c>
      <c r="O33" s="6">
        <f>-O21/O20</f>
        <v>0.27008547008547007</v>
      </c>
      <c r="P33" s="6">
        <f t="shared" ref="P33" si="38">-P21/P20</f>
        <v>0.23558235959291368</v>
      </c>
      <c r="Q33" s="6">
        <f>-Q21/Q20</f>
        <v>2.4456521739130436E-2</v>
      </c>
      <c r="R33" s="6">
        <f>-R21/R20</f>
        <v>1.287941787941788</v>
      </c>
      <c r="S33" s="6">
        <f>-S21/S20</f>
        <v>0.22991017237193492</v>
      </c>
      <c r="W33" s="6">
        <f>-W21/W20</f>
        <v>0.10549684752686263</v>
      </c>
      <c r="X33" s="6">
        <f>-X21/X20</f>
        <v>0.1708643388666285</v>
      </c>
      <c r="Y33" s="6">
        <f>-Y21/Y20</f>
        <v>0.1184134337000579</v>
      </c>
      <c r="Z33" s="6">
        <f>-Z21/Z20</f>
        <v>0.12547508584309716</v>
      </c>
      <c r="AA33" s="6">
        <f>-AA21/AA20</f>
        <v>0.5414420485175202</v>
      </c>
    </row>
    <row r="34" spans="1:28" s="4" customFormat="1" x14ac:dyDescent="0.25">
      <c r="A34" s="4" t="s">
        <v>54</v>
      </c>
      <c r="C34" s="4" t="s">
        <v>55</v>
      </c>
    </row>
    <row r="36" spans="1:28" x14ac:dyDescent="0.25">
      <c r="A36" t="s">
        <v>58</v>
      </c>
      <c r="C36" s="7">
        <f t="shared" ref="C36:S36" si="39">C3/SUM(C$3:C$5)</f>
        <v>0.59986599664991624</v>
      </c>
      <c r="D36" s="7">
        <f t="shared" si="39"/>
        <v>0.60963030723613654</v>
      </c>
      <c r="E36" s="7">
        <f t="shared" si="39"/>
        <v>0.6092796616224404</v>
      </c>
      <c r="F36" s="7">
        <f t="shared" si="39"/>
        <v>0.61363662368273508</v>
      </c>
      <c r="G36" s="7">
        <f t="shared" si="39"/>
        <v>0.61134231034299957</v>
      </c>
      <c r="H36" s="7">
        <f t="shared" si="39"/>
        <v>0.62349289184811951</v>
      </c>
      <c r="I36" s="7">
        <f t="shared" si="39"/>
        <v>0.61753601331322483</v>
      </c>
      <c r="J36" s="7">
        <f>J3/SUM(J$3:J$5)</f>
        <v>0.60010354028115165</v>
      </c>
      <c r="K36" s="7">
        <f t="shared" si="39"/>
        <v>0.59302411326598337</v>
      </c>
      <c r="L36" s="7">
        <f t="shared" si="39"/>
        <v>0.59736469755925004</v>
      </c>
      <c r="M36" s="7">
        <f t="shared" si="39"/>
        <v>0.5916056022813414</v>
      </c>
      <c r="N36" s="7">
        <f t="shared" si="39"/>
        <v>0.59945286011553967</v>
      </c>
      <c r="O36" s="7">
        <f t="shared" si="39"/>
        <v>0.59465494143107411</v>
      </c>
      <c r="P36" s="7">
        <f t="shared" si="39"/>
        <v>0.61393668442846061</v>
      </c>
      <c r="Q36" s="7">
        <f t="shared" si="39"/>
        <v>0.62031770009677345</v>
      </c>
      <c r="R36" s="7">
        <f t="shared" si="39"/>
        <v>0.62574059676684268</v>
      </c>
      <c r="S36" s="7">
        <f t="shared" si="39"/>
        <v>0.60366054743321973</v>
      </c>
      <c r="T36" s="7"/>
      <c r="U36" s="7"/>
      <c r="V36" s="7"/>
      <c r="W36" s="7">
        <f t="shared" ref="W36:AA38" si="40">W3/SUM(W$3:W$5)</f>
        <v>0.6070154194952917</v>
      </c>
      <c r="X36" s="7">
        <f t="shared" si="40"/>
        <v>0.60871285857916013</v>
      </c>
      <c r="Y36" s="7">
        <f t="shared" si="40"/>
        <v>0.61202805752414102</v>
      </c>
      <c r="Z36" s="7">
        <f t="shared" si="40"/>
        <v>0.59561493501794294</v>
      </c>
      <c r="AA36" s="7">
        <f t="shared" si="40"/>
        <v>0.61457285552245888</v>
      </c>
    </row>
    <row r="37" spans="1:28" x14ac:dyDescent="0.25">
      <c r="A37" t="s">
        <v>59</v>
      </c>
      <c r="C37" s="7">
        <f t="shared" ref="C37:S37" si="41">C4/SUM(C$3:C$5)</f>
        <v>0.27122278056951421</v>
      </c>
      <c r="D37" s="7">
        <f t="shared" si="41"/>
        <v>0.25818560343196012</v>
      </c>
      <c r="E37" s="7">
        <f t="shared" si="41"/>
        <v>0.26218545033651991</v>
      </c>
      <c r="F37" s="7">
        <f t="shared" si="41"/>
        <v>0.2724693067267755</v>
      </c>
      <c r="G37" s="7">
        <f t="shared" si="41"/>
        <v>0.25322059057413987</v>
      </c>
      <c r="H37" s="7">
        <f t="shared" si="41"/>
        <v>0.25494871333453301</v>
      </c>
      <c r="I37" s="7">
        <f>I4/SUM(I$3:I$5)</f>
        <v>0.26180248582869625</v>
      </c>
      <c r="J37" s="7">
        <f t="shared" si="41"/>
        <v>0.2984110549161722</v>
      </c>
      <c r="K37" s="7">
        <f t="shared" si="41"/>
        <v>0.28251050807462574</v>
      </c>
      <c r="L37" s="7">
        <f t="shared" si="41"/>
        <v>0.27167492041032898</v>
      </c>
      <c r="M37" s="7">
        <f t="shared" si="41"/>
        <v>0.26301303107966645</v>
      </c>
      <c r="N37" s="7">
        <f t="shared" si="41"/>
        <v>0.27118348103199896</v>
      </c>
      <c r="O37" s="7">
        <f t="shared" si="41"/>
        <v>0.24697708769880802</v>
      </c>
      <c r="P37" s="7">
        <f t="shared" si="41"/>
        <v>0.223245954105284</v>
      </c>
      <c r="Q37" s="7">
        <f t="shared" si="41"/>
        <v>0.21809427148488211</v>
      </c>
      <c r="R37" s="7">
        <f t="shared" si="41"/>
        <v>0.23097906222353287</v>
      </c>
      <c r="S37" s="7">
        <f t="shared" si="41"/>
        <v>0.22867036228583992</v>
      </c>
      <c r="T37" s="7"/>
      <c r="U37" s="7"/>
      <c r="V37" s="7"/>
      <c r="W37" s="7">
        <f t="shared" si="40"/>
        <v>0.28282385878129734</v>
      </c>
      <c r="X37" s="7">
        <f t="shared" si="40"/>
        <v>0.26640925264366339</v>
      </c>
      <c r="Y37" s="7">
        <f t="shared" si="40"/>
        <v>0.27045256744995649</v>
      </c>
      <c r="Z37" s="7">
        <f t="shared" si="40"/>
        <v>0.27199024311334929</v>
      </c>
      <c r="AA37" s="7">
        <f t="shared" si="40"/>
        <v>0.22959319666214642</v>
      </c>
    </row>
    <row r="38" spans="1:28" x14ac:dyDescent="0.25">
      <c r="A38" t="s">
        <v>60</v>
      </c>
      <c r="C38" s="7">
        <f t="shared" ref="C38:S38" si="42">C5/SUM(C$3:C$5)</f>
        <v>0.12891122278056952</v>
      </c>
      <c r="D38" s="7">
        <f t="shared" si="42"/>
        <v>0.13218408933190334</v>
      </c>
      <c r="E38" s="7">
        <f t="shared" si="42"/>
        <v>0.12853488804103971</v>
      </c>
      <c r="F38" s="7">
        <f t="shared" si="42"/>
        <v>0.11389406959048938</v>
      </c>
      <c r="G38" s="7">
        <f t="shared" si="42"/>
        <v>0.13543709908286064</v>
      </c>
      <c r="H38" s="7">
        <f t="shared" si="42"/>
        <v>0.1215583948173475</v>
      </c>
      <c r="I38" s="7">
        <f t="shared" si="42"/>
        <v>0.12066150085807895</v>
      </c>
      <c r="J38" s="7">
        <f t="shared" si="42"/>
        <v>0.10148540480267612</v>
      </c>
      <c r="K38" s="7">
        <f t="shared" si="42"/>
        <v>0.1244653786593909</v>
      </c>
      <c r="L38" s="7">
        <f t="shared" si="42"/>
        <v>0.13096038203042093</v>
      </c>
      <c r="M38" s="7">
        <f t="shared" si="42"/>
        <v>0.14538136663899218</v>
      </c>
      <c r="N38" s="7">
        <f t="shared" si="42"/>
        <v>0.1293636588524614</v>
      </c>
      <c r="O38" s="7">
        <f t="shared" si="42"/>
        <v>0.15836797087011784</v>
      </c>
      <c r="P38" s="7">
        <f t="shared" si="42"/>
        <v>0.16281736146625533</v>
      </c>
      <c r="Q38" s="7">
        <f t="shared" si="42"/>
        <v>0.16158802841834446</v>
      </c>
      <c r="R38" s="7">
        <f t="shared" si="42"/>
        <v>0.14328034100962442</v>
      </c>
      <c r="S38" s="7">
        <f t="shared" si="42"/>
        <v>0.16766909028094035</v>
      </c>
      <c r="T38" s="7"/>
      <c r="U38" s="7"/>
      <c r="V38" s="7"/>
      <c r="W38" s="7">
        <f t="shared" si="40"/>
        <v>0.11016072172341093</v>
      </c>
      <c r="X38" s="7">
        <f t="shared" si="40"/>
        <v>0.12487788877717643</v>
      </c>
      <c r="Y38" s="7">
        <f t="shared" si="40"/>
        <v>0.11751937502590244</v>
      </c>
      <c r="Z38" s="7">
        <f t="shared" si="40"/>
        <v>0.13239482186870771</v>
      </c>
      <c r="AA38" s="7">
        <f t="shared" si="40"/>
        <v>0.15583394781539467</v>
      </c>
    </row>
    <row r="39" spans="1:28" x14ac:dyDescent="0.25">
      <c r="A39" t="s">
        <v>66</v>
      </c>
      <c r="C39" s="7">
        <f t="shared" ref="C39:S39" si="43">C23/C3</f>
        <v>6.3861275550094937E-2</v>
      </c>
      <c r="D39" s="7">
        <f t="shared" si="43"/>
        <v>4.0462577290249137E-2</v>
      </c>
      <c r="E39" s="7">
        <f t="shared" si="43"/>
        <v>3.0067076316900417E-2</v>
      </c>
      <c r="F39" s="7">
        <f t="shared" si="43"/>
        <v>3.5427932127540557E-2</v>
      </c>
      <c r="G39" s="7">
        <f t="shared" si="43"/>
        <v>2.8443211134476554E-2</v>
      </c>
      <c r="H39" s="7">
        <f t="shared" si="43"/>
        <v>3.8621112634389207E-2</v>
      </c>
      <c r="I39" s="7">
        <f t="shared" si="43"/>
        <v>3.7929698684587274E-2</v>
      </c>
      <c r="J39" s="7">
        <f t="shared" si="43"/>
        <v>3.9099620417805854E-2</v>
      </c>
      <c r="K39" s="7">
        <f t="shared" si="43"/>
        <v>5.3624720218851035E-2</v>
      </c>
      <c r="L39" s="7">
        <f t="shared" si="43"/>
        <v>4.6587712805329383E-2</v>
      </c>
      <c r="M39" s="7">
        <f t="shared" si="43"/>
        <v>1.3423433043000747E-2</v>
      </c>
      <c r="N39" s="7">
        <f t="shared" si="43"/>
        <v>-2.5003034348828742E-3</v>
      </c>
      <c r="O39" s="7">
        <f t="shared" si="43"/>
        <v>-2.2644561261625555E-2</v>
      </c>
      <c r="P39" s="7">
        <f t="shared" si="43"/>
        <v>-8.4240225715437322E-3</v>
      </c>
      <c r="Q39" s="7">
        <f t="shared" si="43"/>
        <v>-5.2255748766536023E-3</v>
      </c>
      <c r="R39" s="7">
        <f t="shared" si="43"/>
        <v>-2.5706114842068057E-3</v>
      </c>
      <c r="S39" s="7">
        <f t="shared" si="43"/>
        <v>1.1680389172877564E-2</v>
      </c>
      <c r="T39" s="7"/>
      <c r="U39" s="7"/>
      <c r="V39" s="7"/>
      <c r="W39" s="7">
        <f t="shared" ref="W39:Y41" si="44">W23/W3</f>
        <v>5.1405571353790869E-2</v>
      </c>
      <c r="X39" s="7">
        <f t="shared" si="44"/>
        <v>4.1192973824626757E-2</v>
      </c>
      <c r="Y39" s="7">
        <f t="shared" si="44"/>
        <v>3.6613030192735797E-2</v>
      </c>
      <c r="Z39" s="7">
        <f t="shared" ref="Z39:AA39" si="45">Z23/Z3</f>
        <v>2.5983354357777676E-2</v>
      </c>
      <c r="AA39" s="7">
        <f t="shared" si="45"/>
        <v>-9.0129162973280989E-3</v>
      </c>
    </row>
    <row r="40" spans="1:28" x14ac:dyDescent="0.25">
      <c r="A40" t="s">
        <v>67</v>
      </c>
      <c r="C40" s="7">
        <f t="shared" ref="C40:S40" si="46">C24/C4</f>
        <v>-5.558300395256917E-3</v>
      </c>
      <c r="D40" s="7">
        <f t="shared" si="46"/>
        <v>-3.6713500305436776E-2</v>
      </c>
      <c r="E40" s="7">
        <f t="shared" si="46"/>
        <v>-2.10377152823196E-2</v>
      </c>
      <c r="F40" s="7">
        <f t="shared" si="46"/>
        <v>-2.5868223239407045E-2</v>
      </c>
      <c r="G40" s="7">
        <f t="shared" si="46"/>
        <v>-2.0831152517533758E-2</v>
      </c>
      <c r="H40" s="7">
        <f t="shared" si="46"/>
        <v>1.5219692959237693E-2</v>
      </c>
      <c r="I40" s="7">
        <f t="shared" si="46"/>
        <v>1.6169401295141234E-2</v>
      </c>
      <c r="J40" s="7">
        <f t="shared" si="46"/>
        <v>9.6885259027944589E-3</v>
      </c>
      <c r="K40" s="7">
        <f t="shared" si="46"/>
        <v>4.084961988971908E-2</v>
      </c>
      <c r="L40" s="7">
        <f t="shared" si="46"/>
        <v>1.178347059015006E-2</v>
      </c>
      <c r="M40" s="7">
        <f t="shared" si="46"/>
        <v>-3.1257505575570423E-2</v>
      </c>
      <c r="N40" s="7">
        <f t="shared" si="46"/>
        <v>-4.3652071259927025E-2</v>
      </c>
      <c r="O40" s="7">
        <f t="shared" si="46"/>
        <v>-4.4542577975590247E-2</v>
      </c>
      <c r="P40" s="7">
        <f t="shared" si="46"/>
        <v>-6.5435063735451687E-2</v>
      </c>
      <c r="Q40" s="7">
        <f t="shared" si="46"/>
        <v>-8.8961038961038963E-2</v>
      </c>
      <c r="R40" s="7">
        <f t="shared" si="46"/>
        <v>-6.4649043902155937E-2</v>
      </c>
      <c r="S40" s="7">
        <f t="shared" si="46"/>
        <v>-4.2818390962469526E-2</v>
      </c>
      <c r="T40" s="7"/>
      <c r="U40" s="7"/>
      <c r="V40" s="7"/>
      <c r="W40" s="7">
        <f t="shared" si="44"/>
        <v>-3.2520572070567515E-2</v>
      </c>
      <c r="X40" s="7">
        <f t="shared" si="44"/>
        <v>-2.2657013235549965E-2</v>
      </c>
      <c r="Y40" s="7">
        <f t="shared" si="44"/>
        <v>6.8670267785312031E-3</v>
      </c>
      <c r="Z40" s="7">
        <f t="shared" ref="Z40:AA40" si="47">Z24/Z4</f>
        <v>-7.2307824739605746E-3</v>
      </c>
      <c r="AA40" s="7">
        <f t="shared" si="47"/>
        <v>-6.5640173887989692E-2</v>
      </c>
    </row>
    <row r="41" spans="1:28" x14ac:dyDescent="0.25">
      <c r="A41" t="s">
        <v>68</v>
      </c>
      <c r="C41" s="7">
        <f t="shared" ref="C41:S41" si="48">C25/C5</f>
        <v>0.28885135135135137</v>
      </c>
      <c r="D41" s="7">
        <f t="shared" si="48"/>
        <v>0.25307242572485383</v>
      </c>
      <c r="E41" s="7">
        <f t="shared" si="48"/>
        <v>0.25136186770428015</v>
      </c>
      <c r="F41" s="7">
        <f t="shared" si="48"/>
        <v>0.26079967852119751</v>
      </c>
      <c r="G41" s="7">
        <f t="shared" si="48"/>
        <v>0.30091006947842253</v>
      </c>
      <c r="H41" s="7">
        <f t="shared" si="48"/>
        <v>0.31060325684678014</v>
      </c>
      <c r="I41" s="7">
        <f t="shared" si="48"/>
        <v>0.30471511076631325</v>
      </c>
      <c r="J41" s="7">
        <f t="shared" si="48"/>
        <v>0.27970491288651705</v>
      </c>
      <c r="K41" s="7">
        <f t="shared" si="48"/>
        <v>0.30830185884618233</v>
      </c>
      <c r="L41" s="7">
        <f t="shared" si="48"/>
        <v>0.28313863191302585</v>
      </c>
      <c r="M41" s="7">
        <f t="shared" si="48"/>
        <v>0.3031036623215394</v>
      </c>
      <c r="N41" s="7">
        <f t="shared" si="48"/>
        <v>0.29769403824521934</v>
      </c>
      <c r="O41" s="7">
        <f t="shared" si="48"/>
        <v>0.35345154818068436</v>
      </c>
      <c r="P41" s="7">
        <f t="shared" si="48"/>
        <v>0.28952834490095747</v>
      </c>
      <c r="Q41" s="7">
        <f t="shared" si="48"/>
        <v>0.26307332749050538</v>
      </c>
      <c r="R41" s="7">
        <f t="shared" si="48"/>
        <v>0.24347460005613247</v>
      </c>
      <c r="S41" s="7">
        <f t="shared" si="48"/>
        <v>0.23990821391776718</v>
      </c>
      <c r="T41" s="7"/>
      <c r="U41" s="7"/>
      <c r="V41" s="7"/>
      <c r="W41" s="7">
        <f t="shared" si="44"/>
        <v>0.28438900799064509</v>
      </c>
      <c r="X41" s="7">
        <f t="shared" si="44"/>
        <v>0.26269057271740992</v>
      </c>
      <c r="Y41" s="7">
        <f t="shared" si="44"/>
        <v>0.29823672029975756</v>
      </c>
      <c r="Z41" s="7">
        <f>Z25/Z5</f>
        <v>0.29793254236198191</v>
      </c>
      <c r="AA41" s="7">
        <f>AA25/AA5</f>
        <v>0.28517029564522572</v>
      </c>
    </row>
    <row r="44" spans="1:28" x14ac:dyDescent="0.25">
      <c r="A44" t="s">
        <v>5</v>
      </c>
      <c r="W44" s="1">
        <f>W45+W46-W54-W58-W59</f>
        <v>-38000</v>
      </c>
      <c r="X44" s="1">
        <f>X45+X46-X54-X58-X59</f>
        <v>-27747</v>
      </c>
      <c r="Y44" s="1">
        <f>Y45+Y46-Y54-Y58-Y59</f>
        <v>-36976</v>
      </c>
      <c r="Z44" s="1">
        <f>Z45+Z46-Z54-Z58-Z59</f>
        <v>-55002</v>
      </c>
      <c r="AA44" s="1">
        <f>AA45+AA46-AA54-AA58-AA59</f>
        <v>-97845</v>
      </c>
    </row>
    <row r="45" spans="1:28" x14ac:dyDescent="0.25">
      <c r="A45" t="s">
        <v>3</v>
      </c>
      <c r="W45" s="1">
        <v>31750</v>
      </c>
      <c r="X45" s="1">
        <v>36092</v>
      </c>
      <c r="Y45" s="1">
        <v>42122</v>
      </c>
      <c r="Z45" s="1">
        <v>36220</v>
      </c>
      <c r="AA45" s="1">
        <v>53888</v>
      </c>
      <c r="AB45" s="1"/>
    </row>
    <row r="46" spans="1:28" x14ac:dyDescent="0.25">
      <c r="A46" t="s">
        <v>70</v>
      </c>
      <c r="W46" s="1">
        <v>9500</v>
      </c>
      <c r="X46" s="1">
        <v>18929</v>
      </c>
      <c r="Y46" s="1">
        <v>42274</v>
      </c>
      <c r="Z46" s="1">
        <v>59829</v>
      </c>
      <c r="AA46" s="1">
        <v>16138</v>
      </c>
      <c r="AB46" s="1"/>
    </row>
    <row r="47" spans="1:28" x14ac:dyDescent="0.25">
      <c r="A47" t="s">
        <v>71</v>
      </c>
      <c r="W47" s="1">
        <v>17174</v>
      </c>
      <c r="X47" s="1">
        <v>20497</v>
      </c>
      <c r="Y47" s="1">
        <v>23795</v>
      </c>
      <c r="Z47" s="1">
        <v>32640</v>
      </c>
      <c r="AA47" s="1">
        <v>34405</v>
      </c>
      <c r="AB47" s="1"/>
    </row>
    <row r="48" spans="1:28" x14ac:dyDescent="0.25">
      <c r="A48" t="s">
        <v>72</v>
      </c>
      <c r="W48" s="1">
        <v>16677</v>
      </c>
      <c r="X48" s="1">
        <v>20816</v>
      </c>
      <c r="Y48" s="1">
        <v>24542</v>
      </c>
      <c r="Z48" s="1">
        <v>32891</v>
      </c>
      <c r="AA48" s="1">
        <v>42360</v>
      </c>
      <c r="AB48" s="1"/>
    </row>
    <row r="49" spans="1:28" x14ac:dyDescent="0.25">
      <c r="A49" t="s">
        <v>73</v>
      </c>
      <c r="W49" s="1">
        <v>61797</v>
      </c>
      <c r="X49" s="1">
        <v>72705</v>
      </c>
      <c r="Y49" s="1">
        <v>113114</v>
      </c>
      <c r="Z49" s="1">
        <v>160281</v>
      </c>
      <c r="AA49" s="1">
        <v>186715</v>
      </c>
      <c r="AB49" s="1"/>
    </row>
    <row r="50" spans="1:28" x14ac:dyDescent="0.25">
      <c r="A50" t="s">
        <v>74</v>
      </c>
      <c r="W50" s="1">
        <v>0</v>
      </c>
      <c r="X50" s="1">
        <v>25141</v>
      </c>
      <c r="Y50" s="1">
        <v>37553</v>
      </c>
      <c r="Z50" s="1">
        <v>56082</v>
      </c>
      <c r="AA50" s="1">
        <v>66123</v>
      </c>
      <c r="AB50" s="1"/>
    </row>
    <row r="51" spans="1:28" x14ac:dyDescent="0.25">
      <c r="A51" t="s">
        <v>75</v>
      </c>
      <c r="W51" s="1">
        <v>14548</v>
      </c>
      <c r="X51" s="1">
        <v>14754</v>
      </c>
      <c r="Y51" s="1">
        <v>15017</v>
      </c>
      <c r="Z51" s="1">
        <v>15371</v>
      </c>
      <c r="AA51" s="1">
        <v>20288</v>
      </c>
      <c r="AB51" s="1"/>
    </row>
    <row r="52" spans="1:28" x14ac:dyDescent="0.25">
      <c r="A52" t="s">
        <v>41</v>
      </c>
      <c r="W52" s="1">
        <v>11202</v>
      </c>
      <c r="X52" s="1">
        <v>16314</v>
      </c>
      <c r="Y52" s="1">
        <v>22778</v>
      </c>
      <c r="Z52" s="1">
        <v>27235</v>
      </c>
      <c r="AA52" s="1">
        <v>42758</v>
      </c>
      <c r="AB52" s="1"/>
    </row>
    <row r="53" spans="1:28" s="4" customFormat="1" x14ac:dyDescent="0.25">
      <c r="A53" s="4" t="s">
        <v>76</v>
      </c>
      <c r="W53" s="5">
        <f>SUM(W45:W52)</f>
        <v>162648</v>
      </c>
      <c r="X53" s="5">
        <f>SUM(X45:X52)</f>
        <v>225248</v>
      </c>
      <c r="Y53" s="5">
        <f>SUM(Y45:Y52)</f>
        <v>321195</v>
      </c>
      <c r="Z53" s="5">
        <f>SUM(Z45:Z52)</f>
        <v>420549</v>
      </c>
      <c r="AA53" s="5">
        <f>SUM(AA45:AA52)</f>
        <v>462675</v>
      </c>
      <c r="AB53" s="5"/>
    </row>
    <row r="54" spans="1:28" x14ac:dyDescent="0.25">
      <c r="A54" t="s">
        <v>77</v>
      </c>
      <c r="W54" s="1">
        <v>38192</v>
      </c>
      <c r="X54" s="1">
        <v>47183</v>
      </c>
      <c r="Y54" s="1">
        <v>72539</v>
      </c>
      <c r="Z54" s="1">
        <v>78664</v>
      </c>
      <c r="AA54" s="1">
        <v>79600</v>
      </c>
      <c r="AB54" s="1"/>
    </row>
    <row r="55" spans="1:28" x14ac:dyDescent="0.25">
      <c r="A55" t="s">
        <v>78</v>
      </c>
      <c r="W55" s="1">
        <v>23663</v>
      </c>
      <c r="X55" s="1">
        <v>32439</v>
      </c>
      <c r="Y55" s="1">
        <v>44138</v>
      </c>
      <c r="Z55" s="1">
        <v>51775</v>
      </c>
      <c r="AA55" s="1">
        <v>62566</v>
      </c>
      <c r="AB55" s="1"/>
    </row>
    <row r="56" spans="1:28" x14ac:dyDescent="0.25">
      <c r="A56" t="s">
        <v>79</v>
      </c>
      <c r="W56" s="1">
        <v>6536</v>
      </c>
      <c r="X56" s="1">
        <v>8190</v>
      </c>
      <c r="Y56" s="1">
        <v>9708</v>
      </c>
      <c r="Z56" s="1">
        <v>11827</v>
      </c>
      <c r="AA56" s="1">
        <v>13227</v>
      </c>
      <c r="AB56" s="1"/>
    </row>
    <row r="57" spans="1:28" x14ac:dyDescent="0.25">
      <c r="A57" t="s">
        <v>80</v>
      </c>
      <c r="W57" s="1">
        <v>9650</v>
      </c>
      <c r="X57" s="1">
        <v>39791</v>
      </c>
      <c r="Y57" s="1">
        <v>52573</v>
      </c>
      <c r="Z57" s="1">
        <v>67651</v>
      </c>
      <c r="AA57" s="1">
        <v>72968</v>
      </c>
      <c r="AB57" s="1"/>
    </row>
    <row r="58" spans="1:28" x14ac:dyDescent="0.25">
      <c r="A58" t="s">
        <v>81</v>
      </c>
      <c r="W58" s="1">
        <v>23495</v>
      </c>
      <c r="X58" s="1">
        <v>23414</v>
      </c>
      <c r="Y58" s="1">
        <v>31816</v>
      </c>
      <c r="Z58" s="1">
        <v>48744</v>
      </c>
      <c r="AA58" s="1">
        <v>67150</v>
      </c>
      <c r="AB58" s="1"/>
    </row>
    <row r="59" spans="1:28" x14ac:dyDescent="0.25">
      <c r="A59" t="s">
        <v>82</v>
      </c>
      <c r="W59" s="1">
        <v>17563</v>
      </c>
      <c r="X59" s="1">
        <v>12171</v>
      </c>
      <c r="Y59" s="1">
        <v>17017</v>
      </c>
      <c r="Z59" s="1">
        <v>23643</v>
      </c>
      <c r="AA59" s="1">
        <v>21121</v>
      </c>
      <c r="AB59" s="1"/>
    </row>
    <row r="60" spans="1:28" x14ac:dyDescent="0.25">
      <c r="A60" t="s">
        <v>83</v>
      </c>
      <c r="W60" s="1">
        <v>43549</v>
      </c>
      <c r="X60" s="1">
        <v>62060</v>
      </c>
      <c r="Y60" s="1">
        <v>93404</v>
      </c>
      <c r="Z60" s="1">
        <v>138245</v>
      </c>
      <c r="AA60" s="1">
        <v>146043</v>
      </c>
      <c r="AB60" s="1"/>
    </row>
    <row r="61" spans="1:28" s="4" customFormat="1" x14ac:dyDescent="0.25">
      <c r="A61" s="4" t="s">
        <v>84</v>
      </c>
      <c r="W61" s="5">
        <f>SUM(W54:W59)</f>
        <v>119099</v>
      </c>
      <c r="X61" s="5">
        <f>SUM(X54:X59)</f>
        <v>163188</v>
      </c>
      <c r="Y61" s="5">
        <f>SUM(Y54:Y59)</f>
        <v>227791</v>
      </c>
      <c r="Z61" s="5">
        <f>SUM(Z54:Z59)</f>
        <v>282304</v>
      </c>
      <c r="AA61" s="5">
        <f>SUM(AA54:AA59)</f>
        <v>316632</v>
      </c>
      <c r="AB61" s="1"/>
    </row>
    <row r="62" spans="1:28" x14ac:dyDescent="0.25">
      <c r="Y62" s="1"/>
    </row>
  </sheetData>
  <phoneticPr fontId="3" type="noConversion"/>
  <hyperlinks>
    <hyperlink ref="A1" location="Main!A1" display="Main" xr:uid="{91B03804-6AC4-4060-8306-A64176EF9A30}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FBC5-94D3-4631-B6C6-3844514F6EB8}">
  <dimension ref="A1:S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1" sqref="E21"/>
    </sheetView>
  </sheetViews>
  <sheetFormatPr defaultRowHeight="15" x14ac:dyDescent="0.25"/>
  <cols>
    <col min="1" max="1" width="27.5703125" customWidth="1"/>
  </cols>
  <sheetData>
    <row r="1" spans="1:19" x14ac:dyDescent="0.25">
      <c r="A1" s="2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M1" s="4" t="s">
        <v>69</v>
      </c>
      <c r="N1" s="4" t="s">
        <v>24</v>
      </c>
      <c r="O1" s="4" t="s">
        <v>23</v>
      </c>
      <c r="P1" s="4" t="s">
        <v>22</v>
      </c>
      <c r="Q1" s="4" t="s">
        <v>18</v>
      </c>
      <c r="R1" s="4" t="s">
        <v>19</v>
      </c>
      <c r="S1" s="4" t="s">
        <v>20</v>
      </c>
    </row>
    <row r="2" spans="1:19" x14ac:dyDescent="0.25">
      <c r="A2" t="s">
        <v>86</v>
      </c>
      <c r="B2" s="1">
        <v>52901</v>
      </c>
      <c r="C2" s="1">
        <v>53157</v>
      </c>
      <c r="D2" s="1">
        <v>49942</v>
      </c>
      <c r="E2" s="1">
        <f>Q2-D2-C2-B2</f>
        <v>66075</v>
      </c>
      <c r="F2" s="1">
        <v>51129</v>
      </c>
      <c r="G2" s="1">
        <v>50855</v>
      </c>
      <c r="H2" s="1">
        <v>53489</v>
      </c>
      <c r="I2" s="1">
        <f>R2-H2-G2-F2</f>
        <v>64531</v>
      </c>
      <c r="J2" s="1">
        <v>51096</v>
      </c>
      <c r="K2" s="1"/>
      <c r="M2" s="1">
        <v>108354</v>
      </c>
      <c r="N2" s="1">
        <v>122987</v>
      </c>
      <c r="O2" s="1">
        <v>141247</v>
      </c>
      <c r="P2" s="1">
        <v>197346</v>
      </c>
      <c r="Q2" s="1">
        <v>222075</v>
      </c>
      <c r="R2" s="1">
        <v>220004</v>
      </c>
      <c r="S2" s="1"/>
    </row>
    <row r="3" spans="1:19" x14ac:dyDescent="0.25">
      <c r="A3" t="s">
        <v>87</v>
      </c>
      <c r="B3" s="1">
        <v>3920</v>
      </c>
      <c r="C3" s="1">
        <v>4198</v>
      </c>
      <c r="D3" s="1">
        <v>4269</v>
      </c>
      <c r="E3" s="1">
        <f t="shared" ref="E3:E9" si="0">Q3-D3-C3-B3</f>
        <v>4688</v>
      </c>
      <c r="F3" s="1">
        <v>4591</v>
      </c>
      <c r="G3" s="1">
        <v>4721</v>
      </c>
      <c r="H3" s="1">
        <v>4694</v>
      </c>
      <c r="I3" s="1">
        <f t="shared" ref="I3:I8" si="1">R3-H3-G3-F3</f>
        <v>4957</v>
      </c>
      <c r="J3" s="1">
        <v>4895</v>
      </c>
      <c r="K3" s="1"/>
      <c r="M3" s="1">
        <v>5798</v>
      </c>
      <c r="N3" s="1">
        <v>17224</v>
      </c>
      <c r="O3" s="1">
        <v>17192</v>
      </c>
      <c r="P3" s="1">
        <v>16227</v>
      </c>
      <c r="Q3" s="1">
        <v>17075</v>
      </c>
      <c r="R3" s="1">
        <v>18963</v>
      </c>
      <c r="S3" s="1"/>
    </row>
    <row r="4" spans="1:19" x14ac:dyDescent="0.25">
      <c r="A4" t="s">
        <v>88</v>
      </c>
      <c r="B4" s="1">
        <v>23709</v>
      </c>
      <c r="C4" s="1">
        <v>25085</v>
      </c>
      <c r="D4" s="1">
        <v>24252</v>
      </c>
      <c r="E4" s="1">
        <f t="shared" si="0"/>
        <v>30320</v>
      </c>
      <c r="F4" s="1">
        <v>25335</v>
      </c>
      <c r="G4" s="1">
        <v>27376</v>
      </c>
      <c r="H4" s="1">
        <v>28666</v>
      </c>
      <c r="I4" s="1">
        <f t="shared" si="1"/>
        <v>36339</v>
      </c>
      <c r="J4" s="1">
        <v>29820</v>
      </c>
      <c r="K4" s="1"/>
      <c r="M4" s="1">
        <v>31881</v>
      </c>
      <c r="N4" s="1">
        <v>42745</v>
      </c>
      <c r="O4" s="1">
        <v>53762</v>
      </c>
      <c r="P4" s="1">
        <v>80461</v>
      </c>
      <c r="Q4" s="1">
        <v>103366</v>
      </c>
      <c r="R4" s="1">
        <v>117716</v>
      </c>
      <c r="S4" s="1"/>
    </row>
    <row r="5" spans="1:19" x14ac:dyDescent="0.25">
      <c r="A5" t="s">
        <v>89</v>
      </c>
      <c r="B5" s="1">
        <v>7580</v>
      </c>
      <c r="C5" s="1">
        <v>7917</v>
      </c>
      <c r="D5" s="1">
        <v>8148</v>
      </c>
      <c r="E5" s="1">
        <f t="shared" si="0"/>
        <v>8123</v>
      </c>
      <c r="F5" s="1">
        <v>8410</v>
      </c>
      <c r="G5" s="1">
        <v>8716</v>
      </c>
      <c r="H5" s="1">
        <v>8903</v>
      </c>
      <c r="I5" s="1">
        <f t="shared" si="1"/>
        <v>9189</v>
      </c>
      <c r="J5" s="1">
        <v>9657</v>
      </c>
      <c r="K5" s="1"/>
      <c r="M5" s="1">
        <v>9721</v>
      </c>
      <c r="N5" s="1">
        <v>14168</v>
      </c>
      <c r="O5" s="1">
        <v>19210</v>
      </c>
      <c r="P5" s="1">
        <v>25207</v>
      </c>
      <c r="Q5" s="1">
        <v>31768</v>
      </c>
      <c r="R5" s="1">
        <v>35218</v>
      </c>
      <c r="S5" s="1"/>
    </row>
    <row r="6" spans="1:19" x14ac:dyDescent="0.25">
      <c r="A6" t="s">
        <v>90</v>
      </c>
      <c r="B6" s="1">
        <v>6381</v>
      </c>
      <c r="C6" s="1">
        <v>7451</v>
      </c>
      <c r="D6" s="1">
        <v>7512</v>
      </c>
      <c r="E6" s="1">
        <f t="shared" si="0"/>
        <v>9816</v>
      </c>
      <c r="F6" s="1">
        <v>7877</v>
      </c>
      <c r="G6" s="1">
        <v>8757</v>
      </c>
      <c r="H6" s="1">
        <v>9548</v>
      </c>
      <c r="I6" s="1">
        <f t="shared" si="1"/>
        <v>11557</v>
      </c>
      <c r="J6" s="1">
        <v>9509</v>
      </c>
      <c r="K6" s="1"/>
      <c r="M6" s="1">
        <v>0</v>
      </c>
      <c r="N6" s="1"/>
      <c r="O6" s="1">
        <v>0</v>
      </c>
      <c r="P6" s="1">
        <v>19773</v>
      </c>
      <c r="Q6" s="1">
        <v>31160</v>
      </c>
      <c r="R6" s="1">
        <v>37739</v>
      </c>
      <c r="S6" s="1"/>
    </row>
    <row r="7" spans="1:19" x14ac:dyDescent="0.25">
      <c r="A7" t="s">
        <v>57</v>
      </c>
      <c r="B7" s="1">
        <v>13503</v>
      </c>
      <c r="C7" s="1">
        <v>14809</v>
      </c>
      <c r="D7" s="1">
        <v>16110</v>
      </c>
      <c r="E7" s="1">
        <f t="shared" si="0"/>
        <v>17780</v>
      </c>
      <c r="F7" s="1">
        <v>18441</v>
      </c>
      <c r="G7" s="1">
        <v>19739</v>
      </c>
      <c r="H7" s="1">
        <v>20538</v>
      </c>
      <c r="I7" s="1">
        <f t="shared" si="1"/>
        <v>21378</v>
      </c>
      <c r="J7" s="1">
        <v>21354</v>
      </c>
      <c r="K7" s="1"/>
      <c r="M7" s="1">
        <v>17459</v>
      </c>
      <c r="N7" s="1">
        <v>25655</v>
      </c>
      <c r="O7" s="1">
        <v>35026</v>
      </c>
      <c r="P7" s="1">
        <v>45370</v>
      </c>
      <c r="Q7" s="1">
        <v>62202</v>
      </c>
      <c r="R7" s="1">
        <v>80096</v>
      </c>
      <c r="S7" s="1"/>
    </row>
    <row r="8" spans="1:19" x14ac:dyDescent="0.25">
      <c r="A8" t="s">
        <v>41</v>
      </c>
      <c r="B8" s="1">
        <v>524</v>
      </c>
      <c r="C8" s="1">
        <v>463</v>
      </c>
      <c r="D8" s="1">
        <v>479</v>
      </c>
      <c r="E8" s="1">
        <f t="shared" si="0"/>
        <v>710</v>
      </c>
      <c r="F8" s="1">
        <v>661</v>
      </c>
      <c r="G8" s="1">
        <v>1070</v>
      </c>
      <c r="H8" s="1">
        <v>1263</v>
      </c>
      <c r="I8" s="1">
        <f t="shared" si="1"/>
        <v>1253</v>
      </c>
      <c r="J8" s="1">
        <v>1027</v>
      </c>
      <c r="K8" s="1"/>
      <c r="M8" s="1">
        <v>4653</v>
      </c>
      <c r="N8" s="1">
        <v>10108</v>
      </c>
      <c r="O8" s="1">
        <v>14085</v>
      </c>
      <c r="P8" s="1">
        <v>1680</v>
      </c>
      <c r="Q8" s="1">
        <v>2176</v>
      </c>
      <c r="R8" s="1">
        <v>4247</v>
      </c>
      <c r="S8" s="1"/>
    </row>
    <row r="9" spans="1:19" x14ac:dyDescent="0.25">
      <c r="B9" s="1">
        <f>SUM(B2:B8)</f>
        <v>108518</v>
      </c>
      <c r="C9" s="1">
        <f>SUM(C2:C8)</f>
        <v>113080</v>
      </c>
      <c r="D9" s="1">
        <f>SUM(D2:D8)</f>
        <v>110712</v>
      </c>
      <c r="E9" s="1">
        <f t="shared" si="0"/>
        <v>137512</v>
      </c>
      <c r="F9" s="1">
        <f>SUM(F2:F8)</f>
        <v>116444</v>
      </c>
      <c r="G9" s="1">
        <f>SUM(G2:G8)</f>
        <v>121234</v>
      </c>
      <c r="H9" s="1">
        <f>SUM(H2:H8)</f>
        <v>127101</v>
      </c>
      <c r="I9" s="1">
        <f>SUM(I2:I8)</f>
        <v>149204</v>
      </c>
      <c r="J9" s="1">
        <f>SUM(J2:J8)</f>
        <v>127358</v>
      </c>
      <c r="K9" s="1"/>
      <c r="M9" s="1">
        <f>SUM(M2:M8)</f>
        <v>177866</v>
      </c>
      <c r="N9" s="1">
        <f>SUM(N2:N8)</f>
        <v>232887</v>
      </c>
      <c r="O9" s="1">
        <f>SUM(O2:O8)</f>
        <v>280522</v>
      </c>
      <c r="P9" s="1">
        <f>SUM(P2:P8)</f>
        <v>386064</v>
      </c>
      <c r="Q9" s="1">
        <f>SUM(Q2:Q8)</f>
        <v>469822</v>
      </c>
      <c r="R9" s="1">
        <f>SUM(R2:R8)</f>
        <v>513983</v>
      </c>
      <c r="S9" s="1">
        <f>SUM(S2:S8)</f>
        <v>0</v>
      </c>
    </row>
    <row r="12" spans="1:19" x14ac:dyDescent="0.25">
      <c r="A12" t="s">
        <v>95</v>
      </c>
      <c r="F12" s="7">
        <f>F2/B2-1</f>
        <v>-3.3496531256497986E-2</v>
      </c>
      <c r="G12" s="7">
        <f t="shared" ref="G12:J12" si="2">G2/C2-1</f>
        <v>-4.3305679402524611E-2</v>
      </c>
      <c r="H12" s="7">
        <f t="shared" si="2"/>
        <v>7.102238596772259E-2</v>
      </c>
      <c r="I12" s="7">
        <f t="shared" si="2"/>
        <v>-2.3367385546727237E-2</v>
      </c>
      <c r="J12" s="7">
        <f t="shared" si="2"/>
        <v>-6.4542627471686487E-4</v>
      </c>
      <c r="M12" s="7"/>
      <c r="N12" s="7">
        <f t="shared" ref="N12:P12" si="3">N2/M2-1</f>
        <v>0.13504808313490968</v>
      </c>
      <c r="O12" s="7">
        <f t="shared" si="3"/>
        <v>0.14847097660728359</v>
      </c>
      <c r="P12" s="7">
        <f t="shared" si="3"/>
        <v>0.39716949740525465</v>
      </c>
      <c r="Q12" s="7">
        <f>Q2/P2-1</f>
        <v>0.12530783497005249</v>
      </c>
      <c r="R12" s="7">
        <f>R2/Q2-1</f>
        <v>-9.3256782618484912E-3</v>
      </c>
    </row>
    <row r="13" spans="1:19" x14ac:dyDescent="0.25">
      <c r="A13" t="s">
        <v>92</v>
      </c>
      <c r="F13" s="7">
        <f>F6/B6-1</f>
        <v>0.23444601159692846</v>
      </c>
      <c r="G13" s="7">
        <f>G6/C6-1</f>
        <v>0.17527848610924712</v>
      </c>
      <c r="H13" s="7">
        <f>H6/D6-1</f>
        <v>0.27103301384451539</v>
      </c>
      <c r="I13" s="7">
        <f>I6/E6-1</f>
        <v>0.17736348818255898</v>
      </c>
      <c r="J13" s="7">
        <f>J6/F6-1</f>
        <v>0.20718547670432907</v>
      </c>
      <c r="M13" s="7"/>
      <c r="N13" s="7"/>
      <c r="O13" s="7"/>
      <c r="P13" s="7"/>
      <c r="Q13" s="7">
        <f>Q6/P6-1</f>
        <v>0.57588630961412024</v>
      </c>
      <c r="R13" s="7">
        <f>R6/Q6-1</f>
        <v>0.21113607188703476</v>
      </c>
    </row>
    <row r="14" spans="1:19" x14ac:dyDescent="0.25">
      <c r="A14" t="s">
        <v>93</v>
      </c>
      <c r="F14" s="7">
        <f>F7/B7-1</f>
        <v>0.36569651188624741</v>
      </c>
      <c r="G14" s="7">
        <f t="shared" ref="G14:J14" si="4">G7/C7-1</f>
        <v>0.33290566547369838</v>
      </c>
      <c r="H14" s="7">
        <f t="shared" si="4"/>
        <v>0.27486033519553077</v>
      </c>
      <c r="I14" s="7">
        <f t="shared" si="4"/>
        <v>0.20236220472440936</v>
      </c>
      <c r="J14" s="7">
        <f t="shared" si="4"/>
        <v>0.157963234097934</v>
      </c>
      <c r="M14" s="7"/>
      <c r="N14" s="7">
        <f t="shared" ref="N14:P14" si="5">N7/M7-1</f>
        <v>0.46944269431238905</v>
      </c>
      <c r="O14" s="7">
        <f t="shared" si="5"/>
        <v>0.36526992788930035</v>
      </c>
      <c r="P14" s="7">
        <f t="shared" si="5"/>
        <v>0.29532347399074976</v>
      </c>
      <c r="Q14" s="7">
        <f>Q7/P7-1</f>
        <v>0.37099404893101173</v>
      </c>
      <c r="R14" s="7">
        <f>R7/Q7-1</f>
        <v>0.28767563743931057</v>
      </c>
    </row>
    <row r="15" spans="1:19" x14ac:dyDescent="0.25">
      <c r="A15" t="s">
        <v>94</v>
      </c>
      <c r="F15" s="7">
        <f>F4/B4-1</f>
        <v>6.8581551309629285E-2</v>
      </c>
      <c r="G15" s="7">
        <f t="shared" ref="G15:J15" si="6">G4/C4-1</f>
        <v>9.1329479768786026E-2</v>
      </c>
      <c r="H15" s="7">
        <f t="shared" si="6"/>
        <v>0.18200560778492503</v>
      </c>
      <c r="I15" s="7">
        <f t="shared" si="6"/>
        <v>0.19851583113456472</v>
      </c>
      <c r="J15" s="7">
        <f t="shared" si="6"/>
        <v>0.177027827116637</v>
      </c>
      <c r="M15" s="7"/>
      <c r="N15" s="7">
        <f t="shared" ref="N15:P15" si="7">N4/M4-1</f>
        <v>0.34076722812960702</v>
      </c>
      <c r="O15" s="7">
        <f t="shared" si="7"/>
        <v>0.25773774710492448</v>
      </c>
      <c r="P15" s="7">
        <f t="shared" si="7"/>
        <v>0.49661470927420859</v>
      </c>
      <c r="Q15" s="7">
        <f>Q4/P4-1</f>
        <v>0.28467207715539211</v>
      </c>
      <c r="R15" s="7">
        <f>R4/Q4-1</f>
        <v>0.13882708047133496</v>
      </c>
    </row>
  </sheetData>
  <hyperlinks>
    <hyperlink ref="A1" location="Main!A1" display="Main" xr:uid="{0F37BD00-8BC5-4A2E-BAAF-684A29059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Net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2023-07-12T19:54:10Z</dcterms:modified>
</cp:coreProperties>
</file>