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CC5C54C3-2DF6-4392-8E74-92713D6C53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Model!$B$7</definedName>
    <definedName name="_xlchart.v1.1" hidden="1">Model!$B$8</definedName>
    <definedName name="_xlchart.v1.2" hidden="1">Model!$K$2:$W$2</definedName>
    <definedName name="_xlchart.v1.3" hidden="1">Model!$K$7:$W$7</definedName>
    <definedName name="_xlchart.v1.4" hidden="1">Model!$K$8:$W$8</definedName>
    <definedName name="_xlchart.v1.5" hidden="1">Model!$B$20</definedName>
    <definedName name="_xlchart.v1.6" hidden="1">Model!$B$24</definedName>
    <definedName name="_xlchart.v1.7" hidden="1">Model!$K$20:$W$20</definedName>
    <definedName name="_xlchart.v1.8" hidden="1">Model!$K$24:$W$24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4" i="1"/>
  <c r="C25" i="1"/>
  <c r="V7" i="2"/>
  <c r="V29" i="2" s="1"/>
  <c r="U7" i="2"/>
  <c r="T7" i="2"/>
  <c r="S7" i="2"/>
  <c r="S28" i="2" s="1"/>
  <c r="U30" i="2"/>
  <c r="T29" i="2"/>
  <c r="X7" i="2"/>
  <c r="X28" i="2" s="1"/>
  <c r="W7" i="2"/>
  <c r="W29" i="2" s="1"/>
  <c r="X21" i="2"/>
  <c r="M7" i="6"/>
  <c r="L7" i="6"/>
  <c r="J7" i="6"/>
  <c r="I7" i="6"/>
  <c r="H7" i="6"/>
  <c r="G7" i="6"/>
  <c r="F7" i="6"/>
  <c r="K7" i="6"/>
  <c r="W21" i="2"/>
  <c r="C21" i="1"/>
  <c r="C17" i="1"/>
  <c r="C15" i="1"/>
  <c r="C14" i="1"/>
  <c r="C9" i="1"/>
  <c r="C7" i="1"/>
  <c r="Z30" i="2"/>
  <c r="Y30" i="2"/>
  <c r="Z29" i="2"/>
  <c r="Y29" i="2"/>
  <c r="Z28" i="2"/>
  <c r="Y28" i="2"/>
  <c r="F30" i="2"/>
  <c r="E30" i="2"/>
  <c r="D30" i="2"/>
  <c r="C30" i="2"/>
  <c r="F29" i="2"/>
  <c r="E29" i="2"/>
  <c r="D29" i="2"/>
  <c r="C29" i="2"/>
  <c r="F28" i="2"/>
  <c r="E28" i="2"/>
  <c r="D28" i="2"/>
  <c r="C28" i="2"/>
  <c r="S30" i="2"/>
  <c r="R30" i="2"/>
  <c r="Q30" i="2"/>
  <c r="P30" i="2"/>
  <c r="O30" i="2"/>
  <c r="N30" i="2"/>
  <c r="M30" i="2"/>
  <c r="L30" i="2"/>
  <c r="K30" i="2"/>
  <c r="S29" i="2"/>
  <c r="R29" i="2"/>
  <c r="Q29" i="2"/>
  <c r="P29" i="2"/>
  <c r="O29" i="2"/>
  <c r="N29" i="2"/>
  <c r="M29" i="2"/>
  <c r="L29" i="2"/>
  <c r="K29" i="2"/>
  <c r="R28" i="2"/>
  <c r="Q28" i="2"/>
  <c r="P28" i="2"/>
  <c r="O28" i="2"/>
  <c r="N28" i="2"/>
  <c r="M28" i="2"/>
  <c r="L28" i="2"/>
  <c r="K28" i="2"/>
  <c r="V49" i="2"/>
  <c r="V47" i="2"/>
  <c r="V46" i="2"/>
  <c r="V44" i="2"/>
  <c r="V43" i="2"/>
  <c r="V41" i="2"/>
  <c r="V40" i="2"/>
  <c r="V39" i="2"/>
  <c r="V38" i="2"/>
  <c r="V37" i="2"/>
  <c r="Z36" i="2"/>
  <c r="Y36" i="2"/>
  <c r="X36" i="2"/>
  <c r="W36" i="2"/>
  <c r="U36" i="2"/>
  <c r="T36" i="2"/>
  <c r="S36" i="2"/>
  <c r="R36" i="2"/>
  <c r="Q36" i="2"/>
  <c r="P36" i="2"/>
  <c r="O36" i="2"/>
  <c r="N36" i="2"/>
  <c r="M36" i="2"/>
  <c r="L36" i="2"/>
  <c r="K36" i="2"/>
  <c r="E36" i="2"/>
  <c r="D36" i="2"/>
  <c r="C36" i="2"/>
  <c r="F36" i="2"/>
  <c r="Z48" i="2"/>
  <c r="Z50" i="2" s="1"/>
  <c r="Y48" i="2"/>
  <c r="Y50" i="2" s="1"/>
  <c r="X48" i="2"/>
  <c r="X50" i="2" s="1"/>
  <c r="W48" i="2"/>
  <c r="W50" i="2" s="1"/>
  <c r="Z42" i="2"/>
  <c r="Z45" i="2" s="1"/>
  <c r="Y42" i="2"/>
  <c r="Y45" i="2" s="1"/>
  <c r="X42" i="2"/>
  <c r="X45" i="2" s="1"/>
  <c r="W42" i="2"/>
  <c r="W45" i="2" s="1"/>
  <c r="H31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13" i="2"/>
  <c r="P15" i="2" s="1"/>
  <c r="P18" i="2" s="1"/>
  <c r="P20" i="2" s="1"/>
  <c r="G13" i="2"/>
  <c r="G15" i="2" s="1"/>
  <c r="H13" i="2"/>
  <c r="H15" i="2" s="1"/>
  <c r="X30" i="2" l="1"/>
  <c r="X29" i="2"/>
  <c r="V28" i="2"/>
  <c r="V30" i="2"/>
  <c r="T28" i="2"/>
  <c r="T30" i="2"/>
  <c r="U29" i="2"/>
  <c r="U28" i="2"/>
  <c r="W30" i="2"/>
  <c r="W28" i="2"/>
  <c r="K13" i="2"/>
  <c r="K15" i="2" s="1"/>
  <c r="K18" i="2" s="1"/>
  <c r="K20" i="2" s="1"/>
  <c r="O13" i="2"/>
  <c r="O15" i="2" s="1"/>
  <c r="O18" i="2" s="1"/>
  <c r="O20" i="2" s="1"/>
  <c r="V36" i="2"/>
  <c r="Z51" i="2"/>
  <c r="R13" i="2"/>
  <c r="R15" i="2" s="1"/>
  <c r="R18" i="2" s="1"/>
  <c r="R20" i="2" s="1"/>
  <c r="S13" i="2"/>
  <c r="S15" i="2" s="1"/>
  <c r="S18" i="2" s="1"/>
  <c r="S20" i="2" s="1"/>
  <c r="Q13" i="2"/>
  <c r="Q15" i="2" s="1"/>
  <c r="Q18" i="2" s="1"/>
  <c r="Q20" i="2" s="1"/>
  <c r="W25" i="2"/>
  <c r="Y51" i="2"/>
  <c r="T13" i="2"/>
  <c r="T15" i="2" s="1"/>
  <c r="T18" i="2" s="1"/>
  <c r="T20" i="2" s="1"/>
  <c r="L13" i="2"/>
  <c r="L15" i="2" s="1"/>
  <c r="L18" i="2" s="1"/>
  <c r="L20" i="2" s="1"/>
  <c r="X25" i="2"/>
  <c r="W51" i="2"/>
  <c r="V13" i="2"/>
  <c r="V15" i="2" s="1"/>
  <c r="V18" i="2" s="1"/>
  <c r="V20" i="2" s="1"/>
  <c r="N13" i="2"/>
  <c r="N15" i="2" s="1"/>
  <c r="N18" i="2" s="1"/>
  <c r="N20" i="2" s="1"/>
  <c r="X51" i="2"/>
  <c r="W13" i="2"/>
  <c r="W15" i="2" s="1"/>
  <c r="W18" i="2" s="1"/>
  <c r="W22" i="2" s="1"/>
  <c r="W23" i="2" s="1"/>
  <c r="W27" i="2"/>
  <c r="X13" i="2"/>
  <c r="X15" i="2" s="1"/>
  <c r="X18" i="2" s="1"/>
  <c r="X22" i="2" s="1"/>
  <c r="X23" i="2" s="1"/>
  <c r="X27" i="2"/>
  <c r="Y27" i="2"/>
  <c r="Z27" i="2"/>
  <c r="U13" i="2"/>
  <c r="U15" i="2" s="1"/>
  <c r="U18" i="2" s="1"/>
  <c r="U20" i="2" s="1"/>
  <c r="M13" i="2"/>
  <c r="M15" i="2" s="1"/>
  <c r="M18" i="2" s="1"/>
  <c r="M20" i="2" s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Z9" i="2" l="1"/>
  <c r="Y9" i="2"/>
  <c r="X31" i="2"/>
  <c r="X26" i="2"/>
  <c r="X20" i="2"/>
  <c r="W20" i="2"/>
  <c r="W31" i="2"/>
  <c r="W26" i="2"/>
  <c r="I27" i="5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3" i="2"/>
  <c r="C15" i="2" s="1"/>
  <c r="C18" i="2" s="1"/>
  <c r="D13" i="2"/>
  <c r="D15" i="2" s="1"/>
  <c r="D18" i="2" s="1"/>
  <c r="E13" i="2"/>
  <c r="E15" i="2" s="1"/>
  <c r="E18" i="2" s="1"/>
  <c r="F13" i="2"/>
  <c r="F15" i="2" s="1"/>
  <c r="F18" i="2" s="1"/>
  <c r="L26" i="2"/>
  <c r="M26" i="2"/>
  <c r="N26" i="2"/>
  <c r="K25" i="2"/>
  <c r="L25" i="2"/>
  <c r="M25" i="2"/>
  <c r="N25" i="2"/>
  <c r="O25" i="2"/>
  <c r="P25" i="2"/>
  <c r="Q25" i="2"/>
  <c r="R25" i="2"/>
  <c r="S25" i="2"/>
  <c r="T25" i="2"/>
  <c r="U25" i="2"/>
  <c r="V25" i="2"/>
  <c r="O27" i="2"/>
  <c r="P27" i="2"/>
  <c r="Q27" i="2"/>
  <c r="R27" i="2"/>
  <c r="S27" i="2"/>
  <c r="T27" i="2"/>
  <c r="U27" i="2"/>
  <c r="V27" i="2"/>
  <c r="K42" i="2"/>
  <c r="K45" i="2" s="1"/>
  <c r="L42" i="2"/>
  <c r="L45" i="2" s="1"/>
  <c r="M42" i="2"/>
  <c r="M45" i="2" s="1"/>
  <c r="N42" i="2"/>
  <c r="N45" i="2" s="1"/>
  <c r="O42" i="2"/>
  <c r="O45" i="2" s="1"/>
  <c r="P42" i="2"/>
  <c r="P45" i="2" s="1"/>
  <c r="Q42" i="2"/>
  <c r="Q45" i="2" s="1"/>
  <c r="R42" i="2"/>
  <c r="R45" i="2" s="1"/>
  <c r="S42" i="2"/>
  <c r="S45" i="2" s="1"/>
  <c r="T42" i="2"/>
  <c r="T45" i="2" s="1"/>
  <c r="U42" i="2"/>
  <c r="U45" i="2" s="1"/>
  <c r="V42" i="2"/>
  <c r="V45" i="2" s="1"/>
  <c r="K48" i="2"/>
  <c r="K50" i="2" s="1"/>
  <c r="L48" i="2"/>
  <c r="L50" i="2" s="1"/>
  <c r="M48" i="2"/>
  <c r="M50" i="2" s="1"/>
  <c r="N48" i="2"/>
  <c r="N50" i="2" s="1"/>
  <c r="O48" i="2"/>
  <c r="O50" i="2" s="1"/>
  <c r="P48" i="2"/>
  <c r="P50" i="2" s="1"/>
  <c r="Q48" i="2"/>
  <c r="Q50" i="2" s="1"/>
  <c r="R48" i="2"/>
  <c r="R50" i="2" s="1"/>
  <c r="S48" i="2"/>
  <c r="S50" i="2" s="1"/>
  <c r="T48" i="2"/>
  <c r="T50" i="2" s="1"/>
  <c r="U48" i="2"/>
  <c r="U50" i="2" s="1"/>
  <c r="V48" i="2"/>
  <c r="V50" i="2" s="1"/>
  <c r="H32" i="2"/>
  <c r="G32" i="2"/>
  <c r="C42" i="2"/>
  <c r="C45" i="2" s="1"/>
  <c r="D42" i="2"/>
  <c r="D45" i="2" s="1"/>
  <c r="H26" i="2"/>
  <c r="G26" i="2"/>
  <c r="H27" i="2"/>
  <c r="Z13" i="2" l="1"/>
  <c r="Z15" i="2" s="1"/>
  <c r="Z18" i="2" s="1"/>
  <c r="Z25" i="2"/>
  <c r="Y25" i="2"/>
  <c r="Y13" i="2"/>
  <c r="Y15" i="2" s="1"/>
  <c r="Y18" i="2" s="1"/>
  <c r="T51" i="2"/>
  <c r="L51" i="2"/>
  <c r="R51" i="2"/>
  <c r="U51" i="2"/>
  <c r="M51" i="2"/>
  <c r="S51" i="2"/>
  <c r="K51" i="2"/>
  <c r="Q51" i="2"/>
  <c r="P51" i="2"/>
  <c r="O51" i="2"/>
  <c r="V51" i="2"/>
  <c r="N51" i="2"/>
  <c r="K11" i="5"/>
  <c r="K26" i="2"/>
  <c r="E32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S26" i="2"/>
  <c r="S31" i="2"/>
  <c r="O26" i="2"/>
  <c r="R26" i="2"/>
  <c r="R31" i="2"/>
  <c r="V31" i="2"/>
  <c r="V26" i="2"/>
  <c r="U31" i="2"/>
  <c r="U26" i="2"/>
  <c r="T26" i="2"/>
  <c r="T31" i="2"/>
  <c r="Q31" i="2"/>
  <c r="Q26" i="2"/>
  <c r="P31" i="2"/>
  <c r="P26" i="2"/>
  <c r="G33" i="2"/>
  <c r="H33" i="2"/>
  <c r="F32" i="2"/>
  <c r="C32" i="2"/>
  <c r="D32" i="2"/>
  <c r="G27" i="2"/>
  <c r="E25" i="2"/>
  <c r="D25" i="2"/>
  <c r="C25" i="2"/>
  <c r="F25" i="2"/>
  <c r="F27" i="2"/>
  <c r="F48" i="2"/>
  <c r="F50" i="2" s="1"/>
  <c r="F42" i="2"/>
  <c r="F45" i="2" s="1"/>
  <c r="D27" i="2"/>
  <c r="E27" i="2"/>
  <c r="C27" i="2"/>
  <c r="C48" i="2"/>
  <c r="C50" i="2" s="1"/>
  <c r="C51" i="2" s="1"/>
  <c r="D48" i="2"/>
  <c r="E42" i="2"/>
  <c r="E45" i="2" s="1"/>
  <c r="Z26" i="2" l="1"/>
  <c r="Z20" i="2"/>
  <c r="Z31" i="2"/>
  <c r="Y20" i="2"/>
  <c r="Y31" i="2"/>
  <c r="Y26" i="2"/>
  <c r="F51" i="2"/>
  <c r="O31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3" i="2"/>
  <c r="E33" i="2"/>
  <c r="F33" i="2"/>
  <c r="D33" i="2"/>
  <c r="E48" i="2"/>
  <c r="E50" i="2" s="1"/>
  <c r="E51" i="2" s="1"/>
  <c r="D50" i="2"/>
  <c r="D51" i="2" s="1"/>
  <c r="D20" i="2" l="1"/>
  <c r="C26" i="2"/>
  <c r="F20" i="2"/>
  <c r="F26" i="2"/>
  <c r="G31" i="2" l="1"/>
  <c r="D26" i="2"/>
  <c r="E20" i="2"/>
  <c r="E31" i="2" s="1"/>
  <c r="C20" i="2"/>
  <c r="C31" i="2" s="1"/>
  <c r="E26" i="2"/>
  <c r="C11" i="1" s="1"/>
  <c r="D31" i="2" l="1"/>
  <c r="F31" i="2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<sst xmlns="http://schemas.openxmlformats.org/spreadsheetml/2006/main" count="289" uniqueCount="213">
  <si>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</si>
  <si>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</si>
  <si>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</si>
  <si>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</si>
  <si>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</si>
  <si>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</si>
  <si>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</si>
  <si>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</si>
  <si>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</si>
  <si>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</si>
  <si>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</si>
  <si>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</si>
  <si>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</si>
  <si>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</si>
  <si>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</si>
  <si>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</si>
  <si>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</si>
  <si>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</si>
  <si>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</si>
  <si>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</si>
  <si>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</si>
  <si>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</si>
  <si>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</si>
  <si>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</si>
  <si>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</si>
  <si>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</si>
  <si>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</si>
  <si>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</si>
  <si>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</si>
  <si>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</si>
  <si>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</si>
  <si>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</si>
  <si>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</si>
  <si>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</si>
  <si>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</si>
  <si>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</si>
  <si>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</si>
  <si>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</si>
  <si>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</si>
  <si>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</si>
  <si>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</si>
  <si>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</si>
  <si>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</si>
  <si>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</si>
  <si>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</si>
  <si>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</si>
  <si>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</si>
  <si>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</si>
  <si>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</si>
  <si>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</si>
  <si>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</si>
  <si>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</si>
  <si>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</si>
  <si>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</si>
  <si>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</si>
  <si>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</si>
  <si>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</si>
  <si>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</si>
  <si>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</si>
  <si>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</si>
  <si>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</si>
  <si>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</si>
  <si>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</si>
  <si>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</si>
  <si>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</si>
  <si>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</si>
  <si>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</si>
  <si>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</si>
  <si>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</si>
  <si>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</si>
  <si>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</si>
  <si>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</si>
  <si>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</si>
  <si>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</si>
  <si>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</si>
  <si>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</si>
  <si>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</si>
  <si>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</si>
  <si>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</si>
  <si>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</si>
  <si>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</si>
  <si>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</si>
  <si>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</si>
  <si>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</si>
  <si>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</si>
  <si>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</si>
  <si>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</si>
  <si>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</si>
  <si>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</si>
  <si>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</si>
  <si>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</si>
  <si>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</si>
  <si>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</si>
  <si>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</si>
  <si>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</si>
  <si>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</si>
  <si>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</si>
  <si>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</si>
  <si>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</si>
  <si>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</si>
  <si>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</si>
  <si>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</si>
  <si>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</si>
  <si>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</si>
  <si>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</si>
  <si>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</si>
  <si>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</si>
  <si>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</si>
  <si>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</si>
  <si>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</si>
  <si>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</si>
  <si>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</si>
  <si>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</si>
  <si>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</si>
  <si>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</si>
  <si>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</si>
  <si>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</si>
  <si>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</si>
  <si>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</si>
  <si>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</si>
  <si>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</si>
  <si>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</si>
  <si>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</si>
  <si>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</si>
  <si>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</si>
  <si>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</si>
  <si>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</si>
  <si>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</si>
  <si>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</si>
  <si>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</si>
  <si>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</si>
  <si>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</si>
  <si>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</si>
  <si>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</si>
  <si>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Net Income before Tax</t>
  </si>
  <si>
    <t>ALAB</t>
  </si>
  <si>
    <t>EPS Growth</t>
  </si>
  <si>
    <t>Q324</t>
  </si>
  <si>
    <t>Q424</t>
  </si>
  <si>
    <t>MS</t>
  </si>
  <si>
    <t>Inventory</t>
  </si>
  <si>
    <t>Accrued Expense</t>
  </si>
  <si>
    <t>S&amp;M</t>
  </si>
  <si>
    <t>Interest Income</t>
  </si>
  <si>
    <t>FMR, LLC</t>
  </si>
  <si>
    <t>14.91%</t>
  </si>
  <si>
    <t>Intel Corporation</t>
  </si>
  <si>
    <t>3.77%</t>
  </si>
  <si>
    <t>Atreides Management, LP</t>
  </si>
  <si>
    <t>1.77%</t>
  </si>
  <si>
    <t>Vanguard Group Inc</t>
  </si>
  <si>
    <t>1.28%</t>
  </si>
  <si>
    <t>Blackrock Inc.</t>
  </si>
  <si>
    <t>0.95%</t>
  </si>
  <si>
    <t>Invesco Ltd.</t>
  </si>
  <si>
    <t>0.92%</t>
  </si>
  <si>
    <t>JP Morgan Chase &amp; Company</t>
  </si>
  <si>
    <t>0.91%</t>
  </si>
  <si>
    <t>Goldman Sachs Group Inc</t>
  </si>
  <si>
    <t>0.66%</t>
  </si>
  <si>
    <t>Maverick Capital Ltd.</t>
  </si>
  <si>
    <t>0.64%</t>
  </si>
  <si>
    <t>Summit Partners Public Asset Management LLC</t>
  </si>
  <si>
    <t>0.60%</t>
  </si>
  <si>
    <t>ALBA MANUELDirector</t>
  </si>
  <si>
    <t>DYCKERHOFF STEFAN ADirector and Beneficial Owner of more than 10% of a Class of Security</t>
  </si>
  <si>
    <t>GAJENDRA SANJAYPresident</t>
  </si>
  <si>
    <t>HURLSTON MICHAEL EDirector</t>
  </si>
  <si>
    <t>LAZAR JACK RDirector</t>
  </si>
  <si>
    <t>MAYER BETHANY JDirector</t>
  </si>
  <si>
    <t>MAZZARA PHILIPGeneral Counsel</t>
  </si>
  <si>
    <t>MOHAN JITENDRAChief Executive Officer</t>
  </si>
  <si>
    <t>SUTTER HILL VENTURESBeneficial Owner of more than 10% of a Class of Security</t>
  </si>
  <si>
    <t>TATE MICHAEL TRUETTChief Financial Officer</t>
  </si>
  <si>
    <t>-</t>
  </si>
  <si>
    <t>GAAP EPS</t>
  </si>
  <si>
    <t>SBC</t>
  </si>
  <si>
    <t>Non-Gap Net Income</t>
  </si>
  <si>
    <t>Non Gap EPS</t>
  </si>
  <si>
    <t>Geographic Revenues</t>
  </si>
  <si>
    <t>Taiwan</t>
  </si>
  <si>
    <t>United States</t>
  </si>
  <si>
    <t>Netherlands</t>
  </si>
  <si>
    <t>Total</t>
  </si>
  <si>
    <t>Mr. Jitendra Mohan</t>
  </si>
  <si>
    <t>Co-Founder, CEO &amp; Executive Director</t>
  </si>
  <si>
    <t>492.13k</t>
  </si>
  <si>
    <t>--</t>
  </si>
  <si>
    <t>Mr. Philip Mazzara</t>
  </si>
  <si>
    <t>General Counsel &amp; Secretary</t>
  </si>
  <si>
    <t>491.59k</t>
  </si>
  <si>
    <t>Mr. Sanjay Gajendra</t>
  </si>
  <si>
    <t>Co-Founder, President, COO &amp; Director</t>
  </si>
  <si>
    <t>Mr. Casey Morrison</t>
  </si>
  <si>
    <t>Co-Founder &amp; Chief Product Officer</t>
  </si>
  <si>
    <t>Mr. Michael T. Tate CPA</t>
  </si>
  <si>
    <t>Chief Financial Officer</t>
  </si>
  <si>
    <t>Mr. Nicholas H. Aberle</t>
  </si>
  <si>
    <t>VP, Treasurer &amp; Head of Investor Relations</t>
  </si>
  <si>
    <t>Mr. Kelvin Khoo</t>
  </si>
  <si>
    <t>Senior Vice President of Corporate Development</t>
  </si>
  <si>
    <t>Mr. Patrick Henderson</t>
  </si>
  <si>
    <t>Senior Vice President of Sales</t>
  </si>
  <si>
    <t>Ms. Paroma Sen</t>
  </si>
  <si>
    <t>Vice president of Corporate Marketing</t>
  </si>
  <si>
    <t>Mr. Kush Saxena</t>
  </si>
  <si>
    <t>Chief Human Resources Officer</t>
  </si>
  <si>
    <t>Ex Texas Instruments</t>
  </si>
  <si>
    <t>Ex Net Iwas that was exited to Broadcom</t>
  </si>
  <si>
    <t>Astera Labs, Inc. designs, manufactures, and sells semiconductor-based connectivity solutions for cloud and AI infrastructure. Its Intelligent Connectivity Platform is comprised of a portfolio of data, network, and memory connectivity products, which are built on a unifying software-defined architecture that enables customers to deploy and operate high performance cloud and AI infrastructure at scale. The company was incorporated in 2017 and is based in Santa Clara, California.</t>
  </si>
  <si>
    <t>Rückenwind von Analysten-Upgrades</t>
  </si>
  <si>
    <t>Sehr abhängig von Taiwan</t>
  </si>
  <si>
    <t>Sehr abhängig von einzelnen großen 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</si>
</sst>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32A31"/>
      <name val="Arial"/>
      <family val="2"/>
    </font>
    <font>
      <u/>
      <sz val="11"/>
      <color theme="1"/>
      <name val="Calibri"/>
      <family val="2"/>
      <scheme val="minor"/>
    </font>
    <font>
      <sz val="12"/>
      <color rgb="FF232A3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6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9" fontId="5" fillId="0" borderId="2" xfId="1" applyFont="1" applyBorder="1"/>
    <xf numFmtId="2" fontId="2" fillId="0" borderId="0" xfId="0" applyNumberFormat="1" applyFont="1" applyAlignment="1">
      <alignment horizontal="right"/>
    </xf>
    <xf numFmtId="4" fontId="2" fillId="0" borderId="0" xfId="0" applyNumberFormat="1" applyFont="1"/>
    <xf numFmtId="4" fontId="5" fillId="0" borderId="0" xfId="0" applyNumberFormat="1" applyFont="1"/>
    <xf numFmtId="4" fontId="0" fillId="0" borderId="0" xfId="0" applyNumberFormat="1"/>
    <xf numFmtId="0" fontId="14" fillId="12" borderId="0" xfId="0" applyFont="1" applyFill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5" fillId="13" borderId="0" xfId="0" applyFont="1" applyFill="1"/>
    <xf numFmtId="2" fontId="2" fillId="13" borderId="0" xfId="0" applyNumberFormat="1" applyFont="1" applyFill="1"/>
    <xf numFmtId="2" fontId="2" fillId="13" borderId="2" xfId="0" applyNumberFormat="1" applyFont="1" applyFill="1" applyBorder="1"/>
    <xf numFmtId="2" fontId="6" fillId="13" borderId="0" xfId="0" applyNumberFormat="1" applyFont="1" applyFill="1"/>
    <xf numFmtId="0" fontId="6" fillId="13" borderId="0" xfId="0" applyFont="1" applyFill="1"/>
    <xf numFmtId="0" fontId="2" fillId="13" borderId="0" xfId="0" applyFont="1" applyFill="1"/>
    <xf numFmtId="2" fontId="5" fillId="13" borderId="0" xfId="0" applyNumberFormat="1" applyFont="1" applyFill="1"/>
    <xf numFmtId="2" fontId="2" fillId="13" borderId="0" xfId="0" applyNumberFormat="1" applyFont="1" applyFill="1" applyAlignment="1">
      <alignment horizontal="right"/>
    </xf>
    <xf numFmtId="2" fontId="2" fillId="13" borderId="2" xfId="0" applyNumberFormat="1" applyFont="1" applyFill="1" applyBorder="1" applyAlignment="1">
      <alignment horizontal="right"/>
    </xf>
    <xf numFmtId="0" fontId="15" fillId="0" borderId="0" xfId="0" applyFont="1"/>
    <xf numFmtId="167" fontId="0" fillId="0" borderId="0" xfId="0" applyNumberFormat="1"/>
    <xf numFmtId="167" fontId="0" fillId="0" borderId="2" xfId="0" applyNumberFormat="1" applyBorder="1"/>
    <xf numFmtId="0" fontId="0" fillId="12" borderId="0" xfId="0" applyFill="1"/>
    <xf numFmtId="0" fontId="16" fillId="12" borderId="0" xfId="0" applyFont="1" applyFill="1" applyAlignment="1">
      <alignment vertical="center"/>
    </xf>
    <xf numFmtId="0" fontId="16" fillId="12" borderId="0" xfId="0" applyFont="1" applyFill="1" applyAlignment="1">
      <alignment horizontal="right" vertic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Model!$K$7:$W$7</c:f>
              <c:numCache>
                <c:formatCode>#,##0</c:formatCode>
                <c:ptCount val="13"/>
                <c:pt idx="8">
                  <c:v>17.664000000000001</c:v>
                </c:pt>
                <c:pt idx="9">
                  <c:v>10.687999999999999</c:v>
                </c:pt>
                <c:pt idx="10">
                  <c:v>0</c:v>
                </c:pt>
                <c:pt idx="11">
                  <c:v>0</c:v>
                </c:pt>
                <c:pt idx="12">
                  <c:v>65.257999999999996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Model!$K$27:$W$27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2.6944067028985503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7-4043-9EFA-38773737EDD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Model!$C$7:$H$7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Model!$C$27:$H$27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0.48861061072694523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Model!$K$18:$W$18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.00">
                  <c:v>-17.245999999999999</c:v>
                </c:pt>
                <c:pt idx="9">
                  <c:v>-20.216000000000001</c:v>
                </c:pt>
                <c:pt idx="10">
                  <c:v>0</c:v>
                </c:pt>
                <c:pt idx="11">
                  <c:v>0</c:v>
                </c:pt>
                <c:pt idx="12">
                  <c:v>-93.313000000000002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Model!$K$25:$W$25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0.24105525362318847</c:v>
                </c:pt>
                <c:pt idx="9">
                  <c:v>0.7895770958083832</c:v>
                </c:pt>
                <c:pt idx="10">
                  <c:v>0</c:v>
                </c:pt>
                <c:pt idx="11">
                  <c:v>0</c:v>
                </c:pt>
                <c:pt idx="12">
                  <c:v>0.7741579576450397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Model!$C$18:$H$18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Model!$K$28:$U$28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0.24869791666666663</c:v>
                </c:pt>
                <c:pt idx="9">
                  <c:v>0.47688997005988032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Model!$K$29:$V$29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0.86430027173913038</c:v>
                </c:pt>
                <c:pt idx="9">
                  <c:v>1.6710329341317367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Model!$K$30:$V$30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0.19955842391304346</c:v>
                </c:pt>
                <c:pt idx="9">
                  <c:v>0.28957709580838326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Model!$C$28:$F$28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Model!$C$29:$F$29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Model!$C$30:$F$30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GAAP 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workbookViewId="0">
      <selection activeCell="E31" sqref="E3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 t="s">
        <v>135</v>
      </c>
      <c r="C2" s="19"/>
      <c r="E2" s="24" t="s">
        <v>47</v>
      </c>
      <c r="F2" s="61" t="s">
        <v>48</v>
      </c>
      <c r="G2" s="25"/>
      <c r="H2" s="26" t="s">
        <v>55</v>
      </c>
      <c r="I2" s="26" t="s">
        <v>1</v>
      </c>
      <c r="J2" s="27" t="s">
        <v>48</v>
      </c>
      <c r="L2" s="29" t="s">
        <v>41</v>
      </c>
      <c r="M2" s="30" t="s">
        <v>57</v>
      </c>
      <c r="N2" s="31" t="s">
        <v>56</v>
      </c>
    </row>
    <row r="3" spans="2:14" x14ac:dyDescent="0.25">
      <c r="B3" s="5" t="s">
        <v>40</v>
      </c>
      <c r="C3" s="20">
        <v>45555</v>
      </c>
      <c r="E3" s="5" t="s">
        <v>144</v>
      </c>
      <c r="F3" s="130" t="s">
        <v>145</v>
      </c>
      <c r="H3" t="s">
        <v>164</v>
      </c>
      <c r="I3" s="10" t="s">
        <v>174</v>
      </c>
      <c r="J3" s="37"/>
      <c r="L3" s="5" t="s">
        <v>184</v>
      </c>
      <c r="M3" t="s">
        <v>185</v>
      </c>
      <c r="N3" s="36" t="s">
        <v>207</v>
      </c>
    </row>
    <row r="4" spans="2:14" x14ac:dyDescent="0.25">
      <c r="B4" s="5"/>
      <c r="C4" s="21">
        <v>0.98124999999999996</v>
      </c>
      <c r="E4" s="5" t="s">
        <v>146</v>
      </c>
      <c r="F4" s="130" t="s">
        <v>147</v>
      </c>
      <c r="H4" t="s">
        <v>165</v>
      </c>
      <c r="I4" s="10" t="s">
        <v>174</v>
      </c>
      <c r="J4" s="37"/>
      <c r="L4" s="5" t="s">
        <v>188</v>
      </c>
      <c r="M4" t="s">
        <v>189</v>
      </c>
      <c r="N4" s="13"/>
    </row>
    <row r="5" spans="2:14" x14ac:dyDescent="0.25">
      <c r="B5" s="5"/>
      <c r="C5" s="13"/>
      <c r="E5" s="5" t="s">
        <v>148</v>
      </c>
      <c r="F5" s="130" t="s">
        <v>149</v>
      </c>
      <c r="H5" t="s">
        <v>166</v>
      </c>
      <c r="I5" s="10" t="s">
        <v>174</v>
      </c>
      <c r="J5" s="37"/>
      <c r="L5" s="5" t="s">
        <v>191</v>
      </c>
      <c r="M5" t="s">
        <v>192</v>
      </c>
      <c r="N5" s="36" t="s">
        <v>207</v>
      </c>
    </row>
    <row r="6" spans="2:14" x14ac:dyDescent="0.25">
      <c r="B6" s="5" t="s">
        <v>0</v>
      </c>
      <c r="C6" s="13">
        <v>50.5</v>
      </c>
      <c r="E6" s="5" t="s">
        <v>150</v>
      </c>
      <c r="F6" s="130" t="s">
        <v>151</v>
      </c>
      <c r="H6" t="s">
        <v>167</v>
      </c>
      <c r="I6" s="10">
        <v>161.74700000000001</v>
      </c>
      <c r="J6" s="37"/>
      <c r="L6" s="5" t="s">
        <v>193</v>
      </c>
      <c r="M6" t="s">
        <v>194</v>
      </c>
      <c r="N6" s="36" t="s">
        <v>207</v>
      </c>
    </row>
    <row r="7" spans="2:14" x14ac:dyDescent="0.25">
      <c r="B7" s="5" t="s">
        <v>1</v>
      </c>
      <c r="C7" s="15">
        <f>Model!X19</f>
        <v>155.19900000000001</v>
      </c>
      <c r="E7" s="5" t="s">
        <v>152</v>
      </c>
      <c r="F7" s="130" t="s">
        <v>153</v>
      </c>
      <c r="H7" t="s">
        <v>168</v>
      </c>
      <c r="I7" s="10">
        <v>165</v>
      </c>
      <c r="J7" s="37"/>
      <c r="L7" s="5" t="s">
        <v>195</v>
      </c>
      <c r="M7" t="s">
        <v>196</v>
      </c>
      <c r="N7" s="13" t="s">
        <v>208</v>
      </c>
    </row>
    <row r="8" spans="2:14" x14ac:dyDescent="0.25">
      <c r="B8" s="5" t="s">
        <v>2</v>
      </c>
      <c r="C8" s="15">
        <f>C6*C7</f>
        <v>7837.549500000001</v>
      </c>
      <c r="E8" s="5" t="s">
        <v>154</v>
      </c>
      <c r="F8" s="130" t="s">
        <v>155</v>
      </c>
      <c r="H8" t="s">
        <v>169</v>
      </c>
      <c r="I8" s="10">
        <v>4.5730000000000004</v>
      </c>
      <c r="J8" s="37"/>
      <c r="L8" s="5" t="s">
        <v>197</v>
      </c>
      <c r="M8" t="s">
        <v>198</v>
      </c>
      <c r="N8" s="13"/>
    </row>
    <row r="9" spans="2:14" x14ac:dyDescent="0.25">
      <c r="B9" s="5" t="s">
        <v>3</v>
      </c>
      <c r="C9" s="15">
        <f>Model!X37+Model!X38</f>
        <v>830.995</v>
      </c>
      <c r="E9" s="5" t="s">
        <v>156</v>
      </c>
      <c r="F9" s="130" t="s">
        <v>157</v>
      </c>
      <c r="H9" t="s">
        <v>170</v>
      </c>
      <c r="I9" s="10">
        <v>325.47399999999999</v>
      </c>
      <c r="J9" s="37"/>
      <c r="L9" s="5" t="s">
        <v>199</v>
      </c>
      <c r="M9" t="s">
        <v>200</v>
      </c>
      <c r="N9" s="13"/>
    </row>
    <row r="10" spans="2:14" x14ac:dyDescent="0.25">
      <c r="B10" s="5" t="s">
        <v>4</v>
      </c>
      <c r="C10" s="15">
        <f>Model!E37+Model!E41</f>
        <v>0</v>
      </c>
      <c r="E10" s="5" t="s">
        <v>158</v>
      </c>
      <c r="F10" s="130" t="s">
        <v>159</v>
      </c>
      <c r="H10" t="s">
        <v>171</v>
      </c>
      <c r="I10" s="10" t="s">
        <v>174</v>
      </c>
      <c r="J10" s="37"/>
      <c r="L10" s="5" t="s">
        <v>201</v>
      </c>
      <c r="M10" t="s">
        <v>202</v>
      </c>
      <c r="N10" s="13"/>
    </row>
    <row r="11" spans="2:14" x14ac:dyDescent="0.25">
      <c r="B11" s="5" t="s">
        <v>35</v>
      </c>
      <c r="C11" s="15">
        <f>C9-C10</f>
        <v>830.995</v>
      </c>
      <c r="E11" s="5" t="s">
        <v>160</v>
      </c>
      <c r="F11" s="130" t="s">
        <v>161</v>
      </c>
      <c r="H11" t="s">
        <v>172</v>
      </c>
      <c r="I11" s="10" t="s">
        <v>174</v>
      </c>
      <c r="J11" s="37"/>
      <c r="L11" s="5" t="s">
        <v>203</v>
      </c>
      <c r="M11" t="s">
        <v>204</v>
      </c>
      <c r="N11" s="13"/>
    </row>
    <row r="12" spans="2:14" x14ac:dyDescent="0.25">
      <c r="B12" s="5" t="s">
        <v>5</v>
      </c>
      <c r="C12" s="15">
        <f>C8-C9+C10</f>
        <v>7006.5545000000011</v>
      </c>
      <c r="E12" s="5" t="s">
        <v>162</v>
      </c>
      <c r="F12" s="130" t="s">
        <v>163</v>
      </c>
      <c r="H12" t="s">
        <v>173</v>
      </c>
      <c r="I12" t="s">
        <v>174</v>
      </c>
      <c r="J12" s="13"/>
      <c r="L12" s="5" t="s">
        <v>205</v>
      </c>
      <c r="M12" t="s">
        <v>206</v>
      </c>
      <c r="N12" s="13"/>
    </row>
    <row r="13" spans="2:14" x14ac:dyDescent="0.25">
      <c r="B13" s="5" t="s">
        <v>46</v>
      </c>
      <c r="C13" s="35"/>
      <c r="E13" s="5"/>
      <c r="J13" s="13"/>
      <c r="L13" s="5"/>
      <c r="N13" s="13"/>
    </row>
    <row r="14" spans="2:14" x14ac:dyDescent="0.25">
      <c r="B14" s="5" t="s">
        <v>44</v>
      </c>
      <c r="C14" s="35">
        <f>C6/Model!G24</f>
        <v>90.178571428571416</v>
      </c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45</v>
      </c>
      <c r="C15" s="35">
        <f>C6/Model!H24</f>
        <v>60.11904761904762</v>
      </c>
    </row>
    <row r="16" spans="2:14" x14ac:dyDescent="0.25">
      <c r="B16" s="5" t="s">
        <v>42</v>
      </c>
      <c r="C16" s="6"/>
    </row>
    <row r="17" spans="2:14" x14ac:dyDescent="0.25">
      <c r="B17" s="5" t="s">
        <v>43</v>
      </c>
      <c r="C17" s="6">
        <f>Model!H24/Model!G24-1</f>
        <v>0.49999999999999978</v>
      </c>
      <c r="E17" s="32" t="s">
        <v>53</v>
      </c>
      <c r="L17" s="131" t="s">
        <v>209</v>
      </c>
      <c r="M17" s="132"/>
      <c r="N17" s="133"/>
    </row>
    <row r="18" spans="2:14" x14ac:dyDescent="0.25">
      <c r="B18" s="5" t="s">
        <v>67</v>
      </c>
      <c r="C18" s="50"/>
      <c r="L18" s="134"/>
      <c r="M18" s="135"/>
      <c r="N18" s="136"/>
    </row>
    <row r="19" spans="2:14" x14ac:dyDescent="0.25">
      <c r="B19" s="5" t="s">
        <v>68</v>
      </c>
      <c r="C19" s="50">
        <f>C15/(C17*100)</f>
        <v>1.202380952380953</v>
      </c>
      <c r="L19" s="134"/>
      <c r="M19" s="135"/>
      <c r="N19" s="136"/>
    </row>
    <row r="20" spans="2:14" x14ac:dyDescent="0.25">
      <c r="B20" s="5" t="s">
        <v>79</v>
      </c>
      <c r="C20" s="6"/>
      <c r="L20" s="134"/>
      <c r="M20" s="135"/>
      <c r="N20" s="136"/>
    </row>
    <row r="21" spans="2:14" x14ac:dyDescent="0.25">
      <c r="B21" s="5" t="s">
        <v>80</v>
      </c>
      <c r="C21" s="6">
        <f>Model!H8/Model!G8-1</f>
        <v>0.48861061072694523</v>
      </c>
      <c r="L21" s="134"/>
      <c r="M21" s="135"/>
      <c r="N21" s="136"/>
    </row>
    <row r="22" spans="2:14" x14ac:dyDescent="0.25">
      <c r="B22" s="5" t="s">
        <v>69</v>
      </c>
      <c r="C22" s="15"/>
      <c r="L22" s="134"/>
      <c r="M22" s="135"/>
      <c r="N22" s="136"/>
    </row>
    <row r="23" spans="2:14" x14ac:dyDescent="0.25">
      <c r="B23" s="5" t="s">
        <v>19</v>
      </c>
      <c r="C23" s="15">
        <f>Model!E10</f>
        <v>0</v>
      </c>
      <c r="L23" s="134"/>
      <c r="M23" s="135"/>
      <c r="N23" s="136"/>
    </row>
    <row r="24" spans="2:14" x14ac:dyDescent="0.25">
      <c r="B24" s="5" t="s">
        <v>29</v>
      </c>
      <c r="C24" s="7">
        <f>Model!X25</f>
        <v>0.77884189980481455</v>
      </c>
      <c r="L24" s="134"/>
      <c r="M24" s="135"/>
      <c r="N24" s="136"/>
    </row>
    <row r="25" spans="2:14" x14ac:dyDescent="0.25">
      <c r="B25" s="5" t="s">
        <v>30</v>
      </c>
      <c r="C25" s="7">
        <f>Model!X26</f>
        <v>-0.10200390370852322</v>
      </c>
      <c r="L25" s="134"/>
      <c r="M25" s="135"/>
      <c r="N25" s="136"/>
    </row>
    <row r="26" spans="2:14" x14ac:dyDescent="0.25">
      <c r="B26" s="5" t="s">
        <v>70</v>
      </c>
      <c r="C26" s="35"/>
      <c r="L26" s="134"/>
      <c r="M26" s="135"/>
      <c r="N26" s="136"/>
    </row>
    <row r="27" spans="2:14" x14ac:dyDescent="0.25">
      <c r="B27" s="5" t="s">
        <v>81</v>
      </c>
      <c r="C27" s="121">
        <v>0</v>
      </c>
      <c r="E27" t="s">
        <v>72</v>
      </c>
      <c r="L27" s="134"/>
      <c r="M27" s="135"/>
      <c r="N27" s="136"/>
    </row>
    <row r="28" spans="2:14" x14ac:dyDescent="0.25">
      <c r="B28" s="5" t="s">
        <v>82</v>
      </c>
      <c r="C28" s="35">
        <v>0</v>
      </c>
      <c r="E28" t="s">
        <v>210</v>
      </c>
      <c r="L28" s="137"/>
      <c r="M28" s="138"/>
      <c r="N28" s="139"/>
    </row>
    <row r="29" spans="2:14" x14ac:dyDescent="0.25">
      <c r="B29" s="5" t="s">
        <v>83</v>
      </c>
      <c r="C29" s="35">
        <f>Model!X42/Model!X48</f>
        <v>13.909837216924444</v>
      </c>
      <c r="E29" t="s">
        <v>211</v>
      </c>
    </row>
    <row r="30" spans="2:14" x14ac:dyDescent="0.25">
      <c r="B30" s="5" t="s">
        <v>84</v>
      </c>
      <c r="C30" s="35">
        <f>(Model!X37+Model!X38+Model!X39)/Model!X48</f>
        <v>13.316498369047803</v>
      </c>
      <c r="E30" t="s">
        <v>212</v>
      </c>
    </row>
    <row r="31" spans="2:14" x14ac:dyDescent="0.25">
      <c r="B31" s="5" t="s">
        <v>85</v>
      </c>
      <c r="C31" s="6">
        <f>(Model!X42-Model!X48)/Model!X45</f>
        <v>0.90350458485114937</v>
      </c>
    </row>
    <row r="32" spans="2:14" x14ac:dyDescent="0.25">
      <c r="B32" s="5" t="s">
        <v>86</v>
      </c>
      <c r="C32" s="35">
        <f>(Model!P36-Model!P44)/Main!C7</f>
        <v>0</v>
      </c>
    </row>
    <row r="33" spans="2:9" x14ac:dyDescent="0.25">
      <c r="B33" s="5" t="s">
        <v>87</v>
      </c>
      <c r="C33" s="35"/>
    </row>
    <row r="34" spans="2:9" x14ac:dyDescent="0.25">
      <c r="B34" s="5" t="s">
        <v>88</v>
      </c>
      <c r="C34" s="37"/>
    </row>
    <row r="35" spans="2:9" x14ac:dyDescent="0.25">
      <c r="B35" s="5" t="s">
        <v>89</v>
      </c>
      <c r="C35" s="37"/>
    </row>
    <row r="36" spans="2:9" x14ac:dyDescent="0.25">
      <c r="B36" s="22" t="s">
        <v>90</v>
      </c>
      <c r="C36" s="23"/>
    </row>
    <row r="43" spans="2:9" x14ac:dyDescent="0.25">
      <c r="E43" s="163" t="s">
        <v>184</v>
      </c>
      <c r="F43" s="163" t="s">
        <v>185</v>
      </c>
      <c r="G43" s="164" t="s">
        <v>186</v>
      </c>
      <c r="H43" s="164" t="s">
        <v>187</v>
      </c>
      <c r="I43" s="164">
        <v>1974</v>
      </c>
    </row>
    <row r="44" spans="2:9" x14ac:dyDescent="0.25">
      <c r="E44" s="163" t="s">
        <v>188</v>
      </c>
      <c r="F44" s="163" t="s">
        <v>189</v>
      </c>
      <c r="G44" s="164" t="s">
        <v>190</v>
      </c>
      <c r="H44" s="164" t="s">
        <v>187</v>
      </c>
      <c r="I44" s="164">
        <v>1979</v>
      </c>
    </row>
    <row r="45" spans="2:9" x14ac:dyDescent="0.25">
      <c r="E45" s="163" t="s">
        <v>191</v>
      </c>
      <c r="F45" s="163" t="s">
        <v>192</v>
      </c>
      <c r="G45" s="164" t="s">
        <v>187</v>
      </c>
      <c r="H45" s="164" t="s">
        <v>187</v>
      </c>
      <c r="I45" s="164">
        <v>1975</v>
      </c>
    </row>
    <row r="46" spans="2:9" x14ac:dyDescent="0.25">
      <c r="E46" s="163" t="s">
        <v>193</v>
      </c>
      <c r="F46" s="163" t="s">
        <v>194</v>
      </c>
      <c r="G46" s="164" t="s">
        <v>187</v>
      </c>
      <c r="H46" s="164" t="s">
        <v>187</v>
      </c>
      <c r="I46" s="164" t="s">
        <v>187</v>
      </c>
    </row>
    <row r="47" spans="2:9" x14ac:dyDescent="0.25">
      <c r="E47" s="163" t="s">
        <v>195</v>
      </c>
      <c r="F47" s="163" t="s">
        <v>196</v>
      </c>
      <c r="G47" s="164" t="s">
        <v>187</v>
      </c>
      <c r="H47" s="164" t="s">
        <v>187</v>
      </c>
      <c r="I47" s="164">
        <v>1966</v>
      </c>
    </row>
    <row r="48" spans="2:9" x14ac:dyDescent="0.25">
      <c r="E48" s="163" t="s">
        <v>197</v>
      </c>
      <c r="F48" s="163" t="s">
        <v>198</v>
      </c>
      <c r="G48" s="164" t="s">
        <v>187</v>
      </c>
      <c r="H48" s="164" t="s">
        <v>187</v>
      </c>
      <c r="I48" s="164" t="s">
        <v>187</v>
      </c>
    </row>
    <row r="49" spans="5:9" x14ac:dyDescent="0.25">
      <c r="E49" s="163" t="s">
        <v>199</v>
      </c>
      <c r="F49" s="163" t="s">
        <v>200</v>
      </c>
      <c r="G49" s="164" t="s">
        <v>187</v>
      </c>
      <c r="H49" s="164" t="s">
        <v>187</v>
      </c>
      <c r="I49" s="164" t="s">
        <v>187</v>
      </c>
    </row>
    <row r="50" spans="5:9" x14ac:dyDescent="0.25">
      <c r="E50" s="163" t="s">
        <v>201</v>
      </c>
      <c r="F50" s="163" t="s">
        <v>202</v>
      </c>
      <c r="G50" s="164" t="s">
        <v>187</v>
      </c>
      <c r="H50" s="164" t="s">
        <v>187</v>
      </c>
      <c r="I50" s="164" t="s">
        <v>187</v>
      </c>
    </row>
    <row r="51" spans="5:9" x14ac:dyDescent="0.25">
      <c r="E51" s="163" t="s">
        <v>203</v>
      </c>
      <c r="F51" s="163" t="s">
        <v>204</v>
      </c>
      <c r="G51" s="164" t="s">
        <v>187</v>
      </c>
      <c r="H51" s="164" t="s">
        <v>187</v>
      </c>
      <c r="I51" s="164" t="s">
        <v>187</v>
      </c>
    </row>
    <row r="52" spans="5:9" x14ac:dyDescent="0.25">
      <c r="E52" s="163" t="s">
        <v>205</v>
      </c>
      <c r="F52" s="163" t="s">
        <v>206</v>
      </c>
      <c r="G52" s="162"/>
      <c r="H52" s="162"/>
      <c r="I52" s="162"/>
    </row>
  </sheetData>
  <mergeCells count="1">
    <mergeCell ref="L17:N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2"/>
  <sheetViews>
    <sheetView zoomScaleNormal="100" workbookViewId="0">
      <pane xSplit="2" ySplit="2" topLeftCell="S24" activePane="bottomRight" state="frozen"/>
      <selection pane="topRight" activeCell="B1" sqref="B1"/>
      <selection pane="bottomLeft" activeCell="A3" sqref="A3"/>
      <selection pane="bottomRight" activeCell="X4" sqref="X4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3"/>
    <col min="24" max="24" width="11.42578125" style="13"/>
  </cols>
  <sheetData>
    <row r="1" spans="1:27" x14ac:dyDescent="0.25">
      <c r="A1" s="8" t="s">
        <v>36</v>
      </c>
    </row>
    <row r="2" spans="1:27" x14ac:dyDescent="0.25">
      <c r="C2" t="s">
        <v>18</v>
      </c>
      <c r="D2" t="s">
        <v>14</v>
      </c>
      <c r="E2" t="s">
        <v>15</v>
      </c>
      <c r="F2" s="13" t="s">
        <v>16</v>
      </c>
      <c r="G2" t="s">
        <v>32</v>
      </c>
      <c r="H2" t="s">
        <v>66</v>
      </c>
      <c r="K2" t="s">
        <v>33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34</v>
      </c>
      <c r="U2" t="s">
        <v>38</v>
      </c>
      <c r="V2" t="s">
        <v>39</v>
      </c>
      <c r="W2" t="s">
        <v>61</v>
      </c>
      <c r="X2" s="13" t="s">
        <v>65</v>
      </c>
      <c r="Y2" t="s">
        <v>137</v>
      </c>
      <c r="Z2" t="s">
        <v>138</v>
      </c>
    </row>
    <row r="3" spans="1:27" x14ac:dyDescent="0.25">
      <c r="B3" t="s">
        <v>180</v>
      </c>
      <c r="S3" s="160">
        <v>9.734</v>
      </c>
      <c r="T3" s="160">
        <v>0.56899999999999995</v>
      </c>
      <c r="U3" s="160"/>
      <c r="V3" s="160"/>
      <c r="W3" s="160">
        <v>59.573</v>
      </c>
      <c r="X3" s="161">
        <v>63.954999999999998</v>
      </c>
    </row>
    <row r="4" spans="1:27" x14ac:dyDescent="0.25">
      <c r="B4" t="s">
        <v>181</v>
      </c>
      <c r="S4" s="160">
        <v>5.37</v>
      </c>
      <c r="T4" s="160">
        <v>6.2220000000000004</v>
      </c>
      <c r="U4" s="160"/>
      <c r="V4" s="160"/>
      <c r="W4" s="160">
        <v>0</v>
      </c>
      <c r="X4" s="161">
        <v>4.4989999999999997</v>
      </c>
    </row>
    <row r="5" spans="1:27" x14ac:dyDescent="0.25">
      <c r="B5" t="s">
        <v>182</v>
      </c>
      <c r="S5" s="160">
        <v>2.5070000000000001</v>
      </c>
      <c r="T5" s="160">
        <v>2.4119999999999999</v>
      </c>
      <c r="U5" s="160"/>
      <c r="V5" s="160"/>
      <c r="W5" s="160">
        <v>0.85699999999999998</v>
      </c>
      <c r="X5" s="161">
        <v>0</v>
      </c>
    </row>
    <row r="6" spans="1:27" x14ac:dyDescent="0.25">
      <c r="B6" t="s">
        <v>25</v>
      </c>
      <c r="S6" s="160">
        <v>5.2999999999999999E-2</v>
      </c>
      <c r="T6" s="160">
        <v>1.4850000000000001</v>
      </c>
      <c r="U6" s="160"/>
      <c r="V6" s="160"/>
      <c r="W6" s="160">
        <v>4.8280000000000003</v>
      </c>
      <c r="X6" s="161">
        <v>8.3960000000000008</v>
      </c>
    </row>
    <row r="7" spans="1:27" s="1" customFormat="1" x14ac:dyDescent="0.25">
      <c r="B7" s="1" t="s">
        <v>17</v>
      </c>
      <c r="C7" s="11"/>
      <c r="D7" s="11"/>
      <c r="E7" s="11"/>
      <c r="F7" s="14"/>
      <c r="G7" s="42"/>
      <c r="H7" s="42"/>
      <c r="K7" s="11"/>
      <c r="L7" s="11"/>
      <c r="M7" s="11"/>
      <c r="N7" s="11"/>
      <c r="O7" s="11"/>
      <c r="P7" s="11"/>
      <c r="Q7" s="11"/>
      <c r="R7" s="11"/>
      <c r="S7" s="11">
        <f t="shared" ref="S7:V7" si="0">SUM(S3:S6)</f>
        <v>17.664000000000001</v>
      </c>
      <c r="T7" s="11">
        <f t="shared" si="0"/>
        <v>10.687999999999999</v>
      </c>
      <c r="U7" s="11">
        <f t="shared" si="0"/>
        <v>0</v>
      </c>
      <c r="V7" s="11">
        <f t="shared" si="0"/>
        <v>0</v>
      </c>
      <c r="W7" s="11">
        <f>SUM(W3:W6)</f>
        <v>65.257999999999996</v>
      </c>
      <c r="X7" s="14">
        <f>SUM(X3:X6)</f>
        <v>76.849999999999994</v>
      </c>
      <c r="Y7" s="10"/>
      <c r="Z7" s="10"/>
      <c r="AA7" s="10"/>
    </row>
    <row r="8" spans="1:27" x14ac:dyDescent="0.25">
      <c r="B8" s="9" t="s">
        <v>63</v>
      </c>
      <c r="C8" s="10"/>
      <c r="D8" s="10"/>
      <c r="E8" s="10"/>
      <c r="F8" s="15"/>
      <c r="G8" s="41">
        <v>344.18</v>
      </c>
      <c r="H8" s="41">
        <v>512.35</v>
      </c>
      <c r="K8" s="39"/>
      <c r="L8" s="39"/>
      <c r="M8" s="39"/>
      <c r="N8" s="39"/>
      <c r="O8" s="39"/>
      <c r="P8" s="39"/>
      <c r="Q8" s="39"/>
      <c r="R8" s="39"/>
      <c r="S8" s="128"/>
      <c r="T8" s="39"/>
      <c r="U8" s="39"/>
      <c r="V8" s="10"/>
      <c r="W8" s="10">
        <v>56.7</v>
      </c>
      <c r="X8" s="15">
        <v>72.411000000000001</v>
      </c>
      <c r="Y8" s="10">
        <v>95.66</v>
      </c>
      <c r="Z8" s="10">
        <v>106.22</v>
      </c>
    </row>
    <row r="9" spans="1:27" s="1" customFormat="1" x14ac:dyDescent="0.25">
      <c r="B9" s="1" t="s">
        <v>58</v>
      </c>
      <c r="C9" s="11"/>
      <c r="D9" s="11"/>
      <c r="E9" s="11"/>
      <c r="F9" s="14"/>
      <c r="G9" s="11"/>
      <c r="H9" s="11"/>
      <c r="K9" s="11"/>
      <c r="L9" s="11"/>
      <c r="M9" s="11"/>
      <c r="N9" s="11"/>
      <c r="O9" s="11"/>
      <c r="P9" s="11"/>
      <c r="Q9" s="11"/>
      <c r="R9" s="11"/>
      <c r="S9" s="127">
        <v>13.406000000000001</v>
      </c>
      <c r="T9" s="11">
        <v>2.2490000000000001</v>
      </c>
      <c r="U9" s="11"/>
      <c r="V9" s="11"/>
      <c r="W9" s="11">
        <v>14.738</v>
      </c>
      <c r="X9" s="14">
        <v>16.995999999999999</v>
      </c>
      <c r="Y9" s="11">
        <f>Y8*(1-X25)</f>
        <v>21.155983864671438</v>
      </c>
      <c r="Z9" s="11">
        <f>Z8*(1-X25)</f>
        <v>23.491413402732597</v>
      </c>
    </row>
    <row r="10" spans="1:27" x14ac:dyDescent="0.25">
      <c r="B10" t="s">
        <v>71</v>
      </c>
      <c r="C10" s="10"/>
      <c r="D10" s="10"/>
      <c r="E10" s="10"/>
      <c r="F10" s="15"/>
      <c r="G10" s="39"/>
      <c r="H10" s="39"/>
      <c r="K10" s="10"/>
      <c r="L10" s="10"/>
      <c r="M10" s="10"/>
      <c r="N10" s="10"/>
      <c r="O10" s="10"/>
      <c r="P10" s="10"/>
      <c r="Q10" s="10"/>
      <c r="R10" s="10"/>
      <c r="S10" s="129">
        <v>15.266999999999999</v>
      </c>
      <c r="T10" s="10">
        <v>17.86</v>
      </c>
      <c r="U10" s="10"/>
      <c r="V10" s="10"/>
      <c r="W10" s="10">
        <v>53.558</v>
      </c>
      <c r="X10" s="15">
        <v>40.088999999999999</v>
      </c>
      <c r="Y10" s="10"/>
      <c r="Z10" s="10"/>
    </row>
    <row r="11" spans="1:27" x14ac:dyDescent="0.25">
      <c r="B11" t="s">
        <v>142</v>
      </c>
      <c r="C11" s="10"/>
      <c r="D11" s="10"/>
      <c r="E11" s="10"/>
      <c r="F11" s="15"/>
      <c r="G11" s="39"/>
      <c r="H11" s="39"/>
      <c r="K11" s="10"/>
      <c r="L11" s="10"/>
      <c r="M11" s="10"/>
      <c r="N11" s="10"/>
      <c r="O11" s="10"/>
      <c r="P11" s="10"/>
      <c r="Q11" s="10"/>
      <c r="R11" s="10"/>
      <c r="S11" s="129">
        <v>4.3929999999999998</v>
      </c>
      <c r="T11" s="10">
        <v>5.0970000000000004</v>
      </c>
      <c r="U11" s="10"/>
      <c r="V11" s="10"/>
      <c r="W11" s="10">
        <v>55.51</v>
      </c>
      <c r="X11" s="15">
        <v>22.076000000000001</v>
      </c>
      <c r="Y11" s="10"/>
      <c r="Z11" s="10"/>
    </row>
    <row r="12" spans="1:27" x14ac:dyDescent="0.25">
      <c r="B12" t="s">
        <v>133</v>
      </c>
      <c r="C12" s="10"/>
      <c r="D12" s="10"/>
      <c r="E12" s="10"/>
      <c r="F12" s="15"/>
      <c r="G12" s="10"/>
      <c r="H12" s="10"/>
      <c r="K12" s="10"/>
      <c r="L12" s="10"/>
      <c r="M12" s="10"/>
      <c r="N12" s="10"/>
      <c r="O12" s="10"/>
      <c r="P12" s="10"/>
      <c r="Q12" s="10"/>
      <c r="R12" s="10"/>
      <c r="S12" s="129">
        <v>3.5249999999999999</v>
      </c>
      <c r="T12" s="10">
        <v>3.0950000000000002</v>
      </c>
      <c r="U12" s="10"/>
      <c r="V12" s="10"/>
      <c r="W12" s="10">
        <v>24.419</v>
      </c>
      <c r="X12" s="15">
        <v>22.036000000000001</v>
      </c>
      <c r="Y12" s="10"/>
      <c r="Z12" s="10"/>
    </row>
    <row r="13" spans="1:27" s="1" customFormat="1" x14ac:dyDescent="0.25">
      <c r="B13" s="1" t="s">
        <v>22</v>
      </c>
      <c r="C13" s="11">
        <f t="shared" ref="C13:H13" si="1">C7-SUM(C9:C12)</f>
        <v>0</v>
      </c>
      <c r="D13" s="11">
        <f t="shared" si="1"/>
        <v>0</v>
      </c>
      <c r="E13" s="11">
        <f t="shared" si="1"/>
        <v>0</v>
      </c>
      <c r="F13" s="14">
        <f t="shared" si="1"/>
        <v>0</v>
      </c>
      <c r="G13" s="11">
        <f t="shared" si="1"/>
        <v>0</v>
      </c>
      <c r="H13" s="11">
        <f t="shared" si="1"/>
        <v>0</v>
      </c>
      <c r="I13" s="11"/>
      <c r="J13" s="11"/>
      <c r="K13" s="11">
        <f t="shared" ref="K13:Z13" si="2">K7-SUM(K9:K12)</f>
        <v>0</v>
      </c>
      <c r="L13" s="11">
        <f t="shared" si="2"/>
        <v>0</v>
      </c>
      <c r="M13" s="11">
        <f t="shared" si="2"/>
        <v>0</v>
      </c>
      <c r="N13" s="11">
        <f t="shared" si="2"/>
        <v>0</v>
      </c>
      <c r="O13" s="11">
        <f t="shared" si="2"/>
        <v>0</v>
      </c>
      <c r="P13" s="11">
        <f t="shared" si="2"/>
        <v>0</v>
      </c>
      <c r="Q13" s="11">
        <f t="shared" si="2"/>
        <v>0</v>
      </c>
      <c r="R13" s="11">
        <f t="shared" si="2"/>
        <v>0</v>
      </c>
      <c r="S13" s="127">
        <f t="shared" si="2"/>
        <v>-18.927</v>
      </c>
      <c r="T13" s="11">
        <f t="shared" si="2"/>
        <v>-17.613</v>
      </c>
      <c r="U13" s="11">
        <f t="shared" si="2"/>
        <v>0</v>
      </c>
      <c r="V13" s="11">
        <f t="shared" si="2"/>
        <v>0</v>
      </c>
      <c r="W13" s="11">
        <f t="shared" si="2"/>
        <v>-82.966999999999999</v>
      </c>
      <c r="X13" s="14">
        <f t="shared" si="2"/>
        <v>-24.347000000000008</v>
      </c>
      <c r="Y13" s="11">
        <f t="shared" si="2"/>
        <v>-21.155983864671438</v>
      </c>
      <c r="Z13" s="11">
        <f t="shared" si="2"/>
        <v>-23.491413402732597</v>
      </c>
    </row>
    <row r="14" spans="1:27" x14ac:dyDescent="0.25">
      <c r="B14" t="s">
        <v>143</v>
      </c>
      <c r="C14" s="10"/>
      <c r="D14" s="10"/>
      <c r="E14" s="10"/>
      <c r="F14" s="15"/>
      <c r="G14" s="39"/>
      <c r="H14" s="39"/>
      <c r="K14" s="10"/>
      <c r="L14" s="10"/>
      <c r="M14" s="10"/>
      <c r="N14" s="10"/>
      <c r="O14" s="10"/>
      <c r="P14" s="10"/>
      <c r="Q14" s="10"/>
      <c r="R14" s="10"/>
      <c r="S14" s="129">
        <v>1.5960000000000001</v>
      </c>
      <c r="T14" s="10">
        <v>1.5549999999999999</v>
      </c>
      <c r="U14" s="10"/>
      <c r="V14" s="10"/>
      <c r="W14" s="10">
        <v>2.5539999999999998</v>
      </c>
      <c r="X14" s="15">
        <v>10.263999999999999</v>
      </c>
      <c r="Y14" s="10"/>
      <c r="Z14" s="10"/>
    </row>
    <row r="15" spans="1:27" s="1" customFormat="1" x14ac:dyDescent="0.25">
      <c r="B15" s="1" t="s">
        <v>134</v>
      </c>
      <c r="C15" s="11">
        <f t="shared" ref="C15:H15" si="3">C13+SUM(C14:C14)</f>
        <v>0</v>
      </c>
      <c r="D15" s="11">
        <f t="shared" si="3"/>
        <v>0</v>
      </c>
      <c r="E15" s="11">
        <f t="shared" si="3"/>
        <v>0</v>
      </c>
      <c r="F15" s="14">
        <f t="shared" si="3"/>
        <v>0</v>
      </c>
      <c r="G15" s="11">
        <f t="shared" si="3"/>
        <v>0</v>
      </c>
      <c r="H15" s="11">
        <f t="shared" si="3"/>
        <v>0</v>
      </c>
      <c r="K15" s="11">
        <f t="shared" ref="K15:Z15" si="4">K13+SUM(K14:K14)</f>
        <v>0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1">
        <f t="shared" si="4"/>
        <v>0</v>
      </c>
      <c r="P15" s="11">
        <f t="shared" si="4"/>
        <v>0</v>
      </c>
      <c r="Q15" s="11">
        <f t="shared" si="4"/>
        <v>0</v>
      </c>
      <c r="R15" s="11">
        <f t="shared" si="4"/>
        <v>0</v>
      </c>
      <c r="S15" s="127">
        <f t="shared" si="4"/>
        <v>-17.331</v>
      </c>
      <c r="T15" s="11">
        <f t="shared" si="4"/>
        <v>-16.058</v>
      </c>
      <c r="U15" s="11">
        <f t="shared" si="4"/>
        <v>0</v>
      </c>
      <c r="V15" s="11">
        <f t="shared" si="4"/>
        <v>0</v>
      </c>
      <c r="W15" s="11">
        <f t="shared" si="4"/>
        <v>-80.412999999999997</v>
      </c>
      <c r="X15" s="14">
        <f t="shared" si="4"/>
        <v>-14.083000000000009</v>
      </c>
      <c r="Y15" s="11">
        <f t="shared" si="4"/>
        <v>-21.155983864671438</v>
      </c>
      <c r="Z15" s="11">
        <f t="shared" si="4"/>
        <v>-23.491413402732597</v>
      </c>
    </row>
    <row r="16" spans="1:27" x14ac:dyDescent="0.25">
      <c r="B16" t="s">
        <v>20</v>
      </c>
      <c r="C16" s="10"/>
      <c r="D16" s="10"/>
      <c r="E16" s="10"/>
      <c r="F16" s="15"/>
      <c r="G16" s="39"/>
      <c r="H16" s="39"/>
      <c r="K16" s="10"/>
      <c r="L16" s="10"/>
      <c r="M16" s="10"/>
      <c r="N16" s="10"/>
      <c r="O16" s="10"/>
      <c r="P16" s="10"/>
      <c r="Q16" s="10"/>
      <c r="R16" s="10"/>
      <c r="S16" s="129">
        <v>0.123</v>
      </c>
      <c r="T16" s="10">
        <v>3.9460000000000002</v>
      </c>
      <c r="U16" s="10"/>
      <c r="V16" s="10"/>
      <c r="W16" s="10">
        <v>12.582000000000001</v>
      </c>
      <c r="X16" s="15">
        <v>-6.5369999999999999</v>
      </c>
      <c r="Y16" s="10"/>
      <c r="Z16" s="10"/>
    </row>
    <row r="17" spans="2:26" x14ac:dyDescent="0.25">
      <c r="B17" t="s">
        <v>25</v>
      </c>
      <c r="C17" s="10"/>
      <c r="D17" s="10"/>
      <c r="E17" s="10"/>
      <c r="F17" s="15"/>
      <c r="G17" s="39"/>
      <c r="H17" s="39"/>
      <c r="K17" s="10"/>
      <c r="L17" s="10"/>
      <c r="M17" s="10"/>
      <c r="N17" s="10"/>
      <c r="O17" s="10"/>
      <c r="P17" s="10"/>
      <c r="Q17" s="10"/>
      <c r="R17" s="10"/>
      <c r="S17" s="129">
        <v>-0.20799999999999999</v>
      </c>
      <c r="T17" s="10">
        <v>0.21199999999999999</v>
      </c>
      <c r="U17" s="10"/>
      <c r="V17" s="10"/>
      <c r="W17" s="10">
        <v>0.318</v>
      </c>
      <c r="X17" s="15">
        <v>0.29299999999999998</v>
      </c>
      <c r="Y17" s="10"/>
      <c r="Z17" s="10"/>
    </row>
    <row r="18" spans="2:26" s="1" customFormat="1" x14ac:dyDescent="0.25">
      <c r="B18" s="1" t="s">
        <v>21</v>
      </c>
      <c r="C18" s="11">
        <f t="shared" ref="C18:F18" si="5">C15-SUM(C16:C17)</f>
        <v>0</v>
      </c>
      <c r="D18" s="11">
        <f t="shared" si="5"/>
        <v>0</v>
      </c>
      <c r="E18" s="11">
        <f t="shared" si="5"/>
        <v>0</v>
      </c>
      <c r="F18" s="14">
        <f t="shared" si="5"/>
        <v>0</v>
      </c>
      <c r="G18" s="60"/>
      <c r="H18" s="60"/>
      <c r="K18" s="11">
        <f t="shared" ref="K18" si="6">K15-SUM(K16:K17)</f>
        <v>0</v>
      </c>
      <c r="L18" s="11">
        <f t="shared" ref="L18" si="7">L15-SUM(L16:L17)</f>
        <v>0</v>
      </c>
      <c r="M18" s="11">
        <f t="shared" ref="M18" si="8">M15-SUM(M16:M17)</f>
        <v>0</v>
      </c>
      <c r="N18" s="11">
        <f t="shared" ref="N18" si="9">N15-SUM(N16:N17)</f>
        <v>0</v>
      </c>
      <c r="O18" s="11">
        <f t="shared" ref="O18" si="10">O15-SUM(O16:O17)</f>
        <v>0</v>
      </c>
      <c r="P18" s="11">
        <f t="shared" ref="P18" si="11">P15-SUM(P16:P17)</f>
        <v>0</v>
      </c>
      <c r="Q18" s="11">
        <f t="shared" ref="Q18" si="12">Q15-SUM(Q16:Q17)</f>
        <v>0</v>
      </c>
      <c r="R18" s="11">
        <f t="shared" ref="R18" si="13">R15-SUM(R16:R17)</f>
        <v>0</v>
      </c>
      <c r="S18" s="127">
        <f t="shared" ref="S18" si="14">S15-SUM(S16:S17)</f>
        <v>-17.245999999999999</v>
      </c>
      <c r="T18" s="11">
        <f t="shared" ref="T18" si="15">T15-SUM(T16:T17)</f>
        <v>-20.216000000000001</v>
      </c>
      <c r="U18" s="11">
        <f t="shared" ref="U18" si="16">U15-SUM(U16:U17)</f>
        <v>0</v>
      </c>
      <c r="V18" s="11">
        <f t="shared" ref="V18:Z18" si="17">V15-SUM(V16:V17)</f>
        <v>0</v>
      </c>
      <c r="W18" s="11">
        <f t="shared" si="17"/>
        <v>-93.313000000000002</v>
      </c>
      <c r="X18" s="14">
        <f>X15-SUM(X16:X17)</f>
        <v>-7.8390000000000093</v>
      </c>
      <c r="Y18" s="11">
        <f t="shared" si="17"/>
        <v>-21.155983864671438</v>
      </c>
      <c r="Z18" s="11">
        <f t="shared" si="17"/>
        <v>-23.491413402732597</v>
      </c>
    </row>
    <row r="19" spans="2:26" x14ac:dyDescent="0.25">
      <c r="B19" t="s">
        <v>1</v>
      </c>
      <c r="C19" s="10"/>
      <c r="D19" s="10"/>
      <c r="E19" s="10"/>
      <c r="F19" s="15"/>
      <c r="G19" s="39"/>
      <c r="H19" s="39"/>
      <c r="K19" s="10"/>
      <c r="L19" s="10"/>
      <c r="M19" s="10"/>
      <c r="N19" s="10"/>
      <c r="O19" s="10"/>
      <c r="P19" s="10"/>
      <c r="Q19" s="10"/>
      <c r="R19" s="10"/>
      <c r="S19" s="10">
        <v>35.826000000000001</v>
      </c>
      <c r="T19" s="10">
        <v>36.567</v>
      </c>
      <c r="U19" s="10"/>
      <c r="V19" s="10"/>
      <c r="W19" s="10">
        <v>52.531999999999996</v>
      </c>
      <c r="X19" s="15">
        <v>155.19900000000001</v>
      </c>
      <c r="Y19" s="10">
        <v>156</v>
      </c>
      <c r="Z19" s="10">
        <v>157</v>
      </c>
    </row>
    <row r="20" spans="2:26" s="1" customFormat="1" x14ac:dyDescent="0.25">
      <c r="B20" s="1" t="s">
        <v>175</v>
      </c>
      <c r="C20" s="2" t="e">
        <f>C18/C19</f>
        <v>#DIV/0!</v>
      </c>
      <c r="D20" s="2" t="e">
        <f>D18/D19</f>
        <v>#DIV/0!</v>
      </c>
      <c r="E20" s="2" t="e">
        <f>E18/E19</f>
        <v>#DIV/0!</v>
      </c>
      <c r="F20" s="56" t="e">
        <f>F18/F19</f>
        <v>#DIV/0!</v>
      </c>
      <c r="G20" s="57"/>
      <c r="H20" s="58"/>
      <c r="K20" s="2" t="e">
        <f>K18/K19</f>
        <v>#DIV/0!</v>
      </c>
      <c r="L20" s="2" t="e">
        <f>L18/L19</f>
        <v>#DIV/0!</v>
      </c>
      <c r="M20" s="2" t="e">
        <f>M18/M19</f>
        <v>#DIV/0!</v>
      </c>
      <c r="N20" s="2" t="e">
        <f>N18/N19</f>
        <v>#DIV/0!</v>
      </c>
      <c r="O20" s="2" t="e">
        <f>O18/O19</f>
        <v>#DIV/0!</v>
      </c>
      <c r="P20" s="2" t="e">
        <f>P18/P19</f>
        <v>#DIV/0!</v>
      </c>
      <c r="Q20" s="2" t="e">
        <f>Q18/Q19</f>
        <v>#DIV/0!</v>
      </c>
      <c r="R20" s="2" t="e">
        <f>R18/R19</f>
        <v>#DIV/0!</v>
      </c>
      <c r="S20" s="2">
        <f>S18/S19</f>
        <v>-0.48138223636465133</v>
      </c>
      <c r="T20" s="2">
        <f>T18/T19</f>
        <v>-0.55284819646129024</v>
      </c>
      <c r="U20" s="2" t="e">
        <f>U18/U19</f>
        <v>#DIV/0!</v>
      </c>
      <c r="V20" s="2" t="e">
        <f>V18/V19</f>
        <v>#DIV/0!</v>
      </c>
      <c r="W20" s="2">
        <f>W18/W19</f>
        <v>-1.7763077743089928</v>
      </c>
      <c r="X20" s="34">
        <f>X18/X19</f>
        <v>-5.0509346065374189E-2</v>
      </c>
      <c r="Y20" s="2">
        <f>Y18/Y19</f>
        <v>-0.13561528118379126</v>
      </c>
      <c r="Z20" s="2">
        <f>Z18/Z19</f>
        <v>-0.14962683696008022</v>
      </c>
    </row>
    <row r="21" spans="2:26" s="155" customFormat="1" x14ac:dyDescent="0.25">
      <c r="B21" s="150" t="s">
        <v>176</v>
      </c>
      <c r="C21" s="151"/>
      <c r="D21" s="151"/>
      <c r="E21" s="151"/>
      <c r="F21" s="152"/>
      <c r="G21" s="153"/>
      <c r="H21" s="154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  <c r="W21" s="157">
        <f>88.873+8.895+1.072+8.485</f>
        <v>107.325</v>
      </c>
      <c r="X21" s="158">
        <f>43.067-13.296</f>
        <v>29.771000000000001</v>
      </c>
      <c r="Y21" s="157"/>
      <c r="Z21" s="157"/>
    </row>
    <row r="22" spans="2:26" s="155" customFormat="1" x14ac:dyDescent="0.25">
      <c r="B22" s="150" t="s">
        <v>177</v>
      </c>
      <c r="C22" s="151"/>
      <c r="D22" s="151"/>
      <c r="E22" s="151"/>
      <c r="F22" s="152"/>
      <c r="G22" s="153"/>
      <c r="H22" s="154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7"/>
      <c r="W22" s="157">
        <f>W18+W21</f>
        <v>14.012</v>
      </c>
      <c r="X22" s="158">
        <f>X18+X21</f>
        <v>21.931999999999992</v>
      </c>
      <c r="Y22" s="157"/>
      <c r="Z22" s="157"/>
    </row>
    <row r="23" spans="2:26" s="155" customFormat="1" x14ac:dyDescent="0.25">
      <c r="B23" s="150" t="s">
        <v>178</v>
      </c>
      <c r="C23" s="151"/>
      <c r="D23" s="151"/>
      <c r="E23" s="151"/>
      <c r="F23" s="152"/>
      <c r="G23" s="153"/>
      <c r="H23" s="154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  <c r="W23" s="157">
        <f>W22/W19</f>
        <v>0.26673265818929415</v>
      </c>
      <c r="X23" s="158">
        <f>X22/X19</f>
        <v>0.14131534352669792</v>
      </c>
      <c r="Y23" s="157"/>
      <c r="Z23" s="157"/>
    </row>
    <row r="24" spans="2:26" s="1" customFormat="1" x14ac:dyDescent="0.25">
      <c r="B24" s="9" t="s">
        <v>62</v>
      </c>
      <c r="C24" s="2"/>
      <c r="D24" s="2"/>
      <c r="E24" s="2"/>
      <c r="F24" s="34"/>
      <c r="G24" s="43">
        <v>0.56000000000000005</v>
      </c>
      <c r="H24" s="44">
        <v>0.84</v>
      </c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126"/>
      <c r="W24" s="126">
        <v>0.04</v>
      </c>
      <c r="X24" s="48">
        <v>0.11</v>
      </c>
      <c r="Y24" s="126">
        <v>0.16</v>
      </c>
      <c r="Z24" s="126">
        <v>0.17</v>
      </c>
    </row>
    <row r="25" spans="2:26" s="1" customFormat="1" x14ac:dyDescent="0.25">
      <c r="B25" t="s">
        <v>29</v>
      </c>
      <c r="C25" s="3" t="e">
        <f>1-C9/C7</f>
        <v>#DIV/0!</v>
      </c>
      <c r="D25" s="3" t="e">
        <f>1-D9/D7</f>
        <v>#DIV/0!</v>
      </c>
      <c r="E25" s="3" t="e">
        <f>1-E9/E7</f>
        <v>#DIV/0!</v>
      </c>
      <c r="F25" s="6" t="e">
        <f>1-F9/F7</f>
        <v>#DIV/0!</v>
      </c>
      <c r="G25" s="45"/>
      <c r="H25" s="45"/>
      <c r="K25" s="3" t="e">
        <f>1-K9/K7</f>
        <v>#DIV/0!</v>
      </c>
      <c r="L25" s="3" t="e">
        <f>1-L9/L7</f>
        <v>#DIV/0!</v>
      </c>
      <c r="M25" s="3" t="e">
        <f>1-M9/M7</f>
        <v>#DIV/0!</v>
      </c>
      <c r="N25" s="3" t="e">
        <f>1-N9/N7</f>
        <v>#DIV/0!</v>
      </c>
      <c r="O25" s="3" t="e">
        <f>1-O9/O7</f>
        <v>#DIV/0!</v>
      </c>
      <c r="P25" s="3" t="e">
        <f>1-P9/P7</f>
        <v>#DIV/0!</v>
      </c>
      <c r="Q25" s="3" t="e">
        <f>1-Q9/Q7</f>
        <v>#DIV/0!</v>
      </c>
      <c r="R25" s="3" t="e">
        <f>1-R9/R7</f>
        <v>#DIV/0!</v>
      </c>
      <c r="S25" s="3">
        <f>1-S9/S7</f>
        <v>0.24105525362318847</v>
      </c>
      <c r="T25" s="3">
        <f>1-T9/T7</f>
        <v>0.7895770958083832</v>
      </c>
      <c r="U25" s="3" t="e">
        <f>1-U9/U7</f>
        <v>#DIV/0!</v>
      </c>
      <c r="V25" s="38" t="e">
        <f>1-V9/V7</f>
        <v>#DIV/0!</v>
      </c>
      <c r="W25" s="38">
        <f>1-W9/W7</f>
        <v>0.7741579576450397</v>
      </c>
      <c r="X25" s="6">
        <f>1-X9/X7</f>
        <v>0.77884189980481455</v>
      </c>
      <c r="Y25" s="38" t="e">
        <f>1-Y9/Y7</f>
        <v>#DIV/0!</v>
      </c>
      <c r="Z25" s="38" t="e">
        <f>1-Z9/Z7</f>
        <v>#DIV/0!</v>
      </c>
    </row>
    <row r="26" spans="2:26" x14ac:dyDescent="0.25">
      <c r="B26" t="s">
        <v>30</v>
      </c>
      <c r="C26" s="4" t="e">
        <f>C18/C7</f>
        <v>#DIV/0!</v>
      </c>
      <c r="D26" s="4" t="e">
        <f>D18/D7</f>
        <v>#DIV/0!</v>
      </c>
      <c r="E26" s="4" t="e">
        <f>E18/E7</f>
        <v>#DIV/0!</v>
      </c>
      <c r="F26" s="7" t="e">
        <f>F18/F7</f>
        <v>#DIV/0!</v>
      </c>
      <c r="G26" s="46">
        <f>G18/G8</f>
        <v>0</v>
      </c>
      <c r="H26" s="46">
        <f>H18/H8</f>
        <v>0</v>
      </c>
      <c r="K26" s="4" t="e">
        <f>K18/K7</f>
        <v>#DIV/0!</v>
      </c>
      <c r="L26" s="4" t="e">
        <f>L18/L7</f>
        <v>#DIV/0!</v>
      </c>
      <c r="M26" s="4" t="e">
        <f>M18/M7</f>
        <v>#DIV/0!</v>
      </c>
      <c r="N26" s="4" t="e">
        <f>N18/N7</f>
        <v>#DIV/0!</v>
      </c>
      <c r="O26" s="4" t="e">
        <f>O18/O7</f>
        <v>#DIV/0!</v>
      </c>
      <c r="P26" s="4" t="e">
        <f>P18/P7</f>
        <v>#DIV/0!</v>
      </c>
      <c r="Q26" s="4" t="e">
        <f>Q18/Q7</f>
        <v>#DIV/0!</v>
      </c>
      <c r="R26" s="4" t="e">
        <f>R18/R7</f>
        <v>#DIV/0!</v>
      </c>
      <c r="S26" s="4">
        <f>S18/S7</f>
        <v>-0.97633605072463747</v>
      </c>
      <c r="T26" s="4">
        <f>T18/T7</f>
        <v>-1.8914670658682637</v>
      </c>
      <c r="U26" s="4" t="e">
        <f>U18/U7</f>
        <v>#DIV/0!</v>
      </c>
      <c r="V26" s="4" t="e">
        <f>V18/V7</f>
        <v>#DIV/0!</v>
      </c>
      <c r="W26" s="4">
        <f>W18/W7</f>
        <v>-1.4299089766771891</v>
      </c>
      <c r="X26" s="7">
        <f>X18/X7</f>
        <v>-0.10200390370852322</v>
      </c>
      <c r="Y26" s="4" t="e">
        <f>Y18/Y7</f>
        <v>#DIV/0!</v>
      </c>
      <c r="Z26" s="4" t="e">
        <f>Z18/Z7</f>
        <v>#DIV/0!</v>
      </c>
    </row>
    <row r="27" spans="2:26" x14ac:dyDescent="0.25">
      <c r="B27" t="s">
        <v>31</v>
      </c>
      <c r="C27" s="3" t="e">
        <f>C7/#REF!-1</f>
        <v>#REF!</v>
      </c>
      <c r="D27" s="3" t="e">
        <f>D7/C7-1</f>
        <v>#DIV/0!</v>
      </c>
      <c r="E27" s="38" t="e">
        <f>E7/D7-1</f>
        <v>#DIV/0!</v>
      </c>
      <c r="F27" s="6" t="e">
        <f>F7/E7-1</f>
        <v>#DIV/0!</v>
      </c>
      <c r="G27" s="47" t="e">
        <f>G8/F7-1</f>
        <v>#DIV/0!</v>
      </c>
      <c r="H27" s="47">
        <f>H8/G8-1</f>
        <v>0.48861061072694523</v>
      </c>
      <c r="K27" s="4"/>
      <c r="L27" s="4"/>
      <c r="M27" s="4"/>
      <c r="N27" s="4"/>
      <c r="O27" s="4" t="e">
        <f>O7/K7-1</f>
        <v>#DIV/0!</v>
      </c>
      <c r="P27" s="4" t="e">
        <f>P7/L7-1</f>
        <v>#DIV/0!</v>
      </c>
      <c r="Q27" s="4" t="e">
        <f>Q7/M7-1</f>
        <v>#DIV/0!</v>
      </c>
      <c r="R27" s="4" t="e">
        <f>R7/N7-1</f>
        <v>#DIV/0!</v>
      </c>
      <c r="S27" s="4" t="e">
        <f>S7/O7-1</f>
        <v>#DIV/0!</v>
      </c>
      <c r="T27" s="4" t="e">
        <f>T7/P7-1</f>
        <v>#DIV/0!</v>
      </c>
      <c r="U27" s="4" t="e">
        <f>U7/Q7-1</f>
        <v>#DIV/0!</v>
      </c>
      <c r="V27" s="4" t="e">
        <f>V7/R7-1</f>
        <v>#DIV/0!</v>
      </c>
      <c r="W27" s="4">
        <f>W7/S7-1</f>
        <v>2.6944067028985503</v>
      </c>
      <c r="X27" s="7">
        <f>X7/T7-1</f>
        <v>6.1903068862275452</v>
      </c>
      <c r="Y27" s="4" t="e">
        <f>Y7/U7-1</f>
        <v>#DIV/0!</v>
      </c>
      <c r="Z27" s="4" t="e">
        <f>Z7/V7-1</f>
        <v>#DIV/0!</v>
      </c>
    </row>
    <row r="28" spans="2:26" x14ac:dyDescent="0.25">
      <c r="B28" t="s">
        <v>64</v>
      </c>
      <c r="C28" s="4" t="e">
        <f>C11/C7</f>
        <v>#DIV/0!</v>
      </c>
      <c r="D28" s="4" t="e">
        <f>D11/D7</f>
        <v>#DIV/0!</v>
      </c>
      <c r="E28" s="4" t="e">
        <f>E11/E7</f>
        <v>#DIV/0!</v>
      </c>
      <c r="F28" s="4" t="e">
        <f>F11/F7</f>
        <v>#DIV/0!</v>
      </c>
      <c r="G28" s="122"/>
      <c r="H28" s="122"/>
      <c r="K28" s="4" t="e">
        <f>K11/K7</f>
        <v>#DIV/0!</v>
      </c>
      <c r="L28" s="4" t="e">
        <f>L11/L7</f>
        <v>#DIV/0!</v>
      </c>
      <c r="M28" s="4" t="e">
        <f>M11/M7</f>
        <v>#DIV/0!</v>
      </c>
      <c r="N28" s="4" t="e">
        <f>N11/N7</f>
        <v>#DIV/0!</v>
      </c>
      <c r="O28" s="4" t="e">
        <f>O11/O7</f>
        <v>#DIV/0!</v>
      </c>
      <c r="P28" s="4" t="e">
        <f>P11/P7</f>
        <v>#DIV/0!</v>
      </c>
      <c r="Q28" s="4" t="e">
        <f>Q11/Q7</f>
        <v>#DIV/0!</v>
      </c>
      <c r="R28" s="4" t="e">
        <f>R11/R7</f>
        <v>#DIV/0!</v>
      </c>
      <c r="S28" s="4">
        <f>S11/S7</f>
        <v>0.24869791666666663</v>
      </c>
      <c r="T28" s="4">
        <f>T11/T7</f>
        <v>0.47688997005988032</v>
      </c>
      <c r="U28" s="4" t="e">
        <f>U11/U7</f>
        <v>#DIV/0!</v>
      </c>
      <c r="V28" s="4" t="e">
        <f>V11/V7</f>
        <v>#DIV/0!</v>
      </c>
      <c r="W28" s="4">
        <f>W11/W7</f>
        <v>0.85062367832296426</v>
      </c>
      <c r="X28" s="7">
        <f>X11/X7</f>
        <v>0.28726089785296033</v>
      </c>
      <c r="Y28" s="4" t="e">
        <f>Y11/Y7</f>
        <v>#DIV/0!</v>
      </c>
      <c r="Z28" s="4" t="e">
        <f>Z11/Z7</f>
        <v>#DIV/0!</v>
      </c>
    </row>
    <row r="29" spans="2:26" x14ac:dyDescent="0.25">
      <c r="B29" t="s">
        <v>131</v>
      </c>
      <c r="C29" s="4" t="e">
        <f>C10/C7</f>
        <v>#DIV/0!</v>
      </c>
      <c r="D29" s="4" t="e">
        <f>D10/D7</f>
        <v>#DIV/0!</v>
      </c>
      <c r="E29" s="4" t="e">
        <f>E10/E7</f>
        <v>#DIV/0!</v>
      </c>
      <c r="F29" s="4" t="e">
        <f>F10/F7</f>
        <v>#DIV/0!</v>
      </c>
      <c r="G29" s="122"/>
      <c r="H29" s="122"/>
      <c r="K29" s="4" t="e">
        <f>K10/K7</f>
        <v>#DIV/0!</v>
      </c>
      <c r="L29" s="4" t="e">
        <f>L10/L7</f>
        <v>#DIV/0!</v>
      </c>
      <c r="M29" s="4" t="e">
        <f>M10/M7</f>
        <v>#DIV/0!</v>
      </c>
      <c r="N29" s="4" t="e">
        <f>N10/N7</f>
        <v>#DIV/0!</v>
      </c>
      <c r="O29" s="4" t="e">
        <f>O10/O7</f>
        <v>#DIV/0!</v>
      </c>
      <c r="P29" s="4" t="e">
        <f>P10/P7</f>
        <v>#DIV/0!</v>
      </c>
      <c r="Q29" s="4" t="e">
        <f>Q10/Q7</f>
        <v>#DIV/0!</v>
      </c>
      <c r="R29" s="4" t="e">
        <f>R10/R7</f>
        <v>#DIV/0!</v>
      </c>
      <c r="S29" s="4">
        <f>S10/S7</f>
        <v>0.86430027173913038</v>
      </c>
      <c r="T29" s="4">
        <f>T10/T7</f>
        <v>1.6710329341317367</v>
      </c>
      <c r="U29" s="4" t="e">
        <f>U10/U7</f>
        <v>#DIV/0!</v>
      </c>
      <c r="V29" s="4" t="e">
        <f>V10/V7</f>
        <v>#DIV/0!</v>
      </c>
      <c r="W29" s="4">
        <f>W10/W7</f>
        <v>0.82071163688743143</v>
      </c>
      <c r="X29" s="7">
        <f>X10/X7</f>
        <v>0.52165256994144438</v>
      </c>
      <c r="Y29" s="4" t="e">
        <f>Y10/Y7</f>
        <v>#DIV/0!</v>
      </c>
      <c r="Z29" s="4" t="e">
        <f>Z10/Z7</f>
        <v>#DIV/0!</v>
      </c>
    </row>
    <row r="30" spans="2:26" x14ac:dyDescent="0.25">
      <c r="B30" t="s">
        <v>132</v>
      </c>
      <c r="C30" s="4" t="e">
        <f>C12/C7</f>
        <v>#DIV/0!</v>
      </c>
      <c r="D30" s="4" t="e">
        <f>D12/D7</f>
        <v>#DIV/0!</v>
      </c>
      <c r="E30" s="4" t="e">
        <f>E12/E7</f>
        <v>#DIV/0!</v>
      </c>
      <c r="F30" s="4" t="e">
        <f>F12/F7</f>
        <v>#DIV/0!</v>
      </c>
      <c r="G30" s="122"/>
      <c r="H30" s="122"/>
      <c r="K30" s="4" t="e">
        <f>K12/K7</f>
        <v>#DIV/0!</v>
      </c>
      <c r="L30" s="4" t="e">
        <f>L12/L7</f>
        <v>#DIV/0!</v>
      </c>
      <c r="M30" s="4" t="e">
        <f>M12/M7</f>
        <v>#DIV/0!</v>
      </c>
      <c r="N30" s="4" t="e">
        <f>N12/N7</f>
        <v>#DIV/0!</v>
      </c>
      <c r="O30" s="4" t="e">
        <f>O12/O7</f>
        <v>#DIV/0!</v>
      </c>
      <c r="P30" s="4" t="e">
        <f>P12/P7</f>
        <v>#DIV/0!</v>
      </c>
      <c r="Q30" s="4" t="e">
        <f>Q12/Q7</f>
        <v>#DIV/0!</v>
      </c>
      <c r="R30" s="4" t="e">
        <f>R12/R7</f>
        <v>#DIV/0!</v>
      </c>
      <c r="S30" s="4">
        <f>S12/S7</f>
        <v>0.19955842391304346</v>
      </c>
      <c r="T30" s="4">
        <f>T12/T7</f>
        <v>0.28957709580838326</v>
      </c>
      <c r="U30" s="4" t="e">
        <f>U12/U7</f>
        <v>#DIV/0!</v>
      </c>
      <c r="V30" s="4" t="e">
        <f>V12/V7</f>
        <v>#DIV/0!</v>
      </c>
      <c r="W30" s="4">
        <f>W12/W7</f>
        <v>0.37419166998682157</v>
      </c>
      <c r="X30" s="7">
        <f>X12/X7</f>
        <v>0.2867404033832141</v>
      </c>
      <c r="Y30" s="4" t="e">
        <f>Y12/Y7</f>
        <v>#DIV/0!</v>
      </c>
      <c r="Z30" s="4" t="e">
        <f>Z12/Z7</f>
        <v>#DIV/0!</v>
      </c>
    </row>
    <row r="31" spans="2:26" x14ac:dyDescent="0.25">
      <c r="B31" t="s">
        <v>136</v>
      </c>
      <c r="C31" s="59" t="e">
        <f>C20/#REF!-1</f>
        <v>#DIV/0!</v>
      </c>
      <c r="D31" s="59" t="e">
        <f>D20/C20-1</f>
        <v>#DIV/0!</v>
      </c>
      <c r="E31" s="59" t="e">
        <f>E20/D20-1</f>
        <v>#DIV/0!</v>
      </c>
      <c r="F31" s="125" t="e">
        <f>F20/E20-1</f>
        <v>#DIV/0!</v>
      </c>
      <c r="G31" s="59" t="e">
        <f>G24/F20-1</f>
        <v>#DIV/0!</v>
      </c>
      <c r="H31" s="59">
        <f>H24/G24-1</f>
        <v>0.49999999999999978</v>
      </c>
      <c r="K31" s="4"/>
      <c r="L31" s="4"/>
      <c r="M31" s="4"/>
      <c r="N31" s="4"/>
      <c r="O31" s="4" t="e">
        <f>O18/K18-1</f>
        <v>#DIV/0!</v>
      </c>
      <c r="P31" s="4" t="e">
        <f>P18/L18-1</f>
        <v>#DIV/0!</v>
      </c>
      <c r="Q31" s="4" t="e">
        <f>Q18/M18-1</f>
        <v>#DIV/0!</v>
      </c>
      <c r="R31" s="4" t="e">
        <f>R18/N18-1</f>
        <v>#DIV/0!</v>
      </c>
      <c r="S31" s="4" t="e">
        <f>S18/O18-1</f>
        <v>#DIV/0!</v>
      </c>
      <c r="T31" s="4" t="e">
        <f>T18/P18-1</f>
        <v>#DIV/0!</v>
      </c>
      <c r="U31" s="4" t="e">
        <f>U18/Q18-1</f>
        <v>#DIV/0!</v>
      </c>
      <c r="V31" s="4" t="e">
        <f>V18/R18-1</f>
        <v>#DIV/0!</v>
      </c>
      <c r="W31" s="4">
        <f>W18/S18-1</f>
        <v>4.4107039313463998</v>
      </c>
      <c r="X31" s="7">
        <f>X18/T18-1</f>
        <v>-0.61223783142065646</v>
      </c>
      <c r="Y31" s="4" t="e">
        <f>Y18/U18-1</f>
        <v>#DIV/0!</v>
      </c>
      <c r="Z31" s="4" t="e">
        <f>Z18/V18-1</f>
        <v>#DIV/0!</v>
      </c>
    </row>
    <row r="32" spans="2:26" x14ac:dyDescent="0.25">
      <c r="B32" t="s">
        <v>76</v>
      </c>
      <c r="C32" s="51" t="e">
        <f>C14/C7</f>
        <v>#DIV/0!</v>
      </c>
      <c r="D32" s="51" t="e">
        <f>D14/D7</f>
        <v>#DIV/0!</v>
      </c>
      <c r="E32" s="51" t="e">
        <f>E14/E7</f>
        <v>#DIV/0!</v>
      </c>
      <c r="F32" s="52" t="e">
        <f>F14/F7</f>
        <v>#DIV/0!</v>
      </c>
      <c r="G32" s="51">
        <f>G14/G8</f>
        <v>0</v>
      </c>
      <c r="H32" s="51">
        <f>H14/H8</f>
        <v>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7"/>
      <c r="Y32" s="4"/>
      <c r="Z32" s="4"/>
    </row>
    <row r="33" spans="2:26" x14ac:dyDescent="0.25">
      <c r="B33" t="s">
        <v>77</v>
      </c>
      <c r="C33" s="53" t="e">
        <f>-C14/C13</f>
        <v>#DIV/0!</v>
      </c>
      <c r="D33" s="53" t="e">
        <f>-D14/D13</f>
        <v>#DIV/0!</v>
      </c>
      <c r="E33" s="53" t="e">
        <f>-E14/E13</f>
        <v>#DIV/0!</v>
      </c>
      <c r="F33" s="52" t="e">
        <f>-F14/F13</f>
        <v>#DIV/0!</v>
      </c>
      <c r="G33" s="51" t="e">
        <f>-G14/G13</f>
        <v>#DIV/0!</v>
      </c>
      <c r="H33" s="51" t="e">
        <f>-H14/H13</f>
        <v>#DIV/0!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7"/>
      <c r="Y33" s="4"/>
      <c r="Z33" s="4"/>
    </row>
    <row r="36" spans="2:26" s="1" customFormat="1" x14ac:dyDescent="0.25">
      <c r="B36" s="1" t="s">
        <v>37</v>
      </c>
      <c r="C36" s="11">
        <f t="shared" ref="C36:E36" si="18">C37+C38</f>
        <v>0</v>
      </c>
      <c r="D36" s="11">
        <f t="shared" si="18"/>
        <v>0</v>
      </c>
      <c r="E36" s="11">
        <f t="shared" si="18"/>
        <v>0</v>
      </c>
      <c r="F36" s="14">
        <f>F37+F38</f>
        <v>149.31299999999999</v>
      </c>
      <c r="K36" s="11">
        <f t="shared" ref="K36" si="19">K37+K38</f>
        <v>0</v>
      </c>
      <c r="L36" s="11">
        <f t="shared" ref="L36" si="20">L37+L38</f>
        <v>0</v>
      </c>
      <c r="M36" s="11">
        <f t="shared" ref="M36" si="21">M37+M38</f>
        <v>0</v>
      </c>
      <c r="N36" s="11">
        <f t="shared" ref="N36" si="22">N37+N38</f>
        <v>0</v>
      </c>
      <c r="O36" s="11">
        <f t="shared" ref="O36" si="23">O37+O38</f>
        <v>0</v>
      </c>
      <c r="P36" s="11">
        <f t="shared" ref="P36" si="24">P37+P38</f>
        <v>0</v>
      </c>
      <c r="Q36" s="11">
        <f t="shared" ref="Q36" si="25">Q37+Q38</f>
        <v>0</v>
      </c>
      <c r="R36" s="11">
        <f t="shared" ref="R36" si="26">R37+R38</f>
        <v>0</v>
      </c>
      <c r="S36" s="11">
        <f t="shared" ref="S36" si="27">S37+S38</f>
        <v>0</v>
      </c>
      <c r="T36" s="11">
        <f t="shared" ref="T36" si="28">T37+T38</f>
        <v>0</v>
      </c>
      <c r="U36" s="11">
        <f t="shared" ref="U36" si="29">U37+U38</f>
        <v>0</v>
      </c>
      <c r="V36" s="11">
        <f t="shared" ref="V36" si="30">V37+V38</f>
        <v>149.31299999999999</v>
      </c>
      <c r="W36" s="11">
        <f t="shared" ref="W36" si="31">W37+W38</f>
        <v>801.39099999999996</v>
      </c>
      <c r="X36" s="14">
        <f t="shared" ref="X36" si="32">X37+X38</f>
        <v>830.995</v>
      </c>
      <c r="Y36" s="11">
        <f t="shared" ref="Y36" si="33">Y37+Y38</f>
        <v>0</v>
      </c>
      <c r="Z36" s="11">
        <f t="shared" ref="Z36" si="34">Z37+Z38</f>
        <v>0</v>
      </c>
    </row>
    <row r="37" spans="2:26" x14ac:dyDescent="0.25">
      <c r="B37" t="s">
        <v>23</v>
      </c>
      <c r="C37" s="10"/>
      <c r="D37" s="10"/>
      <c r="E37" s="10"/>
      <c r="F37" s="15">
        <v>45.097999999999999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f>F37</f>
        <v>45.097999999999999</v>
      </c>
      <c r="W37" s="10">
        <v>696.077</v>
      </c>
      <c r="X37" s="15">
        <v>421.07600000000002</v>
      </c>
      <c r="Y37" s="10"/>
      <c r="Z37" s="10"/>
    </row>
    <row r="38" spans="2:26" x14ac:dyDescent="0.25">
      <c r="B38" t="s">
        <v>139</v>
      </c>
      <c r="C38" s="10"/>
      <c r="D38" s="10"/>
      <c r="E38" s="10"/>
      <c r="F38" s="15">
        <v>104.215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>
        <f t="shared" ref="V38:V41" si="35">F38</f>
        <v>104.215</v>
      </c>
      <c r="W38" s="10">
        <v>105.31399999999999</v>
      </c>
      <c r="X38" s="15">
        <v>409.91899999999998</v>
      </c>
      <c r="Y38" s="10"/>
      <c r="Z38" s="10"/>
    </row>
    <row r="39" spans="2:26" x14ac:dyDescent="0.25">
      <c r="B39" t="s">
        <v>24</v>
      </c>
      <c r="C39" s="10"/>
      <c r="D39" s="10"/>
      <c r="E39" s="10"/>
      <c r="F39" s="15">
        <v>8.3350000000000009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>
        <f t="shared" si="35"/>
        <v>8.3350000000000009</v>
      </c>
      <c r="W39" s="10">
        <v>16.757000000000001</v>
      </c>
      <c r="X39" s="15">
        <v>22.233000000000001</v>
      </c>
      <c r="Y39" s="10"/>
      <c r="Z39" s="10"/>
    </row>
    <row r="40" spans="2:26" x14ac:dyDescent="0.25">
      <c r="B40" t="s">
        <v>140</v>
      </c>
      <c r="C40" s="10"/>
      <c r="D40" s="10"/>
      <c r="E40" s="10"/>
      <c r="F40" s="15">
        <v>24.094999999999999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f t="shared" si="35"/>
        <v>24.094999999999999</v>
      </c>
      <c r="W40" s="10">
        <v>29.567</v>
      </c>
      <c r="X40" s="15">
        <v>28.571999999999999</v>
      </c>
      <c r="Y40" s="10"/>
      <c r="Z40" s="10"/>
    </row>
    <row r="41" spans="2:26" x14ac:dyDescent="0.25">
      <c r="B41" t="s">
        <v>73</v>
      </c>
      <c r="C41" s="10"/>
      <c r="D41" s="10"/>
      <c r="E41" s="10"/>
      <c r="F41" s="15">
        <v>4.0640000000000001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f t="shared" si="35"/>
        <v>4.0640000000000001</v>
      </c>
      <c r="W41" s="10">
        <v>6.7249999999999996</v>
      </c>
      <c r="X41" s="15">
        <v>9.4450000000000003</v>
      </c>
      <c r="Y41" s="10"/>
      <c r="Z41" s="10"/>
    </row>
    <row r="42" spans="2:26" s="1" customFormat="1" x14ac:dyDescent="0.25">
      <c r="B42" s="1" t="s">
        <v>59</v>
      </c>
      <c r="C42" s="11">
        <f>SUM(C37:C41)</f>
        <v>0</v>
      </c>
      <c r="D42" s="11">
        <f>SUM(D37:D41)</f>
        <v>0</v>
      </c>
      <c r="E42" s="11">
        <f>SUM(E37:E41)</f>
        <v>0</v>
      </c>
      <c r="F42" s="14">
        <f>SUM(F37:F41)</f>
        <v>185.80699999999999</v>
      </c>
      <c r="K42" s="11">
        <f t="shared" ref="K42:Z42" si="36">SUM(K37:K41)</f>
        <v>0</v>
      </c>
      <c r="L42" s="11">
        <f t="shared" si="36"/>
        <v>0</v>
      </c>
      <c r="M42" s="11">
        <f t="shared" si="36"/>
        <v>0</v>
      </c>
      <c r="N42" s="11">
        <f t="shared" si="36"/>
        <v>0</v>
      </c>
      <c r="O42" s="11">
        <f t="shared" si="36"/>
        <v>0</v>
      </c>
      <c r="P42" s="11">
        <f t="shared" si="36"/>
        <v>0</v>
      </c>
      <c r="Q42" s="11">
        <f t="shared" si="36"/>
        <v>0</v>
      </c>
      <c r="R42" s="11">
        <f t="shared" si="36"/>
        <v>0</v>
      </c>
      <c r="S42" s="11">
        <f t="shared" si="36"/>
        <v>0</v>
      </c>
      <c r="T42" s="11">
        <f t="shared" si="36"/>
        <v>0</v>
      </c>
      <c r="U42" s="11">
        <f t="shared" si="36"/>
        <v>0</v>
      </c>
      <c r="V42" s="11">
        <f t="shared" si="36"/>
        <v>185.80699999999999</v>
      </c>
      <c r="W42" s="11">
        <f t="shared" si="36"/>
        <v>854.43999999999994</v>
      </c>
      <c r="X42" s="14">
        <f t="shared" si="36"/>
        <v>891.245</v>
      </c>
      <c r="Y42" s="11">
        <f t="shared" si="36"/>
        <v>0</v>
      </c>
      <c r="Z42" s="11">
        <f t="shared" si="36"/>
        <v>0</v>
      </c>
    </row>
    <row r="43" spans="2:26" x14ac:dyDescent="0.25">
      <c r="B43" t="s">
        <v>74</v>
      </c>
      <c r="C43" s="10"/>
      <c r="D43" s="10"/>
      <c r="E43" s="10"/>
      <c r="F43" s="15">
        <v>4.7119999999999997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>
        <f t="shared" ref="V43:V44" si="37">F43</f>
        <v>4.7119999999999997</v>
      </c>
      <c r="W43" s="10">
        <v>7.5810000000000004</v>
      </c>
      <c r="X43" s="15">
        <v>21.821000000000002</v>
      </c>
      <c r="Y43" s="10"/>
      <c r="Z43" s="10"/>
    </row>
    <row r="44" spans="2:26" x14ac:dyDescent="0.25">
      <c r="B44" t="s">
        <v>25</v>
      </c>
      <c r="C44" s="10"/>
      <c r="D44" s="10"/>
      <c r="E44" s="10"/>
      <c r="F44" s="15">
        <v>5.7729999999999997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f t="shared" si="37"/>
        <v>5.7729999999999997</v>
      </c>
      <c r="W44" s="10">
        <v>2.88</v>
      </c>
      <c r="X44" s="15">
        <v>2.4489999999999998</v>
      </c>
      <c r="Y44" s="10"/>
      <c r="Z44" s="10"/>
    </row>
    <row r="45" spans="2:26" x14ac:dyDescent="0.25">
      <c r="B45" s="1" t="s">
        <v>26</v>
      </c>
      <c r="C45" s="11">
        <f>SUM(C42:C44)</f>
        <v>0</v>
      </c>
      <c r="D45" s="11">
        <f>SUM(D42:D44)</f>
        <v>0</v>
      </c>
      <c r="E45" s="11">
        <f>SUM(E42:E44)</f>
        <v>0</v>
      </c>
      <c r="F45" s="14">
        <f>SUM(F42:F44)</f>
        <v>196.29199999999997</v>
      </c>
      <c r="K45" s="11">
        <f t="shared" ref="K45:Z45" si="38">SUM(K42:K44)</f>
        <v>0</v>
      </c>
      <c r="L45" s="11">
        <f t="shared" si="38"/>
        <v>0</v>
      </c>
      <c r="M45" s="11">
        <f t="shared" si="38"/>
        <v>0</v>
      </c>
      <c r="N45" s="11">
        <f t="shared" si="38"/>
        <v>0</v>
      </c>
      <c r="O45" s="11">
        <f t="shared" si="38"/>
        <v>0</v>
      </c>
      <c r="P45" s="11">
        <f t="shared" si="38"/>
        <v>0</v>
      </c>
      <c r="Q45" s="11">
        <f t="shared" si="38"/>
        <v>0</v>
      </c>
      <c r="R45" s="11">
        <f t="shared" si="38"/>
        <v>0</v>
      </c>
      <c r="S45" s="11">
        <f t="shared" si="38"/>
        <v>0</v>
      </c>
      <c r="T45" s="11">
        <f t="shared" si="38"/>
        <v>0</v>
      </c>
      <c r="U45" s="11">
        <f t="shared" si="38"/>
        <v>0</v>
      </c>
      <c r="V45" s="11">
        <f t="shared" si="38"/>
        <v>196.29199999999997</v>
      </c>
      <c r="W45" s="11">
        <f t="shared" si="38"/>
        <v>864.90099999999995</v>
      </c>
      <c r="X45" s="14">
        <f t="shared" si="38"/>
        <v>915.51499999999999</v>
      </c>
      <c r="Y45" s="11">
        <f t="shared" si="38"/>
        <v>0</v>
      </c>
      <c r="Z45" s="11">
        <f t="shared" si="38"/>
        <v>0</v>
      </c>
    </row>
    <row r="46" spans="2:26" x14ac:dyDescent="0.25">
      <c r="B46" t="s">
        <v>28</v>
      </c>
      <c r="C46" s="10"/>
      <c r="D46" s="10"/>
      <c r="E46" s="10"/>
      <c r="F46" s="15">
        <v>6.3369999999999997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>
        <f t="shared" ref="V46:V47" si="39">F46</f>
        <v>6.3369999999999997</v>
      </c>
      <c r="W46" s="10">
        <v>11.465</v>
      </c>
      <c r="X46" s="15">
        <v>14.595000000000001</v>
      </c>
      <c r="Y46" s="10"/>
      <c r="Z46" s="10"/>
    </row>
    <row r="47" spans="2:26" x14ac:dyDescent="0.25">
      <c r="B47" t="s">
        <v>141</v>
      </c>
      <c r="C47" s="10"/>
      <c r="D47" s="10"/>
      <c r="E47" s="10"/>
      <c r="F47" s="15">
        <v>28.742000000000001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>
        <f t="shared" si="39"/>
        <v>28.742000000000001</v>
      </c>
      <c r="W47" s="10">
        <v>34.122</v>
      </c>
      <c r="X47" s="15">
        <v>49.478000000000002</v>
      </c>
      <c r="Y47" s="10"/>
      <c r="Z47" s="10"/>
    </row>
    <row r="48" spans="2:26" s="1" customFormat="1" x14ac:dyDescent="0.25">
      <c r="B48" s="1" t="s">
        <v>60</v>
      </c>
      <c r="C48" s="11">
        <f>SUM(C46:C47)</f>
        <v>0</v>
      </c>
      <c r="D48" s="11">
        <f>SUM(D46:D47)</f>
        <v>0</v>
      </c>
      <c r="E48" s="11">
        <f>SUM(E46:E47)</f>
        <v>0</v>
      </c>
      <c r="F48" s="14">
        <f>SUM(F46:F47)</f>
        <v>35.079000000000001</v>
      </c>
      <c r="K48" s="11">
        <f t="shared" ref="K48:Z48" si="40">SUM(K46:K47)</f>
        <v>0</v>
      </c>
      <c r="L48" s="11">
        <f t="shared" si="40"/>
        <v>0</v>
      </c>
      <c r="M48" s="11">
        <f t="shared" si="40"/>
        <v>0</v>
      </c>
      <c r="N48" s="11">
        <f t="shared" si="40"/>
        <v>0</v>
      </c>
      <c r="O48" s="11">
        <f t="shared" si="40"/>
        <v>0</v>
      </c>
      <c r="P48" s="11">
        <f t="shared" si="40"/>
        <v>0</v>
      </c>
      <c r="Q48" s="11">
        <f t="shared" si="40"/>
        <v>0</v>
      </c>
      <c r="R48" s="11">
        <f t="shared" si="40"/>
        <v>0</v>
      </c>
      <c r="S48" s="11">
        <f t="shared" si="40"/>
        <v>0</v>
      </c>
      <c r="T48" s="11">
        <f t="shared" si="40"/>
        <v>0</v>
      </c>
      <c r="U48" s="11">
        <f t="shared" si="40"/>
        <v>0</v>
      </c>
      <c r="V48" s="11">
        <f t="shared" si="40"/>
        <v>35.079000000000001</v>
      </c>
      <c r="W48" s="11">
        <f t="shared" si="40"/>
        <v>45.587000000000003</v>
      </c>
      <c r="X48" s="14">
        <f t="shared" si="40"/>
        <v>64.073000000000008</v>
      </c>
      <c r="Y48" s="11">
        <f t="shared" si="40"/>
        <v>0</v>
      </c>
      <c r="Z48" s="11">
        <f t="shared" si="40"/>
        <v>0</v>
      </c>
    </row>
    <row r="49" spans="2:26" x14ac:dyDescent="0.25">
      <c r="B49" t="s">
        <v>25</v>
      </c>
      <c r="C49" s="10"/>
      <c r="D49" s="10"/>
      <c r="E49" s="10"/>
      <c r="F49" s="15">
        <v>3.7869999999999999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>
        <f>F49</f>
        <v>3.7869999999999999</v>
      </c>
      <c r="W49" s="10">
        <v>10.53</v>
      </c>
      <c r="X49" s="15">
        <v>6.19</v>
      </c>
      <c r="Y49" s="10"/>
      <c r="Z49" s="10"/>
    </row>
    <row r="50" spans="2:26" x14ac:dyDescent="0.25">
      <c r="B50" s="1" t="s">
        <v>27</v>
      </c>
      <c r="C50" s="11">
        <f>SUM(C48:C49)</f>
        <v>0</v>
      </c>
      <c r="D50" s="11">
        <f>SUM(D48:D49)</f>
        <v>0</v>
      </c>
      <c r="E50" s="11">
        <f>SUM(E48:E49)</f>
        <v>0</v>
      </c>
      <c r="F50" s="14">
        <f>SUM(F48:F49)</f>
        <v>38.866</v>
      </c>
      <c r="K50" s="11">
        <f t="shared" ref="K50:Z50" si="41">SUM(K48:K49)</f>
        <v>0</v>
      </c>
      <c r="L50" s="11">
        <f t="shared" si="41"/>
        <v>0</v>
      </c>
      <c r="M50" s="11">
        <f t="shared" si="41"/>
        <v>0</v>
      </c>
      <c r="N50" s="11">
        <f t="shared" si="41"/>
        <v>0</v>
      </c>
      <c r="O50" s="11">
        <f t="shared" si="41"/>
        <v>0</v>
      </c>
      <c r="P50" s="11">
        <f t="shared" si="41"/>
        <v>0</v>
      </c>
      <c r="Q50" s="11">
        <f t="shared" si="41"/>
        <v>0</v>
      </c>
      <c r="R50" s="11">
        <f t="shared" si="41"/>
        <v>0</v>
      </c>
      <c r="S50" s="11">
        <f t="shared" si="41"/>
        <v>0</v>
      </c>
      <c r="T50" s="11">
        <f t="shared" si="41"/>
        <v>0</v>
      </c>
      <c r="U50" s="11">
        <f t="shared" si="41"/>
        <v>0</v>
      </c>
      <c r="V50" s="11">
        <f t="shared" si="41"/>
        <v>38.866</v>
      </c>
      <c r="W50" s="11">
        <f t="shared" si="41"/>
        <v>56.117000000000004</v>
      </c>
      <c r="X50" s="14">
        <f t="shared" si="41"/>
        <v>70.263000000000005</v>
      </c>
      <c r="Y50" s="11">
        <f t="shared" si="41"/>
        <v>0</v>
      </c>
      <c r="Z50" s="11">
        <f t="shared" si="41"/>
        <v>0</v>
      </c>
    </row>
    <row r="51" spans="2:26" x14ac:dyDescent="0.25">
      <c r="B51" t="s">
        <v>75</v>
      </c>
      <c r="C51" s="10">
        <f>C45-C50</f>
        <v>0</v>
      </c>
      <c r="D51" s="10">
        <f>D45-D50</f>
        <v>0</v>
      </c>
      <c r="E51" s="10">
        <f>E45-E50</f>
        <v>0</v>
      </c>
      <c r="F51" s="15">
        <f>F45-F50</f>
        <v>157.42599999999999</v>
      </c>
      <c r="K51" s="10">
        <f t="shared" ref="K51:Z51" si="42">K45-K50</f>
        <v>0</v>
      </c>
      <c r="L51" s="10">
        <f t="shared" si="42"/>
        <v>0</v>
      </c>
      <c r="M51" s="10">
        <f t="shared" si="42"/>
        <v>0</v>
      </c>
      <c r="N51" s="10">
        <f t="shared" si="42"/>
        <v>0</v>
      </c>
      <c r="O51" s="10">
        <f t="shared" si="42"/>
        <v>0</v>
      </c>
      <c r="P51" s="10">
        <f t="shared" si="42"/>
        <v>0</v>
      </c>
      <c r="Q51" s="10">
        <f t="shared" si="42"/>
        <v>0</v>
      </c>
      <c r="R51" s="10">
        <f t="shared" si="42"/>
        <v>0</v>
      </c>
      <c r="S51" s="10">
        <f t="shared" si="42"/>
        <v>0</v>
      </c>
      <c r="T51" s="10">
        <f t="shared" si="42"/>
        <v>0</v>
      </c>
      <c r="U51" s="10">
        <f t="shared" si="42"/>
        <v>0</v>
      </c>
      <c r="V51" s="10">
        <f t="shared" si="42"/>
        <v>157.42599999999999</v>
      </c>
      <c r="W51" s="10">
        <f t="shared" si="42"/>
        <v>808.78399999999999</v>
      </c>
      <c r="X51" s="15">
        <f t="shared" si="42"/>
        <v>845.25199999999995</v>
      </c>
      <c r="Y51" s="10">
        <f t="shared" si="42"/>
        <v>0</v>
      </c>
      <c r="Z51" s="10">
        <f t="shared" si="42"/>
        <v>0</v>
      </c>
    </row>
    <row r="53" spans="2:26" s="1" customFormat="1" x14ac:dyDescent="0.25">
      <c r="B53" s="1" t="s">
        <v>78</v>
      </c>
      <c r="C53" s="54"/>
      <c r="D53" s="54"/>
      <c r="E53" s="54"/>
      <c r="F53" s="55"/>
      <c r="X53" s="16"/>
    </row>
    <row r="71" spans="6:24" s="9" customFormat="1" x14ac:dyDescent="0.25">
      <c r="F71" s="40"/>
      <c r="X71" s="40"/>
    </row>
    <row r="72" spans="6:24" s="1" customFormat="1" x14ac:dyDescent="0.25">
      <c r="F72" s="16"/>
      <c r="X7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M7"/>
  <sheetViews>
    <sheetView topLeftCell="B1" workbookViewId="0">
      <selection activeCell="G3" sqref="G3:G6"/>
    </sheetView>
  </sheetViews>
  <sheetFormatPr defaultRowHeight="15" x14ac:dyDescent="0.25"/>
  <cols>
    <col min="1" max="1" width="29.28515625" customWidth="1"/>
  </cols>
  <sheetData>
    <row r="1" spans="1:13" x14ac:dyDescent="0.25">
      <c r="A1" s="159" t="s">
        <v>179</v>
      </c>
      <c r="B1">
        <v>2023</v>
      </c>
      <c r="C1">
        <v>2024</v>
      </c>
      <c r="F1" t="s">
        <v>9</v>
      </c>
      <c r="G1" t="s">
        <v>34</v>
      </c>
      <c r="H1" t="s">
        <v>38</v>
      </c>
      <c r="I1" t="s">
        <v>39</v>
      </c>
      <c r="J1" t="s">
        <v>61</v>
      </c>
      <c r="K1" t="s">
        <v>65</v>
      </c>
      <c r="L1" t="s">
        <v>137</v>
      </c>
      <c r="M1" t="s">
        <v>138</v>
      </c>
    </row>
    <row r="3" spans="1:13" x14ac:dyDescent="0.25">
      <c r="A3" t="s">
        <v>180</v>
      </c>
      <c r="F3" s="160"/>
      <c r="G3" s="160">
        <v>0.56899999999999995</v>
      </c>
      <c r="H3" s="160"/>
      <c r="I3" s="160"/>
      <c r="J3" s="160"/>
      <c r="K3" s="160">
        <v>63.954999999999998</v>
      </c>
      <c r="L3" s="160"/>
      <c r="M3" s="160"/>
    </row>
    <row r="4" spans="1:13" x14ac:dyDescent="0.25">
      <c r="A4" t="s">
        <v>181</v>
      </c>
      <c r="F4" s="160"/>
      <c r="G4" s="160">
        <v>6.2220000000000004</v>
      </c>
      <c r="H4" s="160"/>
      <c r="I4" s="160"/>
      <c r="J4" s="160"/>
      <c r="K4" s="160">
        <v>4.4989999999999997</v>
      </c>
      <c r="L4" s="160"/>
      <c r="M4" s="160"/>
    </row>
    <row r="5" spans="1:13" x14ac:dyDescent="0.25">
      <c r="A5" t="s">
        <v>182</v>
      </c>
      <c r="F5" s="160"/>
      <c r="G5" s="160">
        <v>2.4119999999999999</v>
      </c>
      <c r="H5" s="160"/>
      <c r="I5" s="160"/>
      <c r="J5" s="160"/>
      <c r="K5" s="160"/>
      <c r="L5" s="160"/>
      <c r="M5" s="160"/>
    </row>
    <row r="6" spans="1:13" x14ac:dyDescent="0.25">
      <c r="A6" t="s">
        <v>25</v>
      </c>
      <c r="F6" s="160"/>
      <c r="G6" s="160">
        <v>1.4850000000000001</v>
      </c>
      <c r="H6" s="160"/>
      <c r="I6" s="160"/>
      <c r="J6" s="160"/>
      <c r="K6" s="160">
        <v>8.3960000000000008</v>
      </c>
      <c r="L6" s="160"/>
      <c r="M6" s="160"/>
    </row>
    <row r="7" spans="1:13" x14ac:dyDescent="0.25">
      <c r="A7" t="s">
        <v>183</v>
      </c>
      <c r="F7" s="160">
        <f t="shared" ref="F7:J7" si="0">SUM(F3:F6)</f>
        <v>0</v>
      </c>
      <c r="G7" s="160">
        <f t="shared" si="0"/>
        <v>10.687999999999999</v>
      </c>
      <c r="H7" s="160">
        <f t="shared" si="0"/>
        <v>0</v>
      </c>
      <c r="I7" s="160">
        <f t="shared" si="0"/>
        <v>0</v>
      </c>
      <c r="J7" s="160">
        <f t="shared" si="0"/>
        <v>0</v>
      </c>
      <c r="K7" s="160">
        <f>SUM(K3:K6)</f>
        <v>76.849999999999994</v>
      </c>
      <c r="L7" s="160">
        <f>SUM(L3:L6)</f>
        <v>0</v>
      </c>
      <c r="M7" s="160">
        <f>SUM(M3:M6)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91</v>
      </c>
      <c r="H1" s="140" t="s">
        <v>92</v>
      </c>
      <c r="I1" s="141"/>
      <c r="J1" s="141"/>
      <c r="K1" s="141"/>
      <c r="L1" s="141"/>
      <c r="M1" s="142"/>
    </row>
    <row r="2" spans="1:13" ht="15.75" thickBot="1" x14ac:dyDescent="0.3">
      <c r="D2" t="e">
        <f>C2/C3-1</f>
        <v>#DIV/0!</v>
      </c>
      <c r="H2" s="62"/>
      <c r="I2" s="63"/>
      <c r="J2" s="63"/>
      <c r="K2" s="63"/>
      <c r="L2" s="63"/>
      <c r="M2" s="64"/>
    </row>
    <row r="3" spans="1:13" ht="15.75" thickBot="1" x14ac:dyDescent="0.3">
      <c r="D3" t="e">
        <f t="shared" ref="D3:D66" si="0">C3/C4-1</f>
        <v>#DIV/0!</v>
      </c>
      <c r="H3" s="65" t="s">
        <v>93</v>
      </c>
      <c r="I3" s="66" t="s">
        <v>94</v>
      </c>
      <c r="J3" s="67" t="s">
        <v>95</v>
      </c>
      <c r="K3" s="68" t="s">
        <v>96</v>
      </c>
      <c r="L3" s="68" t="s">
        <v>97</v>
      </c>
      <c r="M3" s="69" t="s">
        <v>98</v>
      </c>
    </row>
    <row r="4" spans="1:13" x14ac:dyDescent="0.25">
      <c r="D4" t="e">
        <f t="shared" si="0"/>
        <v>#DIV/0!</v>
      </c>
      <c r="H4" s="70" t="e">
        <f>$I$19-3*$I$23</f>
        <v>#DIV/0!</v>
      </c>
      <c r="I4" s="71" t="e">
        <f>H4</f>
        <v>#DIV/0!</v>
      </c>
      <c r="J4" s="72">
        <f>COUNTIF(D:D,"&lt;="&amp;H4)</f>
        <v>67</v>
      </c>
      <c r="K4" s="72" t="e">
        <f>"Less than "&amp;TEXT(H4,"0,00%")</f>
        <v>#DIV/0!</v>
      </c>
      <c r="L4" s="73" t="e">
        <f>J4/$I$31</f>
        <v>#DIV/0!</v>
      </c>
      <c r="M4" s="74" t="e">
        <f>L4</f>
        <v>#DIV/0!</v>
      </c>
    </row>
    <row r="5" spans="1:13" x14ac:dyDescent="0.25">
      <c r="D5" t="e">
        <f t="shared" si="0"/>
        <v>#DIV/0!</v>
      </c>
      <c r="H5" s="75" t="e">
        <f>$I$19-2.4*$I$23</f>
        <v>#DIV/0!</v>
      </c>
      <c r="I5" s="76" t="e">
        <f>H5</f>
        <v>#DIV/0!</v>
      </c>
      <c r="J5" s="77">
        <f>COUNTIFS(D:D,"&lt;="&amp;H5,D:D,"&gt;"&amp;H4)</f>
        <v>67</v>
      </c>
      <c r="K5" s="78" t="e">
        <f t="shared" ref="K5:K14" si="1">TEXT(H4,"0,00%")&amp;" to "&amp;TEXT(H5,"0,00%")</f>
        <v>#DIV/0!</v>
      </c>
      <c r="L5" s="79" t="e">
        <f>J5/$I$31</f>
        <v>#DIV/0!</v>
      </c>
      <c r="M5" s="80" t="e">
        <f>M4+L5</f>
        <v>#DIV/0!</v>
      </c>
    </row>
    <row r="6" spans="1:13" x14ac:dyDescent="0.25">
      <c r="D6" t="e">
        <f t="shared" si="0"/>
        <v>#DIV/0!</v>
      </c>
      <c r="H6" s="75" t="e">
        <f>$I$19-1.8*$I$23</f>
        <v>#DIV/0!</v>
      </c>
      <c r="I6" s="76" t="e">
        <f t="shared" ref="I6:I14" si="2">H6</f>
        <v>#DIV/0!</v>
      </c>
      <c r="J6" s="77">
        <f t="shared" ref="J6:J14" si="3">COUNTIFS(D:D,"&lt;="&amp;H6,D:D,"&gt;"&amp;H5)</f>
        <v>67</v>
      </c>
      <c r="K6" s="78" t="e">
        <f t="shared" si="1"/>
        <v>#DIV/0!</v>
      </c>
      <c r="L6" s="79" t="e">
        <f t="shared" ref="L6:L15" si="4">J6/$I$31</f>
        <v>#DIV/0!</v>
      </c>
      <c r="M6" s="80" t="e">
        <f t="shared" ref="M6:M15" si="5">M5+L6</f>
        <v>#DIV/0!</v>
      </c>
    </row>
    <row r="7" spans="1:13" x14ac:dyDescent="0.25">
      <c r="D7" t="e">
        <f t="shared" si="0"/>
        <v>#DIV/0!</v>
      </c>
      <c r="H7" s="75" t="e">
        <f>$I$19-1.2*$I$23</f>
        <v>#DIV/0!</v>
      </c>
      <c r="I7" s="76" t="e">
        <f t="shared" si="2"/>
        <v>#DIV/0!</v>
      </c>
      <c r="J7" s="77">
        <f t="shared" si="3"/>
        <v>67</v>
      </c>
      <c r="K7" s="78" t="e">
        <f t="shared" si="1"/>
        <v>#DIV/0!</v>
      </c>
      <c r="L7" s="79" t="e">
        <f t="shared" si="4"/>
        <v>#DIV/0!</v>
      </c>
      <c r="M7" s="80" t="e">
        <f t="shared" si="5"/>
        <v>#DIV/0!</v>
      </c>
    </row>
    <row r="8" spans="1:13" x14ac:dyDescent="0.25">
      <c r="D8" t="e">
        <f t="shared" si="0"/>
        <v>#DIV/0!</v>
      </c>
      <c r="H8" s="75" t="e">
        <f>$I$19-0.6*$I$23</f>
        <v>#DIV/0!</v>
      </c>
      <c r="I8" s="76" t="e">
        <f t="shared" si="2"/>
        <v>#DIV/0!</v>
      </c>
      <c r="J8" s="77">
        <f t="shared" si="3"/>
        <v>67</v>
      </c>
      <c r="K8" s="78" t="e">
        <f t="shared" si="1"/>
        <v>#DIV/0!</v>
      </c>
      <c r="L8" s="79" t="e">
        <f t="shared" si="4"/>
        <v>#DIV/0!</v>
      </c>
      <c r="M8" s="80" t="e">
        <f t="shared" si="5"/>
        <v>#DIV/0!</v>
      </c>
    </row>
    <row r="9" spans="1:13" x14ac:dyDescent="0.25">
      <c r="D9" t="e">
        <f t="shared" si="0"/>
        <v>#DIV/0!</v>
      </c>
      <c r="H9" s="75" t="e">
        <f>$I$19</f>
        <v>#DIV/0!</v>
      </c>
      <c r="I9" s="76" t="e">
        <f t="shared" si="2"/>
        <v>#DIV/0!</v>
      </c>
      <c r="J9" s="77">
        <f t="shared" si="3"/>
        <v>67</v>
      </c>
      <c r="K9" s="78" t="e">
        <f t="shared" si="1"/>
        <v>#DIV/0!</v>
      </c>
      <c r="L9" s="79" t="e">
        <f t="shared" si="4"/>
        <v>#DIV/0!</v>
      </c>
      <c r="M9" s="80" t="e">
        <f t="shared" si="5"/>
        <v>#DIV/0!</v>
      </c>
    </row>
    <row r="10" spans="1:13" x14ac:dyDescent="0.25">
      <c r="D10" t="e">
        <f t="shared" si="0"/>
        <v>#DIV/0!</v>
      </c>
      <c r="H10" s="75" t="e">
        <f>$I$19+0.6*$I$23</f>
        <v>#DIV/0!</v>
      </c>
      <c r="I10" s="76" t="e">
        <f t="shared" si="2"/>
        <v>#DIV/0!</v>
      </c>
      <c r="J10" s="77">
        <f t="shared" si="3"/>
        <v>67</v>
      </c>
      <c r="K10" s="78" t="e">
        <f t="shared" si="1"/>
        <v>#DIV/0!</v>
      </c>
      <c r="L10" s="79" t="e">
        <f t="shared" si="4"/>
        <v>#DIV/0!</v>
      </c>
      <c r="M10" s="80" t="e">
        <f t="shared" si="5"/>
        <v>#DIV/0!</v>
      </c>
    </row>
    <row r="11" spans="1:13" x14ac:dyDescent="0.25">
      <c r="D11" t="e">
        <f t="shared" si="0"/>
        <v>#DIV/0!</v>
      </c>
      <c r="H11" s="75" t="e">
        <f>$I$19+1.2*$I$23</f>
        <v>#DIV/0!</v>
      </c>
      <c r="I11" s="76" t="e">
        <f t="shared" si="2"/>
        <v>#DIV/0!</v>
      </c>
      <c r="J11" s="77">
        <f t="shared" si="3"/>
        <v>67</v>
      </c>
      <c r="K11" s="78" t="e">
        <f t="shared" si="1"/>
        <v>#DIV/0!</v>
      </c>
      <c r="L11" s="79" t="e">
        <f t="shared" si="4"/>
        <v>#DIV/0!</v>
      </c>
      <c r="M11" s="80" t="e">
        <f t="shared" si="5"/>
        <v>#DIV/0!</v>
      </c>
    </row>
    <row r="12" spans="1:13" x14ac:dyDescent="0.25">
      <c r="D12" t="e">
        <f t="shared" si="0"/>
        <v>#DIV/0!</v>
      </c>
      <c r="H12" s="75" t="e">
        <f>$I$19+1.8*$I$23</f>
        <v>#DIV/0!</v>
      </c>
      <c r="I12" s="76" t="e">
        <f t="shared" si="2"/>
        <v>#DIV/0!</v>
      </c>
      <c r="J12" s="77">
        <f t="shared" si="3"/>
        <v>67</v>
      </c>
      <c r="K12" s="78" t="e">
        <f t="shared" si="1"/>
        <v>#DIV/0!</v>
      </c>
      <c r="L12" s="79" t="e">
        <f t="shared" si="4"/>
        <v>#DIV/0!</v>
      </c>
      <c r="M12" s="80" t="e">
        <f t="shared" si="5"/>
        <v>#DIV/0!</v>
      </c>
    </row>
    <row r="13" spans="1:13" x14ac:dyDescent="0.25">
      <c r="D13" t="e">
        <f t="shared" si="0"/>
        <v>#DIV/0!</v>
      </c>
      <c r="H13" s="75" t="e">
        <f>$I$19+2.4*$I$23</f>
        <v>#DIV/0!</v>
      </c>
      <c r="I13" s="76" t="e">
        <f t="shared" si="2"/>
        <v>#DIV/0!</v>
      </c>
      <c r="J13" s="77">
        <f t="shared" si="3"/>
        <v>67</v>
      </c>
      <c r="K13" s="78" t="e">
        <f t="shared" si="1"/>
        <v>#DIV/0!</v>
      </c>
      <c r="L13" s="79" t="e">
        <f t="shared" si="4"/>
        <v>#DIV/0!</v>
      </c>
      <c r="M13" s="80" t="e">
        <f t="shared" si="5"/>
        <v>#DIV/0!</v>
      </c>
    </row>
    <row r="14" spans="1:13" x14ac:dyDescent="0.25">
      <c r="D14" t="e">
        <f t="shared" si="0"/>
        <v>#DIV/0!</v>
      </c>
      <c r="H14" s="75" t="e">
        <f>$I$19+3*$I$23</f>
        <v>#DIV/0!</v>
      </c>
      <c r="I14" s="76" t="e">
        <f t="shared" si="2"/>
        <v>#DIV/0!</v>
      </c>
      <c r="J14" s="77">
        <f t="shared" si="3"/>
        <v>67</v>
      </c>
      <c r="K14" s="78" t="e">
        <f t="shared" si="1"/>
        <v>#DIV/0!</v>
      </c>
      <c r="L14" s="79" t="e">
        <f t="shared" si="4"/>
        <v>#DIV/0!</v>
      </c>
      <c r="M14" s="80" t="e">
        <f t="shared" si="5"/>
        <v>#DIV/0!</v>
      </c>
    </row>
    <row r="15" spans="1:13" ht="15.75" thickBot="1" x14ac:dyDescent="0.3">
      <c r="D15" t="e">
        <f t="shared" si="0"/>
        <v>#DIV/0!</v>
      </c>
      <c r="H15" s="81"/>
      <c r="I15" s="82" t="s">
        <v>99</v>
      </c>
      <c r="J15" s="82">
        <f>COUNTIF(D:D,"&gt;"&amp;H14)</f>
        <v>67</v>
      </c>
      <c r="K15" s="82" t="e">
        <f>"Greater than "&amp;TEXT(H14,"0,00%")</f>
        <v>#DIV/0!</v>
      </c>
      <c r="L15" s="83" t="e">
        <f t="shared" si="4"/>
        <v>#DIV/0!</v>
      </c>
      <c r="M15" s="83" t="e">
        <f t="shared" si="5"/>
        <v>#DIV/0!</v>
      </c>
    </row>
    <row r="16" spans="1:13" ht="15.75" thickBot="1" x14ac:dyDescent="0.3">
      <c r="D16" t="e">
        <f t="shared" si="0"/>
        <v>#DIV/0!</v>
      </c>
      <c r="H16" s="84"/>
      <c r="M16" s="85"/>
    </row>
    <row r="17" spans="4:13" x14ac:dyDescent="0.25">
      <c r="D17" t="e">
        <f t="shared" si="0"/>
        <v>#DIV/0!</v>
      </c>
      <c r="H17" s="143" t="s">
        <v>130</v>
      </c>
      <c r="I17" s="144"/>
      <c r="M17" s="85"/>
    </row>
    <row r="18" spans="4:13" x14ac:dyDescent="0.25">
      <c r="D18" t="e">
        <f t="shared" si="0"/>
        <v>#DIV/0!</v>
      </c>
      <c r="H18" s="145"/>
      <c r="I18" s="146"/>
      <c r="M18" s="85"/>
    </row>
    <row r="19" spans="4:13" x14ac:dyDescent="0.25">
      <c r="D19" t="e">
        <f t="shared" si="0"/>
        <v>#DIV/0!</v>
      </c>
      <c r="H19" s="86" t="s">
        <v>100</v>
      </c>
      <c r="I19" s="123" t="e">
        <f>AVERAGE(D:D)</f>
        <v>#DIV/0!</v>
      </c>
      <c r="M19" s="85"/>
    </row>
    <row r="20" spans="4:13" x14ac:dyDescent="0.25">
      <c r="D20" t="e">
        <f t="shared" si="0"/>
        <v>#DIV/0!</v>
      </c>
      <c r="H20" s="86" t="s">
        <v>101</v>
      </c>
      <c r="I20" s="123" t="e">
        <f>_xlfn.STDEV.S(D:D)/SQRT(COUNT(D:D))</f>
        <v>#DIV/0!</v>
      </c>
      <c r="M20" s="85"/>
    </row>
    <row r="21" spans="4:13" x14ac:dyDescent="0.25">
      <c r="D21" t="e">
        <f t="shared" si="0"/>
        <v>#DIV/0!</v>
      </c>
      <c r="H21" s="86" t="s">
        <v>102</v>
      </c>
      <c r="I21" s="123" t="e">
        <f>MEDIAN(D:D)</f>
        <v>#DIV/0!</v>
      </c>
      <c r="M21" s="85"/>
    </row>
    <row r="22" spans="4:13" x14ac:dyDescent="0.25">
      <c r="D22" t="e">
        <f t="shared" si="0"/>
        <v>#DIV/0!</v>
      </c>
      <c r="H22" s="86" t="s">
        <v>103</v>
      </c>
      <c r="I22" s="123" t="e">
        <f>MODE(D:D)</f>
        <v>#DIV/0!</v>
      </c>
      <c r="M22" s="85"/>
    </row>
    <row r="23" spans="4:13" x14ac:dyDescent="0.25">
      <c r="D23" t="e">
        <f t="shared" si="0"/>
        <v>#DIV/0!</v>
      </c>
      <c r="H23" s="86" t="s">
        <v>104</v>
      </c>
      <c r="I23" s="123" t="e">
        <f>_xlfn.STDEV.S(D:D)</f>
        <v>#DIV/0!</v>
      </c>
      <c r="M23" s="85"/>
    </row>
    <row r="24" spans="4:13" x14ac:dyDescent="0.25">
      <c r="D24" t="e">
        <f t="shared" si="0"/>
        <v>#DIV/0!</v>
      </c>
      <c r="H24" s="86" t="s">
        <v>105</v>
      </c>
      <c r="I24" s="123" t="e">
        <f>_xlfn.VAR.S(D:D)</f>
        <v>#DIV/0!</v>
      </c>
      <c r="M24" s="85"/>
    </row>
    <row r="25" spans="4:13" x14ac:dyDescent="0.25">
      <c r="D25" t="e">
        <f t="shared" si="0"/>
        <v>#DIV/0!</v>
      </c>
      <c r="H25" s="86" t="s">
        <v>106</v>
      </c>
      <c r="I25" s="124" t="e">
        <f>KURT(D:D)</f>
        <v>#DIV/0!</v>
      </c>
      <c r="M25" s="85"/>
    </row>
    <row r="26" spans="4:13" x14ac:dyDescent="0.25">
      <c r="D26" t="e">
        <f t="shared" si="0"/>
        <v>#DIV/0!</v>
      </c>
      <c r="H26" s="86" t="s">
        <v>107</v>
      </c>
      <c r="I26" s="124" t="e">
        <f>SKEW(D:D)</f>
        <v>#DIV/0!</v>
      </c>
      <c r="M26" s="85"/>
    </row>
    <row r="27" spans="4:13" x14ac:dyDescent="0.25">
      <c r="D27" t="e">
        <f t="shared" si="0"/>
        <v>#DIV/0!</v>
      </c>
      <c r="H27" s="86" t="s">
        <v>96</v>
      </c>
      <c r="I27" s="123" t="e">
        <f>I29-I28</f>
        <v>#DIV/0!</v>
      </c>
      <c r="M27" s="85"/>
    </row>
    <row r="28" spans="4:13" x14ac:dyDescent="0.25">
      <c r="D28" t="e">
        <f t="shared" si="0"/>
        <v>#DIV/0!</v>
      </c>
      <c r="H28" s="86" t="s">
        <v>108</v>
      </c>
      <c r="I28" s="123" t="e">
        <f>MIN(D:D)</f>
        <v>#DIV/0!</v>
      </c>
      <c r="M28" s="85"/>
    </row>
    <row r="29" spans="4:13" x14ac:dyDescent="0.25">
      <c r="D29" t="e">
        <f t="shared" si="0"/>
        <v>#DIV/0!</v>
      </c>
      <c r="H29" s="86" t="s">
        <v>109</v>
      </c>
      <c r="I29" s="123" t="e">
        <f>MAX(D:D)</f>
        <v>#DIV/0!</v>
      </c>
      <c r="M29" s="85"/>
    </row>
    <row r="30" spans="4:13" x14ac:dyDescent="0.25">
      <c r="D30" t="e">
        <f t="shared" si="0"/>
        <v>#DIV/0!</v>
      </c>
      <c r="H30" s="86" t="s">
        <v>110</v>
      </c>
      <c r="I30" s="124" t="e">
        <f>SUM(D:D)</f>
        <v>#DIV/0!</v>
      </c>
      <c r="M30" s="85"/>
    </row>
    <row r="31" spans="4:13" ht="15.75" thickBot="1" x14ac:dyDescent="0.3">
      <c r="D31" t="e">
        <f t="shared" si="0"/>
        <v>#DIV/0!</v>
      </c>
      <c r="H31" s="87" t="s">
        <v>111</v>
      </c>
      <c r="I31" s="64">
        <f>COUNT(D:D)</f>
        <v>0</v>
      </c>
      <c r="M31" s="85"/>
    </row>
    <row r="32" spans="4:13" ht="15.75" thickBot="1" x14ac:dyDescent="0.3">
      <c r="D32" t="e">
        <f t="shared" si="0"/>
        <v>#DIV/0!</v>
      </c>
      <c r="H32" s="89"/>
      <c r="M32" s="85"/>
    </row>
    <row r="33" spans="4:13" x14ac:dyDescent="0.25">
      <c r="D33" t="e">
        <f t="shared" si="0"/>
        <v>#DIV/0!</v>
      </c>
      <c r="H33" s="90"/>
      <c r="I33" s="91" t="s">
        <v>112</v>
      </c>
      <c r="J33" s="91" t="s">
        <v>111</v>
      </c>
      <c r="K33" s="91" t="s">
        <v>113</v>
      </c>
      <c r="L33" s="92" t="s">
        <v>114</v>
      </c>
      <c r="M33" s="85"/>
    </row>
    <row r="34" spans="4:13" x14ac:dyDescent="0.25">
      <c r="D34" t="e">
        <f t="shared" si="0"/>
        <v>#DIV/0!</v>
      </c>
      <c r="H34" s="93" t="s">
        <v>115</v>
      </c>
      <c r="I34" s="79" t="e">
        <f>AVERAGEIF(D:D,"&gt;0")</f>
        <v>#DIV/0!</v>
      </c>
      <c r="J34" s="77">
        <f>COUNTIF(D:D,"&gt;0")</f>
        <v>0</v>
      </c>
      <c r="K34" s="79" t="e">
        <f>J34/$I$31</f>
        <v>#DIV/0!</v>
      </c>
      <c r="L34" s="80" t="e">
        <f>K34*I34</f>
        <v>#DIV/0!</v>
      </c>
      <c r="M34" s="85"/>
    </row>
    <row r="35" spans="4:13" x14ac:dyDescent="0.25">
      <c r="D35" t="e">
        <f t="shared" si="0"/>
        <v>#DIV/0!</v>
      </c>
      <c r="H35" s="93" t="s">
        <v>116</v>
      </c>
      <c r="I35" s="79" t="e">
        <f>AVERAGEIF(D:D,"&lt;0")</f>
        <v>#DIV/0!</v>
      </c>
      <c r="J35" s="77">
        <f>COUNTIF(D:D,"&lt;0")</f>
        <v>0</v>
      </c>
      <c r="K35" s="79" t="e">
        <f>J35/$I$31</f>
        <v>#DIV/0!</v>
      </c>
      <c r="L35" s="80" t="e">
        <f t="shared" ref="L35:L36" si="6">K35*I35</f>
        <v>#DIV/0!</v>
      </c>
      <c r="M35" s="85"/>
    </row>
    <row r="36" spans="4:13" ht="15.75" thickBot="1" x14ac:dyDescent="0.3">
      <c r="D36" t="e">
        <f t="shared" si="0"/>
        <v>#DIV/0!</v>
      </c>
      <c r="H36" s="94" t="s">
        <v>117</v>
      </c>
      <c r="I36" s="82">
        <v>0</v>
      </c>
      <c r="J36" s="82">
        <f>COUNTIF(D:D,"0")</f>
        <v>0</v>
      </c>
      <c r="K36" s="95" t="e">
        <f>J36/$I$31</f>
        <v>#DIV/0!</v>
      </c>
      <c r="L36" s="83" t="e">
        <f t="shared" si="6"/>
        <v>#DIV/0!</v>
      </c>
      <c r="M36" s="85"/>
    </row>
    <row r="37" spans="4:13" ht="15.75" thickBot="1" x14ac:dyDescent="0.3">
      <c r="D37" t="e">
        <f t="shared" si="0"/>
        <v>#DIV/0!</v>
      </c>
      <c r="H37" s="89"/>
      <c r="I37" s="96"/>
      <c r="J37" s="96"/>
      <c r="K37" s="96"/>
      <c r="L37" s="96"/>
      <c r="M37" s="85"/>
    </row>
    <row r="38" spans="4:13" x14ac:dyDescent="0.25">
      <c r="D38" t="e">
        <f t="shared" si="0"/>
        <v>#DIV/0!</v>
      </c>
      <c r="H38" s="70" t="s">
        <v>118</v>
      </c>
      <c r="I38" s="91" t="s">
        <v>119</v>
      </c>
      <c r="J38" s="91" t="s">
        <v>120</v>
      </c>
      <c r="K38" s="91" t="s">
        <v>121</v>
      </c>
      <c r="L38" s="91" t="s">
        <v>122</v>
      </c>
      <c r="M38" s="92" t="s">
        <v>123</v>
      </c>
    </row>
    <row r="39" spans="4:13" x14ac:dyDescent="0.25">
      <c r="D39" t="e">
        <f t="shared" si="0"/>
        <v>#DIV/0!</v>
      </c>
      <c r="H39" s="97">
        <v>1</v>
      </c>
      <c r="I39" s="79" t="e">
        <f>$I$19+($H39*$I$23)</f>
        <v>#DIV/0!</v>
      </c>
      <c r="J39" s="79" t="e">
        <f>$I$19-($H39*$I$23)</f>
        <v>#DIV/0!</v>
      </c>
      <c r="K39" s="77">
        <f>COUNTIFS(D:D,"&lt;"&amp;I39,D:D,"&gt;"&amp;J39)</f>
        <v>67</v>
      </c>
      <c r="L39" s="79" t="e">
        <f>K39/$I$31</f>
        <v>#DIV/0!</v>
      </c>
      <c r="M39" s="80">
        <v>0.68269999999999997</v>
      </c>
    </row>
    <row r="40" spans="4:13" x14ac:dyDescent="0.25">
      <c r="D40" t="e">
        <f t="shared" si="0"/>
        <v>#DIV/0!</v>
      </c>
      <c r="H40" s="97">
        <v>2</v>
      </c>
      <c r="I40" s="79" t="e">
        <f>$I$19+($H40*$I$23)</f>
        <v>#DIV/0!</v>
      </c>
      <c r="J40" s="79" t="e">
        <f>$I$19-($H40*$I$23)</f>
        <v>#DIV/0!</v>
      </c>
      <c r="K40" s="77">
        <f>COUNTIFS(D:D,"&lt;"&amp;I40,D:D,"&gt;"&amp;J40)</f>
        <v>67</v>
      </c>
      <c r="L40" s="79" t="e">
        <f>K40/$I$31</f>
        <v>#DIV/0!</v>
      </c>
      <c r="M40" s="80">
        <v>0.95450000000000002</v>
      </c>
    </row>
    <row r="41" spans="4:13" x14ac:dyDescent="0.25">
      <c r="D41" t="e">
        <f t="shared" si="0"/>
        <v>#DIV/0!</v>
      </c>
      <c r="H41" s="97">
        <v>3</v>
      </c>
      <c r="I41" s="79" t="e">
        <f>$I$19+($H41*$I$23)</f>
        <v>#DIV/0!</v>
      </c>
      <c r="J41" s="79" t="e">
        <f>$I$19-($H41*$I$23)</f>
        <v>#DIV/0!</v>
      </c>
      <c r="K41" s="77">
        <f>COUNTIFS(D:D,"&lt;"&amp;I41,D:D,"&gt;"&amp;J41)</f>
        <v>67</v>
      </c>
      <c r="L41" s="79" t="e">
        <f>K41/$I$31</f>
        <v>#DIV/0!</v>
      </c>
      <c r="M41" s="98">
        <v>0.99729999999999996</v>
      </c>
    </row>
    <row r="42" spans="4:13" ht="15.75" thickBot="1" x14ac:dyDescent="0.3">
      <c r="D42" t="e">
        <f t="shared" si="0"/>
        <v>#DIV/0!</v>
      </c>
      <c r="H42" s="75"/>
      <c r="M42" s="98"/>
    </row>
    <row r="43" spans="4:13" ht="15.75" thickBot="1" x14ac:dyDescent="0.3">
      <c r="D43" t="e">
        <f t="shared" si="0"/>
        <v>#DIV/0!</v>
      </c>
      <c r="H43" s="147" t="s">
        <v>124</v>
      </c>
      <c r="I43" s="148"/>
      <c r="J43" s="148"/>
      <c r="K43" s="148"/>
      <c r="L43" s="148"/>
      <c r="M43" s="149"/>
    </row>
    <row r="44" spans="4:13" x14ac:dyDescent="0.25">
      <c r="D44" t="e">
        <f t="shared" si="0"/>
        <v>#DIV/0!</v>
      </c>
      <c r="H44" s="99">
        <v>0.01</v>
      </c>
      <c r="I44" s="100" t="e">
        <f t="shared" ref="I44:I58" si="7">_xlfn.PERCENTILE.INC(D:D,H44)</f>
        <v>#DIV/0!</v>
      </c>
      <c r="J44" s="101">
        <v>0.2</v>
      </c>
      <c r="K44" s="100" t="e">
        <f t="shared" ref="K44:K56" si="8">_xlfn.PERCENTILE.INC(D:D,J44)</f>
        <v>#DIV/0!</v>
      </c>
      <c r="L44" s="101">
        <v>0.85</v>
      </c>
      <c r="M44" s="102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3">
        <v>0.02</v>
      </c>
      <c r="I45" s="104" t="e">
        <f t="shared" si="7"/>
        <v>#DIV/0!</v>
      </c>
      <c r="J45" s="105">
        <v>0.25</v>
      </c>
      <c r="K45" s="104" t="e">
        <f t="shared" si="8"/>
        <v>#DIV/0!</v>
      </c>
      <c r="L45" s="105">
        <v>0.86</v>
      </c>
      <c r="M45" s="106" t="e">
        <f t="shared" si="9"/>
        <v>#DIV/0!</v>
      </c>
    </row>
    <row r="46" spans="4:13" x14ac:dyDescent="0.25">
      <c r="D46" t="e">
        <f t="shared" si="0"/>
        <v>#DIV/0!</v>
      </c>
      <c r="H46" s="103">
        <v>0.03</v>
      </c>
      <c r="I46" s="104" t="e">
        <f t="shared" si="7"/>
        <v>#DIV/0!</v>
      </c>
      <c r="J46" s="105">
        <v>0.3</v>
      </c>
      <c r="K46" s="104" t="e">
        <f t="shared" si="8"/>
        <v>#DIV/0!</v>
      </c>
      <c r="L46" s="105">
        <v>0.87</v>
      </c>
      <c r="M46" s="106" t="e">
        <f t="shared" si="9"/>
        <v>#DIV/0!</v>
      </c>
    </row>
    <row r="47" spans="4:13" x14ac:dyDescent="0.25">
      <c r="D47" t="e">
        <f t="shared" si="0"/>
        <v>#DIV/0!</v>
      </c>
      <c r="H47" s="103">
        <v>0.04</v>
      </c>
      <c r="I47" s="104" t="e">
        <f t="shared" si="7"/>
        <v>#DIV/0!</v>
      </c>
      <c r="J47" s="105">
        <v>0.35</v>
      </c>
      <c r="K47" s="104" t="e">
        <f t="shared" si="8"/>
        <v>#DIV/0!</v>
      </c>
      <c r="L47" s="105">
        <v>0.88</v>
      </c>
      <c r="M47" s="106" t="e">
        <f t="shared" si="9"/>
        <v>#DIV/0!</v>
      </c>
    </row>
    <row r="48" spans="4:13" x14ac:dyDescent="0.25">
      <c r="D48" t="e">
        <f t="shared" si="0"/>
        <v>#DIV/0!</v>
      </c>
      <c r="H48" s="103">
        <v>0.05</v>
      </c>
      <c r="I48" s="104" t="e">
        <f t="shared" si="7"/>
        <v>#DIV/0!</v>
      </c>
      <c r="J48" s="105">
        <v>0.4</v>
      </c>
      <c r="K48" s="104" t="e">
        <f t="shared" si="8"/>
        <v>#DIV/0!</v>
      </c>
      <c r="L48" s="105">
        <v>0.89</v>
      </c>
      <c r="M48" s="106" t="e">
        <f t="shared" si="9"/>
        <v>#DIV/0!</v>
      </c>
    </row>
    <row r="49" spans="4:13" x14ac:dyDescent="0.25">
      <c r="D49" t="e">
        <f t="shared" si="0"/>
        <v>#DIV/0!</v>
      </c>
      <c r="H49" s="103">
        <v>0.06</v>
      </c>
      <c r="I49" s="104" t="e">
        <f t="shared" si="7"/>
        <v>#DIV/0!</v>
      </c>
      <c r="J49" s="105">
        <v>0.45</v>
      </c>
      <c r="K49" s="104" t="e">
        <f t="shared" si="8"/>
        <v>#DIV/0!</v>
      </c>
      <c r="L49" s="105">
        <v>0.9</v>
      </c>
      <c r="M49" s="106" t="e">
        <f t="shared" si="9"/>
        <v>#DIV/0!</v>
      </c>
    </row>
    <row r="50" spans="4:13" x14ac:dyDescent="0.25">
      <c r="D50" t="e">
        <f t="shared" si="0"/>
        <v>#DIV/0!</v>
      </c>
      <c r="H50" s="103">
        <v>7.0000000000000007E-2</v>
      </c>
      <c r="I50" s="104" t="e">
        <f t="shared" si="7"/>
        <v>#DIV/0!</v>
      </c>
      <c r="J50" s="105">
        <v>0.5</v>
      </c>
      <c r="K50" s="104" t="e">
        <f t="shared" si="8"/>
        <v>#DIV/0!</v>
      </c>
      <c r="L50" s="105">
        <v>0.91</v>
      </c>
      <c r="M50" s="106" t="e">
        <f t="shared" si="9"/>
        <v>#DIV/0!</v>
      </c>
    </row>
    <row r="51" spans="4:13" x14ac:dyDescent="0.25">
      <c r="D51" t="e">
        <f t="shared" si="0"/>
        <v>#DIV/0!</v>
      </c>
      <c r="H51" s="103">
        <v>0.08</v>
      </c>
      <c r="I51" s="104" t="e">
        <f t="shared" si="7"/>
        <v>#DIV/0!</v>
      </c>
      <c r="J51" s="105">
        <v>0.55000000000000004</v>
      </c>
      <c r="K51" s="104" t="e">
        <f t="shared" si="8"/>
        <v>#DIV/0!</v>
      </c>
      <c r="L51" s="105">
        <v>0.92</v>
      </c>
      <c r="M51" s="106" t="e">
        <f t="shared" si="9"/>
        <v>#DIV/0!</v>
      </c>
    </row>
    <row r="52" spans="4:13" x14ac:dyDescent="0.25">
      <c r="D52" t="e">
        <f t="shared" si="0"/>
        <v>#DIV/0!</v>
      </c>
      <c r="H52" s="103">
        <v>0.09</v>
      </c>
      <c r="I52" s="104" t="e">
        <f t="shared" si="7"/>
        <v>#DIV/0!</v>
      </c>
      <c r="J52" s="105">
        <v>0.6</v>
      </c>
      <c r="K52" s="104" t="e">
        <f t="shared" si="8"/>
        <v>#DIV/0!</v>
      </c>
      <c r="L52" s="105">
        <v>0.93</v>
      </c>
      <c r="M52" s="106" t="e">
        <f t="shared" si="9"/>
        <v>#DIV/0!</v>
      </c>
    </row>
    <row r="53" spans="4:13" x14ac:dyDescent="0.25">
      <c r="D53" t="e">
        <f t="shared" si="0"/>
        <v>#DIV/0!</v>
      </c>
      <c r="H53" s="103">
        <v>0.1</v>
      </c>
      <c r="I53" s="104" t="e">
        <f t="shared" si="7"/>
        <v>#DIV/0!</v>
      </c>
      <c r="J53" s="105">
        <v>0.65</v>
      </c>
      <c r="K53" s="104" t="e">
        <f t="shared" si="8"/>
        <v>#DIV/0!</v>
      </c>
      <c r="L53" s="105">
        <v>0.94</v>
      </c>
      <c r="M53" s="106" t="e">
        <f t="shared" si="9"/>
        <v>#DIV/0!</v>
      </c>
    </row>
    <row r="54" spans="4:13" x14ac:dyDescent="0.25">
      <c r="D54" t="e">
        <f t="shared" si="0"/>
        <v>#DIV/0!</v>
      </c>
      <c r="H54" s="103">
        <v>0.11</v>
      </c>
      <c r="I54" s="104" t="e">
        <f t="shared" si="7"/>
        <v>#DIV/0!</v>
      </c>
      <c r="J54" s="105">
        <v>0.7</v>
      </c>
      <c r="K54" s="104" t="e">
        <f t="shared" si="8"/>
        <v>#DIV/0!</v>
      </c>
      <c r="L54" s="105">
        <v>0.95</v>
      </c>
      <c r="M54" s="106" t="e">
        <f t="shared" si="9"/>
        <v>#DIV/0!</v>
      </c>
    </row>
    <row r="55" spans="4:13" x14ac:dyDescent="0.25">
      <c r="D55" t="e">
        <f t="shared" si="0"/>
        <v>#DIV/0!</v>
      </c>
      <c r="H55" s="103">
        <v>0.12</v>
      </c>
      <c r="I55" s="104" t="e">
        <f t="shared" si="7"/>
        <v>#DIV/0!</v>
      </c>
      <c r="J55" s="105">
        <v>0.75</v>
      </c>
      <c r="K55" s="104" t="e">
        <f t="shared" si="8"/>
        <v>#DIV/0!</v>
      </c>
      <c r="L55" s="105">
        <v>0.96</v>
      </c>
      <c r="M55" s="106" t="e">
        <f t="shared" si="9"/>
        <v>#DIV/0!</v>
      </c>
    </row>
    <row r="56" spans="4:13" x14ac:dyDescent="0.25">
      <c r="D56" t="e">
        <f t="shared" si="0"/>
        <v>#DIV/0!</v>
      </c>
      <c r="H56" s="103">
        <v>0.13</v>
      </c>
      <c r="I56" s="104" t="e">
        <f t="shared" si="7"/>
        <v>#DIV/0!</v>
      </c>
      <c r="J56" s="105">
        <v>0.8</v>
      </c>
      <c r="K56" s="104" t="e">
        <f t="shared" si="8"/>
        <v>#DIV/0!</v>
      </c>
      <c r="L56" s="105">
        <v>0.97</v>
      </c>
      <c r="M56" s="106" t="e">
        <f t="shared" si="9"/>
        <v>#DIV/0!</v>
      </c>
    </row>
    <row r="57" spans="4:13" x14ac:dyDescent="0.25">
      <c r="D57" t="e">
        <f t="shared" si="0"/>
        <v>#DIV/0!</v>
      </c>
      <c r="H57" s="103">
        <v>0.14000000000000001</v>
      </c>
      <c r="I57" s="104" t="e">
        <f t="shared" si="7"/>
        <v>#DIV/0!</v>
      </c>
      <c r="J57" s="105"/>
      <c r="K57" s="104"/>
      <c r="L57" s="105">
        <v>0.98</v>
      </c>
      <c r="M57" s="106" t="e">
        <f t="shared" si="9"/>
        <v>#DIV/0!</v>
      </c>
    </row>
    <row r="58" spans="4:13" ht="15.75" thickBot="1" x14ac:dyDescent="0.3">
      <c r="D58" t="e">
        <f t="shared" si="0"/>
        <v>#DIV/0!</v>
      </c>
      <c r="H58" s="107">
        <v>0.15</v>
      </c>
      <c r="I58" s="108" t="e">
        <f t="shared" si="7"/>
        <v>#DIV/0!</v>
      </c>
      <c r="J58" s="109"/>
      <c r="K58" s="88"/>
      <c r="L58" s="110">
        <v>0.99</v>
      </c>
      <c r="M58" s="111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2" t="s">
        <v>125</v>
      </c>
      <c r="I60" s="113"/>
    </row>
    <row r="61" spans="4:13" ht="15.75" thickBot="1" x14ac:dyDescent="0.3">
      <c r="D61" t="e">
        <f t="shared" si="0"/>
        <v>#DIV/0!</v>
      </c>
      <c r="H61" s="114" t="s">
        <v>126</v>
      </c>
      <c r="I61" s="115"/>
    </row>
    <row r="62" spans="4:13" ht="15.75" thickBot="1" x14ac:dyDescent="0.3">
      <c r="D62" t="e">
        <f t="shared" si="0"/>
        <v>#DIV/0!</v>
      </c>
      <c r="H62" s="116"/>
    </row>
    <row r="63" spans="4:13" x14ac:dyDescent="0.25">
      <c r="D63" t="e">
        <f t="shared" si="0"/>
        <v>#DIV/0!</v>
      </c>
      <c r="H63" s="112" t="s">
        <v>127</v>
      </c>
      <c r="I63" s="117"/>
    </row>
    <row r="64" spans="4:13" x14ac:dyDescent="0.25">
      <c r="D64" t="e">
        <f t="shared" si="0"/>
        <v>#DIV/0!</v>
      </c>
      <c r="H64" s="118" t="s">
        <v>128</v>
      </c>
      <c r="I64" s="119">
        <f>I63*(1-I60)</f>
        <v>0</v>
      </c>
    </row>
    <row r="65" spans="4:9" ht="15.75" thickBot="1" x14ac:dyDescent="0.3">
      <c r="D65" t="e">
        <f t="shared" si="0"/>
        <v>#DIV/0!</v>
      </c>
      <c r="H65" s="114" t="s">
        <v>129</v>
      </c>
      <c r="I65" s="120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2024-09-21T12:35:01Z</dcterms:modified>
</cp:coreProperties>
</file>