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9F5BD773-9E31-415B-878E-F96B529F22CB}" xr6:coauthVersionLast="47" xr6:coauthVersionMax="47" xr10:uidLastSave="{00000000-0000-0000-0000-000000000000}"/>
  <bookViews>
    <workbookView xWindow="-120" yWindow="-120" windowWidth="29040" windowHeight="15720" tabRatio="688" firstSheet="4" activeTab="6" xr2:uid="{17A267B1-178B-4287-81DD-6A61B8A207C9}"/>
  </bookViews>
  <sheets>
    <sheet name="Sheet1" sheetId="1" r:id="rId1"/>
    <sheet name="1 Long Call" sheetId="2" r:id="rId2"/>
    <sheet name="2 Long Put" sheetId="3" r:id="rId3"/>
    <sheet name="3 Short Put (naked)" sheetId="4" r:id="rId4"/>
    <sheet name="4 Covered Call" sheetId="5" r:id="rId5"/>
    <sheet name="5 Covered Call Collar" sheetId="6" r:id="rId6"/>
    <sheet name="6 Bull Call Spread" sheetId="7" r:id="rId7"/>
    <sheet name="7 Bear Put Spread" sheetId="9" r:id="rId8"/>
    <sheet name="8 Short Bull Ratio Spread" sheetId="10" r:id="rId9"/>
    <sheet name="9 Short Bear Ratio Spread" sheetId="11" r:id="rId10"/>
    <sheet name="10 Bull Call Ladder Spread" sheetId="12" r:id="rId11"/>
    <sheet name="11 Bear Put Ladder Spread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7" l="1"/>
  <c r="C25" i="7"/>
  <c r="D25" i="7" s="1"/>
  <c r="E25" i="7" s="1"/>
  <c r="D24" i="7"/>
  <c r="E24" i="7" s="1"/>
  <c r="E23" i="7"/>
  <c r="D26" i="7"/>
  <c r="E26" i="7" s="1"/>
  <c r="C19" i="7"/>
  <c r="C18" i="7"/>
  <c r="C17" i="7"/>
  <c r="C15" i="7"/>
  <c r="G12" i="7"/>
  <c r="G13" i="7" s="1"/>
  <c r="G11" i="7"/>
  <c r="C12" i="7"/>
  <c r="C13" i="7" s="1"/>
  <c r="C11" i="7"/>
  <c r="D26" i="4"/>
  <c r="E26" i="4"/>
  <c r="D25" i="4"/>
  <c r="E25" i="4"/>
  <c r="E24" i="4"/>
  <c r="C20" i="4"/>
  <c r="C19" i="4"/>
  <c r="D24" i="4"/>
  <c r="C18" i="4"/>
  <c r="C14" i="4"/>
  <c r="C12" i="4"/>
  <c r="E25" i="3"/>
  <c r="D26" i="3"/>
  <c r="D25" i="3"/>
  <c r="D24" i="3"/>
  <c r="E24" i="3" s="1"/>
  <c r="C20" i="3"/>
  <c r="C13" i="3"/>
  <c r="C14" i="3" s="1"/>
  <c r="E25" i="2"/>
  <c r="E24" i="2"/>
  <c r="E23" i="2"/>
  <c r="C18" i="3"/>
  <c r="C12" i="3"/>
  <c r="C19" i="3"/>
  <c r="E26" i="3"/>
  <c r="D24" i="2"/>
  <c r="D25" i="2"/>
  <c r="D23" i="2"/>
  <c r="C11" i="2"/>
  <c r="C18" i="2" s="1"/>
  <c r="C12" i="2"/>
  <c r="C13" i="2" s="1"/>
  <c r="C17" i="2"/>
  <c r="C57" i="1"/>
  <c r="D57" i="1" s="1"/>
  <c r="E57" i="1" s="1"/>
  <c r="C56" i="1"/>
  <c r="D56" i="1" s="1"/>
  <c r="E56" i="1" s="1"/>
  <c r="D55" i="1"/>
  <c r="E55" i="1" s="1"/>
  <c r="C55" i="1"/>
  <c r="C54" i="1"/>
  <c r="D54" i="1" s="1"/>
  <c r="E54" i="1" s="1"/>
  <c r="D53" i="1"/>
  <c r="E53" i="1" s="1"/>
  <c r="C53" i="1"/>
  <c r="G52" i="1"/>
  <c r="C49" i="1"/>
  <c r="D49" i="1" s="1"/>
  <c r="E49" i="1" s="1"/>
  <c r="C48" i="1"/>
  <c r="D48" i="1" s="1"/>
  <c r="E48" i="1" s="1"/>
  <c r="D47" i="1"/>
  <c r="E47" i="1" s="1"/>
  <c r="C47" i="1"/>
  <c r="C46" i="1"/>
  <c r="D46" i="1" s="1"/>
  <c r="E46" i="1" s="1"/>
  <c r="G45" i="1"/>
  <c r="C41" i="1"/>
  <c r="D41" i="1" s="1"/>
  <c r="E41" i="1" s="1"/>
  <c r="C40" i="1"/>
  <c r="D40" i="1" s="1"/>
  <c r="E40" i="1" s="1"/>
  <c r="C39" i="1"/>
  <c r="D39" i="1" s="1"/>
  <c r="E39" i="1" s="1"/>
  <c r="M38" i="1"/>
  <c r="N38" i="1" s="1"/>
  <c r="C38" i="1"/>
  <c r="D38" i="1" s="1"/>
  <c r="E38" i="1" s="1"/>
  <c r="N37" i="1"/>
  <c r="M37" i="1"/>
  <c r="C37" i="1"/>
  <c r="D37" i="1" s="1"/>
  <c r="E37" i="1" s="1"/>
  <c r="N36" i="1"/>
  <c r="M36" i="1"/>
  <c r="D36" i="1"/>
  <c r="E36" i="1" s="1"/>
  <c r="C36" i="1"/>
  <c r="N35" i="1"/>
  <c r="M35" i="1"/>
  <c r="N34" i="1"/>
  <c r="M34" i="1"/>
  <c r="N33" i="1"/>
  <c r="M33" i="1"/>
  <c r="I33" i="1"/>
  <c r="I34" i="1" s="1"/>
  <c r="J35" i="1" s="1"/>
  <c r="G22" i="1"/>
  <c r="G15" i="1"/>
  <c r="D11" i="1"/>
  <c r="D10" i="1"/>
  <c r="D9" i="1"/>
  <c r="D8" i="1"/>
  <c r="D7" i="1"/>
  <c r="D6" i="1"/>
  <c r="E6" i="1" s="1"/>
  <c r="D19" i="1"/>
  <c r="D18" i="1"/>
  <c r="D17" i="1"/>
  <c r="D16" i="1"/>
  <c r="D25" i="1"/>
  <c r="J5" i="1"/>
  <c r="I4" i="1"/>
  <c r="I3" i="1"/>
  <c r="N8" i="1"/>
  <c r="N7" i="1"/>
  <c r="N6" i="1"/>
  <c r="N5" i="1"/>
  <c r="N4" i="1"/>
  <c r="N3" i="1"/>
  <c r="M8" i="1"/>
  <c r="M7" i="1"/>
  <c r="M6" i="1"/>
  <c r="M5" i="1"/>
  <c r="M4" i="1"/>
  <c r="M3" i="1"/>
  <c r="C23" i="1"/>
  <c r="D23" i="1" s="1"/>
  <c r="E23" i="1" s="1"/>
  <c r="C24" i="1"/>
  <c r="D24" i="1" s="1"/>
  <c r="C25" i="1"/>
  <c r="C26" i="1"/>
  <c r="D26" i="1" s="1"/>
  <c r="C27" i="1"/>
  <c r="D27" i="1" s="1"/>
  <c r="C11" i="1"/>
  <c r="C19" i="1"/>
  <c r="C18" i="1"/>
  <c r="C17" i="1"/>
  <c r="C16" i="1"/>
  <c r="C6" i="1"/>
  <c r="C7" i="1"/>
  <c r="C8" i="1"/>
  <c r="C9" i="1"/>
  <c r="C10" i="1"/>
  <c r="E24" i="1" l="1"/>
  <c r="E25" i="1" s="1"/>
  <c r="E26" i="1" s="1"/>
  <c r="E27" i="1" s="1"/>
  <c r="E16" i="1"/>
  <c r="E17" i="1" s="1"/>
  <c r="E18" i="1" s="1"/>
  <c r="E19" i="1" s="1"/>
  <c r="E7" i="1" l="1"/>
  <c r="E8" i="1" s="1"/>
  <c r="E9" i="1" s="1"/>
  <c r="E10" i="1" s="1"/>
  <c r="E11" i="1" s="1"/>
</calcChain>
</file>

<file path=xl/sharedStrings.xml><?xml version="1.0" encoding="utf-8"?>
<sst xmlns="http://schemas.openxmlformats.org/spreadsheetml/2006/main" count="168" uniqueCount="72">
  <si>
    <t>Puts</t>
  </si>
  <si>
    <t>Strike</t>
  </si>
  <si>
    <t>Stock Price</t>
  </si>
  <si>
    <t>Exposure</t>
  </si>
  <si>
    <t>Stock</t>
  </si>
  <si>
    <t>Long Call</t>
  </si>
  <si>
    <t>Price</t>
  </si>
  <si>
    <t>Break Even</t>
  </si>
  <si>
    <t>Max Loss</t>
  </si>
  <si>
    <t>Directional Bet</t>
  </si>
  <si>
    <t>Bullish Strategy</t>
  </si>
  <si>
    <t>Simple</t>
  </si>
  <si>
    <t>One Transaction</t>
  </si>
  <si>
    <t>Net Debit (Upfront Cost)</t>
  </si>
  <si>
    <t>Max Risk (Limited)</t>
  </si>
  <si>
    <t>Max Gain (Unlimited)</t>
  </si>
  <si>
    <t>Break Even point is when Price of Underlying Security = (Strike Price + Price of Option)</t>
  </si>
  <si>
    <t>Profit is made when Price of Underlying Security &gt; (Strike Price + Price of Option)</t>
  </si>
  <si>
    <t>Profit</t>
  </si>
  <si>
    <t>Risk Calculations (Maximum Downside)</t>
  </si>
  <si>
    <t xml:space="preserve">Maximum loss is limited to the Premium paid / Net Debit </t>
  </si>
  <si>
    <t>Maximum loss is made when Price of Underlying Security &lt; or = Strike Price</t>
  </si>
  <si>
    <t>Profit Calculations (Maximum Upside)</t>
  </si>
  <si>
    <t>Date</t>
  </si>
  <si>
    <t>No. Co</t>
  </si>
  <si>
    <t>Shares Exposure</t>
  </si>
  <si>
    <t>Dollar Exposure</t>
  </si>
  <si>
    <t>Premium Paid</t>
  </si>
  <si>
    <t>Unlimited</t>
  </si>
  <si>
    <t>Target 1</t>
  </si>
  <si>
    <t>Target 2</t>
  </si>
  <si>
    <t>Target 3</t>
  </si>
  <si>
    <t>Risk-Reward</t>
  </si>
  <si>
    <t>RR</t>
  </si>
  <si>
    <t>Long Put</t>
  </si>
  <si>
    <t>Bearish Strategy</t>
  </si>
  <si>
    <t>Max Gain (Limited)</t>
  </si>
  <si>
    <t>Break Even point is when Price of Underlying Security = (Strike Price - Price of Option)</t>
  </si>
  <si>
    <t>Profit is made when Price of Underlying Security &lt; (Strike Price - Price of Option)</t>
  </si>
  <si>
    <t>Profit per option owned is (Strike Price – Price of Underlying Security) – Price of Option</t>
  </si>
  <si>
    <t xml:space="preserve">
Profit per option owned is Price of Underlying Security – (Strike Price + Price of Option)</t>
  </si>
  <si>
    <t>Maximum loss is made when Price of Underlying Security &gt; or = Strike Price</t>
  </si>
  <si>
    <t>Max Profit (0)</t>
  </si>
  <si>
    <t>Max Profit (∞)</t>
  </si>
  <si>
    <t>Net Credit (Upfront Payment Received)</t>
  </si>
  <si>
    <t>Short Put</t>
  </si>
  <si>
    <t>Break-even point is when Price of Underlying Security = (Strike Price - Price of Option)</t>
  </si>
  <si>
    <t>Profit is limited, per option written, to “Price of Option”</t>
  </si>
  <si>
    <t>Maximum profit is limited and made when “Price of Underlying Security &gt; or = Strike Price</t>
  </si>
  <si>
    <t>Maximum loss is limited only by how much the underlying security can fall.</t>
  </si>
  <si>
    <t>Loss is incurred when Price of Underlying Security &lt; (Strike Price – Price Per Option)</t>
  </si>
  <si>
    <t>Loss per option written is Strike Price – (Price of Underlying Security + Price Per Option)</t>
  </si>
  <si>
    <t>Credit Reveived</t>
  </si>
  <si>
    <t>Target 4</t>
  </si>
  <si>
    <t xml:space="preserve"> </t>
  </si>
  <si>
    <t>Bull Call Spread</t>
  </si>
  <si>
    <t>Two  Transactions</t>
  </si>
  <si>
    <t>Debit</t>
  </si>
  <si>
    <t>Credit Received</t>
  </si>
  <si>
    <t>Leg B (Short OTM Call)</t>
  </si>
  <si>
    <t>Net Debit</t>
  </si>
  <si>
    <t>Long Call ATM/OTM, Writing a higher Call OTM, Same Time of Expiration</t>
  </si>
  <si>
    <t>Leg A (Long ATM/OTM Call)</t>
  </si>
  <si>
    <t>Leg A = Buy ATM or OTM Call Option, Leg B = Write Higher Strike Call Option</t>
  </si>
  <si>
    <t>Maximum profit is limited</t>
  </si>
  <si>
    <t>Maximum profit is made when Price of Underlying Security &gt; or = Strike Price Leg B</t>
  </si>
  <si>
    <t>Maximum profit per option owned is (Strike Price Leg B – Strike Price Leg A) – (Price of Option Leg A – Price of Option Leg B)</t>
  </si>
  <si>
    <t>Maximum loss is limited</t>
  </si>
  <si>
    <t>Maximum loss is made when Price of Underlying Security &lt; or = Strike Price Leg A</t>
  </si>
  <si>
    <t>Maximum loss per option owned is Price of Option Leg A – Price of Option Leg B</t>
  </si>
  <si>
    <t>Target 3 (max profit)</t>
  </si>
  <si>
    <t>Target 1 (max 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</si>
</sst>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0" borderId="0" xfId="0" applyFont="1" applyAlignment="1"/>
    <xf numFmtId="0" fontId="0" fillId="0" borderId="0" xfId="0" applyAlignment="1"/>
    <xf numFmtId="0" fontId="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0D47-D62E-47F1-A9A2-4008043EEBBB}">
  <dimension ref="B2:N57"/>
  <sheetViews>
    <sheetView workbookViewId="0">
      <selection activeCell="B2" sqref="B2:N27"/>
    </sheetView>
  </sheetViews>
  <sheetFormatPr defaultRowHeight="15" x14ac:dyDescent="0.25"/>
  <cols>
    <col min="4" max="4" width="10.140625" bestFit="1" customWidth="1"/>
    <col min="5" max="5" width="8.140625" customWidth="1"/>
    <col min="7" max="7" width="12.42578125" customWidth="1"/>
    <col min="9" max="9" width="12" bestFit="1" customWidth="1"/>
    <col min="10" max="10" width="13.140625" bestFit="1" customWidth="1"/>
    <col min="14" max="14" width="13.140625" bestFit="1" customWidth="1"/>
  </cols>
  <sheetData>
    <row r="2" spans="2:14" x14ac:dyDescent="0.25">
      <c r="I2" t="s">
        <v>3</v>
      </c>
      <c r="J2" s="2">
        <v>150000</v>
      </c>
      <c r="L2" t="s">
        <v>4</v>
      </c>
    </row>
    <row r="3" spans="2:14" x14ac:dyDescent="0.25">
      <c r="G3" t="s">
        <v>2</v>
      </c>
      <c r="H3">
        <v>6.09</v>
      </c>
      <c r="I3" s="5">
        <f>J2/H3</f>
        <v>24630.541871921181</v>
      </c>
      <c r="L3">
        <v>5</v>
      </c>
      <c r="M3">
        <f t="shared" ref="M3:M8" si="0">$I$3*L3</f>
        <v>123152.70935960591</v>
      </c>
      <c r="N3" s="3">
        <f t="shared" ref="N3:N8" si="1">$J$2-M3</f>
        <v>26847.290640394087</v>
      </c>
    </row>
    <row r="4" spans="2:14" x14ac:dyDescent="0.25">
      <c r="C4" t="s">
        <v>1</v>
      </c>
      <c r="D4" s="1">
        <v>45583</v>
      </c>
      <c r="I4" s="5">
        <f>I3/100</f>
        <v>246.30541871921181</v>
      </c>
      <c r="L4">
        <v>4</v>
      </c>
      <c r="M4">
        <f t="shared" si="0"/>
        <v>98522.167487684725</v>
      </c>
      <c r="N4" s="3">
        <f t="shared" si="1"/>
        <v>51477.832512315275</v>
      </c>
    </row>
    <row r="5" spans="2:14" x14ac:dyDescent="0.25">
      <c r="B5" t="s">
        <v>0</v>
      </c>
      <c r="C5">
        <v>6</v>
      </c>
      <c r="D5">
        <v>0.25</v>
      </c>
      <c r="E5" s="5">
        <v>5000</v>
      </c>
      <c r="J5" s="4">
        <f>I4*D5*100</f>
        <v>6157.6354679802953</v>
      </c>
      <c r="L5">
        <v>3</v>
      </c>
      <c r="M5">
        <f t="shared" si="0"/>
        <v>73891.625615763536</v>
      </c>
      <c r="N5" s="3">
        <f t="shared" si="1"/>
        <v>76108.374384236464</v>
      </c>
    </row>
    <row r="6" spans="2:14" x14ac:dyDescent="0.25">
      <c r="B6">
        <v>5</v>
      </c>
      <c r="C6">
        <f t="shared" ref="C6:C11" si="2">B6-$C$5+$D$5</f>
        <v>-0.75</v>
      </c>
      <c r="D6" s="5">
        <f t="shared" ref="D6:D11" si="3">-C6*100*($E$5/$D$5/100)-$E$5</f>
        <v>10000</v>
      </c>
      <c r="E6" s="6">
        <f t="shared" ref="E6:E11" si="4">D6/$E$5</f>
        <v>2</v>
      </c>
      <c r="L6">
        <v>2</v>
      </c>
      <c r="M6">
        <f t="shared" si="0"/>
        <v>49261.083743842362</v>
      </c>
      <c r="N6" s="3">
        <f t="shared" si="1"/>
        <v>100738.91625615764</v>
      </c>
    </row>
    <row r="7" spans="2:14" x14ac:dyDescent="0.25">
      <c r="B7">
        <v>4</v>
      </c>
      <c r="C7">
        <f t="shared" si="2"/>
        <v>-1.75</v>
      </c>
      <c r="D7" s="5">
        <f t="shared" si="3"/>
        <v>30000</v>
      </c>
      <c r="E7" s="6">
        <f t="shared" si="4"/>
        <v>6</v>
      </c>
      <c r="L7">
        <v>1</v>
      </c>
      <c r="M7">
        <f t="shared" si="0"/>
        <v>24630.541871921181</v>
      </c>
      <c r="N7" s="3">
        <f t="shared" si="1"/>
        <v>125369.45812807881</v>
      </c>
    </row>
    <row r="8" spans="2:14" x14ac:dyDescent="0.25">
      <c r="B8">
        <v>3</v>
      </c>
      <c r="C8">
        <f t="shared" si="2"/>
        <v>-2.75</v>
      </c>
      <c r="D8" s="5">
        <f t="shared" si="3"/>
        <v>50000</v>
      </c>
      <c r="E8" s="6">
        <f t="shared" si="4"/>
        <v>10</v>
      </c>
      <c r="L8">
        <v>0</v>
      </c>
      <c r="M8">
        <f t="shared" si="0"/>
        <v>0</v>
      </c>
      <c r="N8" s="3">
        <f t="shared" si="1"/>
        <v>150000</v>
      </c>
    </row>
    <row r="9" spans="2:14" x14ac:dyDescent="0.25">
      <c r="B9">
        <v>2</v>
      </c>
      <c r="C9">
        <f t="shared" si="2"/>
        <v>-3.75</v>
      </c>
      <c r="D9" s="5">
        <f t="shared" si="3"/>
        <v>70000</v>
      </c>
      <c r="E9" s="6">
        <f t="shared" si="4"/>
        <v>14</v>
      </c>
    </row>
    <row r="10" spans="2:14" x14ac:dyDescent="0.25">
      <c r="B10">
        <v>1</v>
      </c>
      <c r="C10">
        <f t="shared" si="2"/>
        <v>-4.75</v>
      </c>
      <c r="D10" s="5">
        <f t="shared" si="3"/>
        <v>90000</v>
      </c>
      <c r="E10" s="6">
        <f t="shared" si="4"/>
        <v>18</v>
      </c>
    </row>
    <row r="11" spans="2:14" x14ac:dyDescent="0.25">
      <c r="B11">
        <v>0</v>
      </c>
      <c r="C11">
        <f t="shared" si="2"/>
        <v>-5.75</v>
      </c>
      <c r="D11" s="5">
        <f t="shared" si="3"/>
        <v>110000</v>
      </c>
      <c r="E11" s="6">
        <f t="shared" si="4"/>
        <v>22</v>
      </c>
    </row>
    <row r="14" spans="2:14" x14ac:dyDescent="0.25">
      <c r="C14" t="s">
        <v>1</v>
      </c>
      <c r="D14" s="1">
        <v>45674</v>
      </c>
    </row>
    <row r="15" spans="2:14" x14ac:dyDescent="0.25">
      <c r="B15" t="s">
        <v>0</v>
      </c>
      <c r="C15">
        <v>4</v>
      </c>
      <c r="D15">
        <v>0.18</v>
      </c>
      <c r="E15" s="5">
        <v>5000</v>
      </c>
      <c r="G15" s="5">
        <f>E15/D15/100</f>
        <v>277.77777777777777</v>
      </c>
    </row>
    <row r="16" spans="2:14" x14ac:dyDescent="0.25">
      <c r="B16">
        <v>3</v>
      </c>
      <c r="C16">
        <f>B16-$C$15+$D$15</f>
        <v>-0.82000000000000006</v>
      </c>
      <c r="D16" s="5">
        <f>-C16*100*($E$15/$D$5/100)-$E$15</f>
        <v>11400</v>
      </c>
      <c r="E16" s="6">
        <f>D16/$E$15</f>
        <v>2.2799999999999998</v>
      </c>
    </row>
    <row r="17" spans="2:12" x14ac:dyDescent="0.25">
      <c r="B17">
        <v>2</v>
      </c>
      <c r="C17">
        <f>B17-$C$15+$D$15</f>
        <v>-1.82</v>
      </c>
      <c r="D17" s="5">
        <f>-C17*100*($E$15/$D$5/100)-$E$15</f>
        <v>31400</v>
      </c>
      <c r="E17" s="6">
        <f t="shared" ref="E17:E19" si="5">D17/$E$15</f>
        <v>6.28</v>
      </c>
    </row>
    <row r="18" spans="2:12" x14ac:dyDescent="0.25">
      <c r="B18">
        <v>1</v>
      </c>
      <c r="C18">
        <f>B18-$C$15+$D$15</f>
        <v>-2.82</v>
      </c>
      <c r="D18" s="5">
        <f>-C18*100*($E$15/$D$5/100)-$E$15</f>
        <v>51400</v>
      </c>
      <c r="E18" s="6">
        <f t="shared" si="5"/>
        <v>10.28</v>
      </c>
    </row>
    <row r="19" spans="2:12" x14ac:dyDescent="0.25">
      <c r="B19">
        <v>0</v>
      </c>
      <c r="C19">
        <f>B19-$C$15+$D$15</f>
        <v>-3.82</v>
      </c>
      <c r="D19" s="5">
        <f>-C19*100*($E$15/$D$5/100)-$E$15</f>
        <v>71400</v>
      </c>
      <c r="E19" s="6">
        <f t="shared" si="5"/>
        <v>14.28</v>
      </c>
    </row>
    <row r="21" spans="2:12" x14ac:dyDescent="0.25">
      <c r="C21" t="s">
        <v>1</v>
      </c>
      <c r="D21" s="1">
        <v>45674</v>
      </c>
    </row>
    <row r="22" spans="2:12" x14ac:dyDescent="0.25">
      <c r="B22" t="s">
        <v>0</v>
      </c>
      <c r="C22">
        <v>5</v>
      </c>
      <c r="D22">
        <v>0.4</v>
      </c>
      <c r="E22" s="5">
        <v>5000</v>
      </c>
      <c r="G22" s="5">
        <f>E22/D22/100</f>
        <v>125</v>
      </c>
    </row>
    <row r="23" spans="2:12" x14ac:dyDescent="0.25">
      <c r="B23">
        <v>4</v>
      </c>
      <c r="C23">
        <f>B23-$C$22+$D$22</f>
        <v>-0.6</v>
      </c>
      <c r="D23" s="5">
        <f>-C23*100*($E$22/$D$5/100)-$E$22</f>
        <v>7000</v>
      </c>
      <c r="E23" s="6">
        <f>D23/$E$22</f>
        <v>1.4</v>
      </c>
    </row>
    <row r="24" spans="2:12" x14ac:dyDescent="0.25">
      <c r="B24">
        <v>3</v>
      </c>
      <c r="C24">
        <f>B24-$C$22+$D$22</f>
        <v>-1.6</v>
      </c>
      <c r="D24" s="5">
        <f>-C24*100*($E$22/$D$5/100)-$E$22</f>
        <v>27000</v>
      </c>
      <c r="E24" s="6">
        <f>D24/$E$22</f>
        <v>5.4</v>
      </c>
    </row>
    <row r="25" spans="2:12" x14ac:dyDescent="0.25">
      <c r="B25">
        <v>2</v>
      </c>
      <c r="C25">
        <f>B25-$C$22+$D$22</f>
        <v>-2.6</v>
      </c>
      <c r="D25" s="5">
        <f>-C25*100*($E$22/$D$5/100)-$E$22</f>
        <v>47000</v>
      </c>
      <c r="E25" s="6">
        <f>D25/$E$22</f>
        <v>9.4</v>
      </c>
    </row>
    <row r="26" spans="2:12" x14ac:dyDescent="0.25">
      <c r="B26">
        <v>1</v>
      </c>
      <c r="C26">
        <f>B26-$C$22+$D$22</f>
        <v>-3.6</v>
      </c>
      <c r="D26" s="5">
        <f>-C26*100*($E$22/$D$5/100)-$E$22</f>
        <v>67000</v>
      </c>
      <c r="E26" s="6">
        <f>D26/$E$22</f>
        <v>13.4</v>
      </c>
    </row>
    <row r="27" spans="2:12" x14ac:dyDescent="0.25">
      <c r="B27">
        <v>0</v>
      </c>
      <c r="C27">
        <f>B27-$C$22+$D$22</f>
        <v>-4.5999999999999996</v>
      </c>
      <c r="D27" s="5">
        <f>-C27*100*($E$22/$D$5/100)-$E$22</f>
        <v>86999.999999999985</v>
      </c>
      <c r="E27" s="6">
        <f>D27/$E$22</f>
        <v>17.399999999999999</v>
      </c>
    </row>
    <row r="32" spans="2:12" x14ac:dyDescent="0.25">
      <c r="I32" t="s">
        <v>3</v>
      </c>
      <c r="J32" s="2">
        <v>500000</v>
      </c>
      <c r="L32" t="s">
        <v>4</v>
      </c>
    </row>
    <row r="33" spans="2:14" x14ac:dyDescent="0.25">
      <c r="G33" t="s">
        <v>2</v>
      </c>
      <c r="H33">
        <v>183.34</v>
      </c>
      <c r="I33" s="5">
        <f>J32/H33</f>
        <v>2727.1735573251881</v>
      </c>
      <c r="L33">
        <v>5</v>
      </c>
      <c r="M33">
        <f t="shared" ref="M33:M38" si="6">$I$3*L33</f>
        <v>123152.70935960591</v>
      </c>
      <c r="N33" s="3">
        <f t="shared" ref="N33:N38" si="7">$J$2-M33</f>
        <v>26847.290640394087</v>
      </c>
    </row>
    <row r="34" spans="2:14" x14ac:dyDescent="0.25">
      <c r="C34" t="s">
        <v>1</v>
      </c>
      <c r="D34" s="1">
        <v>45583</v>
      </c>
      <c r="I34" s="5">
        <f>I33/100</f>
        <v>27.271735573251881</v>
      </c>
      <c r="L34">
        <v>4</v>
      </c>
      <c r="M34">
        <f t="shared" si="6"/>
        <v>98522.167487684725</v>
      </c>
      <c r="N34" s="3">
        <f t="shared" si="7"/>
        <v>51477.832512315275</v>
      </c>
    </row>
    <row r="35" spans="2:14" x14ac:dyDescent="0.25">
      <c r="B35" t="s">
        <v>0</v>
      </c>
      <c r="C35">
        <v>6</v>
      </c>
      <c r="D35">
        <v>0.25</v>
      </c>
      <c r="E35" s="5">
        <v>5000</v>
      </c>
      <c r="J35" s="4">
        <f>I34*D35*100</f>
        <v>681.79338933129702</v>
      </c>
      <c r="L35">
        <v>3</v>
      </c>
      <c r="M35">
        <f t="shared" si="6"/>
        <v>73891.625615763536</v>
      </c>
      <c r="N35" s="3">
        <f t="shared" si="7"/>
        <v>76108.374384236464</v>
      </c>
    </row>
    <row r="36" spans="2:14" x14ac:dyDescent="0.25">
      <c r="B36">
        <v>5</v>
      </c>
      <c r="C36">
        <f t="shared" ref="C36:C41" si="8">B36-$C$5+$D$5</f>
        <v>-0.75</v>
      </c>
      <c r="D36" s="5">
        <f t="shared" ref="D36:D41" si="9">-C36*100*($E$5/$D$5/100)-$E$5</f>
        <v>10000</v>
      </c>
      <c r="E36" s="6">
        <f t="shared" ref="E36:E41" si="10">D36/$E$5</f>
        <v>2</v>
      </c>
      <c r="L36">
        <v>2</v>
      </c>
      <c r="M36">
        <f t="shared" si="6"/>
        <v>49261.083743842362</v>
      </c>
      <c r="N36" s="3">
        <f t="shared" si="7"/>
        <v>100738.91625615764</v>
      </c>
    </row>
    <row r="37" spans="2:14" x14ac:dyDescent="0.25">
      <c r="B37">
        <v>4</v>
      </c>
      <c r="C37">
        <f t="shared" si="8"/>
        <v>-1.75</v>
      </c>
      <c r="D37" s="5">
        <f t="shared" si="9"/>
        <v>30000</v>
      </c>
      <c r="E37" s="6">
        <f t="shared" si="10"/>
        <v>6</v>
      </c>
      <c r="L37">
        <v>1</v>
      </c>
      <c r="M37">
        <f t="shared" si="6"/>
        <v>24630.541871921181</v>
      </c>
      <c r="N37" s="3">
        <f t="shared" si="7"/>
        <v>125369.45812807881</v>
      </c>
    </row>
    <row r="38" spans="2:14" x14ac:dyDescent="0.25">
      <c r="B38">
        <v>3</v>
      </c>
      <c r="C38">
        <f t="shared" si="8"/>
        <v>-2.75</v>
      </c>
      <c r="D38" s="5">
        <f t="shared" si="9"/>
        <v>50000</v>
      </c>
      <c r="E38" s="6">
        <f t="shared" si="10"/>
        <v>10</v>
      </c>
      <c r="L38">
        <v>0</v>
      </c>
      <c r="M38">
        <f t="shared" si="6"/>
        <v>0</v>
      </c>
      <c r="N38" s="3">
        <f t="shared" si="7"/>
        <v>150000</v>
      </c>
    </row>
    <row r="39" spans="2:14" x14ac:dyDescent="0.25">
      <c r="B39">
        <v>2</v>
      </c>
      <c r="C39">
        <f t="shared" si="8"/>
        <v>-3.75</v>
      </c>
      <c r="D39" s="5">
        <f t="shared" si="9"/>
        <v>70000</v>
      </c>
      <c r="E39" s="6">
        <f t="shared" si="10"/>
        <v>14</v>
      </c>
    </row>
    <row r="40" spans="2:14" x14ac:dyDescent="0.25">
      <c r="B40">
        <v>1</v>
      </c>
      <c r="C40">
        <f t="shared" si="8"/>
        <v>-4.75</v>
      </c>
      <c r="D40" s="5">
        <f t="shared" si="9"/>
        <v>90000</v>
      </c>
      <c r="E40" s="6">
        <f t="shared" si="10"/>
        <v>18</v>
      </c>
    </row>
    <row r="41" spans="2:14" x14ac:dyDescent="0.25">
      <c r="B41">
        <v>0</v>
      </c>
      <c r="C41">
        <f t="shared" si="8"/>
        <v>-5.75</v>
      </c>
      <c r="D41" s="5">
        <f t="shared" si="9"/>
        <v>110000</v>
      </c>
      <c r="E41" s="6">
        <f t="shared" si="10"/>
        <v>22</v>
      </c>
    </row>
    <row r="44" spans="2:14" x14ac:dyDescent="0.25">
      <c r="C44" t="s">
        <v>1</v>
      </c>
      <c r="D44" s="1">
        <v>45674</v>
      </c>
    </row>
    <row r="45" spans="2:14" x14ac:dyDescent="0.25">
      <c r="B45" t="s">
        <v>0</v>
      </c>
      <c r="C45">
        <v>4</v>
      </c>
      <c r="D45">
        <v>0.18</v>
      </c>
      <c r="E45" s="5">
        <v>5000</v>
      </c>
      <c r="G45" s="5">
        <f>E45/D45/100</f>
        <v>277.77777777777777</v>
      </c>
    </row>
    <row r="46" spans="2:14" x14ac:dyDescent="0.25">
      <c r="B46">
        <v>3</v>
      </c>
      <c r="C46">
        <f>B46-$C$15+$D$15</f>
        <v>-0.82000000000000006</v>
      </c>
      <c r="D46" s="5">
        <f>-C46*100*($E$15/$D$5/100)-$E$15</f>
        <v>11400</v>
      </c>
      <c r="E46" s="6">
        <f>D46/$E$15</f>
        <v>2.2799999999999998</v>
      </c>
    </row>
    <row r="47" spans="2:14" x14ac:dyDescent="0.25">
      <c r="B47">
        <v>2</v>
      </c>
      <c r="C47">
        <f>B47-$C$15+$D$15</f>
        <v>-1.82</v>
      </c>
      <c r="D47" s="5">
        <f>-C47*100*($E$15/$D$5/100)-$E$15</f>
        <v>31400</v>
      </c>
      <c r="E47" s="6">
        <f t="shared" ref="E47:E49" si="11">D47/$E$15</f>
        <v>6.28</v>
      </c>
    </row>
    <row r="48" spans="2:14" x14ac:dyDescent="0.25">
      <c r="B48">
        <v>1</v>
      </c>
      <c r="C48">
        <f>B48-$C$15+$D$15</f>
        <v>-2.82</v>
      </c>
      <c r="D48" s="5">
        <f>-C48*100*($E$15/$D$5/100)-$E$15</f>
        <v>51400</v>
      </c>
      <c r="E48" s="6">
        <f t="shared" si="11"/>
        <v>10.28</v>
      </c>
    </row>
    <row r="49" spans="2:7" x14ac:dyDescent="0.25">
      <c r="B49">
        <v>0</v>
      </c>
      <c r="C49">
        <f>B49-$C$15+$D$15</f>
        <v>-3.82</v>
      </c>
      <c r="D49" s="5">
        <f>-C49*100*($E$15/$D$5/100)-$E$15</f>
        <v>71400</v>
      </c>
      <c r="E49" s="6">
        <f t="shared" si="11"/>
        <v>14.28</v>
      </c>
    </row>
    <row r="51" spans="2:7" x14ac:dyDescent="0.25">
      <c r="C51" t="s">
        <v>1</v>
      </c>
      <c r="D51" s="1">
        <v>45674</v>
      </c>
    </row>
    <row r="52" spans="2:7" x14ac:dyDescent="0.25">
      <c r="B52" t="s">
        <v>0</v>
      </c>
      <c r="C52">
        <v>5</v>
      </c>
      <c r="D52">
        <v>0.4</v>
      </c>
      <c r="E52" s="5">
        <v>5000</v>
      </c>
      <c r="G52" s="5">
        <f>E52/D52/100</f>
        <v>125</v>
      </c>
    </row>
    <row r="53" spans="2:7" x14ac:dyDescent="0.25">
      <c r="B53">
        <v>4</v>
      </c>
      <c r="C53">
        <f>B53-$C$22+$D$22</f>
        <v>-0.6</v>
      </c>
      <c r="D53" s="5">
        <f>-C53*100*($E$22/$D$5/100)-$E$22</f>
        <v>7000</v>
      </c>
      <c r="E53" s="6">
        <f>D53/$E$22</f>
        <v>1.4</v>
      </c>
    </row>
    <row r="54" spans="2:7" x14ac:dyDescent="0.25">
      <c r="B54">
        <v>3</v>
      </c>
      <c r="C54">
        <f>B54-$C$22+$D$22</f>
        <v>-1.6</v>
      </c>
      <c r="D54" s="5">
        <f>-C54*100*($E$22/$D$5/100)-$E$22</f>
        <v>27000</v>
      </c>
      <c r="E54" s="6">
        <f>D54/$E$22</f>
        <v>5.4</v>
      </c>
    </row>
    <row r="55" spans="2:7" x14ac:dyDescent="0.25">
      <c r="B55">
        <v>2</v>
      </c>
      <c r="C55">
        <f>B55-$C$22+$D$22</f>
        <v>-2.6</v>
      </c>
      <c r="D55" s="5">
        <f>-C55*100*($E$22/$D$5/100)-$E$22</f>
        <v>47000</v>
      </c>
      <c r="E55" s="6">
        <f>D55/$E$22</f>
        <v>9.4</v>
      </c>
    </row>
    <row r="56" spans="2:7" x14ac:dyDescent="0.25">
      <c r="B56">
        <v>1</v>
      </c>
      <c r="C56">
        <f>B56-$C$22+$D$22</f>
        <v>-3.6</v>
      </c>
      <c r="D56" s="5">
        <f>-C56*100*($E$22/$D$5/100)-$E$22</f>
        <v>67000</v>
      </c>
      <c r="E56" s="6">
        <f>D56/$E$22</f>
        <v>13.4</v>
      </c>
    </row>
    <row r="57" spans="2:7" x14ac:dyDescent="0.25">
      <c r="B57">
        <v>0</v>
      </c>
      <c r="C57">
        <f>B57-$C$22+$D$22</f>
        <v>-4.5999999999999996</v>
      </c>
      <c r="D57" s="5">
        <f>-C57*100*($E$22/$D$5/100)-$E$22</f>
        <v>86999.999999999985</v>
      </c>
      <c r="E57" s="6">
        <f>D57/$E$22</f>
        <v>17.399999999999999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2EB9-9438-4B4F-B38D-19A525B09D23}">
  <sheetPr>
    <tabColor theme="4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A165-7134-412F-A6D9-3E4951015599}">
  <sheetPr>
    <tabColor theme="4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6FF5-E63B-4D48-99EC-A532EB506C9F}">
  <sheetPr>
    <tabColor theme="4" tint="0.79998168889431442"/>
  </sheetPr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7D98-6EB0-49CA-9D3F-A41534BC4016}">
  <sheetPr>
    <tabColor theme="9" tint="0.79998168889431442"/>
  </sheetPr>
  <dimension ref="B2:N44"/>
  <sheetViews>
    <sheetView workbookViewId="0">
      <selection activeCell="G30" sqref="G30"/>
    </sheetView>
  </sheetViews>
  <sheetFormatPr defaultRowHeight="15" x14ac:dyDescent="0.25"/>
  <cols>
    <col min="2" max="2" width="15.5703125" bestFit="1" customWidth="1"/>
    <col min="3" max="3" width="13.5703125" customWidth="1"/>
    <col min="4" max="4" width="11" customWidth="1"/>
    <col min="9" max="9" width="17" customWidth="1"/>
    <col min="10" max="10" width="13.140625" bestFit="1" customWidth="1"/>
  </cols>
  <sheetData>
    <row r="2" spans="2:14" x14ac:dyDescent="0.25">
      <c r="B2" s="7" t="s">
        <v>5</v>
      </c>
    </row>
    <row r="3" spans="2:14" x14ac:dyDescent="0.25">
      <c r="B3" t="s">
        <v>2</v>
      </c>
      <c r="C3">
        <v>50</v>
      </c>
      <c r="I3" s="8" t="s">
        <v>7</v>
      </c>
      <c r="J3" s="9"/>
      <c r="K3" s="9"/>
      <c r="L3" s="9"/>
      <c r="M3" s="9"/>
      <c r="N3" s="9"/>
    </row>
    <row r="4" spans="2:14" ht="15" customHeight="1" x14ac:dyDescent="0.25">
      <c r="I4" s="9" t="s">
        <v>16</v>
      </c>
      <c r="J4" s="9"/>
      <c r="K4" s="9"/>
      <c r="L4" s="9"/>
      <c r="M4" s="9"/>
      <c r="N4" s="9"/>
    </row>
    <row r="5" spans="2:14" x14ac:dyDescent="0.25">
      <c r="I5" s="9"/>
      <c r="J5" s="9"/>
      <c r="K5" s="9"/>
      <c r="L5" s="9"/>
      <c r="M5" s="9"/>
      <c r="N5" s="9"/>
    </row>
    <row r="6" spans="2:14" x14ac:dyDescent="0.25">
      <c r="I6" s="8" t="s">
        <v>22</v>
      </c>
      <c r="J6" s="9"/>
      <c r="K6" s="9"/>
      <c r="L6" s="9"/>
      <c r="M6" s="9"/>
      <c r="N6" s="9"/>
    </row>
    <row r="7" spans="2:14" x14ac:dyDescent="0.25">
      <c r="B7" t="s">
        <v>23</v>
      </c>
      <c r="C7" s="1">
        <v>45583</v>
      </c>
      <c r="E7" s="5"/>
      <c r="I7" s="9" t="s">
        <v>17</v>
      </c>
      <c r="J7" s="9"/>
      <c r="K7" s="9"/>
      <c r="L7" s="9"/>
      <c r="M7" s="9"/>
      <c r="N7" s="9"/>
    </row>
    <row r="8" spans="2:14" x14ac:dyDescent="0.25">
      <c r="B8" t="s">
        <v>1</v>
      </c>
      <c r="C8" s="6">
        <v>50</v>
      </c>
      <c r="D8" s="5"/>
      <c r="E8" s="6"/>
      <c r="I8" s="9" t="s">
        <v>40</v>
      </c>
      <c r="J8" s="9"/>
      <c r="K8" s="9"/>
      <c r="L8" s="9"/>
      <c r="M8" s="9"/>
      <c r="N8" s="9"/>
    </row>
    <row r="9" spans="2:14" x14ac:dyDescent="0.25">
      <c r="B9" t="s">
        <v>6</v>
      </c>
      <c r="C9">
        <v>2</v>
      </c>
      <c r="D9" s="5"/>
      <c r="E9" s="6"/>
      <c r="I9" s="9"/>
      <c r="J9" s="9"/>
      <c r="K9" s="9"/>
      <c r="L9" s="9"/>
      <c r="M9" s="9"/>
      <c r="N9" s="9"/>
    </row>
    <row r="10" spans="2:14" x14ac:dyDescent="0.25">
      <c r="B10" t="s">
        <v>24</v>
      </c>
      <c r="C10">
        <v>1</v>
      </c>
      <c r="D10" s="5"/>
      <c r="E10" s="6"/>
      <c r="I10" s="8" t="s">
        <v>19</v>
      </c>
      <c r="J10" s="9"/>
      <c r="K10" s="9"/>
      <c r="L10" s="9"/>
      <c r="M10" s="9"/>
      <c r="N10" s="9"/>
    </row>
    <row r="11" spans="2:14" ht="15" customHeight="1" x14ac:dyDescent="0.25">
      <c r="B11" t="s">
        <v>27</v>
      </c>
      <c r="C11">
        <f>C9*C10*100</f>
        <v>200</v>
      </c>
      <c r="D11" s="5"/>
      <c r="E11" s="6"/>
      <c r="I11" s="9" t="s">
        <v>20</v>
      </c>
      <c r="J11" s="9"/>
      <c r="K11" s="9"/>
      <c r="L11" s="9"/>
      <c r="M11" s="9"/>
      <c r="N11" s="9"/>
    </row>
    <row r="12" spans="2:14" x14ac:dyDescent="0.25">
      <c r="B12" t="s">
        <v>25</v>
      </c>
      <c r="C12">
        <f>C10*100</f>
        <v>100</v>
      </c>
      <c r="D12" s="5"/>
      <c r="E12" s="6"/>
      <c r="I12" s="9" t="s">
        <v>21</v>
      </c>
      <c r="J12" s="9"/>
      <c r="K12" s="9"/>
      <c r="L12" s="9"/>
      <c r="M12" s="9"/>
      <c r="N12" s="9"/>
    </row>
    <row r="13" spans="2:14" x14ac:dyDescent="0.25">
      <c r="B13" t="s">
        <v>26</v>
      </c>
      <c r="C13">
        <f>C12*C8</f>
        <v>5000</v>
      </c>
      <c r="D13" s="5"/>
      <c r="E13" s="6"/>
    </row>
    <row r="15" spans="2:14" x14ac:dyDescent="0.25">
      <c r="I15" s="10" t="s">
        <v>9</v>
      </c>
    </row>
    <row r="16" spans="2:14" x14ac:dyDescent="0.25">
      <c r="D16" s="1"/>
      <c r="I16" s="10" t="s">
        <v>10</v>
      </c>
    </row>
    <row r="17" spans="2:9" x14ac:dyDescent="0.25">
      <c r="B17" t="s">
        <v>7</v>
      </c>
      <c r="C17" s="6">
        <f>C8+C9</f>
        <v>52</v>
      </c>
      <c r="E17" s="5"/>
      <c r="G17" s="5"/>
      <c r="I17" s="10" t="s">
        <v>11</v>
      </c>
    </row>
    <row r="18" spans="2:9" x14ac:dyDescent="0.25">
      <c r="B18" t="s">
        <v>8</v>
      </c>
      <c r="C18">
        <f>C11</f>
        <v>200</v>
      </c>
      <c r="D18" s="5"/>
      <c r="E18" s="6"/>
      <c r="I18" s="10" t="s">
        <v>12</v>
      </c>
    </row>
    <row r="19" spans="2:9" x14ac:dyDescent="0.25">
      <c r="B19" s="9" t="s">
        <v>43</v>
      </c>
      <c r="C19" t="s">
        <v>28</v>
      </c>
      <c r="D19" s="5"/>
      <c r="E19" s="6"/>
      <c r="I19" s="10" t="s">
        <v>13</v>
      </c>
    </row>
    <row r="20" spans="2:9" x14ac:dyDescent="0.25">
      <c r="E20" s="6"/>
      <c r="I20" s="10" t="s">
        <v>14</v>
      </c>
    </row>
    <row r="21" spans="2:9" x14ac:dyDescent="0.25">
      <c r="E21" s="6"/>
      <c r="I21" s="10" t="s">
        <v>15</v>
      </c>
    </row>
    <row r="22" spans="2:9" x14ac:dyDescent="0.25">
      <c r="B22" t="s">
        <v>32</v>
      </c>
      <c r="D22" t="s">
        <v>18</v>
      </c>
      <c r="E22" t="s">
        <v>33</v>
      </c>
    </row>
    <row r="23" spans="2:9" x14ac:dyDescent="0.25">
      <c r="B23" t="s">
        <v>29</v>
      </c>
      <c r="C23">
        <v>55</v>
      </c>
      <c r="D23" s="5">
        <f>(C23-$C$8-$C$9)*$C$10*100</f>
        <v>300</v>
      </c>
      <c r="E23" s="4">
        <f>D23/$C$11</f>
        <v>1.5</v>
      </c>
      <c r="G23" s="5"/>
    </row>
    <row r="24" spans="2:9" x14ac:dyDescent="0.25">
      <c r="B24" t="s">
        <v>30</v>
      </c>
      <c r="C24">
        <v>60</v>
      </c>
      <c r="D24" s="5">
        <f>(C24-$C$8-$C$9)*$C$10*100</f>
        <v>800</v>
      </c>
      <c r="E24" s="4">
        <f>D24/$C$11</f>
        <v>4</v>
      </c>
    </row>
    <row r="25" spans="2:9" x14ac:dyDescent="0.25">
      <c r="B25" t="s">
        <v>31</v>
      </c>
      <c r="C25">
        <v>70</v>
      </c>
      <c r="D25" s="5">
        <f>(C25-$C$8-$C$9)*$C$10*100</f>
        <v>1800</v>
      </c>
      <c r="E25" s="4">
        <f>D25/$C$11</f>
        <v>9</v>
      </c>
    </row>
    <row r="26" spans="2:9" x14ac:dyDescent="0.25">
      <c r="D26" s="5"/>
      <c r="E26" s="6"/>
    </row>
    <row r="27" spans="2:9" x14ac:dyDescent="0.25">
      <c r="D27" s="5"/>
      <c r="E27" s="6"/>
    </row>
    <row r="28" spans="2:9" x14ac:dyDescent="0.25">
      <c r="D28" s="5"/>
      <c r="E28" s="6"/>
    </row>
    <row r="37" ht="15" customHeight="1" x14ac:dyDescent="0.25"/>
    <row r="40" ht="15" customHeight="1" x14ac:dyDescent="0.25"/>
    <row r="44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C5F4-515D-4AAB-8B65-23F84AADA9D5}">
  <sheetPr>
    <tabColor theme="9" tint="0.79998168889431442"/>
  </sheetPr>
  <dimension ref="B3:N29"/>
  <sheetViews>
    <sheetView workbookViewId="0">
      <selection activeCell="I29" sqref="I29"/>
    </sheetView>
  </sheetViews>
  <sheetFormatPr defaultRowHeight="15" x14ac:dyDescent="0.25"/>
  <cols>
    <col min="2" max="2" width="15.5703125" bestFit="1" customWidth="1"/>
    <col min="3" max="3" width="10.140625" bestFit="1" customWidth="1"/>
  </cols>
  <sheetData>
    <row r="3" spans="2:14" x14ac:dyDescent="0.25">
      <c r="B3" s="7" t="s">
        <v>34</v>
      </c>
    </row>
    <row r="4" spans="2:14" x14ac:dyDescent="0.25">
      <c r="B4" t="s">
        <v>2</v>
      </c>
      <c r="C4">
        <v>50</v>
      </c>
      <c r="I4" s="8" t="s">
        <v>7</v>
      </c>
      <c r="J4" s="9"/>
      <c r="K4" s="9"/>
      <c r="L4" s="9"/>
      <c r="M4" s="9"/>
      <c r="N4" s="9"/>
    </row>
    <row r="5" spans="2:14" ht="15" customHeight="1" x14ac:dyDescent="0.25">
      <c r="I5" s="9" t="s">
        <v>37</v>
      </c>
      <c r="J5" s="9"/>
      <c r="K5" s="9"/>
      <c r="L5" s="9"/>
      <c r="M5" s="9"/>
      <c r="N5" s="9"/>
    </row>
    <row r="6" spans="2:14" x14ac:dyDescent="0.25">
      <c r="I6" s="9"/>
      <c r="J6" s="9"/>
      <c r="K6" s="9"/>
      <c r="L6" s="9"/>
      <c r="M6" s="9"/>
      <c r="N6" s="9"/>
    </row>
    <row r="7" spans="2:14" x14ac:dyDescent="0.25">
      <c r="I7" s="8" t="s">
        <v>22</v>
      </c>
      <c r="J7" s="9"/>
      <c r="K7" s="9"/>
      <c r="L7" s="9"/>
      <c r="M7" s="9"/>
      <c r="N7" s="9"/>
    </row>
    <row r="8" spans="2:14" x14ac:dyDescent="0.25">
      <c r="B8" t="s">
        <v>23</v>
      </c>
      <c r="C8" s="1">
        <v>45583</v>
      </c>
      <c r="E8" s="5"/>
      <c r="I8" s="9" t="s">
        <v>38</v>
      </c>
      <c r="J8" s="9"/>
      <c r="K8" s="9"/>
      <c r="L8" s="9"/>
      <c r="M8" s="9"/>
      <c r="N8" s="9"/>
    </row>
    <row r="9" spans="2:14" x14ac:dyDescent="0.25">
      <c r="B9" t="s">
        <v>1</v>
      </c>
      <c r="C9" s="6">
        <v>50</v>
      </c>
      <c r="D9" s="5"/>
      <c r="E9" s="6"/>
      <c r="I9" s="9" t="s">
        <v>39</v>
      </c>
      <c r="J9" s="9"/>
      <c r="K9" s="9"/>
      <c r="L9" s="9"/>
      <c r="M9" s="9"/>
      <c r="N9" s="9"/>
    </row>
    <row r="10" spans="2:14" x14ac:dyDescent="0.25">
      <c r="B10" t="s">
        <v>6</v>
      </c>
      <c r="C10">
        <v>2</v>
      </c>
      <c r="D10" s="5"/>
      <c r="E10" s="6"/>
      <c r="I10" s="9"/>
      <c r="J10" s="9"/>
      <c r="K10" s="9"/>
      <c r="L10" s="9"/>
      <c r="M10" s="9"/>
      <c r="N10" s="9"/>
    </row>
    <row r="11" spans="2:14" x14ac:dyDescent="0.25">
      <c r="B11" t="s">
        <v>24</v>
      </c>
      <c r="C11">
        <v>1</v>
      </c>
      <c r="D11" s="5"/>
      <c r="E11" s="6"/>
      <c r="I11" s="8" t="s">
        <v>19</v>
      </c>
      <c r="J11" s="9"/>
      <c r="K11" s="9"/>
      <c r="L11" s="9"/>
      <c r="M11" s="9"/>
      <c r="N11" s="9"/>
    </row>
    <row r="12" spans="2:14" ht="15" customHeight="1" x14ac:dyDescent="0.25">
      <c r="B12" t="s">
        <v>27</v>
      </c>
      <c r="C12">
        <f>C10*C11*100</f>
        <v>200</v>
      </c>
      <c r="D12" s="5"/>
      <c r="E12" s="6"/>
      <c r="I12" s="9" t="s">
        <v>20</v>
      </c>
      <c r="J12" s="9"/>
      <c r="K12" s="9"/>
      <c r="L12" s="9"/>
      <c r="M12" s="9"/>
      <c r="N12" s="9"/>
    </row>
    <row r="13" spans="2:14" x14ac:dyDescent="0.25">
      <c r="B13" t="s">
        <v>25</v>
      </c>
      <c r="C13">
        <f>-C11*100</f>
        <v>-100</v>
      </c>
      <c r="D13" s="5"/>
      <c r="E13" s="6"/>
      <c r="I13" s="9" t="s">
        <v>41</v>
      </c>
      <c r="J13" s="9"/>
      <c r="K13" s="9"/>
      <c r="L13" s="9"/>
      <c r="M13" s="9"/>
      <c r="N13" s="9"/>
    </row>
    <row r="14" spans="2:14" x14ac:dyDescent="0.25">
      <c r="B14" t="s">
        <v>26</v>
      </c>
      <c r="C14">
        <f>C13*C9</f>
        <v>-5000</v>
      </c>
      <c r="D14" s="5"/>
      <c r="E14" s="6"/>
    </row>
    <row r="16" spans="2:14" x14ac:dyDescent="0.25">
      <c r="I16" t="s">
        <v>9</v>
      </c>
    </row>
    <row r="17" spans="2:9" x14ac:dyDescent="0.25">
      <c r="D17" s="1"/>
      <c r="I17" t="s">
        <v>35</v>
      </c>
    </row>
    <row r="18" spans="2:9" x14ac:dyDescent="0.25">
      <c r="B18" t="s">
        <v>7</v>
      </c>
      <c r="C18" s="6">
        <f>C9-C10</f>
        <v>48</v>
      </c>
      <c r="E18" s="5"/>
      <c r="G18" s="5"/>
      <c r="I18" t="s">
        <v>11</v>
      </c>
    </row>
    <row r="19" spans="2:9" x14ac:dyDescent="0.25">
      <c r="B19" t="s">
        <v>8</v>
      </c>
      <c r="C19">
        <f>C12</f>
        <v>200</v>
      </c>
      <c r="D19" s="5"/>
      <c r="E19" s="6"/>
      <c r="I19" t="s">
        <v>12</v>
      </c>
    </row>
    <row r="20" spans="2:9" x14ac:dyDescent="0.25">
      <c r="B20" t="s">
        <v>42</v>
      </c>
      <c r="C20">
        <f>-(C18*C13)</f>
        <v>4800</v>
      </c>
      <c r="D20" s="5"/>
      <c r="E20" s="6"/>
      <c r="I20" t="s">
        <v>13</v>
      </c>
    </row>
    <row r="21" spans="2:9" x14ac:dyDescent="0.25">
      <c r="E21" s="6"/>
      <c r="I21" t="s">
        <v>14</v>
      </c>
    </row>
    <row r="22" spans="2:9" x14ac:dyDescent="0.25">
      <c r="E22" s="6"/>
      <c r="I22" t="s">
        <v>36</v>
      </c>
    </row>
    <row r="23" spans="2:9" x14ac:dyDescent="0.25">
      <c r="B23" t="s">
        <v>32</v>
      </c>
      <c r="D23" t="s">
        <v>18</v>
      </c>
      <c r="E23" t="s">
        <v>33</v>
      </c>
    </row>
    <row r="24" spans="2:9" x14ac:dyDescent="0.25">
      <c r="B24" t="s">
        <v>29</v>
      </c>
      <c r="C24">
        <v>48</v>
      </c>
      <c r="D24" s="5">
        <f>(($C$9-C24)-$C$10)*100</f>
        <v>0</v>
      </c>
      <c r="E24" s="4">
        <f>D24/$C$12</f>
        <v>0</v>
      </c>
      <c r="G24" s="5"/>
    </row>
    <row r="25" spans="2:9" x14ac:dyDescent="0.25">
      <c r="B25" t="s">
        <v>30</v>
      </c>
      <c r="C25">
        <v>45</v>
      </c>
      <c r="D25" s="5">
        <f>(($C$9-C25)-$C$10)*100</f>
        <v>300</v>
      </c>
      <c r="E25" s="4">
        <f>D25/$C$12</f>
        <v>1.5</v>
      </c>
    </row>
    <row r="26" spans="2:9" x14ac:dyDescent="0.25">
      <c r="B26" t="s">
        <v>31</v>
      </c>
      <c r="C26">
        <v>35</v>
      </c>
      <c r="D26" s="5">
        <f>(($C$9-C26)-$C$10)*100</f>
        <v>1300</v>
      </c>
      <c r="E26" s="4">
        <f>D26/$C$12</f>
        <v>6.5</v>
      </c>
    </row>
    <row r="27" spans="2:9" x14ac:dyDescent="0.25">
      <c r="D27" s="5"/>
      <c r="E27" s="6"/>
    </row>
    <row r="28" spans="2:9" x14ac:dyDescent="0.25">
      <c r="D28" s="5"/>
      <c r="E28" s="6"/>
    </row>
    <row r="29" spans="2:9" x14ac:dyDescent="0.25">
      <c r="D29" s="5"/>
      <c r="E2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7252-19CF-47DC-8BBD-EA6C72C2BE23}">
  <sheetPr>
    <tabColor theme="5" tint="0.79998168889431442"/>
  </sheetPr>
  <dimension ref="B3:M27"/>
  <sheetViews>
    <sheetView workbookViewId="0">
      <selection activeCell="D27" sqref="D27"/>
    </sheetView>
  </sheetViews>
  <sheetFormatPr defaultRowHeight="15" x14ac:dyDescent="0.25"/>
  <cols>
    <col min="2" max="2" width="15.5703125" bestFit="1" customWidth="1"/>
    <col min="3" max="3" width="10.140625" bestFit="1" customWidth="1"/>
  </cols>
  <sheetData>
    <row r="3" spans="2:13" x14ac:dyDescent="0.25">
      <c r="B3" s="7" t="s">
        <v>45</v>
      </c>
    </row>
    <row r="4" spans="2:13" x14ac:dyDescent="0.25">
      <c r="B4" t="s">
        <v>2</v>
      </c>
      <c r="C4">
        <v>50</v>
      </c>
      <c r="I4" s="8" t="s">
        <v>7</v>
      </c>
      <c r="J4" s="9"/>
      <c r="K4" s="9"/>
      <c r="L4" s="9"/>
      <c r="M4" s="9"/>
    </row>
    <row r="5" spans="2:13" x14ac:dyDescent="0.25">
      <c r="I5" s="9" t="s">
        <v>46</v>
      </c>
      <c r="J5" s="9"/>
      <c r="K5" s="9"/>
      <c r="L5" s="9"/>
      <c r="M5" s="9"/>
    </row>
    <row r="6" spans="2:13" x14ac:dyDescent="0.25">
      <c r="I6" s="9"/>
      <c r="J6" s="9"/>
      <c r="K6" s="9"/>
      <c r="L6" s="9"/>
      <c r="M6" s="9"/>
    </row>
    <row r="7" spans="2:13" x14ac:dyDescent="0.25">
      <c r="I7" s="8" t="s">
        <v>22</v>
      </c>
      <c r="J7" s="9"/>
      <c r="K7" s="9"/>
      <c r="L7" s="9"/>
      <c r="M7" s="9"/>
    </row>
    <row r="8" spans="2:13" x14ac:dyDescent="0.25">
      <c r="B8" t="s">
        <v>23</v>
      </c>
      <c r="C8" s="1">
        <v>45583</v>
      </c>
      <c r="E8" s="5"/>
      <c r="I8" s="9" t="s">
        <v>47</v>
      </c>
      <c r="J8" s="9"/>
      <c r="K8" s="9"/>
      <c r="L8" s="9"/>
      <c r="M8" s="9"/>
    </row>
    <row r="9" spans="2:13" x14ac:dyDescent="0.25">
      <c r="B9" t="s">
        <v>1</v>
      </c>
      <c r="C9" s="6">
        <v>50</v>
      </c>
      <c r="D9" s="5"/>
      <c r="E9" s="6"/>
      <c r="I9" s="9" t="s">
        <v>48</v>
      </c>
      <c r="J9" s="9"/>
      <c r="K9" s="9"/>
      <c r="L9" s="9"/>
      <c r="M9" s="9"/>
    </row>
    <row r="10" spans="2:13" x14ac:dyDescent="0.25">
      <c r="B10" t="s">
        <v>6</v>
      </c>
      <c r="C10">
        <v>2</v>
      </c>
      <c r="D10" s="5"/>
      <c r="E10" s="6"/>
      <c r="I10" s="9"/>
      <c r="J10" s="9"/>
      <c r="K10" s="9"/>
      <c r="L10" s="9"/>
      <c r="M10" s="9"/>
    </row>
    <row r="11" spans="2:13" x14ac:dyDescent="0.25">
      <c r="B11" t="s">
        <v>24</v>
      </c>
      <c r="C11">
        <v>1</v>
      </c>
      <c r="D11" s="5"/>
      <c r="E11" s="6"/>
      <c r="I11" s="8" t="s">
        <v>19</v>
      </c>
      <c r="J11" s="9"/>
      <c r="K11" s="9"/>
      <c r="L11" s="9"/>
      <c r="M11" s="9"/>
    </row>
    <row r="12" spans="2:13" x14ac:dyDescent="0.25">
      <c r="B12" t="s">
        <v>52</v>
      </c>
      <c r="C12">
        <f>C10*C11*100</f>
        <v>200</v>
      </c>
      <c r="D12" s="5"/>
      <c r="E12" s="6"/>
      <c r="I12" s="9" t="s">
        <v>49</v>
      </c>
      <c r="J12" s="9"/>
      <c r="K12" s="9"/>
      <c r="L12" s="9"/>
      <c r="M12" s="9"/>
    </row>
    <row r="13" spans="2:13" x14ac:dyDescent="0.25">
      <c r="B13" t="s">
        <v>25</v>
      </c>
      <c r="C13">
        <v>100</v>
      </c>
      <c r="D13" s="5"/>
      <c r="E13" s="6"/>
      <c r="I13" s="9" t="s">
        <v>50</v>
      </c>
      <c r="J13" s="9"/>
      <c r="K13" s="9"/>
      <c r="L13" s="9"/>
      <c r="M13" s="9"/>
    </row>
    <row r="14" spans="2:13" x14ac:dyDescent="0.25">
      <c r="B14" t="s">
        <v>26</v>
      </c>
      <c r="C14">
        <f>C13*C9</f>
        <v>5000</v>
      </c>
      <c r="D14" s="5"/>
      <c r="E14" s="6"/>
      <c r="I14" s="9" t="s">
        <v>51</v>
      </c>
    </row>
    <row r="17" spans="2:9" x14ac:dyDescent="0.25">
      <c r="D17" s="1"/>
      <c r="I17" t="s">
        <v>9</v>
      </c>
    </row>
    <row r="18" spans="2:9" x14ac:dyDescent="0.25">
      <c r="B18" t="s">
        <v>7</v>
      </c>
      <c r="C18" s="6">
        <f>C9-C10</f>
        <v>48</v>
      </c>
      <c r="E18" s="5"/>
      <c r="G18" s="5"/>
      <c r="I18" t="s">
        <v>10</v>
      </c>
    </row>
    <row r="19" spans="2:9" x14ac:dyDescent="0.25">
      <c r="B19" t="s">
        <v>8</v>
      </c>
      <c r="C19">
        <f>-(C18*C13)</f>
        <v>-4800</v>
      </c>
      <c r="D19" s="5"/>
      <c r="E19" s="6"/>
      <c r="I19" t="s">
        <v>11</v>
      </c>
    </row>
    <row r="20" spans="2:9" x14ac:dyDescent="0.25">
      <c r="B20" t="s">
        <v>42</v>
      </c>
      <c r="C20">
        <f>C12</f>
        <v>200</v>
      </c>
      <c r="D20" s="5"/>
      <c r="E20" s="6"/>
      <c r="I20" t="s">
        <v>12</v>
      </c>
    </row>
    <row r="21" spans="2:9" x14ac:dyDescent="0.25">
      <c r="E21" s="6"/>
      <c r="I21" t="s">
        <v>44</v>
      </c>
    </row>
    <row r="22" spans="2:9" x14ac:dyDescent="0.25">
      <c r="E22" s="6"/>
      <c r="I22" t="s">
        <v>14</v>
      </c>
    </row>
    <row r="23" spans="2:9" x14ac:dyDescent="0.25">
      <c r="B23" t="s">
        <v>32</v>
      </c>
      <c r="D23" t="s">
        <v>18</v>
      </c>
      <c r="E23" t="s">
        <v>33</v>
      </c>
      <c r="I23" t="s">
        <v>36</v>
      </c>
    </row>
    <row r="24" spans="2:9" x14ac:dyDescent="0.25">
      <c r="B24" t="s">
        <v>29</v>
      </c>
      <c r="C24">
        <v>48</v>
      </c>
      <c r="D24" s="5">
        <f>(($C$9-C24)-$C$10)*100</f>
        <v>0</v>
      </c>
      <c r="E24" s="4">
        <f>D24/$C$12</f>
        <v>0</v>
      </c>
      <c r="G24" s="5"/>
    </row>
    <row r="25" spans="2:9" x14ac:dyDescent="0.25">
      <c r="B25" t="s">
        <v>30</v>
      </c>
      <c r="C25">
        <v>45</v>
      </c>
      <c r="D25" s="5">
        <f>-(($C$9-C25)-$C$10)*100</f>
        <v>-300</v>
      </c>
      <c r="E25" s="4">
        <f>D25/$C$12</f>
        <v>-1.5</v>
      </c>
    </row>
    <row r="26" spans="2:9" x14ac:dyDescent="0.25">
      <c r="B26" t="s">
        <v>31</v>
      </c>
      <c r="C26">
        <v>55</v>
      </c>
      <c r="D26" s="5">
        <f>C12</f>
        <v>200</v>
      </c>
      <c r="E26" s="4">
        <f>D26/$C$12</f>
        <v>1</v>
      </c>
    </row>
    <row r="27" spans="2:9" x14ac:dyDescent="0.25">
      <c r="D27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3BB4-CE91-4BAC-9645-C34F2DA9F9BE}">
  <sheetPr>
    <tabColor theme="5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33AB-889F-4981-8CA4-BF6999658CB5}">
  <sheetPr>
    <tabColor theme="5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EB72-3B5B-45B5-95DD-D29AFD353593}">
  <sheetPr>
    <tabColor theme="4" tint="0.79998168889431442"/>
  </sheetPr>
  <dimension ref="B2:N27"/>
  <sheetViews>
    <sheetView tabSelected="1" topLeftCell="A4" workbookViewId="0">
      <selection activeCell="G23" sqref="G23"/>
    </sheetView>
  </sheetViews>
  <sheetFormatPr defaultRowHeight="15" x14ac:dyDescent="0.25"/>
  <cols>
    <col min="2" max="2" width="19" customWidth="1"/>
    <col min="3" max="3" width="10.140625" bestFit="1" customWidth="1"/>
    <col min="6" max="6" width="15.5703125" bestFit="1" customWidth="1"/>
    <col min="7" max="8" width="10.140625" bestFit="1" customWidth="1"/>
  </cols>
  <sheetData>
    <row r="2" spans="2:14" x14ac:dyDescent="0.25">
      <c r="B2" s="7" t="s">
        <v>55</v>
      </c>
    </row>
    <row r="3" spans="2:14" x14ac:dyDescent="0.25">
      <c r="B3" t="s">
        <v>2</v>
      </c>
      <c r="C3">
        <v>50</v>
      </c>
      <c r="J3" s="8" t="s">
        <v>7</v>
      </c>
      <c r="K3" s="9"/>
      <c r="L3" s="9"/>
      <c r="N3" s="9"/>
    </row>
    <row r="4" spans="2:14" x14ac:dyDescent="0.25">
      <c r="J4" t="s">
        <v>63</v>
      </c>
      <c r="K4" s="9"/>
      <c r="L4" s="9"/>
      <c r="N4" s="9"/>
    </row>
    <row r="5" spans="2:14" x14ac:dyDescent="0.25">
      <c r="J5" s="9" t="s">
        <v>16</v>
      </c>
      <c r="K5" s="9"/>
      <c r="L5" s="9"/>
      <c r="N5" s="9"/>
    </row>
    <row r="6" spans="2:14" x14ac:dyDescent="0.25">
      <c r="B6" t="s">
        <v>62</v>
      </c>
      <c r="F6" t="s">
        <v>59</v>
      </c>
      <c r="K6" s="9"/>
      <c r="L6" s="9"/>
      <c r="N6" s="9"/>
    </row>
    <row r="7" spans="2:14" x14ac:dyDescent="0.25">
      <c r="B7" t="s">
        <v>23</v>
      </c>
      <c r="C7" s="1">
        <v>45583</v>
      </c>
      <c r="F7" t="s">
        <v>23</v>
      </c>
      <c r="G7" s="1">
        <v>45583</v>
      </c>
      <c r="J7" s="8" t="s">
        <v>22</v>
      </c>
      <c r="K7" s="9"/>
      <c r="L7" s="9"/>
      <c r="N7" s="9"/>
    </row>
    <row r="8" spans="2:14" x14ac:dyDescent="0.25">
      <c r="B8" t="s">
        <v>1</v>
      </c>
      <c r="C8" s="6">
        <v>50</v>
      </c>
      <c r="D8" s="5"/>
      <c r="F8" t="s">
        <v>1</v>
      </c>
      <c r="G8" s="6">
        <v>53</v>
      </c>
      <c r="J8" t="s">
        <v>64</v>
      </c>
      <c r="K8" s="9"/>
      <c r="L8" s="9"/>
      <c r="N8" s="9"/>
    </row>
    <row r="9" spans="2:14" x14ac:dyDescent="0.25">
      <c r="B9" t="s">
        <v>6</v>
      </c>
      <c r="C9">
        <v>2</v>
      </c>
      <c r="D9" s="5"/>
      <c r="F9" t="s">
        <v>6</v>
      </c>
      <c r="G9">
        <v>0.5</v>
      </c>
      <c r="J9" s="9" t="s">
        <v>65</v>
      </c>
      <c r="K9" s="9"/>
      <c r="L9" s="9"/>
      <c r="N9" s="9"/>
    </row>
    <row r="10" spans="2:14" x14ac:dyDescent="0.25">
      <c r="B10" t="s">
        <v>24</v>
      </c>
      <c r="C10">
        <v>1</v>
      </c>
      <c r="D10" s="5"/>
      <c r="F10" t="s">
        <v>24</v>
      </c>
      <c r="G10">
        <v>1</v>
      </c>
      <c r="J10" s="9" t="s">
        <v>66</v>
      </c>
      <c r="K10" s="9"/>
      <c r="L10" s="9"/>
      <c r="N10" s="9"/>
    </row>
    <row r="11" spans="2:14" x14ac:dyDescent="0.25">
      <c r="B11" t="s">
        <v>27</v>
      </c>
      <c r="C11">
        <f>C9*C10*100</f>
        <v>200</v>
      </c>
      <c r="D11" s="5"/>
      <c r="F11" t="s">
        <v>58</v>
      </c>
      <c r="G11">
        <f>G9*G10*100</f>
        <v>50</v>
      </c>
      <c r="K11" s="9"/>
      <c r="L11" s="9"/>
      <c r="N11" s="9"/>
    </row>
    <row r="12" spans="2:14" x14ac:dyDescent="0.25">
      <c r="B12" t="s">
        <v>25</v>
      </c>
      <c r="C12">
        <f>C10*100</f>
        <v>100</v>
      </c>
      <c r="D12" s="5"/>
      <c r="F12" t="s">
        <v>25</v>
      </c>
      <c r="G12">
        <f>G10*100</f>
        <v>100</v>
      </c>
      <c r="J12" s="8" t="s">
        <v>19</v>
      </c>
      <c r="K12" s="9"/>
      <c r="L12" s="9"/>
      <c r="N12" s="9"/>
    </row>
    <row r="13" spans="2:14" x14ac:dyDescent="0.25">
      <c r="B13" t="s">
        <v>26</v>
      </c>
      <c r="C13">
        <f>C12*C8</f>
        <v>5000</v>
      </c>
      <c r="D13" s="5"/>
      <c r="F13" t="s">
        <v>26</v>
      </c>
      <c r="G13">
        <f>G12*G8</f>
        <v>5300</v>
      </c>
      <c r="J13" t="s">
        <v>67</v>
      </c>
    </row>
    <row r="14" spans="2:14" x14ac:dyDescent="0.25">
      <c r="J14" s="9" t="s">
        <v>68</v>
      </c>
    </row>
    <row r="15" spans="2:14" x14ac:dyDescent="0.25">
      <c r="B15" t="s">
        <v>60</v>
      </c>
      <c r="C15">
        <f>C11-G11</f>
        <v>150</v>
      </c>
      <c r="J15" s="9" t="s">
        <v>69</v>
      </c>
    </row>
    <row r="16" spans="2:14" x14ac:dyDescent="0.25">
      <c r="D16" s="1"/>
    </row>
    <row r="17" spans="2:10" x14ac:dyDescent="0.25">
      <c r="B17" t="s">
        <v>7</v>
      </c>
      <c r="C17" s="6">
        <f>C8++C9-G9</f>
        <v>51.5</v>
      </c>
      <c r="E17" s="5"/>
      <c r="G17" s="5"/>
    </row>
    <row r="18" spans="2:10" x14ac:dyDescent="0.25">
      <c r="B18" t="s">
        <v>8</v>
      </c>
      <c r="C18">
        <f>C15</f>
        <v>150</v>
      </c>
      <c r="D18" s="5"/>
      <c r="E18" s="6"/>
      <c r="J18" s="10" t="s">
        <v>9</v>
      </c>
    </row>
    <row r="19" spans="2:10" x14ac:dyDescent="0.25">
      <c r="B19" s="9" t="s">
        <v>43</v>
      </c>
      <c r="C19">
        <f>(G8-(C8+C9)*C10)*100</f>
        <v>100</v>
      </c>
      <c r="D19" s="5"/>
      <c r="E19" s="6"/>
      <c r="J19" s="10" t="s">
        <v>10</v>
      </c>
    </row>
    <row r="20" spans="2:10" x14ac:dyDescent="0.25">
      <c r="E20" s="6"/>
      <c r="J20" s="10" t="s">
        <v>11</v>
      </c>
    </row>
    <row r="21" spans="2:10" x14ac:dyDescent="0.25">
      <c r="E21" s="6"/>
      <c r="J21" s="10" t="s">
        <v>56</v>
      </c>
    </row>
    <row r="22" spans="2:10" x14ac:dyDescent="0.25">
      <c r="B22" t="s">
        <v>32</v>
      </c>
      <c r="D22" t="s">
        <v>18</v>
      </c>
      <c r="E22" t="s">
        <v>33</v>
      </c>
      <c r="J22" s="10" t="s">
        <v>57</v>
      </c>
    </row>
    <row r="23" spans="2:10" x14ac:dyDescent="0.25">
      <c r="B23" t="s">
        <v>71</v>
      </c>
      <c r="C23">
        <v>50</v>
      </c>
      <c r="D23" s="5">
        <f>(C23-$C$17)*$C$10*100</f>
        <v>-150</v>
      </c>
      <c r="E23" s="4">
        <f>D23/$C$15</f>
        <v>-1</v>
      </c>
      <c r="G23" s="5"/>
      <c r="J23" s="10" t="s">
        <v>14</v>
      </c>
    </row>
    <row r="24" spans="2:10" x14ac:dyDescent="0.25">
      <c r="B24" t="s">
        <v>30</v>
      </c>
      <c r="C24">
        <v>52</v>
      </c>
      <c r="D24" s="5">
        <f>(C24-$C$8-$C$9)*$C$10*100+G11</f>
        <v>50</v>
      </c>
      <c r="E24" s="4">
        <f>D24/$C$15</f>
        <v>0.33333333333333331</v>
      </c>
      <c r="J24" s="10" t="s">
        <v>36</v>
      </c>
    </row>
    <row r="25" spans="2:10" x14ac:dyDescent="0.25">
      <c r="B25" t="s">
        <v>70</v>
      </c>
      <c r="C25" s="5">
        <f>G8</f>
        <v>53</v>
      </c>
      <c r="D25" s="5">
        <f>(C25-$C$8-$C$9)*$C$10*100-(C25-$G$8-$G$9)*$G$10*100</f>
        <v>150</v>
      </c>
      <c r="E25" s="4">
        <f>D25/$C$15</f>
        <v>1</v>
      </c>
    </row>
    <row r="26" spans="2:10" x14ac:dyDescent="0.25">
      <c r="B26" t="s">
        <v>53</v>
      </c>
      <c r="C26">
        <v>60</v>
      </c>
      <c r="D26" s="5">
        <f>(C26-$C$8-$C$9)*$C$10*100-(C26-$G$8-$G$9)*$G$10*100</f>
        <v>150</v>
      </c>
      <c r="E26" s="4">
        <f>D26/$C$15</f>
        <v>1</v>
      </c>
      <c r="J26" t="s">
        <v>61</v>
      </c>
    </row>
    <row r="27" spans="2:10" x14ac:dyDescent="0.25">
      <c r="D27" s="5"/>
      <c r="E27" s="6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DE54-D7F9-4B7C-B8FD-97EB76B45721}">
  <sheetPr>
    <tabColor theme="4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1028-7EC5-4FF7-9AC8-5D41569CA178}">
  <sheetPr>
    <tabColor theme="4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1 Long Call</vt:lpstr>
      <vt:lpstr>2 Long Put</vt:lpstr>
      <vt:lpstr>3 Short Put (naked)</vt:lpstr>
      <vt:lpstr>4 Covered Call</vt:lpstr>
      <vt:lpstr>5 Covered Call Collar</vt:lpstr>
      <vt:lpstr>6 Bull Call Spread</vt:lpstr>
      <vt:lpstr>7 Bear Put Spread</vt:lpstr>
      <vt:lpstr>8 Short Bull Ratio Spread</vt:lpstr>
      <vt:lpstr>9 Short Bear Ratio Spread</vt:lpstr>
      <vt:lpstr>10 Bull Call Ladder Spread</vt:lpstr>
      <vt:lpstr>11 Bear Put Ladder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2024-09-22T19:26:11Z</dcterms:created>
  <dcterms:modified xsi:type="dcterms:W3CDTF">2025-03-14T13:29:00Z</dcterms:modified>
</cp:coreProperties>
</file>