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BB91E8DD-AB35-4327-96D3-1D360F6816F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Model!$B$3</definedName>
    <definedName name="_xlchart.v1.1" hidden="1">Model!$B$4</definedName>
    <definedName name="_xlchart.v1.2" hidden="1">Model!$K$2:$W$2</definedName>
    <definedName name="_xlchart.v1.3" hidden="1">Model!$K$3:$W$3</definedName>
    <definedName name="_xlchart.v1.4" hidden="1">Model!$K$4:$W$4</definedName>
    <definedName name="_xlchart.v1.5" hidden="1">Model!$B$16</definedName>
    <definedName name="_xlchart.v1.6" hidden="1">Model!$B$17</definedName>
    <definedName name="_xlchart.v1.7" hidden="1">Model!$K$16:$W$16</definedName>
    <definedName name="_xlchart.v1.8" hidden="1">Model!$K$17:$W$17</definedName>
    <definedName name="_xlchart.v1.9" hidden="1">Model!$K$2:$W$2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2" l="1"/>
  <c r="Y5" i="2"/>
  <c r="C21" i="1"/>
  <c r="C17" i="1"/>
  <c r="C15" i="1"/>
  <c r="C14" i="1"/>
  <c r="C9" i="1"/>
  <c r="C7" i="1"/>
  <c r="Z23" i="2"/>
  <c r="Y23" i="2"/>
  <c r="X23" i="2"/>
  <c r="Z22" i="2"/>
  <c r="Y22" i="2"/>
  <c r="X22" i="2"/>
  <c r="Z21" i="2"/>
  <c r="Y21" i="2"/>
  <c r="X21" i="2"/>
  <c r="F23" i="2"/>
  <c r="E23" i="2"/>
  <c r="D23" i="2"/>
  <c r="C23" i="2"/>
  <c r="F22" i="2"/>
  <c r="E22" i="2"/>
  <c r="D22" i="2"/>
  <c r="C22" i="2"/>
  <c r="F21" i="2"/>
  <c r="E21" i="2"/>
  <c r="D21" i="2"/>
  <c r="C21" i="2"/>
  <c r="V23" i="2"/>
  <c r="U23" i="2"/>
  <c r="T23" i="2"/>
  <c r="S23" i="2"/>
  <c r="R23" i="2"/>
  <c r="Q23" i="2"/>
  <c r="P23" i="2"/>
  <c r="O23" i="2"/>
  <c r="N23" i="2"/>
  <c r="M23" i="2"/>
  <c r="L23" i="2"/>
  <c r="K23" i="2"/>
  <c r="V22" i="2"/>
  <c r="U22" i="2"/>
  <c r="T22" i="2"/>
  <c r="S22" i="2"/>
  <c r="R22" i="2"/>
  <c r="Q22" i="2"/>
  <c r="P22" i="2"/>
  <c r="O22" i="2"/>
  <c r="N22" i="2"/>
  <c r="M22" i="2"/>
  <c r="L22" i="2"/>
  <c r="K22" i="2"/>
  <c r="V21" i="2"/>
  <c r="U21" i="2"/>
  <c r="T21" i="2"/>
  <c r="S21" i="2"/>
  <c r="R21" i="2"/>
  <c r="Q21" i="2"/>
  <c r="P21" i="2"/>
  <c r="O21" i="2"/>
  <c r="N21" i="2"/>
  <c r="M21" i="2"/>
  <c r="L21" i="2"/>
  <c r="K21" i="2"/>
  <c r="W23" i="2"/>
  <c r="W22" i="2"/>
  <c r="W21" i="2"/>
  <c r="V42" i="2"/>
  <c r="V40" i="2"/>
  <c r="V39" i="2"/>
  <c r="V37" i="2"/>
  <c r="V36" i="2"/>
  <c r="V34" i="2"/>
  <c r="V33" i="2"/>
  <c r="V32" i="2"/>
  <c r="V31" i="2"/>
  <c r="V30" i="2"/>
  <c r="Z29" i="2"/>
  <c r="Y29" i="2"/>
  <c r="X29" i="2"/>
  <c r="W29" i="2"/>
  <c r="U29" i="2"/>
  <c r="T29" i="2"/>
  <c r="S29" i="2"/>
  <c r="R29" i="2"/>
  <c r="Q29" i="2"/>
  <c r="P29" i="2"/>
  <c r="O29" i="2"/>
  <c r="N29" i="2"/>
  <c r="M29" i="2"/>
  <c r="L29" i="2"/>
  <c r="K29" i="2"/>
  <c r="E29" i="2"/>
  <c r="D29" i="2"/>
  <c r="C29" i="2"/>
  <c r="F29" i="2"/>
  <c r="Z41" i="2"/>
  <c r="Z43" i="2" s="1"/>
  <c r="Y41" i="2"/>
  <c r="Y43" i="2" s="1"/>
  <c r="X41" i="2"/>
  <c r="X43" i="2" s="1"/>
  <c r="W41" i="2"/>
  <c r="W43" i="2" s="1"/>
  <c r="Z35" i="2"/>
  <c r="Z38" i="2" s="1"/>
  <c r="Y35" i="2"/>
  <c r="Y38" i="2" s="1"/>
  <c r="X35" i="2"/>
  <c r="X38" i="2" s="1"/>
  <c r="W35" i="2"/>
  <c r="W38" i="2" s="1"/>
  <c r="H24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P9" i="2"/>
  <c r="P11" i="2" s="1"/>
  <c r="P14" i="2" s="1"/>
  <c r="P16" i="2" s="1"/>
  <c r="G9" i="2"/>
  <c r="G11" i="2" s="1"/>
  <c r="H9" i="2"/>
  <c r="H11" i="2" s="1"/>
  <c r="K9" i="2" l="1"/>
  <c r="K11" i="2" s="1"/>
  <c r="K14" i="2" s="1"/>
  <c r="K16" i="2" s="1"/>
  <c r="O9" i="2"/>
  <c r="O11" i="2" s="1"/>
  <c r="O14" i="2" s="1"/>
  <c r="O16" i="2" s="1"/>
  <c r="V29" i="2"/>
  <c r="Z44" i="2"/>
  <c r="R9" i="2"/>
  <c r="R11" i="2" s="1"/>
  <c r="R14" i="2" s="1"/>
  <c r="R16" i="2" s="1"/>
  <c r="S9" i="2"/>
  <c r="S11" i="2" s="1"/>
  <c r="S14" i="2" s="1"/>
  <c r="S16" i="2" s="1"/>
  <c r="Q9" i="2"/>
  <c r="Q11" i="2" s="1"/>
  <c r="Q14" i="2" s="1"/>
  <c r="Q16" i="2" s="1"/>
  <c r="W18" i="2"/>
  <c r="Y44" i="2"/>
  <c r="T9" i="2"/>
  <c r="T11" i="2" s="1"/>
  <c r="T14" i="2" s="1"/>
  <c r="T16" i="2" s="1"/>
  <c r="L9" i="2"/>
  <c r="L11" i="2" s="1"/>
  <c r="L14" i="2" s="1"/>
  <c r="L16" i="2" s="1"/>
  <c r="X18" i="2"/>
  <c r="W44" i="2"/>
  <c r="Y18" i="2"/>
  <c r="V9" i="2"/>
  <c r="V11" i="2" s="1"/>
  <c r="V14" i="2" s="1"/>
  <c r="V16" i="2" s="1"/>
  <c r="N9" i="2"/>
  <c r="N11" i="2" s="1"/>
  <c r="N14" i="2" s="1"/>
  <c r="N16" i="2" s="1"/>
  <c r="X44" i="2"/>
  <c r="W9" i="2"/>
  <c r="W11" i="2" s="1"/>
  <c r="W14" i="2" s="1"/>
  <c r="W20" i="2"/>
  <c r="X9" i="2"/>
  <c r="X11" i="2" s="1"/>
  <c r="X14" i="2" s="1"/>
  <c r="X20" i="2"/>
  <c r="Y9" i="2"/>
  <c r="Y11" i="2" s="1"/>
  <c r="Y14" i="2" s="1"/>
  <c r="Y20" i="2"/>
  <c r="Z9" i="2"/>
  <c r="Z11" i="2" s="1"/>
  <c r="Z14" i="2" s="1"/>
  <c r="Z18" i="2"/>
  <c r="Z20" i="2"/>
  <c r="U9" i="2"/>
  <c r="U11" i="2" s="1"/>
  <c r="U14" i="2" s="1"/>
  <c r="U16" i="2" s="1"/>
  <c r="M9" i="2"/>
  <c r="M11" i="2" s="1"/>
  <c r="M14" i="2" s="1"/>
  <c r="M16" i="2" s="1"/>
  <c r="C31" i="1"/>
  <c r="C28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X24" i="2" l="1"/>
  <c r="X19" i="2"/>
  <c r="X16" i="2"/>
  <c r="W16" i="2"/>
  <c r="W24" i="2"/>
  <c r="W19" i="2"/>
  <c r="Z24" i="2"/>
  <c r="Z19" i="2"/>
  <c r="Z16" i="2"/>
  <c r="Y24" i="2"/>
  <c r="Y16" i="2"/>
  <c r="Y19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1" i="2" s="1"/>
  <c r="C14" i="2" s="1"/>
  <c r="D9" i="2"/>
  <c r="D11" i="2" s="1"/>
  <c r="D14" i="2" s="1"/>
  <c r="E9" i="2"/>
  <c r="E11" i="2" s="1"/>
  <c r="E14" i="2" s="1"/>
  <c r="F9" i="2"/>
  <c r="F11" i="2" s="1"/>
  <c r="F14" i="2" s="1"/>
  <c r="L19" i="2"/>
  <c r="M19" i="2"/>
  <c r="N19" i="2"/>
  <c r="K18" i="2"/>
  <c r="L18" i="2"/>
  <c r="M18" i="2"/>
  <c r="N18" i="2"/>
  <c r="O18" i="2"/>
  <c r="P18" i="2"/>
  <c r="Q18" i="2"/>
  <c r="R18" i="2"/>
  <c r="S18" i="2"/>
  <c r="T18" i="2"/>
  <c r="U18" i="2"/>
  <c r="V18" i="2"/>
  <c r="O20" i="2"/>
  <c r="P20" i="2"/>
  <c r="Q20" i="2"/>
  <c r="R20" i="2"/>
  <c r="S20" i="2"/>
  <c r="T20" i="2"/>
  <c r="U20" i="2"/>
  <c r="V20" i="2"/>
  <c r="K35" i="2"/>
  <c r="K38" i="2" s="1"/>
  <c r="L35" i="2"/>
  <c r="L38" i="2" s="1"/>
  <c r="M35" i="2"/>
  <c r="M38" i="2" s="1"/>
  <c r="N35" i="2"/>
  <c r="N38" i="2" s="1"/>
  <c r="O35" i="2"/>
  <c r="P35" i="2"/>
  <c r="P38" i="2" s="1"/>
  <c r="Q35" i="2"/>
  <c r="Q38" i="2" s="1"/>
  <c r="R35" i="2"/>
  <c r="R38" i="2" s="1"/>
  <c r="S35" i="2"/>
  <c r="S38" i="2" s="1"/>
  <c r="T35" i="2"/>
  <c r="T38" i="2" s="1"/>
  <c r="U35" i="2"/>
  <c r="U38" i="2" s="1"/>
  <c r="V35" i="2"/>
  <c r="V38" i="2" s="1"/>
  <c r="O38" i="2"/>
  <c r="K41" i="2"/>
  <c r="K43" i="2" s="1"/>
  <c r="L41" i="2"/>
  <c r="L43" i="2" s="1"/>
  <c r="M41" i="2"/>
  <c r="M43" i="2" s="1"/>
  <c r="N41" i="2"/>
  <c r="N43" i="2" s="1"/>
  <c r="O41" i="2"/>
  <c r="O43" i="2" s="1"/>
  <c r="P41" i="2"/>
  <c r="P43" i="2" s="1"/>
  <c r="Q41" i="2"/>
  <c r="Q43" i="2" s="1"/>
  <c r="R41" i="2"/>
  <c r="R43" i="2" s="1"/>
  <c r="S41" i="2"/>
  <c r="S43" i="2" s="1"/>
  <c r="T41" i="2"/>
  <c r="T43" i="2" s="1"/>
  <c r="U41" i="2"/>
  <c r="U43" i="2" s="1"/>
  <c r="V41" i="2"/>
  <c r="V43" i="2" s="1"/>
  <c r="H25" i="2"/>
  <c r="G25" i="2"/>
  <c r="C35" i="2"/>
  <c r="C38" i="2" s="1"/>
  <c r="D35" i="2"/>
  <c r="D38" i="2" s="1"/>
  <c r="H19" i="2"/>
  <c r="G19" i="2"/>
  <c r="H20" i="2"/>
  <c r="T44" i="2" l="1"/>
  <c r="L44" i="2"/>
  <c r="R44" i="2"/>
  <c r="U44" i="2"/>
  <c r="M44" i="2"/>
  <c r="S44" i="2"/>
  <c r="K44" i="2"/>
  <c r="Q44" i="2"/>
  <c r="P44" i="2"/>
  <c r="O44" i="2"/>
  <c r="V44" i="2"/>
  <c r="N44" i="2"/>
  <c r="K11" i="5"/>
  <c r="K19" i="2"/>
  <c r="E25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S19" i="2"/>
  <c r="S24" i="2"/>
  <c r="O19" i="2"/>
  <c r="R19" i="2"/>
  <c r="R24" i="2"/>
  <c r="V24" i="2"/>
  <c r="V19" i="2"/>
  <c r="U24" i="2"/>
  <c r="U19" i="2"/>
  <c r="T19" i="2"/>
  <c r="T24" i="2"/>
  <c r="Q24" i="2"/>
  <c r="Q19" i="2"/>
  <c r="P24" i="2"/>
  <c r="P19" i="2"/>
  <c r="C30" i="1" s="1"/>
  <c r="G26" i="2"/>
  <c r="H26" i="2"/>
  <c r="F25" i="2"/>
  <c r="C25" i="2"/>
  <c r="D25" i="2"/>
  <c r="G20" i="2"/>
  <c r="E18" i="2"/>
  <c r="D18" i="2"/>
  <c r="C18" i="2"/>
  <c r="F18" i="2"/>
  <c r="F20" i="2"/>
  <c r="F41" i="2"/>
  <c r="F43" i="2" s="1"/>
  <c r="F35" i="2"/>
  <c r="F38" i="2" s="1"/>
  <c r="D20" i="2"/>
  <c r="E20" i="2"/>
  <c r="C20" i="2"/>
  <c r="C41" i="2"/>
  <c r="C43" i="2" s="1"/>
  <c r="C44" i="2" s="1"/>
  <c r="D41" i="2"/>
  <c r="E35" i="2"/>
  <c r="E38" i="2" s="1"/>
  <c r="F44" i="2" l="1"/>
  <c r="O24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26" i="2"/>
  <c r="E26" i="2"/>
  <c r="F26" i="2"/>
  <c r="D26" i="2"/>
  <c r="E41" i="2"/>
  <c r="E43" i="2" s="1"/>
  <c r="E44" i="2" s="1"/>
  <c r="D43" i="2"/>
  <c r="D44" i="2" s="1"/>
  <c r="D16" i="2" l="1"/>
  <c r="C19" i="2"/>
  <c r="F16" i="2"/>
  <c r="F19" i="2"/>
  <c r="G24" i="2" l="1"/>
  <c r="D19" i="2"/>
  <c r="E16" i="2"/>
  <c r="E24" i="2" s="1"/>
  <c r="C16" i="2"/>
  <c r="C24" i="2" s="1"/>
  <c r="E19" i="2"/>
  <c r="C11" i="1" s="1"/>
  <c r="D24" i="2" l="1"/>
  <c r="F24" i="2"/>
  <c r="C12" i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<sst xmlns="http://schemas.openxmlformats.org/spreadsheetml/2006/main" count="197" uniqueCount="176">
  <si>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</si>
  <si>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</si>
  <si>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</si>
  <si>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</si>
  <si>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</si>
  <si>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</si>
  <si>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</si>
  <si>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</si>
  <si>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</si>
  <si>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</si>
  <si>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</si>
  <si>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</si>
  <si>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</si>
  <si>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</si>
  <si>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</si>
  <si>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</si>
  <si>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</si>
  <si>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</si>
  <si>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</si>
  <si>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</si>
  <si>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</si>
  <si>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</si>
  <si>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</si>
  <si>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</si>
  <si>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</si>
  <si>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</si>
  <si>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</si>
  <si>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</si>
  <si>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</si>
  <si>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</si>
  <si>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</si>
  <si>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</si>
  <si>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</si>
  <si>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</si>
  <si>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</si>
  <si>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</si>
  <si>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</si>
  <si>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</si>
  <si>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</si>
  <si>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</si>
  <si>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</si>
  <si>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</si>
  <si>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</si>
  <si>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</si>
  <si>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</si>
  <si>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</si>
  <si>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</si>
  <si>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</si>
  <si>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</si>
  <si>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</si>
  <si>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</si>
  <si>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</si>
  <si>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</si>
  <si>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</si>
  <si>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</si>
  <si>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</si>
  <si>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</si>
  <si>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</si>
  <si>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</si>
  <si>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</si>
  <si>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</si>
  <si>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</si>
  <si>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</si>
  <si>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</si>
  <si>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</si>
  <si>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</si>
  <si>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</si>
  <si>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</si>
  <si>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</si>
  <si>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</si>
  <si>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</si>
  <si>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</si>
  <si>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</si>
  <si>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</si>
  <si>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</si>
  <si>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</si>
  <si>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</si>
  <si>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</si>
  <si>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</si>
  <si>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</si>
  <si>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</si>
  <si>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</si>
  <si>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</si>
  <si>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</si>
  <si>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</si>
  <si>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</si>
  <si>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</si>
  <si>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</si>
  <si>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</si>
  <si>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</si>
  <si>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</si>
  <si>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</si>
  <si>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</si>
  <si>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</si>
  <si>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</si>
  <si>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</si>
  <si>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</si>
  <si>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</si>
  <si>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</si>
  <si>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</si>
  <si>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</si>
  <si>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</si>
  <si>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</si>
  <si>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</si>
  <si>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</si>
  <si>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</si>
  <si>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</si>
  <si>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</si>
  <si>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</si>
  <si>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</si>
  <si>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</si>
  <si>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</si>
  <si>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</si>
  <si>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</si>
  <si>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</si>
  <si>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</si>
  <si>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</si>
  <si>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</si>
  <si>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</si>
  <si>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</si>
  <si>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</si>
  <si>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</si>
  <si>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</si>
  <si>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</si>
  <si>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</si>
  <si>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</si>
  <si>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</si>
  <si>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</si>
  <si>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</si>
  <si>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</si>
  <si>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</si>
  <si>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</si>
  <si>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</si>
  <si>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</si>
  <si>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</si>
  <si>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Net Income before Tax</t>
  </si>
  <si>
    <t>ALAB</t>
  </si>
  <si>
    <t>EPS Growth</t>
  </si>
  <si>
    <t>Q324</t>
  </si>
  <si>
    <t>Q424</t>
  </si>
  <si>
    <t>MS</t>
  </si>
  <si>
    <t>Inventory</t>
  </si>
  <si>
    <t>Accrued Expense</t>
  </si>
  <si>
    <t>S&amp;M</t>
  </si>
  <si>
    <t>Interest Income</t>
  </si>
  <si>
    <t>FMR, LLC</t>
  </si>
  <si>
    <t>14.91%</t>
  </si>
  <si>
    <t>Intel Corporation</t>
  </si>
  <si>
    <t>3.77%</t>
  </si>
  <si>
    <t>Atreides Management, LP</t>
  </si>
  <si>
    <t>1.77%</t>
  </si>
  <si>
    <t>Vanguard Group Inc</t>
  </si>
  <si>
    <t>1.28%</t>
  </si>
  <si>
    <t>Blackrock Inc.</t>
  </si>
  <si>
    <t>0.95%</t>
  </si>
  <si>
    <t>Invesco Ltd.</t>
  </si>
  <si>
    <t>0.92%</t>
  </si>
  <si>
    <t>JP Morgan Chase &amp; Company</t>
  </si>
  <si>
    <t>0.91%</t>
  </si>
  <si>
    <t>Goldman Sachs Group Inc</t>
  </si>
  <si>
    <t>0.66%</t>
  </si>
  <si>
    <t>Maverick Capital Ltd.</t>
  </si>
  <si>
    <t>0.64%</t>
  </si>
  <si>
    <t>Summit Partners Public Asset Management LLC</t>
  </si>
  <si>
    <t>0.60%</t>
  </si>
  <si>
    <t>ALBA MANUELDirector</t>
  </si>
  <si>
    <t>DYCKERHOFF STEFAN ADirector and Beneficial Owner of more than 10% of a Class of Security</t>
  </si>
  <si>
    <t>GAJENDRA SANJAYPresident</t>
  </si>
  <si>
    <t>HURLSTON MICHAEL EDirector</t>
  </si>
  <si>
    <t>LAZAR JACK RDirector</t>
  </si>
  <si>
    <t>MAYER BETHANY JDirector</t>
  </si>
  <si>
    <t>MAZZARA PHILIPGeneral Counsel</t>
  </si>
  <si>
    <t>MOHAN JITENDRAChief Executive Officer</t>
  </si>
  <si>
    <t>SUTTER HILL VENTURESBeneficial Owner of more than 10% of a Class of Security</t>
  </si>
  <si>
    <t>TATE MICHAEL TRUETTChief Financial Officer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</si>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</sst>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32A3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5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9" fontId="5" fillId="0" borderId="2" xfId="1" applyFont="1" applyBorder="1"/>
    <xf numFmtId="0" fontId="0" fillId="0" borderId="0" xfId="0" applyBorder="1"/>
    <xf numFmtId="3" fontId="2" fillId="0" borderId="0" xfId="0" applyNumberFormat="1" applyFont="1" applyBorder="1"/>
    <xf numFmtId="3" fontId="0" fillId="0" borderId="0" xfId="0" applyNumberFormat="1" applyBorder="1"/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Fill="1" applyBorder="1"/>
    <xf numFmtId="4" fontId="2" fillId="0" borderId="0" xfId="0" applyNumberFormat="1" applyFont="1"/>
    <xf numFmtId="4" fontId="5" fillId="0" borderId="0" xfId="0" applyNumberFormat="1" applyFont="1"/>
    <xf numFmtId="4" fontId="0" fillId="0" borderId="0" xfId="0" applyNumberFormat="1"/>
    <xf numFmtId="0" fontId="14" fillId="12" borderId="0" xfId="0" applyFont="1" applyFill="1" applyAlignment="1">
      <alignment horizontal="right" vertic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</c:formatCode>
                <c:ptCount val="13"/>
                <c:pt idx="8" formatCode="#,##0.00">
                  <c:v>17.664000000000001</c:v>
                </c:pt>
                <c:pt idx="9">
                  <c:v>10.688000000000001</c:v>
                </c:pt>
                <c:pt idx="12">
                  <c:v>65.257999999999996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Model!$K$20:$W$20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2.6944067028985503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Model!$C$20:$H$20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0.48861061072694523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Model!$K$14:$W$14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.00">
                  <c:v>-17.245999999999999</c:v>
                </c:pt>
                <c:pt idx="9">
                  <c:v>-20.216000000000001</c:v>
                </c:pt>
                <c:pt idx="10">
                  <c:v>0</c:v>
                </c:pt>
                <c:pt idx="11">
                  <c:v>0</c:v>
                </c:pt>
                <c:pt idx="12">
                  <c:v>-93.313000000000002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Model!$K$18:$W$18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0.24105525362318847</c:v>
                </c:pt>
                <c:pt idx="9">
                  <c:v>0.7895770958083832</c:v>
                </c:pt>
                <c:pt idx="10">
                  <c:v>0</c:v>
                </c:pt>
                <c:pt idx="11">
                  <c:v>0</c:v>
                </c:pt>
                <c:pt idx="12">
                  <c:v>0.7741579576450397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Model!$C$14:$H$14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Model!$C$24:$H$24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Model!$K$21:$U$21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0.24869791666666663</c:v>
                </c:pt>
                <c:pt idx="9">
                  <c:v>0.47688997005988026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Model!$K$22:$V$22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0.86430027173913038</c:v>
                </c:pt>
                <c:pt idx="9">
                  <c:v>1.6710329341317365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Model!$B$23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Model!$K$23:$V$23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0.19955842391304346</c:v>
                </c:pt>
                <c:pt idx="9">
                  <c:v>0.28957709580838326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Model!$B$21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Model!$C$21:$F$21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Model!$C$22:$F$22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Model!$B$23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Model!$C$23:$F$23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H44" sqref="H44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 t="s">
        <v>136</v>
      </c>
      <c r="C2" s="19"/>
      <c r="E2" s="24" t="s">
        <v>48</v>
      </c>
      <c r="F2" s="61" t="s">
        <v>49</v>
      </c>
      <c r="G2" s="25"/>
      <c r="H2" s="26" t="s">
        <v>56</v>
      </c>
      <c r="I2" s="26" t="s">
        <v>1</v>
      </c>
      <c r="J2" s="27" t="s">
        <v>49</v>
      </c>
      <c r="L2" s="29" t="s">
        <v>42</v>
      </c>
      <c r="M2" s="30" t="s">
        <v>58</v>
      </c>
      <c r="N2" s="31" t="s">
        <v>57</v>
      </c>
    </row>
    <row r="3" spans="2:14" x14ac:dyDescent="0.25">
      <c r="B3" s="5" t="s">
        <v>41</v>
      </c>
      <c r="C3" s="20">
        <v>45555</v>
      </c>
      <c r="E3" s="5" t="s">
        <v>145</v>
      </c>
      <c r="F3" s="157" t="s">
        <v>146</v>
      </c>
      <c r="H3" t="s">
        <v>165</v>
      </c>
      <c r="I3" s="10" t="s">
        <v>175</v>
      </c>
      <c r="J3" s="37"/>
      <c r="L3" s="5"/>
      <c r="N3" s="36"/>
    </row>
    <row r="4" spans="2:14" x14ac:dyDescent="0.25">
      <c r="B4" s="5"/>
      <c r="C4" s="21">
        <v>0.98124999999999996</v>
      </c>
      <c r="E4" s="5" t="s">
        <v>147</v>
      </c>
      <c r="F4" s="157" t="s">
        <v>148</v>
      </c>
      <c r="H4" t="s">
        <v>166</v>
      </c>
      <c r="I4" s="10" t="s">
        <v>175</v>
      </c>
      <c r="J4" s="37"/>
      <c r="L4" s="5"/>
      <c r="N4" s="13"/>
    </row>
    <row r="5" spans="2:14" x14ac:dyDescent="0.25">
      <c r="B5" s="5"/>
      <c r="C5" s="13"/>
      <c r="E5" s="5" t="s">
        <v>149</v>
      </c>
      <c r="F5" s="157" t="s">
        <v>150</v>
      </c>
      <c r="H5" t="s">
        <v>167</v>
      </c>
      <c r="I5" s="10" t="s">
        <v>175</v>
      </c>
      <c r="J5" s="37"/>
      <c r="L5" s="5"/>
      <c r="N5" s="13"/>
    </row>
    <row r="6" spans="2:14" x14ac:dyDescent="0.25">
      <c r="B6" s="5" t="s">
        <v>0</v>
      </c>
      <c r="C6" s="13">
        <v>50.5</v>
      </c>
      <c r="E6" s="5" t="s">
        <v>151</v>
      </c>
      <c r="F6" s="157" t="s">
        <v>152</v>
      </c>
      <c r="H6" t="s">
        <v>168</v>
      </c>
      <c r="I6" s="10">
        <v>161.74700000000001</v>
      </c>
      <c r="J6" s="37"/>
      <c r="L6" s="5"/>
      <c r="N6" s="13"/>
    </row>
    <row r="7" spans="2:14" x14ac:dyDescent="0.25">
      <c r="B7" s="5" t="s">
        <v>1</v>
      </c>
      <c r="C7" s="15">
        <f>Model!X15</f>
        <v>155.19900000000001</v>
      </c>
      <c r="E7" s="5" t="s">
        <v>153</v>
      </c>
      <c r="F7" s="157" t="s">
        <v>154</v>
      </c>
      <c r="H7" t="s">
        <v>169</v>
      </c>
      <c r="I7" s="10">
        <v>165</v>
      </c>
      <c r="J7" s="37"/>
      <c r="L7" s="5"/>
      <c r="N7" s="13"/>
    </row>
    <row r="8" spans="2:14" x14ac:dyDescent="0.25">
      <c r="B8" s="5" t="s">
        <v>2</v>
      </c>
      <c r="C8" s="15">
        <f>C6*C7</f>
        <v>7837.549500000001</v>
      </c>
      <c r="E8" s="5" t="s">
        <v>155</v>
      </c>
      <c r="F8" s="157" t="s">
        <v>156</v>
      </c>
      <c r="H8" t="s">
        <v>170</v>
      </c>
      <c r="I8" s="10">
        <v>4.5730000000000004</v>
      </c>
      <c r="J8" s="37"/>
      <c r="L8" s="5"/>
      <c r="N8" s="13"/>
    </row>
    <row r="9" spans="2:14" x14ac:dyDescent="0.25">
      <c r="B9" s="5" t="s">
        <v>3</v>
      </c>
      <c r="C9" s="15">
        <f>Model!X30+Model!X31</f>
        <v>830.995</v>
      </c>
      <c r="E9" s="5" t="s">
        <v>157</v>
      </c>
      <c r="F9" s="157" t="s">
        <v>158</v>
      </c>
      <c r="H9" t="s">
        <v>171</v>
      </c>
      <c r="I9" s="10">
        <v>325.47399999999999</v>
      </c>
      <c r="J9" s="37"/>
      <c r="L9" s="5"/>
      <c r="N9" s="13"/>
    </row>
    <row r="10" spans="2:14" x14ac:dyDescent="0.25">
      <c r="B10" s="5" t="s">
        <v>4</v>
      </c>
      <c r="C10" s="15">
        <f>Model!E30+Model!E34</f>
        <v>0</v>
      </c>
      <c r="E10" s="5" t="s">
        <v>159</v>
      </c>
      <c r="F10" s="157" t="s">
        <v>160</v>
      </c>
      <c r="H10" t="s">
        <v>172</v>
      </c>
      <c r="I10" s="10" t="s">
        <v>175</v>
      </c>
      <c r="J10" s="37"/>
      <c r="L10" s="5"/>
      <c r="N10" s="13"/>
    </row>
    <row r="11" spans="2:14" x14ac:dyDescent="0.25">
      <c r="B11" s="5" t="s">
        <v>36</v>
      </c>
      <c r="C11" s="15">
        <f>C9-C10</f>
        <v>830.995</v>
      </c>
      <c r="E11" s="5" t="s">
        <v>161</v>
      </c>
      <c r="F11" s="157" t="s">
        <v>162</v>
      </c>
      <c r="H11" t="s">
        <v>173</v>
      </c>
      <c r="I11" s="10" t="s">
        <v>175</v>
      </c>
      <c r="J11" s="37"/>
      <c r="L11" s="5"/>
      <c r="N11" s="13"/>
    </row>
    <row r="12" spans="2:14" x14ac:dyDescent="0.25">
      <c r="B12" s="5" t="s">
        <v>5</v>
      </c>
      <c r="C12" s="15">
        <f>C8-C9+C10</f>
        <v>7006.5545000000011</v>
      </c>
      <c r="E12" s="5" t="s">
        <v>163</v>
      </c>
      <c r="F12" s="157" t="s">
        <v>164</v>
      </c>
      <c r="H12" t="s">
        <v>174</v>
      </c>
      <c r="I12" t="s">
        <v>175</v>
      </c>
      <c r="J12" s="13"/>
      <c r="L12" s="5"/>
      <c r="N12" s="13"/>
    </row>
    <row r="13" spans="2:14" x14ac:dyDescent="0.25">
      <c r="B13" s="5" t="s">
        <v>47</v>
      </c>
      <c r="C13" s="35"/>
      <c r="E13" s="5"/>
      <c r="J13" s="13"/>
      <c r="L13" s="5"/>
      <c r="N13" s="13"/>
    </row>
    <row r="14" spans="2:14" x14ac:dyDescent="0.25">
      <c r="B14" s="5" t="s">
        <v>45</v>
      </c>
      <c r="C14" s="35">
        <f>C6/Model!G17</f>
        <v>90.178571428571416</v>
      </c>
      <c r="E14" s="22"/>
      <c r="F14" s="28"/>
      <c r="G14" s="28"/>
      <c r="H14" s="28"/>
      <c r="I14" s="28"/>
      <c r="J14" s="23"/>
      <c r="L14" s="22"/>
      <c r="M14" s="28"/>
      <c r="N14" s="23"/>
    </row>
    <row r="15" spans="2:14" x14ac:dyDescent="0.25">
      <c r="B15" s="5" t="s">
        <v>46</v>
      </c>
      <c r="C15" s="35">
        <f>C6/Model!H17</f>
        <v>60.11904761904762</v>
      </c>
    </row>
    <row r="16" spans="2:14" x14ac:dyDescent="0.25">
      <c r="B16" s="5" t="s">
        <v>43</v>
      </c>
      <c r="C16" s="6"/>
    </row>
    <row r="17" spans="2:14" x14ac:dyDescent="0.25">
      <c r="B17" s="5" t="s">
        <v>44</v>
      </c>
      <c r="C17" s="6">
        <f>Model!H17/Model!G17-1</f>
        <v>0.49999999999999978</v>
      </c>
      <c r="E17" s="32" t="s">
        <v>54</v>
      </c>
      <c r="L17" s="125"/>
      <c r="M17" s="126"/>
      <c r="N17" s="127"/>
    </row>
    <row r="18" spans="2:14" x14ac:dyDescent="0.25">
      <c r="B18" s="5" t="s">
        <v>68</v>
      </c>
      <c r="C18" s="50"/>
      <c r="L18" s="128"/>
      <c r="M18" s="129"/>
      <c r="N18" s="130"/>
    </row>
    <row r="19" spans="2:14" x14ac:dyDescent="0.25">
      <c r="B19" s="5" t="s">
        <v>69</v>
      </c>
      <c r="C19" s="50">
        <f>C15/(C17*100)</f>
        <v>1.202380952380953</v>
      </c>
      <c r="L19" s="128"/>
      <c r="M19" s="129"/>
      <c r="N19" s="130"/>
    </row>
    <row r="20" spans="2:14" x14ac:dyDescent="0.25">
      <c r="B20" s="5" t="s">
        <v>80</v>
      </c>
      <c r="C20" s="6"/>
      <c r="L20" s="128"/>
      <c r="M20" s="129"/>
      <c r="N20" s="130"/>
    </row>
    <row r="21" spans="2:14" x14ac:dyDescent="0.25">
      <c r="B21" s="5" t="s">
        <v>81</v>
      </c>
      <c r="C21" s="6">
        <f>Model!H4/Model!G4-1</f>
        <v>0.48861061072694523</v>
      </c>
      <c r="L21" s="128"/>
      <c r="M21" s="129"/>
      <c r="N21" s="130"/>
    </row>
    <row r="22" spans="2:14" x14ac:dyDescent="0.25">
      <c r="B22" s="5" t="s">
        <v>70</v>
      </c>
      <c r="C22" s="15"/>
      <c r="L22" s="128"/>
      <c r="M22" s="129"/>
      <c r="N22" s="130"/>
    </row>
    <row r="23" spans="2:14" x14ac:dyDescent="0.25">
      <c r="B23" s="5" t="s">
        <v>19</v>
      </c>
      <c r="C23" s="15">
        <f>Model!E6</f>
        <v>0</v>
      </c>
      <c r="L23" s="128"/>
      <c r="M23" s="129"/>
      <c r="N23" s="130"/>
    </row>
    <row r="24" spans="2:14" x14ac:dyDescent="0.25">
      <c r="B24" s="5" t="s">
        <v>30</v>
      </c>
      <c r="C24" s="7">
        <f>Model!E10</f>
        <v>0</v>
      </c>
      <c r="L24" s="128"/>
      <c r="M24" s="129"/>
      <c r="N24" s="130"/>
    </row>
    <row r="25" spans="2:14" x14ac:dyDescent="0.25">
      <c r="B25" s="5" t="s">
        <v>31</v>
      </c>
      <c r="C25" s="7" t="e">
        <f>Model!#REF!</f>
        <v>#REF!</v>
      </c>
      <c r="L25" s="128"/>
      <c r="M25" s="129"/>
      <c r="N25" s="130"/>
    </row>
    <row r="26" spans="2:14" x14ac:dyDescent="0.25">
      <c r="B26" s="5" t="s">
        <v>71</v>
      </c>
      <c r="C26" s="35" t="e">
        <f>C12/C23</f>
        <v>#DIV/0!</v>
      </c>
      <c r="L26" s="128"/>
      <c r="M26" s="129"/>
      <c r="N26" s="130"/>
    </row>
    <row r="27" spans="2:14" x14ac:dyDescent="0.25">
      <c r="B27" s="5" t="s">
        <v>82</v>
      </c>
      <c r="C27" s="121" t="e">
        <f>Model!P34/Model!#REF!</f>
        <v>#REF!</v>
      </c>
      <c r="E27" t="s">
        <v>73</v>
      </c>
      <c r="L27" s="128"/>
      <c r="M27" s="129"/>
      <c r="N27" s="130"/>
    </row>
    <row r="28" spans="2:14" x14ac:dyDescent="0.25">
      <c r="B28" s="5" t="s">
        <v>83</v>
      </c>
      <c r="C28" s="35" t="e">
        <f>C22/-Model!#REF!</f>
        <v>#REF!</v>
      </c>
      <c r="L28" s="131"/>
      <c r="M28" s="132"/>
      <c r="N28" s="133"/>
    </row>
    <row r="29" spans="2:14" x14ac:dyDescent="0.25">
      <c r="B29" s="5" t="s">
        <v>84</v>
      </c>
      <c r="C29" s="35" t="e">
        <f>Model!#REF!/Model!P33</f>
        <v>#REF!</v>
      </c>
    </row>
    <row r="30" spans="2:14" x14ac:dyDescent="0.25">
      <c r="B30" s="5" t="s">
        <v>85</v>
      </c>
      <c r="C30" s="35" t="e">
        <f>(Model!P19+Model!P20)/Model!P33</f>
        <v>#DIV/0!</v>
      </c>
    </row>
    <row r="31" spans="2:14" x14ac:dyDescent="0.25">
      <c r="B31" s="5" t="s">
        <v>86</v>
      </c>
      <c r="C31" s="6" t="e">
        <f>(Model!#REF!-Model!P33)/Model!P29</f>
        <v>#REF!</v>
      </c>
    </row>
    <row r="32" spans="2:14" x14ac:dyDescent="0.25">
      <c r="B32" s="5" t="s">
        <v>87</v>
      </c>
      <c r="C32" s="35">
        <f>(Model!P29-Model!P37)/Main!C7</f>
        <v>0</v>
      </c>
    </row>
    <row r="33" spans="2:3" x14ac:dyDescent="0.25">
      <c r="B33" s="5" t="s">
        <v>88</v>
      </c>
      <c r="C33" s="35" t="e">
        <f>Model!#REF!/Model!P29</f>
        <v>#REF!</v>
      </c>
    </row>
    <row r="34" spans="2:3" x14ac:dyDescent="0.25">
      <c r="B34" s="5" t="s">
        <v>89</v>
      </c>
      <c r="C34" s="37" t="e">
        <f>Model!P8/Model!P29</f>
        <v>#DIV/0!</v>
      </c>
    </row>
    <row r="35" spans="2:3" x14ac:dyDescent="0.25">
      <c r="B35" s="5" t="s">
        <v>90</v>
      </c>
      <c r="C35" s="37" t="e">
        <f>Model!P8/Model!#REF!</f>
        <v>#REF!</v>
      </c>
    </row>
    <row r="36" spans="2:3" x14ac:dyDescent="0.25">
      <c r="B36" s="22" t="s">
        <v>91</v>
      </c>
      <c r="C36" s="23"/>
    </row>
  </sheetData>
  <mergeCells count="1">
    <mergeCell ref="L17:N2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65"/>
  <sheetViews>
    <sheetView tabSelected="1" zoomScaleNormal="100" workbookViewId="0">
      <pane xSplit="2" ySplit="2" topLeftCell="K3" activePane="bottomRight" state="frozen"/>
      <selection pane="topRight" activeCell="B1" sqref="B1"/>
      <selection pane="bottomLeft" activeCell="A3" sqref="A3"/>
      <selection pane="bottomRight" activeCell="AA20" sqref="AA20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3"/>
    <col min="22" max="22" width="11.42578125" style="145"/>
    <col min="24" max="24" width="11.42578125" style="13"/>
  </cols>
  <sheetData>
    <row r="1" spans="1:27" x14ac:dyDescent="0.25">
      <c r="A1" s="8" t="s">
        <v>37</v>
      </c>
    </row>
    <row r="2" spans="1:27" x14ac:dyDescent="0.25">
      <c r="C2" t="s">
        <v>18</v>
      </c>
      <c r="D2" t="s">
        <v>14</v>
      </c>
      <c r="E2" t="s">
        <v>15</v>
      </c>
      <c r="F2" s="13" t="s">
        <v>16</v>
      </c>
      <c r="G2" t="s">
        <v>33</v>
      </c>
      <c r="H2" t="s">
        <v>67</v>
      </c>
      <c r="K2" t="s">
        <v>34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35</v>
      </c>
      <c r="U2" t="s">
        <v>39</v>
      </c>
      <c r="V2" s="145" t="s">
        <v>40</v>
      </c>
      <c r="W2" t="s">
        <v>62</v>
      </c>
      <c r="X2" s="13" t="s">
        <v>66</v>
      </c>
      <c r="Y2" s="153" t="s">
        <v>138</v>
      </c>
      <c r="Z2" s="153" t="s">
        <v>139</v>
      </c>
    </row>
    <row r="3" spans="1:27" s="1" customFormat="1" x14ac:dyDescent="0.25">
      <c r="B3" s="1" t="s">
        <v>17</v>
      </c>
      <c r="C3" s="11"/>
      <c r="D3" s="11"/>
      <c r="E3" s="11"/>
      <c r="F3" s="14"/>
      <c r="G3" s="42"/>
      <c r="H3" s="42"/>
      <c r="K3" s="11"/>
      <c r="L3" s="11"/>
      <c r="M3" s="11"/>
      <c r="N3" s="11"/>
      <c r="O3" s="11"/>
      <c r="P3" s="11"/>
      <c r="Q3" s="11"/>
      <c r="R3" s="11"/>
      <c r="S3" s="154">
        <v>17.664000000000001</v>
      </c>
      <c r="T3" s="11">
        <v>10.688000000000001</v>
      </c>
      <c r="U3" s="11"/>
      <c r="V3" s="146"/>
      <c r="W3" s="146">
        <v>65.257999999999996</v>
      </c>
      <c r="X3" s="14">
        <v>76.849999999999994</v>
      </c>
      <c r="Y3" s="147"/>
      <c r="Z3" s="147"/>
      <c r="AA3" s="147"/>
    </row>
    <row r="4" spans="1:27" x14ac:dyDescent="0.25">
      <c r="B4" s="9" t="s">
        <v>64</v>
      </c>
      <c r="C4" s="10"/>
      <c r="D4" s="10"/>
      <c r="E4" s="10"/>
      <c r="F4" s="15"/>
      <c r="G4" s="41">
        <v>344.18</v>
      </c>
      <c r="H4" s="41">
        <v>512.35</v>
      </c>
      <c r="K4" s="39"/>
      <c r="L4" s="39"/>
      <c r="M4" s="39"/>
      <c r="N4" s="39"/>
      <c r="O4" s="39"/>
      <c r="P4" s="39"/>
      <c r="Q4" s="39"/>
      <c r="R4" s="39"/>
      <c r="S4" s="155"/>
      <c r="T4" s="39"/>
      <c r="U4" s="39"/>
      <c r="V4" s="147"/>
      <c r="W4" s="147"/>
      <c r="X4" s="15"/>
      <c r="Y4" s="147">
        <v>95.66</v>
      </c>
      <c r="Z4" s="147">
        <v>106.22</v>
      </c>
    </row>
    <row r="5" spans="1:27" s="1" customFormat="1" x14ac:dyDescent="0.25">
      <c r="B5" s="1" t="s">
        <v>59</v>
      </c>
      <c r="C5" s="11"/>
      <c r="D5" s="11"/>
      <c r="E5" s="11"/>
      <c r="F5" s="14"/>
      <c r="G5" s="11"/>
      <c r="H5" s="11"/>
      <c r="K5" s="11"/>
      <c r="L5" s="11"/>
      <c r="M5" s="11"/>
      <c r="N5" s="11"/>
      <c r="O5" s="11"/>
      <c r="P5" s="11"/>
      <c r="Q5" s="11"/>
      <c r="R5" s="11"/>
      <c r="S5" s="154">
        <v>13.406000000000001</v>
      </c>
      <c r="T5" s="11">
        <v>2.2490000000000001</v>
      </c>
      <c r="U5" s="11"/>
      <c r="V5" s="146"/>
      <c r="W5" s="146">
        <v>14.738</v>
      </c>
      <c r="X5" s="14">
        <v>16.995999999999999</v>
      </c>
      <c r="Y5" s="146">
        <f>Y4*(1-X18)</f>
        <v>21.155983864671438</v>
      </c>
      <c r="Z5" s="146">
        <f>Z4*(1-X18)</f>
        <v>23.491413402732597</v>
      </c>
    </row>
    <row r="6" spans="1:27" x14ac:dyDescent="0.25">
      <c r="B6" t="s">
        <v>72</v>
      </c>
      <c r="C6" s="10"/>
      <c r="D6" s="10"/>
      <c r="E6" s="10"/>
      <c r="F6" s="15"/>
      <c r="G6" s="39"/>
      <c r="H6" s="39"/>
      <c r="K6" s="10"/>
      <c r="L6" s="10"/>
      <c r="M6" s="10"/>
      <c r="N6" s="10"/>
      <c r="O6" s="10"/>
      <c r="P6" s="10"/>
      <c r="Q6" s="10"/>
      <c r="R6" s="10"/>
      <c r="S6" s="156">
        <v>15.266999999999999</v>
      </c>
      <c r="T6" s="10">
        <v>17.86</v>
      </c>
      <c r="U6" s="10"/>
      <c r="V6" s="147"/>
      <c r="W6" s="147">
        <v>53.558</v>
      </c>
      <c r="X6" s="15">
        <v>40.088999999999999</v>
      </c>
      <c r="Y6" s="147"/>
      <c r="Z6" s="147"/>
    </row>
    <row r="7" spans="1:27" x14ac:dyDescent="0.25">
      <c r="B7" t="s">
        <v>143</v>
      </c>
      <c r="C7" s="10"/>
      <c r="D7" s="10"/>
      <c r="E7" s="10"/>
      <c r="F7" s="15"/>
      <c r="G7" s="39"/>
      <c r="H7" s="39"/>
      <c r="K7" s="10"/>
      <c r="L7" s="10"/>
      <c r="M7" s="10"/>
      <c r="N7" s="10"/>
      <c r="O7" s="10"/>
      <c r="P7" s="10"/>
      <c r="Q7" s="10"/>
      <c r="R7" s="10"/>
      <c r="S7" s="156">
        <v>4.3929999999999998</v>
      </c>
      <c r="T7" s="10">
        <v>5.0970000000000004</v>
      </c>
      <c r="U7" s="10"/>
      <c r="V7" s="147"/>
      <c r="W7" s="147">
        <v>55.51</v>
      </c>
      <c r="X7" s="15">
        <v>22.076000000000001</v>
      </c>
      <c r="Y7" s="147"/>
      <c r="Z7" s="147"/>
    </row>
    <row r="8" spans="1:27" x14ac:dyDescent="0.25">
      <c r="B8" t="s">
        <v>134</v>
      </c>
      <c r="C8" s="10"/>
      <c r="D8" s="10"/>
      <c r="E8" s="10"/>
      <c r="F8" s="15"/>
      <c r="G8" s="10"/>
      <c r="H8" s="10"/>
      <c r="K8" s="10"/>
      <c r="L8" s="10"/>
      <c r="M8" s="10"/>
      <c r="N8" s="10"/>
      <c r="O8" s="10"/>
      <c r="P8" s="10"/>
      <c r="Q8" s="10"/>
      <c r="R8" s="10"/>
      <c r="S8" s="156">
        <v>3.5249999999999999</v>
      </c>
      <c r="T8" s="10">
        <v>3.0950000000000002</v>
      </c>
      <c r="U8" s="10"/>
      <c r="V8" s="147"/>
      <c r="W8" s="147">
        <v>24.419</v>
      </c>
      <c r="X8" s="15">
        <v>22.036000000000001</v>
      </c>
      <c r="Y8" s="147"/>
      <c r="Z8" s="147"/>
    </row>
    <row r="9" spans="1:27" s="1" customFormat="1" x14ac:dyDescent="0.25">
      <c r="B9" s="1" t="s">
        <v>23</v>
      </c>
      <c r="C9" s="11">
        <f>C3-SUM(C5:C8)</f>
        <v>0</v>
      </c>
      <c r="D9" s="11">
        <f>D3-SUM(D5:D8)</f>
        <v>0</v>
      </c>
      <c r="E9" s="11">
        <f>E3-SUM(E5:E8)</f>
        <v>0</v>
      </c>
      <c r="F9" s="14">
        <f>F3-SUM(F5:F8)</f>
        <v>0</v>
      </c>
      <c r="G9" s="11">
        <f>G3-SUM(G5:G8)</f>
        <v>0</v>
      </c>
      <c r="H9" s="11">
        <f>H3-SUM(H5:H8)</f>
        <v>0</v>
      </c>
      <c r="I9" s="11"/>
      <c r="J9" s="11"/>
      <c r="K9" s="11">
        <f>K3-SUM(K5:K8)</f>
        <v>0</v>
      </c>
      <c r="L9" s="11">
        <f>L3-SUM(L5:L8)</f>
        <v>0</v>
      </c>
      <c r="M9" s="11">
        <f>M3-SUM(M5:M8)</f>
        <v>0</v>
      </c>
      <c r="N9" s="11">
        <f>N3-SUM(N5:N8)</f>
        <v>0</v>
      </c>
      <c r="O9" s="11">
        <f>O3-SUM(O5:O8)</f>
        <v>0</v>
      </c>
      <c r="P9" s="11">
        <f>P3-SUM(P5:P8)</f>
        <v>0</v>
      </c>
      <c r="Q9" s="11">
        <f>Q3-SUM(Q5:Q8)</f>
        <v>0</v>
      </c>
      <c r="R9" s="11">
        <f>R3-SUM(R5:R8)</f>
        <v>0</v>
      </c>
      <c r="S9" s="154">
        <f>S3-SUM(S5:S8)</f>
        <v>-18.927</v>
      </c>
      <c r="T9" s="11">
        <f>T3-SUM(T5:T8)</f>
        <v>-17.613</v>
      </c>
      <c r="U9" s="11">
        <f>U3-SUM(U5:U8)</f>
        <v>0</v>
      </c>
      <c r="V9" s="146">
        <f>V3-SUM(V5:V8)</f>
        <v>0</v>
      </c>
      <c r="W9" s="146">
        <f>W3-SUM(W5:W8)</f>
        <v>-82.966999999999999</v>
      </c>
      <c r="X9" s="14">
        <f>X3-SUM(X5:X8)</f>
        <v>-24.347000000000008</v>
      </c>
      <c r="Y9" s="146">
        <f>Y3-SUM(Y5:Y8)</f>
        <v>-21.155983864671438</v>
      </c>
      <c r="Z9" s="146">
        <f>Z3-SUM(Z5:Z8)</f>
        <v>-23.491413402732597</v>
      </c>
    </row>
    <row r="10" spans="1:27" x14ac:dyDescent="0.25">
      <c r="B10" t="s">
        <v>144</v>
      </c>
      <c r="C10" s="10"/>
      <c r="D10" s="10"/>
      <c r="E10" s="10"/>
      <c r="F10" s="15"/>
      <c r="G10" s="39"/>
      <c r="H10" s="39"/>
      <c r="K10" s="10"/>
      <c r="L10" s="10"/>
      <c r="M10" s="10"/>
      <c r="N10" s="10"/>
      <c r="O10" s="10"/>
      <c r="P10" s="10"/>
      <c r="Q10" s="10"/>
      <c r="R10" s="10"/>
      <c r="S10" s="156">
        <v>1.5960000000000001</v>
      </c>
      <c r="T10" s="10">
        <v>1.5549999999999999</v>
      </c>
      <c r="U10" s="10"/>
      <c r="V10" s="147"/>
      <c r="W10" s="147">
        <v>2.5539999999999998</v>
      </c>
      <c r="X10" s="15">
        <v>10.263999999999999</v>
      </c>
      <c r="Y10" s="147"/>
      <c r="Z10" s="147"/>
    </row>
    <row r="11" spans="1:27" s="1" customFormat="1" x14ac:dyDescent="0.25">
      <c r="B11" s="1" t="s">
        <v>135</v>
      </c>
      <c r="C11" s="11">
        <f>C9+SUM(C10:C10)</f>
        <v>0</v>
      </c>
      <c r="D11" s="11">
        <f>D9+SUM(D10:D10)</f>
        <v>0</v>
      </c>
      <c r="E11" s="11">
        <f>E9+SUM(E10:E10)</f>
        <v>0</v>
      </c>
      <c r="F11" s="14">
        <f>F9+SUM(F10:F10)</f>
        <v>0</v>
      </c>
      <c r="G11" s="11">
        <f>G9+SUM(G10:G10)</f>
        <v>0</v>
      </c>
      <c r="H11" s="11">
        <f>H9+SUM(H10:H10)</f>
        <v>0</v>
      </c>
      <c r="K11" s="11">
        <f>K9+SUM(K10:K10)</f>
        <v>0</v>
      </c>
      <c r="L11" s="11">
        <f>L9+SUM(L10:L10)</f>
        <v>0</v>
      </c>
      <c r="M11" s="11">
        <f>M9+SUM(M10:M10)</f>
        <v>0</v>
      </c>
      <c r="N11" s="11">
        <f>N9+SUM(N10:N10)</f>
        <v>0</v>
      </c>
      <c r="O11" s="11">
        <f>O9+SUM(O10:O10)</f>
        <v>0</v>
      </c>
      <c r="P11" s="11">
        <f>P9+SUM(P10:P10)</f>
        <v>0</v>
      </c>
      <c r="Q11" s="11">
        <f>Q9+SUM(Q10:Q10)</f>
        <v>0</v>
      </c>
      <c r="R11" s="11">
        <f>R9+SUM(R10:R10)</f>
        <v>0</v>
      </c>
      <c r="S11" s="154">
        <f>S9+SUM(S10:S10)</f>
        <v>-17.331</v>
      </c>
      <c r="T11" s="11">
        <f>T9+SUM(T10:T10)</f>
        <v>-16.058</v>
      </c>
      <c r="U11" s="11">
        <f>U9+SUM(U10:U10)</f>
        <v>0</v>
      </c>
      <c r="V11" s="146">
        <f>V9+SUM(V10:V10)</f>
        <v>0</v>
      </c>
      <c r="W11" s="146">
        <f>W9+SUM(W10:W10)</f>
        <v>-80.412999999999997</v>
      </c>
      <c r="X11" s="14">
        <f>X9+SUM(X10:X10)</f>
        <v>-14.083000000000009</v>
      </c>
      <c r="Y11" s="146">
        <f>Y9+SUM(Y10:Y10)</f>
        <v>-21.155983864671438</v>
      </c>
      <c r="Z11" s="146">
        <f>Z9+SUM(Z10:Z10)</f>
        <v>-23.491413402732597</v>
      </c>
    </row>
    <row r="12" spans="1:27" x14ac:dyDescent="0.25">
      <c r="B12" t="s">
        <v>20</v>
      </c>
      <c r="C12" s="10"/>
      <c r="D12" s="10"/>
      <c r="E12" s="10"/>
      <c r="F12" s="15"/>
      <c r="G12" s="39"/>
      <c r="H12" s="39"/>
      <c r="K12" s="10"/>
      <c r="L12" s="10"/>
      <c r="M12" s="10"/>
      <c r="N12" s="10"/>
      <c r="O12" s="10"/>
      <c r="P12" s="10"/>
      <c r="Q12" s="10"/>
      <c r="R12" s="10"/>
      <c r="S12" s="156">
        <v>0.123</v>
      </c>
      <c r="T12" s="10">
        <v>3.9460000000000002</v>
      </c>
      <c r="U12" s="10"/>
      <c r="V12" s="147"/>
      <c r="W12" s="147">
        <v>12.582000000000001</v>
      </c>
      <c r="X12" s="15">
        <v>-6.5369999999999999</v>
      </c>
      <c r="Y12" s="147"/>
      <c r="Z12" s="147"/>
    </row>
    <row r="13" spans="1:27" x14ac:dyDescent="0.25">
      <c r="B13" t="s">
        <v>26</v>
      </c>
      <c r="C13" s="10"/>
      <c r="D13" s="10"/>
      <c r="E13" s="10"/>
      <c r="F13" s="15"/>
      <c r="G13" s="39"/>
      <c r="H13" s="39"/>
      <c r="K13" s="10"/>
      <c r="L13" s="10"/>
      <c r="M13" s="10"/>
      <c r="N13" s="10"/>
      <c r="O13" s="10"/>
      <c r="P13" s="10"/>
      <c r="Q13" s="10"/>
      <c r="R13" s="10"/>
      <c r="S13" s="156">
        <v>-0.20799999999999999</v>
      </c>
      <c r="T13" s="10">
        <v>0.21199999999999999</v>
      </c>
      <c r="U13" s="10"/>
      <c r="V13" s="147"/>
      <c r="W13" s="147">
        <v>0.318</v>
      </c>
      <c r="X13" s="15">
        <v>0.29299999999999998</v>
      </c>
      <c r="Y13" s="147"/>
      <c r="Z13" s="147"/>
    </row>
    <row r="14" spans="1:27" s="1" customFormat="1" x14ac:dyDescent="0.25">
      <c r="B14" s="1" t="s">
        <v>21</v>
      </c>
      <c r="C14" s="11">
        <f t="shared" ref="C14:F14" si="0">C11-SUM(C12:C13)</f>
        <v>0</v>
      </c>
      <c r="D14" s="11">
        <f t="shared" si="0"/>
        <v>0</v>
      </c>
      <c r="E14" s="11">
        <f t="shared" si="0"/>
        <v>0</v>
      </c>
      <c r="F14" s="14">
        <f t="shared" si="0"/>
        <v>0</v>
      </c>
      <c r="G14" s="60"/>
      <c r="H14" s="60"/>
      <c r="K14" s="11">
        <f t="shared" ref="K14" si="1">K11-SUM(K12:K13)</f>
        <v>0</v>
      </c>
      <c r="L14" s="11">
        <f t="shared" ref="L14" si="2">L11-SUM(L12:L13)</f>
        <v>0</v>
      </c>
      <c r="M14" s="11">
        <f t="shared" ref="M14" si="3">M11-SUM(M12:M13)</f>
        <v>0</v>
      </c>
      <c r="N14" s="11">
        <f t="shared" ref="N14" si="4">N11-SUM(N12:N13)</f>
        <v>0</v>
      </c>
      <c r="O14" s="11">
        <f t="shared" ref="O14" si="5">O11-SUM(O12:O13)</f>
        <v>0</v>
      </c>
      <c r="P14" s="11">
        <f t="shared" ref="P14" si="6">P11-SUM(P12:P13)</f>
        <v>0</v>
      </c>
      <c r="Q14" s="11">
        <f t="shared" ref="Q14" si="7">Q11-SUM(Q12:Q13)</f>
        <v>0</v>
      </c>
      <c r="R14" s="11">
        <f t="shared" ref="R14" si="8">R11-SUM(R12:R13)</f>
        <v>0</v>
      </c>
      <c r="S14" s="154">
        <f t="shared" ref="S14" si="9">S11-SUM(S12:S13)</f>
        <v>-17.245999999999999</v>
      </c>
      <c r="T14" s="11">
        <f t="shared" ref="T14" si="10">T11-SUM(T12:T13)</f>
        <v>-20.216000000000001</v>
      </c>
      <c r="U14" s="11">
        <f t="shared" ref="U14" si="11">U11-SUM(U12:U13)</f>
        <v>0</v>
      </c>
      <c r="V14" s="146">
        <f t="shared" ref="V14:Z14" si="12">V11-SUM(V12:V13)</f>
        <v>0</v>
      </c>
      <c r="W14" s="146">
        <f t="shared" si="12"/>
        <v>-93.313000000000002</v>
      </c>
      <c r="X14" s="14">
        <f t="shared" si="12"/>
        <v>-7.8390000000000093</v>
      </c>
      <c r="Y14" s="146">
        <f t="shared" si="12"/>
        <v>-21.155983864671438</v>
      </c>
      <c r="Z14" s="146">
        <f t="shared" si="12"/>
        <v>-23.491413402732597</v>
      </c>
    </row>
    <row r="15" spans="1:27" x14ac:dyDescent="0.25">
      <c r="B15" t="s">
        <v>1</v>
      </c>
      <c r="C15" s="10"/>
      <c r="D15" s="10"/>
      <c r="E15" s="10"/>
      <c r="F15" s="15"/>
      <c r="G15" s="39"/>
      <c r="H15" s="39"/>
      <c r="K15" s="10"/>
      <c r="L15" s="10"/>
      <c r="M15" s="10"/>
      <c r="N15" s="10"/>
      <c r="O15" s="10"/>
      <c r="P15" s="10"/>
      <c r="Q15" s="10"/>
      <c r="R15" s="10"/>
      <c r="S15" s="10">
        <v>35.826000000000001</v>
      </c>
      <c r="T15" s="10">
        <v>36.567</v>
      </c>
      <c r="U15" s="10"/>
      <c r="V15" s="147"/>
      <c r="W15" s="147">
        <v>52.531999999999996</v>
      </c>
      <c r="X15" s="15">
        <v>155.19900000000001</v>
      </c>
      <c r="Y15" s="147">
        <v>156</v>
      </c>
      <c r="Z15" s="147">
        <v>157</v>
      </c>
    </row>
    <row r="16" spans="1:27" s="1" customFormat="1" x14ac:dyDescent="0.25">
      <c r="B16" s="1" t="s">
        <v>22</v>
      </c>
      <c r="C16" s="2" t="e">
        <f>C14/C15</f>
        <v>#DIV/0!</v>
      </c>
      <c r="D16" s="2" t="e">
        <f>D14/D15</f>
        <v>#DIV/0!</v>
      </c>
      <c r="E16" s="2" t="e">
        <f>E14/E15</f>
        <v>#DIV/0!</v>
      </c>
      <c r="F16" s="56" t="e">
        <f>F14/F15</f>
        <v>#DIV/0!</v>
      </c>
      <c r="G16" s="57"/>
      <c r="H16" s="58"/>
      <c r="K16" s="2" t="e">
        <f>K14/K15</f>
        <v>#DIV/0!</v>
      </c>
      <c r="L16" s="2" t="e">
        <f t="shared" ref="L16:V16" si="13">L14/L15</f>
        <v>#DIV/0!</v>
      </c>
      <c r="M16" s="2" t="e">
        <f t="shared" si="13"/>
        <v>#DIV/0!</v>
      </c>
      <c r="N16" s="2" t="e">
        <f t="shared" si="13"/>
        <v>#DIV/0!</v>
      </c>
      <c r="O16" s="2" t="e">
        <f t="shared" si="13"/>
        <v>#DIV/0!</v>
      </c>
      <c r="P16" s="2" t="e">
        <f t="shared" si="13"/>
        <v>#DIV/0!</v>
      </c>
      <c r="Q16" s="2" t="e">
        <f t="shared" si="13"/>
        <v>#DIV/0!</v>
      </c>
      <c r="R16" s="2" t="e">
        <f t="shared" si="13"/>
        <v>#DIV/0!</v>
      </c>
      <c r="S16" s="2">
        <f t="shared" si="13"/>
        <v>-0.48138223636465133</v>
      </c>
      <c r="T16" s="2">
        <f t="shared" si="13"/>
        <v>-0.55284819646129024</v>
      </c>
      <c r="U16" s="2" t="e">
        <f t="shared" si="13"/>
        <v>#DIV/0!</v>
      </c>
      <c r="V16" s="148" t="e">
        <f t="shared" si="13"/>
        <v>#DIV/0!</v>
      </c>
      <c r="W16" s="148">
        <f t="shared" ref="W16:Z16" si="14">W14/W15</f>
        <v>-1.7763077743089928</v>
      </c>
      <c r="X16" s="34">
        <f t="shared" si="14"/>
        <v>-5.0509346065374189E-2</v>
      </c>
      <c r="Y16" s="148">
        <f t="shared" si="14"/>
        <v>-0.13561528118379126</v>
      </c>
      <c r="Z16" s="148">
        <f t="shared" si="14"/>
        <v>-0.14962683696008022</v>
      </c>
    </row>
    <row r="17" spans="2:26" s="1" customFormat="1" x14ac:dyDescent="0.25">
      <c r="B17" s="9" t="s">
        <v>63</v>
      </c>
      <c r="C17" s="2"/>
      <c r="D17" s="2"/>
      <c r="E17" s="2"/>
      <c r="F17" s="34"/>
      <c r="G17" s="43">
        <v>0.56000000000000005</v>
      </c>
      <c r="H17" s="44">
        <v>0.84</v>
      </c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149"/>
      <c r="W17" s="149"/>
      <c r="X17" s="48"/>
      <c r="Y17" s="149">
        <v>0.16</v>
      </c>
      <c r="Z17" s="149">
        <v>0.17</v>
      </c>
    </row>
    <row r="18" spans="2:26" s="1" customFormat="1" x14ac:dyDescent="0.25">
      <c r="B18" t="s">
        <v>30</v>
      </c>
      <c r="C18" s="3" t="e">
        <f>1-C5/C3</f>
        <v>#DIV/0!</v>
      </c>
      <c r="D18" s="3" t="e">
        <f>1-D5/D3</f>
        <v>#DIV/0!</v>
      </c>
      <c r="E18" s="3" t="e">
        <f>1-E5/E3</f>
        <v>#DIV/0!</v>
      </c>
      <c r="F18" s="6" t="e">
        <f>1-F5/F3</f>
        <v>#DIV/0!</v>
      </c>
      <c r="G18" s="45"/>
      <c r="H18" s="45"/>
      <c r="K18" s="3" t="e">
        <f>1-K5/K3</f>
        <v>#DIV/0!</v>
      </c>
      <c r="L18" s="3" t="e">
        <f>1-L5/L3</f>
        <v>#DIV/0!</v>
      </c>
      <c r="M18" s="3" t="e">
        <f>1-M5/M3</f>
        <v>#DIV/0!</v>
      </c>
      <c r="N18" s="3" t="e">
        <f>1-N5/N3</f>
        <v>#DIV/0!</v>
      </c>
      <c r="O18" s="3" t="e">
        <f>1-O5/O3</f>
        <v>#DIV/0!</v>
      </c>
      <c r="P18" s="3" t="e">
        <f>1-P5/P3</f>
        <v>#DIV/0!</v>
      </c>
      <c r="Q18" s="3" t="e">
        <f>1-Q5/Q3</f>
        <v>#DIV/0!</v>
      </c>
      <c r="R18" s="3" t="e">
        <f>1-R5/R3</f>
        <v>#DIV/0!</v>
      </c>
      <c r="S18" s="3">
        <f>1-S5/S3</f>
        <v>0.24105525362318847</v>
      </c>
      <c r="T18" s="3">
        <f>1-T5/T3</f>
        <v>0.7895770958083832</v>
      </c>
      <c r="U18" s="3" t="e">
        <f>1-U5/U3</f>
        <v>#DIV/0!</v>
      </c>
      <c r="V18" s="38" t="e">
        <f>1-V5/V3</f>
        <v>#DIV/0!</v>
      </c>
      <c r="W18" s="38">
        <f>1-W5/W3</f>
        <v>0.7741579576450397</v>
      </c>
      <c r="X18" s="6">
        <f>1-X5/X3</f>
        <v>0.77884189980481455</v>
      </c>
      <c r="Y18" s="38" t="e">
        <f>1-Y5/Y3</f>
        <v>#DIV/0!</v>
      </c>
      <c r="Z18" s="38" t="e">
        <f>1-Z5/Z3</f>
        <v>#DIV/0!</v>
      </c>
    </row>
    <row r="19" spans="2:26" x14ac:dyDescent="0.25">
      <c r="B19" t="s">
        <v>31</v>
      </c>
      <c r="C19" s="4" t="e">
        <f>C14/C3</f>
        <v>#DIV/0!</v>
      </c>
      <c r="D19" s="4" t="e">
        <f>D14/D3</f>
        <v>#DIV/0!</v>
      </c>
      <c r="E19" s="4" t="e">
        <f>E14/E3</f>
        <v>#DIV/0!</v>
      </c>
      <c r="F19" s="7" t="e">
        <f>F14/F3</f>
        <v>#DIV/0!</v>
      </c>
      <c r="G19" s="46">
        <f>G14/G4</f>
        <v>0</v>
      </c>
      <c r="H19" s="46">
        <f>H14/H4</f>
        <v>0</v>
      </c>
      <c r="K19" s="4" t="e">
        <f>K14/K3</f>
        <v>#DIV/0!</v>
      </c>
      <c r="L19" s="4" t="e">
        <f>L14/L3</f>
        <v>#DIV/0!</v>
      </c>
      <c r="M19" s="4" t="e">
        <f>M14/M3</f>
        <v>#DIV/0!</v>
      </c>
      <c r="N19" s="4" t="e">
        <f>N14/N3</f>
        <v>#DIV/0!</v>
      </c>
      <c r="O19" s="4" t="e">
        <f>O14/O3</f>
        <v>#DIV/0!</v>
      </c>
      <c r="P19" s="4" t="e">
        <f>P14/P3</f>
        <v>#DIV/0!</v>
      </c>
      <c r="Q19" s="4" t="e">
        <f>Q14/Q3</f>
        <v>#DIV/0!</v>
      </c>
      <c r="R19" s="4" t="e">
        <f>R14/R3</f>
        <v>#DIV/0!</v>
      </c>
      <c r="S19" s="4">
        <f>S14/S3</f>
        <v>-0.97633605072463747</v>
      </c>
      <c r="T19" s="4">
        <f>T14/T3</f>
        <v>-1.8914670658682635</v>
      </c>
      <c r="U19" s="4" t="e">
        <f>U14/U3</f>
        <v>#DIV/0!</v>
      </c>
      <c r="V19" s="150" t="e">
        <f>V14/V3</f>
        <v>#DIV/0!</v>
      </c>
      <c r="W19" s="150">
        <f>W14/W3</f>
        <v>-1.4299089766771891</v>
      </c>
      <c r="X19" s="7">
        <f>X14/X3</f>
        <v>-0.10200390370852322</v>
      </c>
      <c r="Y19" s="150" t="e">
        <f>Y14/Y3</f>
        <v>#DIV/0!</v>
      </c>
      <c r="Z19" s="150" t="e">
        <f>Z14/Z3</f>
        <v>#DIV/0!</v>
      </c>
    </row>
    <row r="20" spans="2:26" x14ac:dyDescent="0.25">
      <c r="B20" t="s">
        <v>32</v>
      </c>
      <c r="C20" s="3" t="e">
        <f>C3/#REF!-1</f>
        <v>#REF!</v>
      </c>
      <c r="D20" s="3" t="e">
        <f>D3/C3-1</f>
        <v>#DIV/0!</v>
      </c>
      <c r="E20" s="38" t="e">
        <f>E3/D3-1</f>
        <v>#DIV/0!</v>
      </c>
      <c r="F20" s="6" t="e">
        <f>F3/E3-1</f>
        <v>#DIV/0!</v>
      </c>
      <c r="G20" s="47" t="e">
        <f>G4/F3-1</f>
        <v>#DIV/0!</v>
      </c>
      <c r="H20" s="47">
        <f>H4/G4-1</f>
        <v>0.48861061072694523</v>
      </c>
      <c r="K20" s="4"/>
      <c r="L20" s="4"/>
      <c r="M20" s="4"/>
      <c r="N20" s="4"/>
      <c r="O20" s="4" t="e">
        <f>O3/K3-1</f>
        <v>#DIV/0!</v>
      </c>
      <c r="P20" s="4" t="e">
        <f>P3/L3-1</f>
        <v>#DIV/0!</v>
      </c>
      <c r="Q20" s="4" t="e">
        <f>Q3/M3-1</f>
        <v>#DIV/0!</v>
      </c>
      <c r="R20" s="4" t="e">
        <f>R3/N3-1</f>
        <v>#DIV/0!</v>
      </c>
      <c r="S20" s="4" t="e">
        <f>S3/O3-1</f>
        <v>#DIV/0!</v>
      </c>
      <c r="T20" s="4" t="e">
        <f>T3/P3-1</f>
        <v>#DIV/0!</v>
      </c>
      <c r="U20" s="4" t="e">
        <f>U3/Q3-1</f>
        <v>#DIV/0!</v>
      </c>
      <c r="V20" s="150" t="e">
        <f>V3/R3-1</f>
        <v>#DIV/0!</v>
      </c>
      <c r="W20" s="150">
        <f>W3/S3-1</f>
        <v>2.6944067028985503</v>
      </c>
      <c r="X20" s="7">
        <f>X3/T3-1</f>
        <v>6.1903068862275443</v>
      </c>
      <c r="Y20" s="150" t="e">
        <f>Y3/U3-1</f>
        <v>#DIV/0!</v>
      </c>
      <c r="Z20" s="150" t="e">
        <f>Z3/V3-1</f>
        <v>#DIV/0!</v>
      </c>
    </row>
    <row r="21" spans="2:26" x14ac:dyDescent="0.25">
      <c r="B21" t="s">
        <v>65</v>
      </c>
      <c r="C21" s="150" t="e">
        <f t="shared" ref="C21:F21" si="15">C7/C3</f>
        <v>#DIV/0!</v>
      </c>
      <c r="D21" s="150" t="e">
        <f t="shared" si="15"/>
        <v>#DIV/0!</v>
      </c>
      <c r="E21" s="150" t="e">
        <f t="shared" si="15"/>
        <v>#DIV/0!</v>
      </c>
      <c r="F21" s="150" t="e">
        <f t="shared" si="15"/>
        <v>#DIV/0!</v>
      </c>
      <c r="G21" s="122"/>
      <c r="H21" s="122"/>
      <c r="K21" s="150" t="e">
        <f t="shared" ref="K21:V21" si="16">K7/K3</f>
        <v>#DIV/0!</v>
      </c>
      <c r="L21" s="150" t="e">
        <f t="shared" si="16"/>
        <v>#DIV/0!</v>
      </c>
      <c r="M21" s="150" t="e">
        <f t="shared" si="16"/>
        <v>#DIV/0!</v>
      </c>
      <c r="N21" s="150" t="e">
        <f t="shared" si="16"/>
        <v>#DIV/0!</v>
      </c>
      <c r="O21" s="150" t="e">
        <f t="shared" si="16"/>
        <v>#DIV/0!</v>
      </c>
      <c r="P21" s="150" t="e">
        <f t="shared" si="16"/>
        <v>#DIV/0!</v>
      </c>
      <c r="Q21" s="150" t="e">
        <f t="shared" si="16"/>
        <v>#DIV/0!</v>
      </c>
      <c r="R21" s="150" t="e">
        <f t="shared" si="16"/>
        <v>#DIV/0!</v>
      </c>
      <c r="S21" s="150">
        <f t="shared" si="16"/>
        <v>0.24869791666666663</v>
      </c>
      <c r="T21" s="150">
        <f t="shared" si="16"/>
        <v>0.47688997005988026</v>
      </c>
      <c r="U21" s="150" t="e">
        <f t="shared" si="16"/>
        <v>#DIV/0!</v>
      </c>
      <c r="V21" s="150" t="e">
        <f t="shared" si="16"/>
        <v>#DIV/0!</v>
      </c>
      <c r="W21" s="150">
        <f>W7/W3</f>
        <v>0.85062367832296426</v>
      </c>
      <c r="X21" s="7">
        <f t="shared" ref="X21:Z21" si="17">X7/X3</f>
        <v>0.28726089785296033</v>
      </c>
      <c r="Y21" s="150" t="e">
        <f t="shared" si="17"/>
        <v>#DIV/0!</v>
      </c>
      <c r="Z21" s="150" t="e">
        <f t="shared" si="17"/>
        <v>#DIV/0!</v>
      </c>
    </row>
    <row r="22" spans="2:26" x14ac:dyDescent="0.25">
      <c r="B22" t="s">
        <v>132</v>
      </c>
      <c r="C22" s="150" t="e">
        <f t="shared" ref="C22:F22" si="18">C6/C3</f>
        <v>#DIV/0!</v>
      </c>
      <c r="D22" s="150" t="e">
        <f t="shared" si="18"/>
        <v>#DIV/0!</v>
      </c>
      <c r="E22" s="150" t="e">
        <f t="shared" si="18"/>
        <v>#DIV/0!</v>
      </c>
      <c r="F22" s="150" t="e">
        <f t="shared" si="18"/>
        <v>#DIV/0!</v>
      </c>
      <c r="G22" s="122"/>
      <c r="H22" s="122"/>
      <c r="K22" s="150" t="e">
        <f t="shared" ref="K22:V22" si="19">K6/K3</f>
        <v>#DIV/0!</v>
      </c>
      <c r="L22" s="150" t="e">
        <f t="shared" si="19"/>
        <v>#DIV/0!</v>
      </c>
      <c r="M22" s="150" t="e">
        <f t="shared" si="19"/>
        <v>#DIV/0!</v>
      </c>
      <c r="N22" s="150" t="e">
        <f t="shared" si="19"/>
        <v>#DIV/0!</v>
      </c>
      <c r="O22" s="150" t="e">
        <f t="shared" si="19"/>
        <v>#DIV/0!</v>
      </c>
      <c r="P22" s="150" t="e">
        <f t="shared" si="19"/>
        <v>#DIV/0!</v>
      </c>
      <c r="Q22" s="150" t="e">
        <f t="shared" si="19"/>
        <v>#DIV/0!</v>
      </c>
      <c r="R22" s="150" t="e">
        <f t="shared" si="19"/>
        <v>#DIV/0!</v>
      </c>
      <c r="S22" s="150">
        <f t="shared" si="19"/>
        <v>0.86430027173913038</v>
      </c>
      <c r="T22" s="150">
        <f t="shared" si="19"/>
        <v>1.6710329341317365</v>
      </c>
      <c r="U22" s="150" t="e">
        <f t="shared" si="19"/>
        <v>#DIV/0!</v>
      </c>
      <c r="V22" s="150" t="e">
        <f t="shared" si="19"/>
        <v>#DIV/0!</v>
      </c>
      <c r="W22" s="150">
        <f>W6/W3</f>
        <v>0.82071163688743143</v>
      </c>
      <c r="X22" s="7">
        <f t="shared" ref="X22:Z22" si="20">X6/X3</f>
        <v>0.52165256994144438</v>
      </c>
      <c r="Y22" s="150" t="e">
        <f t="shared" si="20"/>
        <v>#DIV/0!</v>
      </c>
      <c r="Z22" s="150" t="e">
        <f t="shared" si="20"/>
        <v>#DIV/0!</v>
      </c>
    </row>
    <row r="23" spans="2:26" x14ac:dyDescent="0.25">
      <c r="B23" t="s">
        <v>133</v>
      </c>
      <c r="C23" s="150" t="e">
        <f t="shared" ref="C23:F23" si="21">C8/C3</f>
        <v>#DIV/0!</v>
      </c>
      <c r="D23" s="150" t="e">
        <f t="shared" si="21"/>
        <v>#DIV/0!</v>
      </c>
      <c r="E23" s="150" t="e">
        <f t="shared" si="21"/>
        <v>#DIV/0!</v>
      </c>
      <c r="F23" s="150" t="e">
        <f t="shared" si="21"/>
        <v>#DIV/0!</v>
      </c>
      <c r="G23" s="122"/>
      <c r="H23" s="122"/>
      <c r="K23" s="150" t="e">
        <f t="shared" ref="K23:V23" si="22">K8/K3</f>
        <v>#DIV/0!</v>
      </c>
      <c r="L23" s="150" t="e">
        <f t="shared" si="22"/>
        <v>#DIV/0!</v>
      </c>
      <c r="M23" s="150" t="e">
        <f t="shared" si="22"/>
        <v>#DIV/0!</v>
      </c>
      <c r="N23" s="150" t="e">
        <f t="shared" si="22"/>
        <v>#DIV/0!</v>
      </c>
      <c r="O23" s="150" t="e">
        <f t="shared" si="22"/>
        <v>#DIV/0!</v>
      </c>
      <c r="P23" s="150" t="e">
        <f t="shared" si="22"/>
        <v>#DIV/0!</v>
      </c>
      <c r="Q23" s="150" t="e">
        <f t="shared" si="22"/>
        <v>#DIV/0!</v>
      </c>
      <c r="R23" s="150" t="e">
        <f t="shared" si="22"/>
        <v>#DIV/0!</v>
      </c>
      <c r="S23" s="150">
        <f t="shared" si="22"/>
        <v>0.19955842391304346</v>
      </c>
      <c r="T23" s="150">
        <f t="shared" si="22"/>
        <v>0.28957709580838326</v>
      </c>
      <c r="U23" s="150" t="e">
        <f t="shared" si="22"/>
        <v>#DIV/0!</v>
      </c>
      <c r="V23" s="150" t="e">
        <f t="shared" si="22"/>
        <v>#DIV/0!</v>
      </c>
      <c r="W23" s="150">
        <f>W8/W3</f>
        <v>0.37419166998682157</v>
      </c>
      <c r="X23" s="7">
        <f t="shared" ref="X23:Z23" si="23">X8/X3</f>
        <v>0.2867404033832141</v>
      </c>
      <c r="Y23" s="150" t="e">
        <f t="shared" si="23"/>
        <v>#DIV/0!</v>
      </c>
      <c r="Z23" s="150" t="e">
        <f t="shared" si="23"/>
        <v>#DIV/0!</v>
      </c>
    </row>
    <row r="24" spans="2:26" x14ac:dyDescent="0.25">
      <c r="B24" t="s">
        <v>137</v>
      </c>
      <c r="C24" s="59" t="e">
        <f>C16/#REF!-1</f>
        <v>#DIV/0!</v>
      </c>
      <c r="D24" s="59" t="e">
        <f>D16/C16-1</f>
        <v>#DIV/0!</v>
      </c>
      <c r="E24" s="59" t="e">
        <f>E16/D16-1</f>
        <v>#DIV/0!</v>
      </c>
      <c r="F24" s="144" t="e">
        <f>F16/E16-1</f>
        <v>#DIV/0!</v>
      </c>
      <c r="G24" s="59" t="e">
        <f>G17/F16-1</f>
        <v>#DIV/0!</v>
      </c>
      <c r="H24" s="59">
        <f>H17/G17-1</f>
        <v>0.49999999999999978</v>
      </c>
      <c r="K24" s="4"/>
      <c r="L24" s="4"/>
      <c r="M24" s="4"/>
      <c r="N24" s="4"/>
      <c r="O24" s="4" t="e">
        <f>O14/K14-1</f>
        <v>#DIV/0!</v>
      </c>
      <c r="P24" s="4" t="e">
        <f>P14/L14-1</f>
        <v>#DIV/0!</v>
      </c>
      <c r="Q24" s="4" t="e">
        <f>Q14/M14-1</f>
        <v>#DIV/0!</v>
      </c>
      <c r="R24" s="4" t="e">
        <f>R14/N14-1</f>
        <v>#DIV/0!</v>
      </c>
      <c r="S24" s="4" t="e">
        <f>S14/O14-1</f>
        <v>#DIV/0!</v>
      </c>
      <c r="T24" s="4" t="e">
        <f>T14/P14-1</f>
        <v>#DIV/0!</v>
      </c>
      <c r="U24" s="4" t="e">
        <f>U14/Q14-1</f>
        <v>#DIV/0!</v>
      </c>
      <c r="V24" s="150" t="e">
        <f>V14/R14-1</f>
        <v>#DIV/0!</v>
      </c>
      <c r="W24" s="150">
        <f>W14/S14-1</f>
        <v>4.4107039313463998</v>
      </c>
      <c r="X24" s="7">
        <f>X14/T14-1</f>
        <v>-0.61223783142065646</v>
      </c>
      <c r="Y24" s="150" t="e">
        <f>Y14/U14-1</f>
        <v>#DIV/0!</v>
      </c>
      <c r="Z24" s="150" t="e">
        <f>Z14/V14-1</f>
        <v>#DIV/0!</v>
      </c>
    </row>
    <row r="25" spans="2:26" x14ac:dyDescent="0.25">
      <c r="B25" t="s">
        <v>77</v>
      </c>
      <c r="C25" s="51" t="e">
        <f>C10/C3</f>
        <v>#DIV/0!</v>
      </c>
      <c r="D25" s="51" t="e">
        <f>D10/D3</f>
        <v>#DIV/0!</v>
      </c>
      <c r="E25" s="51" t="e">
        <f>E10/E3</f>
        <v>#DIV/0!</v>
      </c>
      <c r="F25" s="52" t="e">
        <f>F10/F3</f>
        <v>#DIV/0!</v>
      </c>
      <c r="G25" s="51">
        <f>G10/G4</f>
        <v>0</v>
      </c>
      <c r="H25" s="51">
        <f>H10/H4</f>
        <v>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0"/>
      <c r="W25" s="150"/>
      <c r="X25" s="7"/>
      <c r="Y25" s="150"/>
      <c r="Z25" s="150"/>
    </row>
    <row r="26" spans="2:26" x14ac:dyDescent="0.25">
      <c r="B26" t="s">
        <v>78</v>
      </c>
      <c r="C26" s="53" t="e">
        <f>-C10/C9</f>
        <v>#DIV/0!</v>
      </c>
      <c r="D26" s="53" t="e">
        <f>-D10/D9</f>
        <v>#DIV/0!</v>
      </c>
      <c r="E26" s="53" t="e">
        <f>-E10/E9</f>
        <v>#DIV/0!</v>
      </c>
      <c r="F26" s="52" t="e">
        <f>-F10/F9</f>
        <v>#DIV/0!</v>
      </c>
      <c r="G26" s="51" t="e">
        <f>-G10/G9</f>
        <v>#DIV/0!</v>
      </c>
      <c r="H26" s="51" t="e">
        <f>-H10/H9</f>
        <v>#DIV/0!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50"/>
      <c r="W26" s="150"/>
      <c r="X26" s="7"/>
      <c r="Y26" s="150"/>
      <c r="Z26" s="150"/>
    </row>
    <row r="27" spans="2:26" x14ac:dyDescent="0.25">
      <c r="W27" s="145"/>
      <c r="Y27" s="145"/>
      <c r="Z27" s="145"/>
    </row>
    <row r="28" spans="2:26" x14ac:dyDescent="0.25">
      <c r="W28" s="145"/>
      <c r="Y28" s="145"/>
      <c r="Z28" s="145"/>
    </row>
    <row r="29" spans="2:26" s="1" customFormat="1" x14ac:dyDescent="0.25">
      <c r="B29" s="1" t="s">
        <v>38</v>
      </c>
      <c r="C29" s="146">
        <f t="shared" ref="C29:E29" si="24">C30+C31</f>
        <v>0</v>
      </c>
      <c r="D29" s="146">
        <f t="shared" si="24"/>
        <v>0</v>
      </c>
      <c r="E29" s="146">
        <f t="shared" si="24"/>
        <v>0</v>
      </c>
      <c r="F29" s="14">
        <f>F30+F31</f>
        <v>149.31299999999999</v>
      </c>
      <c r="K29" s="146">
        <f t="shared" ref="K29" si="25">K30+K31</f>
        <v>0</v>
      </c>
      <c r="L29" s="146">
        <f t="shared" ref="L29" si="26">L30+L31</f>
        <v>0</v>
      </c>
      <c r="M29" s="146">
        <f t="shared" ref="M29" si="27">M30+M31</f>
        <v>0</v>
      </c>
      <c r="N29" s="146">
        <f t="shared" ref="N29" si="28">N30+N31</f>
        <v>0</v>
      </c>
      <c r="O29" s="146">
        <f t="shared" ref="O29" si="29">O30+O31</f>
        <v>0</v>
      </c>
      <c r="P29" s="146">
        <f t="shared" ref="P29" si="30">P30+P31</f>
        <v>0</v>
      </c>
      <c r="Q29" s="146">
        <f t="shared" ref="Q29" si="31">Q30+Q31</f>
        <v>0</v>
      </c>
      <c r="R29" s="146">
        <f t="shared" ref="R29" si="32">R30+R31</f>
        <v>0</v>
      </c>
      <c r="S29" s="146">
        <f t="shared" ref="S29" si="33">S30+S31</f>
        <v>0</v>
      </c>
      <c r="T29" s="146">
        <f t="shared" ref="T29" si="34">T30+T31</f>
        <v>0</v>
      </c>
      <c r="U29" s="146">
        <f t="shared" ref="U29" si="35">U30+U31</f>
        <v>0</v>
      </c>
      <c r="V29" s="146">
        <f t="shared" ref="V29" si="36">V30+V31</f>
        <v>149.31299999999999</v>
      </c>
      <c r="W29" s="146">
        <f t="shared" ref="W29" si="37">W30+W31</f>
        <v>801.39099999999996</v>
      </c>
      <c r="X29" s="14">
        <f t="shared" ref="X29" si="38">X30+X31</f>
        <v>830.995</v>
      </c>
      <c r="Y29" s="146">
        <f t="shared" ref="Y29" si="39">Y30+Y31</f>
        <v>0</v>
      </c>
      <c r="Z29" s="146">
        <f t="shared" ref="Z29" si="40">Z30+Z31</f>
        <v>0</v>
      </c>
    </row>
    <row r="30" spans="2:26" x14ac:dyDescent="0.25">
      <c r="B30" t="s">
        <v>24</v>
      </c>
      <c r="C30" s="10"/>
      <c r="D30" s="10"/>
      <c r="E30" s="10"/>
      <c r="F30" s="15">
        <v>45.097999999999999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47">
        <f>F30</f>
        <v>45.097999999999999</v>
      </c>
      <c r="W30" s="147">
        <v>696.077</v>
      </c>
      <c r="X30" s="15">
        <v>421.07600000000002</v>
      </c>
      <c r="Y30" s="147"/>
      <c r="Z30" s="147"/>
    </row>
    <row r="31" spans="2:26" x14ac:dyDescent="0.25">
      <c r="B31" t="s">
        <v>140</v>
      </c>
      <c r="C31" s="10"/>
      <c r="D31" s="10"/>
      <c r="E31" s="10"/>
      <c r="F31" s="15">
        <v>104.215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47">
        <f t="shared" ref="V31:V34" si="41">F31</f>
        <v>104.215</v>
      </c>
      <c r="W31" s="147">
        <v>105.31399999999999</v>
      </c>
      <c r="X31" s="15">
        <v>409.91899999999998</v>
      </c>
      <c r="Y31" s="147"/>
      <c r="Z31" s="147"/>
    </row>
    <row r="32" spans="2:26" x14ac:dyDescent="0.25">
      <c r="B32" t="s">
        <v>25</v>
      </c>
      <c r="C32" s="10"/>
      <c r="D32" s="10"/>
      <c r="E32" s="10"/>
      <c r="F32" s="15">
        <v>8.3350000000000009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47">
        <f t="shared" si="41"/>
        <v>8.3350000000000009</v>
      </c>
      <c r="W32" s="147">
        <v>16.757000000000001</v>
      </c>
      <c r="X32" s="15">
        <v>22.233000000000001</v>
      </c>
      <c r="Y32" s="147"/>
      <c r="Z32" s="147"/>
    </row>
    <row r="33" spans="2:26" x14ac:dyDescent="0.25">
      <c r="B33" t="s">
        <v>141</v>
      </c>
      <c r="C33" s="10"/>
      <c r="D33" s="10"/>
      <c r="E33" s="10"/>
      <c r="F33" s="15">
        <v>24.094999999999999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47">
        <f t="shared" si="41"/>
        <v>24.094999999999999</v>
      </c>
      <c r="W33" s="147">
        <v>29.567</v>
      </c>
      <c r="X33" s="15">
        <v>28.571999999999999</v>
      </c>
      <c r="Y33" s="147"/>
      <c r="Z33" s="147"/>
    </row>
    <row r="34" spans="2:26" x14ac:dyDescent="0.25">
      <c r="B34" t="s">
        <v>74</v>
      </c>
      <c r="C34" s="10"/>
      <c r="D34" s="10"/>
      <c r="E34" s="10"/>
      <c r="F34" s="15">
        <v>4.0640000000000001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47">
        <f t="shared" si="41"/>
        <v>4.0640000000000001</v>
      </c>
      <c r="W34" s="147">
        <v>6.7249999999999996</v>
      </c>
      <c r="X34" s="15">
        <v>9.4450000000000003</v>
      </c>
      <c r="Y34" s="147"/>
      <c r="Z34" s="147"/>
    </row>
    <row r="35" spans="2:26" s="1" customFormat="1" x14ac:dyDescent="0.25">
      <c r="B35" s="1" t="s">
        <v>60</v>
      </c>
      <c r="C35" s="11">
        <f>SUM(C30:C34)</f>
        <v>0</v>
      </c>
      <c r="D35" s="11">
        <f>SUM(D30:D34)</f>
        <v>0</v>
      </c>
      <c r="E35" s="11">
        <f>SUM(E30:E34)</f>
        <v>0</v>
      </c>
      <c r="F35" s="14">
        <f>SUM(F30:F34)</f>
        <v>185.80699999999999</v>
      </c>
      <c r="K35" s="11">
        <f>SUM(K30:K34)</f>
        <v>0</v>
      </c>
      <c r="L35" s="11">
        <f>SUM(L30:L34)</f>
        <v>0</v>
      </c>
      <c r="M35" s="11">
        <f>SUM(M30:M34)</f>
        <v>0</v>
      </c>
      <c r="N35" s="11">
        <f>SUM(N30:N34)</f>
        <v>0</v>
      </c>
      <c r="O35" s="11">
        <f>SUM(O30:O34)</f>
        <v>0</v>
      </c>
      <c r="P35" s="11">
        <f>SUM(P30:P34)</f>
        <v>0</v>
      </c>
      <c r="Q35" s="11">
        <f>SUM(Q30:Q34)</f>
        <v>0</v>
      </c>
      <c r="R35" s="11">
        <f>SUM(R30:R34)</f>
        <v>0</v>
      </c>
      <c r="S35" s="11">
        <f>SUM(S30:S34)</f>
        <v>0</v>
      </c>
      <c r="T35" s="11">
        <f>SUM(T30:T34)</f>
        <v>0</v>
      </c>
      <c r="U35" s="11">
        <f>SUM(U30:U34)</f>
        <v>0</v>
      </c>
      <c r="V35" s="146">
        <f>SUM(V30:V34)</f>
        <v>185.80699999999999</v>
      </c>
      <c r="W35" s="146">
        <f>SUM(W30:W34)</f>
        <v>854.43999999999994</v>
      </c>
      <c r="X35" s="14">
        <f>SUM(X30:X34)</f>
        <v>891.245</v>
      </c>
      <c r="Y35" s="146">
        <f>SUM(Y30:Y34)</f>
        <v>0</v>
      </c>
      <c r="Z35" s="146">
        <f>SUM(Z30:Z34)</f>
        <v>0</v>
      </c>
    </row>
    <row r="36" spans="2:26" x14ac:dyDescent="0.25">
      <c r="B36" t="s">
        <v>75</v>
      </c>
      <c r="C36" s="10"/>
      <c r="D36" s="10"/>
      <c r="E36" s="10"/>
      <c r="F36" s="15">
        <v>4.7119999999999997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47">
        <f t="shared" ref="V36:V37" si="42">F36</f>
        <v>4.7119999999999997</v>
      </c>
      <c r="W36" s="147">
        <v>7.5810000000000004</v>
      </c>
      <c r="X36" s="15">
        <v>21.821000000000002</v>
      </c>
      <c r="Y36" s="147"/>
      <c r="Z36" s="147"/>
    </row>
    <row r="37" spans="2:26" x14ac:dyDescent="0.25">
      <c r="B37" t="s">
        <v>26</v>
      </c>
      <c r="C37" s="10"/>
      <c r="D37" s="10"/>
      <c r="E37" s="10"/>
      <c r="F37" s="15">
        <v>5.7729999999999997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47">
        <f t="shared" si="42"/>
        <v>5.7729999999999997</v>
      </c>
      <c r="W37" s="147">
        <v>2.88</v>
      </c>
      <c r="X37" s="15">
        <v>2.4489999999999998</v>
      </c>
      <c r="Y37" s="147"/>
      <c r="Z37" s="147"/>
    </row>
    <row r="38" spans="2:26" x14ac:dyDescent="0.25">
      <c r="B38" s="1" t="s">
        <v>27</v>
      </c>
      <c r="C38" s="11">
        <f>SUM(C35:C37)</f>
        <v>0</v>
      </c>
      <c r="D38" s="11">
        <f>SUM(D35:D37)</f>
        <v>0</v>
      </c>
      <c r="E38" s="11">
        <f>SUM(E35:E37)</f>
        <v>0</v>
      </c>
      <c r="F38" s="14">
        <f>SUM(F35:F37)</f>
        <v>196.29199999999997</v>
      </c>
      <c r="K38" s="11">
        <f>SUM(K35:K37)</f>
        <v>0</v>
      </c>
      <c r="L38" s="11">
        <f>SUM(L35:L37)</f>
        <v>0</v>
      </c>
      <c r="M38" s="11">
        <f>SUM(M35:M37)</f>
        <v>0</v>
      </c>
      <c r="N38" s="11">
        <f>SUM(N35:N37)</f>
        <v>0</v>
      </c>
      <c r="O38" s="11">
        <f>SUM(O35:O37)</f>
        <v>0</v>
      </c>
      <c r="P38" s="11">
        <f>SUM(P35:P37)</f>
        <v>0</v>
      </c>
      <c r="Q38" s="11">
        <f>SUM(Q35:Q37)</f>
        <v>0</v>
      </c>
      <c r="R38" s="11">
        <f>SUM(R35:R37)</f>
        <v>0</v>
      </c>
      <c r="S38" s="11">
        <f>SUM(S35:S37)</f>
        <v>0</v>
      </c>
      <c r="T38" s="11">
        <f>SUM(T35:T37)</f>
        <v>0</v>
      </c>
      <c r="U38" s="11">
        <f>SUM(U35:U37)</f>
        <v>0</v>
      </c>
      <c r="V38" s="146">
        <f>SUM(V35:V37)</f>
        <v>196.29199999999997</v>
      </c>
      <c r="W38" s="146">
        <f>SUM(W35:W37)</f>
        <v>864.90099999999995</v>
      </c>
      <c r="X38" s="14">
        <f>SUM(X35:X37)</f>
        <v>915.51499999999999</v>
      </c>
      <c r="Y38" s="146">
        <f>SUM(Y35:Y37)</f>
        <v>0</v>
      </c>
      <c r="Z38" s="146">
        <f>SUM(Z35:Z37)</f>
        <v>0</v>
      </c>
    </row>
    <row r="39" spans="2:26" x14ac:dyDescent="0.25">
      <c r="B39" t="s">
        <v>29</v>
      </c>
      <c r="C39" s="10"/>
      <c r="D39" s="10"/>
      <c r="E39" s="10"/>
      <c r="F39" s="15">
        <v>6.3369999999999997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47">
        <f t="shared" ref="V39:V40" si="43">F39</f>
        <v>6.3369999999999997</v>
      </c>
      <c r="W39" s="147">
        <v>11.465</v>
      </c>
      <c r="X39" s="15">
        <v>14.595000000000001</v>
      </c>
      <c r="Y39" s="147"/>
      <c r="Z39" s="147"/>
    </row>
    <row r="40" spans="2:26" x14ac:dyDescent="0.25">
      <c r="B40" t="s">
        <v>142</v>
      </c>
      <c r="C40" s="10"/>
      <c r="D40" s="10"/>
      <c r="E40" s="10"/>
      <c r="F40" s="15">
        <v>28.742000000000001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47">
        <f t="shared" si="43"/>
        <v>28.742000000000001</v>
      </c>
      <c r="W40" s="147">
        <v>34.122</v>
      </c>
      <c r="X40" s="15">
        <v>49.478000000000002</v>
      </c>
      <c r="Y40" s="147"/>
      <c r="Z40" s="147"/>
    </row>
    <row r="41" spans="2:26" s="1" customFormat="1" x14ac:dyDescent="0.25">
      <c r="B41" s="1" t="s">
        <v>61</v>
      </c>
      <c r="C41" s="11">
        <f>SUM(C39:C40)</f>
        <v>0</v>
      </c>
      <c r="D41" s="11">
        <f>SUM(D39:D40)</f>
        <v>0</v>
      </c>
      <c r="E41" s="11">
        <f>SUM(E39:E40)</f>
        <v>0</v>
      </c>
      <c r="F41" s="14">
        <f>SUM(F39:F40)</f>
        <v>35.079000000000001</v>
      </c>
      <c r="K41" s="11">
        <f>SUM(K39:K40)</f>
        <v>0</v>
      </c>
      <c r="L41" s="11">
        <f>SUM(L39:L40)</f>
        <v>0</v>
      </c>
      <c r="M41" s="11">
        <f>SUM(M39:M40)</f>
        <v>0</v>
      </c>
      <c r="N41" s="11">
        <f>SUM(N39:N40)</f>
        <v>0</v>
      </c>
      <c r="O41" s="11">
        <f>SUM(O39:O40)</f>
        <v>0</v>
      </c>
      <c r="P41" s="11">
        <f>SUM(P39:P40)</f>
        <v>0</v>
      </c>
      <c r="Q41" s="11">
        <f>SUM(Q39:Q40)</f>
        <v>0</v>
      </c>
      <c r="R41" s="11">
        <f>SUM(R39:R40)</f>
        <v>0</v>
      </c>
      <c r="S41" s="11">
        <f>SUM(S39:S40)</f>
        <v>0</v>
      </c>
      <c r="T41" s="11">
        <f>SUM(T39:T40)</f>
        <v>0</v>
      </c>
      <c r="U41" s="11">
        <f>SUM(U39:U40)</f>
        <v>0</v>
      </c>
      <c r="V41" s="146">
        <f>SUM(V39:V40)</f>
        <v>35.079000000000001</v>
      </c>
      <c r="W41" s="146">
        <f>SUM(W39:W40)</f>
        <v>45.587000000000003</v>
      </c>
      <c r="X41" s="14">
        <f>SUM(X39:X40)</f>
        <v>64.073000000000008</v>
      </c>
      <c r="Y41" s="146">
        <f>SUM(Y39:Y40)</f>
        <v>0</v>
      </c>
      <c r="Z41" s="146">
        <f>SUM(Z39:Z40)</f>
        <v>0</v>
      </c>
    </row>
    <row r="42" spans="2:26" x14ac:dyDescent="0.25">
      <c r="B42" t="s">
        <v>26</v>
      </c>
      <c r="C42" s="10"/>
      <c r="D42" s="10"/>
      <c r="E42" s="10"/>
      <c r="F42" s="15">
        <v>3.7869999999999999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47">
        <f>F42</f>
        <v>3.7869999999999999</v>
      </c>
      <c r="W42" s="147">
        <v>10.53</v>
      </c>
      <c r="X42" s="15">
        <v>6.19</v>
      </c>
      <c r="Y42" s="147"/>
      <c r="Z42" s="147"/>
    </row>
    <row r="43" spans="2:26" x14ac:dyDescent="0.25">
      <c r="B43" s="1" t="s">
        <v>28</v>
      </c>
      <c r="C43" s="11">
        <f>SUM(C41:C42)</f>
        <v>0</v>
      </c>
      <c r="D43" s="11">
        <f>SUM(D41:D42)</f>
        <v>0</v>
      </c>
      <c r="E43" s="11">
        <f>SUM(E41:E42)</f>
        <v>0</v>
      </c>
      <c r="F43" s="14">
        <f>SUM(F41:F42)</f>
        <v>38.866</v>
      </c>
      <c r="K43" s="11">
        <f>SUM(K41:K42)</f>
        <v>0</v>
      </c>
      <c r="L43" s="11">
        <f>SUM(L41:L42)</f>
        <v>0</v>
      </c>
      <c r="M43" s="11">
        <f>SUM(M41:M42)</f>
        <v>0</v>
      </c>
      <c r="N43" s="11">
        <f>SUM(N41:N42)</f>
        <v>0</v>
      </c>
      <c r="O43" s="11">
        <f>SUM(O41:O42)</f>
        <v>0</v>
      </c>
      <c r="P43" s="11">
        <f>SUM(P41:P42)</f>
        <v>0</v>
      </c>
      <c r="Q43" s="11">
        <f>SUM(Q41:Q42)</f>
        <v>0</v>
      </c>
      <c r="R43" s="11">
        <f>SUM(R41:R42)</f>
        <v>0</v>
      </c>
      <c r="S43" s="11">
        <f>SUM(S41:S42)</f>
        <v>0</v>
      </c>
      <c r="T43" s="11">
        <f>SUM(T41:T42)</f>
        <v>0</v>
      </c>
      <c r="U43" s="11">
        <f>SUM(U41:U42)</f>
        <v>0</v>
      </c>
      <c r="V43" s="146">
        <f>SUM(V41:V42)</f>
        <v>38.866</v>
      </c>
      <c r="W43" s="146">
        <f>SUM(W41:W42)</f>
        <v>56.117000000000004</v>
      </c>
      <c r="X43" s="14">
        <f>SUM(X41:X42)</f>
        <v>70.263000000000005</v>
      </c>
      <c r="Y43" s="146">
        <f>SUM(Y41:Y42)</f>
        <v>0</v>
      </c>
      <c r="Z43" s="146">
        <f>SUM(Z41:Z42)</f>
        <v>0</v>
      </c>
    </row>
    <row r="44" spans="2:26" x14ac:dyDescent="0.25">
      <c r="B44" t="s">
        <v>76</v>
      </c>
      <c r="C44" s="10">
        <f>C38-C43</f>
        <v>0</v>
      </c>
      <c r="D44" s="10">
        <f>D38-D43</f>
        <v>0</v>
      </c>
      <c r="E44" s="10">
        <f>E38-E43</f>
        <v>0</v>
      </c>
      <c r="F44" s="15">
        <f>F38-F43</f>
        <v>157.42599999999999</v>
      </c>
      <c r="K44" s="10">
        <f>K38-K43</f>
        <v>0</v>
      </c>
      <c r="L44" s="10">
        <f>L38-L43</f>
        <v>0</v>
      </c>
      <c r="M44" s="10">
        <f>M38-M43</f>
        <v>0</v>
      </c>
      <c r="N44" s="10">
        <f>N38-N43</f>
        <v>0</v>
      </c>
      <c r="O44" s="10">
        <f>O38-O43</f>
        <v>0</v>
      </c>
      <c r="P44" s="10">
        <f>P38-P43</f>
        <v>0</v>
      </c>
      <c r="Q44" s="10">
        <f>Q38-Q43</f>
        <v>0</v>
      </c>
      <c r="R44" s="10">
        <f>R38-R43</f>
        <v>0</v>
      </c>
      <c r="S44" s="10">
        <f>S38-S43</f>
        <v>0</v>
      </c>
      <c r="T44" s="10">
        <f>T38-T43</f>
        <v>0</v>
      </c>
      <c r="U44" s="10">
        <f>U38-U43</f>
        <v>0</v>
      </c>
      <c r="V44" s="147">
        <f>V38-V43</f>
        <v>157.42599999999999</v>
      </c>
      <c r="W44" s="147">
        <f>W38-W43</f>
        <v>808.78399999999999</v>
      </c>
      <c r="X44" s="15">
        <f>X38-X43</f>
        <v>845.25199999999995</v>
      </c>
      <c r="Y44" s="147">
        <f>Y38-Y43</f>
        <v>0</v>
      </c>
      <c r="Z44" s="147">
        <f>Z38-Z43</f>
        <v>0</v>
      </c>
    </row>
    <row r="46" spans="2:26" s="1" customFormat="1" x14ac:dyDescent="0.25">
      <c r="B46" s="1" t="s">
        <v>79</v>
      </c>
      <c r="C46" s="54"/>
      <c r="D46" s="54"/>
      <c r="E46" s="54"/>
      <c r="F46" s="55"/>
      <c r="V46" s="151"/>
      <c r="X46" s="16"/>
    </row>
    <row r="64" spans="6:24" s="9" customFormat="1" x14ac:dyDescent="0.25">
      <c r="F64" s="40"/>
      <c r="V64" s="152"/>
      <c r="X64" s="40"/>
    </row>
    <row r="65" spans="6:24" s="1" customFormat="1" x14ac:dyDescent="0.25">
      <c r="F65" s="16"/>
      <c r="V65" s="151"/>
      <c r="X6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37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37</v>
      </c>
      <c r="B1" t="s">
        <v>50</v>
      </c>
      <c r="C1" s="17" t="s">
        <v>51</v>
      </c>
    </row>
    <row r="2" spans="1:13" x14ac:dyDescent="0.25">
      <c r="B2" s="12"/>
      <c r="C2" s="18"/>
      <c r="E2" t="s">
        <v>50</v>
      </c>
      <c r="F2" t="s">
        <v>52</v>
      </c>
      <c r="M2" t="s">
        <v>53</v>
      </c>
    </row>
    <row r="3" spans="1:13" x14ac:dyDescent="0.25">
      <c r="B3" s="12"/>
      <c r="C3" s="18"/>
      <c r="E3" s="12">
        <v>45328</v>
      </c>
      <c r="F3" t="s">
        <v>55</v>
      </c>
      <c r="M3" s="12"/>
    </row>
    <row r="4" spans="1:13" x14ac:dyDescent="0.25">
      <c r="B4" s="12"/>
      <c r="C4" s="18"/>
      <c r="E4" s="12">
        <v>45302</v>
      </c>
      <c r="F4" t="s">
        <v>55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37</v>
      </c>
      <c r="B1" s="1" t="s">
        <v>50</v>
      </c>
      <c r="C1" s="1" t="s">
        <v>0</v>
      </c>
      <c r="D1" s="1" t="s">
        <v>92</v>
      </c>
      <c r="H1" s="134" t="s">
        <v>93</v>
      </c>
      <c r="I1" s="135"/>
      <c r="J1" s="135"/>
      <c r="K1" s="135"/>
      <c r="L1" s="135"/>
      <c r="M1" s="136"/>
    </row>
    <row r="2" spans="1:13" ht="15.75" thickBot="1" x14ac:dyDescent="0.3">
      <c r="D2" t="e">
        <f>C2/C3-1</f>
        <v>#DIV/0!</v>
      </c>
      <c r="H2" s="62"/>
      <c r="I2" s="63"/>
      <c r="J2" s="63"/>
      <c r="K2" s="63"/>
      <c r="L2" s="63"/>
      <c r="M2" s="64"/>
    </row>
    <row r="3" spans="1:13" ht="15.75" thickBot="1" x14ac:dyDescent="0.3">
      <c r="D3" t="e">
        <f t="shared" ref="D3:D66" si="0">C3/C4-1</f>
        <v>#DIV/0!</v>
      </c>
      <c r="H3" s="65" t="s">
        <v>94</v>
      </c>
      <c r="I3" s="66" t="s">
        <v>95</v>
      </c>
      <c r="J3" s="67" t="s">
        <v>96</v>
      </c>
      <c r="K3" s="68" t="s">
        <v>97</v>
      </c>
      <c r="L3" s="68" t="s">
        <v>98</v>
      </c>
      <c r="M3" s="69" t="s">
        <v>99</v>
      </c>
    </row>
    <row r="4" spans="1:13" x14ac:dyDescent="0.25">
      <c r="D4" t="e">
        <f t="shared" si="0"/>
        <v>#DIV/0!</v>
      </c>
      <c r="H4" s="70" t="e">
        <f>$I$19-3*$I$23</f>
        <v>#DIV/0!</v>
      </c>
      <c r="I4" s="71" t="e">
        <f>H4</f>
        <v>#DIV/0!</v>
      </c>
      <c r="J4" s="72">
        <f>COUNTIF(D:D,"&lt;="&amp;H4)</f>
        <v>67</v>
      </c>
      <c r="K4" s="72" t="e">
        <f>"Less than "&amp;TEXT(H4,"0,00%")</f>
        <v>#DIV/0!</v>
      </c>
      <c r="L4" s="73" t="e">
        <f>J4/$I$31</f>
        <v>#DIV/0!</v>
      </c>
      <c r="M4" s="74" t="e">
        <f>L4</f>
        <v>#DIV/0!</v>
      </c>
    </row>
    <row r="5" spans="1:13" x14ac:dyDescent="0.25">
      <c r="D5" t="e">
        <f t="shared" si="0"/>
        <v>#DIV/0!</v>
      </c>
      <c r="H5" s="75" t="e">
        <f>$I$19-2.4*$I$23</f>
        <v>#DIV/0!</v>
      </c>
      <c r="I5" s="76" t="e">
        <f>H5</f>
        <v>#DIV/0!</v>
      </c>
      <c r="J5" s="77">
        <f>COUNTIFS(D:D,"&lt;="&amp;H5,D:D,"&gt;"&amp;H4)</f>
        <v>67</v>
      </c>
      <c r="K5" s="78" t="e">
        <f t="shared" ref="K5:K14" si="1">TEXT(H4,"0,00%")&amp;" to "&amp;TEXT(H5,"0,00%")</f>
        <v>#DIV/0!</v>
      </c>
      <c r="L5" s="79" t="e">
        <f>J5/$I$31</f>
        <v>#DIV/0!</v>
      </c>
      <c r="M5" s="80" t="e">
        <f>M4+L5</f>
        <v>#DIV/0!</v>
      </c>
    </row>
    <row r="6" spans="1:13" x14ac:dyDescent="0.25">
      <c r="D6" t="e">
        <f t="shared" si="0"/>
        <v>#DIV/0!</v>
      </c>
      <c r="H6" s="75" t="e">
        <f>$I$19-1.8*$I$23</f>
        <v>#DIV/0!</v>
      </c>
      <c r="I6" s="76" t="e">
        <f t="shared" ref="I6:I14" si="2">H6</f>
        <v>#DIV/0!</v>
      </c>
      <c r="J6" s="77">
        <f t="shared" ref="J6:J14" si="3">COUNTIFS(D:D,"&lt;="&amp;H6,D:D,"&gt;"&amp;H5)</f>
        <v>67</v>
      </c>
      <c r="K6" s="78" t="e">
        <f t="shared" si="1"/>
        <v>#DIV/0!</v>
      </c>
      <c r="L6" s="79" t="e">
        <f t="shared" ref="L6:L15" si="4">J6/$I$31</f>
        <v>#DIV/0!</v>
      </c>
      <c r="M6" s="80" t="e">
        <f t="shared" ref="M6:M15" si="5">M5+L6</f>
        <v>#DIV/0!</v>
      </c>
    </row>
    <row r="7" spans="1:13" x14ac:dyDescent="0.25">
      <c r="D7" t="e">
        <f t="shared" si="0"/>
        <v>#DIV/0!</v>
      </c>
      <c r="H7" s="75" t="e">
        <f>$I$19-1.2*$I$23</f>
        <v>#DIV/0!</v>
      </c>
      <c r="I7" s="76" t="e">
        <f t="shared" si="2"/>
        <v>#DIV/0!</v>
      </c>
      <c r="J7" s="77">
        <f t="shared" si="3"/>
        <v>67</v>
      </c>
      <c r="K7" s="78" t="e">
        <f t="shared" si="1"/>
        <v>#DIV/0!</v>
      </c>
      <c r="L7" s="79" t="e">
        <f t="shared" si="4"/>
        <v>#DIV/0!</v>
      </c>
      <c r="M7" s="80" t="e">
        <f t="shared" si="5"/>
        <v>#DIV/0!</v>
      </c>
    </row>
    <row r="8" spans="1:13" x14ac:dyDescent="0.25">
      <c r="D8" t="e">
        <f t="shared" si="0"/>
        <v>#DIV/0!</v>
      </c>
      <c r="H8" s="75" t="e">
        <f>$I$19-0.6*$I$23</f>
        <v>#DIV/0!</v>
      </c>
      <c r="I8" s="76" t="e">
        <f t="shared" si="2"/>
        <v>#DIV/0!</v>
      </c>
      <c r="J8" s="77">
        <f t="shared" si="3"/>
        <v>67</v>
      </c>
      <c r="K8" s="78" t="e">
        <f t="shared" si="1"/>
        <v>#DIV/0!</v>
      </c>
      <c r="L8" s="79" t="e">
        <f t="shared" si="4"/>
        <v>#DIV/0!</v>
      </c>
      <c r="M8" s="80" t="e">
        <f t="shared" si="5"/>
        <v>#DIV/0!</v>
      </c>
    </row>
    <row r="9" spans="1:13" x14ac:dyDescent="0.25">
      <c r="D9" t="e">
        <f t="shared" si="0"/>
        <v>#DIV/0!</v>
      </c>
      <c r="H9" s="75" t="e">
        <f>$I$19</f>
        <v>#DIV/0!</v>
      </c>
      <c r="I9" s="76" t="e">
        <f t="shared" si="2"/>
        <v>#DIV/0!</v>
      </c>
      <c r="J9" s="77">
        <f t="shared" si="3"/>
        <v>67</v>
      </c>
      <c r="K9" s="78" t="e">
        <f t="shared" si="1"/>
        <v>#DIV/0!</v>
      </c>
      <c r="L9" s="79" t="e">
        <f t="shared" si="4"/>
        <v>#DIV/0!</v>
      </c>
      <c r="M9" s="80" t="e">
        <f t="shared" si="5"/>
        <v>#DIV/0!</v>
      </c>
    </row>
    <row r="10" spans="1:13" x14ac:dyDescent="0.25">
      <c r="D10" t="e">
        <f t="shared" si="0"/>
        <v>#DIV/0!</v>
      </c>
      <c r="H10" s="75" t="e">
        <f>$I$19+0.6*$I$23</f>
        <v>#DIV/0!</v>
      </c>
      <c r="I10" s="76" t="e">
        <f t="shared" si="2"/>
        <v>#DIV/0!</v>
      </c>
      <c r="J10" s="77">
        <f t="shared" si="3"/>
        <v>67</v>
      </c>
      <c r="K10" s="78" t="e">
        <f t="shared" si="1"/>
        <v>#DIV/0!</v>
      </c>
      <c r="L10" s="79" t="e">
        <f t="shared" si="4"/>
        <v>#DIV/0!</v>
      </c>
      <c r="M10" s="80" t="e">
        <f t="shared" si="5"/>
        <v>#DIV/0!</v>
      </c>
    </row>
    <row r="11" spans="1:13" x14ac:dyDescent="0.25">
      <c r="D11" t="e">
        <f t="shared" si="0"/>
        <v>#DIV/0!</v>
      </c>
      <c r="H11" s="75" t="e">
        <f>$I$19+1.2*$I$23</f>
        <v>#DIV/0!</v>
      </c>
      <c r="I11" s="76" t="e">
        <f t="shared" si="2"/>
        <v>#DIV/0!</v>
      </c>
      <c r="J11" s="77">
        <f t="shared" si="3"/>
        <v>67</v>
      </c>
      <c r="K11" s="78" t="e">
        <f t="shared" si="1"/>
        <v>#DIV/0!</v>
      </c>
      <c r="L11" s="79" t="e">
        <f t="shared" si="4"/>
        <v>#DIV/0!</v>
      </c>
      <c r="M11" s="80" t="e">
        <f t="shared" si="5"/>
        <v>#DIV/0!</v>
      </c>
    </row>
    <row r="12" spans="1:13" x14ac:dyDescent="0.25">
      <c r="D12" t="e">
        <f t="shared" si="0"/>
        <v>#DIV/0!</v>
      </c>
      <c r="H12" s="75" t="e">
        <f>$I$19+1.8*$I$23</f>
        <v>#DIV/0!</v>
      </c>
      <c r="I12" s="76" t="e">
        <f t="shared" si="2"/>
        <v>#DIV/0!</v>
      </c>
      <c r="J12" s="77">
        <f t="shared" si="3"/>
        <v>67</v>
      </c>
      <c r="K12" s="78" t="e">
        <f t="shared" si="1"/>
        <v>#DIV/0!</v>
      </c>
      <c r="L12" s="79" t="e">
        <f t="shared" si="4"/>
        <v>#DIV/0!</v>
      </c>
      <c r="M12" s="80" t="e">
        <f t="shared" si="5"/>
        <v>#DIV/0!</v>
      </c>
    </row>
    <row r="13" spans="1:13" x14ac:dyDescent="0.25">
      <c r="D13" t="e">
        <f t="shared" si="0"/>
        <v>#DIV/0!</v>
      </c>
      <c r="H13" s="75" t="e">
        <f>$I$19+2.4*$I$23</f>
        <v>#DIV/0!</v>
      </c>
      <c r="I13" s="76" t="e">
        <f t="shared" si="2"/>
        <v>#DIV/0!</v>
      </c>
      <c r="J13" s="77">
        <f t="shared" si="3"/>
        <v>67</v>
      </c>
      <c r="K13" s="78" t="e">
        <f t="shared" si="1"/>
        <v>#DIV/0!</v>
      </c>
      <c r="L13" s="79" t="e">
        <f t="shared" si="4"/>
        <v>#DIV/0!</v>
      </c>
      <c r="M13" s="80" t="e">
        <f t="shared" si="5"/>
        <v>#DIV/0!</v>
      </c>
    </row>
    <row r="14" spans="1:13" x14ac:dyDescent="0.25">
      <c r="D14" t="e">
        <f t="shared" si="0"/>
        <v>#DIV/0!</v>
      </c>
      <c r="H14" s="75" t="e">
        <f>$I$19+3*$I$23</f>
        <v>#DIV/0!</v>
      </c>
      <c r="I14" s="76" t="e">
        <f t="shared" si="2"/>
        <v>#DIV/0!</v>
      </c>
      <c r="J14" s="77">
        <f t="shared" si="3"/>
        <v>67</v>
      </c>
      <c r="K14" s="78" t="e">
        <f t="shared" si="1"/>
        <v>#DIV/0!</v>
      </c>
      <c r="L14" s="79" t="e">
        <f t="shared" si="4"/>
        <v>#DIV/0!</v>
      </c>
      <c r="M14" s="80" t="e">
        <f t="shared" si="5"/>
        <v>#DIV/0!</v>
      </c>
    </row>
    <row r="15" spans="1:13" ht="15.75" thickBot="1" x14ac:dyDescent="0.3">
      <c r="D15" t="e">
        <f t="shared" si="0"/>
        <v>#DIV/0!</v>
      </c>
      <c r="H15" s="81"/>
      <c r="I15" s="82" t="s">
        <v>100</v>
      </c>
      <c r="J15" s="82">
        <f>COUNTIF(D:D,"&gt;"&amp;H14)</f>
        <v>67</v>
      </c>
      <c r="K15" s="82" t="e">
        <f>"Greater than "&amp;TEXT(H14,"0,00%")</f>
        <v>#DIV/0!</v>
      </c>
      <c r="L15" s="83" t="e">
        <f t="shared" si="4"/>
        <v>#DIV/0!</v>
      </c>
      <c r="M15" s="83" t="e">
        <f t="shared" si="5"/>
        <v>#DIV/0!</v>
      </c>
    </row>
    <row r="16" spans="1:13" ht="15.75" thickBot="1" x14ac:dyDescent="0.3">
      <c r="D16" t="e">
        <f t="shared" si="0"/>
        <v>#DIV/0!</v>
      </c>
      <c r="H16" s="84"/>
      <c r="M16" s="85"/>
    </row>
    <row r="17" spans="4:13" x14ac:dyDescent="0.25">
      <c r="D17" t="e">
        <f t="shared" si="0"/>
        <v>#DIV/0!</v>
      </c>
      <c r="H17" s="137" t="s">
        <v>131</v>
      </c>
      <c r="I17" s="138"/>
      <c r="M17" s="85"/>
    </row>
    <row r="18" spans="4:13" x14ac:dyDescent="0.25">
      <c r="D18" t="e">
        <f t="shared" si="0"/>
        <v>#DIV/0!</v>
      </c>
      <c r="H18" s="139"/>
      <c r="I18" s="140"/>
      <c r="M18" s="85"/>
    </row>
    <row r="19" spans="4:13" x14ac:dyDescent="0.25">
      <c r="D19" t="e">
        <f t="shared" si="0"/>
        <v>#DIV/0!</v>
      </c>
      <c r="H19" s="86" t="s">
        <v>101</v>
      </c>
      <c r="I19" s="123" t="e">
        <f>AVERAGE(D:D)</f>
        <v>#DIV/0!</v>
      </c>
      <c r="M19" s="85"/>
    </row>
    <row r="20" spans="4:13" x14ac:dyDescent="0.25">
      <c r="D20" t="e">
        <f t="shared" si="0"/>
        <v>#DIV/0!</v>
      </c>
      <c r="H20" s="86" t="s">
        <v>102</v>
      </c>
      <c r="I20" s="123" t="e">
        <f>_xlfn.STDEV.S(D:D)/SQRT(COUNT(D:D))</f>
        <v>#DIV/0!</v>
      </c>
      <c r="M20" s="85"/>
    </row>
    <row r="21" spans="4:13" x14ac:dyDescent="0.25">
      <c r="D21" t="e">
        <f t="shared" si="0"/>
        <v>#DIV/0!</v>
      </c>
      <c r="H21" s="86" t="s">
        <v>103</v>
      </c>
      <c r="I21" s="123" t="e">
        <f>MEDIAN(D:D)</f>
        <v>#DIV/0!</v>
      </c>
      <c r="M21" s="85"/>
    </row>
    <row r="22" spans="4:13" x14ac:dyDescent="0.25">
      <c r="D22" t="e">
        <f t="shared" si="0"/>
        <v>#DIV/0!</v>
      </c>
      <c r="H22" s="86" t="s">
        <v>104</v>
      </c>
      <c r="I22" s="123" t="e">
        <f>MODE(D:D)</f>
        <v>#DIV/0!</v>
      </c>
      <c r="M22" s="85"/>
    </row>
    <row r="23" spans="4:13" x14ac:dyDescent="0.25">
      <c r="D23" t="e">
        <f t="shared" si="0"/>
        <v>#DIV/0!</v>
      </c>
      <c r="H23" s="86" t="s">
        <v>105</v>
      </c>
      <c r="I23" s="123" t="e">
        <f>_xlfn.STDEV.S(D:D)</f>
        <v>#DIV/0!</v>
      </c>
      <c r="M23" s="85"/>
    </row>
    <row r="24" spans="4:13" x14ac:dyDescent="0.25">
      <c r="D24" t="e">
        <f t="shared" si="0"/>
        <v>#DIV/0!</v>
      </c>
      <c r="H24" s="86" t="s">
        <v>106</v>
      </c>
      <c r="I24" s="123" t="e">
        <f>_xlfn.VAR.S(D:D)</f>
        <v>#DIV/0!</v>
      </c>
      <c r="M24" s="85"/>
    </row>
    <row r="25" spans="4:13" x14ac:dyDescent="0.25">
      <c r="D25" t="e">
        <f t="shared" si="0"/>
        <v>#DIV/0!</v>
      </c>
      <c r="H25" s="86" t="s">
        <v>107</v>
      </c>
      <c r="I25" s="124" t="e">
        <f>KURT(D:D)</f>
        <v>#DIV/0!</v>
      </c>
      <c r="M25" s="85"/>
    </row>
    <row r="26" spans="4:13" x14ac:dyDescent="0.25">
      <c r="D26" t="e">
        <f t="shared" si="0"/>
        <v>#DIV/0!</v>
      </c>
      <c r="H26" s="86" t="s">
        <v>108</v>
      </c>
      <c r="I26" s="124" t="e">
        <f>SKEW(D:D)</f>
        <v>#DIV/0!</v>
      </c>
      <c r="M26" s="85"/>
    </row>
    <row r="27" spans="4:13" x14ac:dyDescent="0.25">
      <c r="D27" t="e">
        <f t="shared" si="0"/>
        <v>#DIV/0!</v>
      </c>
      <c r="H27" s="86" t="s">
        <v>97</v>
      </c>
      <c r="I27" s="123" t="e">
        <f>I29-I28</f>
        <v>#DIV/0!</v>
      </c>
      <c r="M27" s="85"/>
    </row>
    <row r="28" spans="4:13" x14ac:dyDescent="0.25">
      <c r="D28" t="e">
        <f t="shared" si="0"/>
        <v>#DIV/0!</v>
      </c>
      <c r="H28" s="86" t="s">
        <v>109</v>
      </c>
      <c r="I28" s="123" t="e">
        <f>MIN(D:D)</f>
        <v>#DIV/0!</v>
      </c>
      <c r="M28" s="85"/>
    </row>
    <row r="29" spans="4:13" x14ac:dyDescent="0.25">
      <c r="D29" t="e">
        <f t="shared" si="0"/>
        <v>#DIV/0!</v>
      </c>
      <c r="H29" s="86" t="s">
        <v>110</v>
      </c>
      <c r="I29" s="123" t="e">
        <f>MAX(D:D)</f>
        <v>#DIV/0!</v>
      </c>
      <c r="M29" s="85"/>
    </row>
    <row r="30" spans="4:13" x14ac:dyDescent="0.25">
      <c r="D30" t="e">
        <f t="shared" si="0"/>
        <v>#DIV/0!</v>
      </c>
      <c r="H30" s="86" t="s">
        <v>111</v>
      </c>
      <c r="I30" s="124" t="e">
        <f>SUM(D:D)</f>
        <v>#DIV/0!</v>
      </c>
      <c r="M30" s="85"/>
    </row>
    <row r="31" spans="4:13" ht="15.75" thickBot="1" x14ac:dyDescent="0.3">
      <c r="D31" t="e">
        <f t="shared" si="0"/>
        <v>#DIV/0!</v>
      </c>
      <c r="H31" s="87" t="s">
        <v>112</v>
      </c>
      <c r="I31" s="64">
        <f>COUNT(D:D)</f>
        <v>0</v>
      </c>
      <c r="M31" s="85"/>
    </row>
    <row r="32" spans="4:13" ht="15.75" thickBot="1" x14ac:dyDescent="0.3">
      <c r="D32" t="e">
        <f t="shared" si="0"/>
        <v>#DIV/0!</v>
      </c>
      <c r="H32" s="89"/>
      <c r="M32" s="85"/>
    </row>
    <row r="33" spans="4:13" x14ac:dyDescent="0.25">
      <c r="D33" t="e">
        <f t="shared" si="0"/>
        <v>#DIV/0!</v>
      </c>
      <c r="H33" s="90"/>
      <c r="I33" s="91" t="s">
        <v>113</v>
      </c>
      <c r="J33" s="91" t="s">
        <v>112</v>
      </c>
      <c r="K33" s="91" t="s">
        <v>114</v>
      </c>
      <c r="L33" s="92" t="s">
        <v>115</v>
      </c>
      <c r="M33" s="85"/>
    </row>
    <row r="34" spans="4:13" x14ac:dyDescent="0.25">
      <c r="D34" t="e">
        <f t="shared" si="0"/>
        <v>#DIV/0!</v>
      </c>
      <c r="H34" s="93" t="s">
        <v>116</v>
      </c>
      <c r="I34" s="79" t="e">
        <f>AVERAGEIF(D:D,"&gt;0")</f>
        <v>#DIV/0!</v>
      </c>
      <c r="J34" s="77">
        <f>COUNTIF(D:D,"&gt;0")</f>
        <v>0</v>
      </c>
      <c r="K34" s="79" t="e">
        <f>J34/$I$31</f>
        <v>#DIV/0!</v>
      </c>
      <c r="L34" s="80" t="e">
        <f>K34*I34</f>
        <v>#DIV/0!</v>
      </c>
      <c r="M34" s="85"/>
    </row>
    <row r="35" spans="4:13" x14ac:dyDescent="0.25">
      <c r="D35" t="e">
        <f t="shared" si="0"/>
        <v>#DIV/0!</v>
      </c>
      <c r="H35" s="93" t="s">
        <v>117</v>
      </c>
      <c r="I35" s="79" t="e">
        <f>AVERAGEIF(D:D,"&lt;0")</f>
        <v>#DIV/0!</v>
      </c>
      <c r="J35" s="77">
        <f>COUNTIF(D:D,"&lt;0")</f>
        <v>0</v>
      </c>
      <c r="K35" s="79" t="e">
        <f>J35/$I$31</f>
        <v>#DIV/0!</v>
      </c>
      <c r="L35" s="80" t="e">
        <f t="shared" ref="L35:L36" si="6">K35*I35</f>
        <v>#DIV/0!</v>
      </c>
      <c r="M35" s="85"/>
    </row>
    <row r="36" spans="4:13" ht="15.75" thickBot="1" x14ac:dyDescent="0.3">
      <c r="D36" t="e">
        <f t="shared" si="0"/>
        <v>#DIV/0!</v>
      </c>
      <c r="H36" s="94" t="s">
        <v>118</v>
      </c>
      <c r="I36" s="82">
        <v>0</v>
      </c>
      <c r="J36" s="82">
        <f>COUNTIF(D:D,"0")</f>
        <v>0</v>
      </c>
      <c r="K36" s="95" t="e">
        <f>J36/$I$31</f>
        <v>#DIV/0!</v>
      </c>
      <c r="L36" s="83" t="e">
        <f t="shared" si="6"/>
        <v>#DIV/0!</v>
      </c>
      <c r="M36" s="85"/>
    </row>
    <row r="37" spans="4:13" ht="15.75" thickBot="1" x14ac:dyDescent="0.3">
      <c r="D37" t="e">
        <f t="shared" si="0"/>
        <v>#DIV/0!</v>
      </c>
      <c r="H37" s="89"/>
      <c r="I37" s="96"/>
      <c r="J37" s="96"/>
      <c r="K37" s="96"/>
      <c r="L37" s="96"/>
      <c r="M37" s="85"/>
    </row>
    <row r="38" spans="4:13" x14ac:dyDescent="0.25">
      <c r="D38" t="e">
        <f t="shared" si="0"/>
        <v>#DIV/0!</v>
      </c>
      <c r="H38" s="70" t="s">
        <v>119</v>
      </c>
      <c r="I38" s="91" t="s">
        <v>120</v>
      </c>
      <c r="J38" s="91" t="s">
        <v>121</v>
      </c>
      <c r="K38" s="91" t="s">
        <v>122</v>
      </c>
      <c r="L38" s="91" t="s">
        <v>123</v>
      </c>
      <c r="M38" s="92" t="s">
        <v>124</v>
      </c>
    </row>
    <row r="39" spans="4:13" x14ac:dyDescent="0.25">
      <c r="D39" t="e">
        <f t="shared" si="0"/>
        <v>#DIV/0!</v>
      </c>
      <c r="H39" s="97">
        <v>1</v>
      </c>
      <c r="I39" s="79" t="e">
        <f>$I$19+($H39*$I$23)</f>
        <v>#DIV/0!</v>
      </c>
      <c r="J39" s="79" t="e">
        <f>$I$19-($H39*$I$23)</f>
        <v>#DIV/0!</v>
      </c>
      <c r="K39" s="77">
        <f>COUNTIFS(D:D,"&lt;"&amp;I39,D:D,"&gt;"&amp;J39)</f>
        <v>67</v>
      </c>
      <c r="L39" s="79" t="e">
        <f>K39/$I$31</f>
        <v>#DIV/0!</v>
      </c>
      <c r="M39" s="80">
        <v>0.68269999999999997</v>
      </c>
    </row>
    <row r="40" spans="4:13" x14ac:dyDescent="0.25">
      <c r="D40" t="e">
        <f t="shared" si="0"/>
        <v>#DIV/0!</v>
      </c>
      <c r="H40" s="97">
        <v>2</v>
      </c>
      <c r="I40" s="79" t="e">
        <f>$I$19+($H40*$I$23)</f>
        <v>#DIV/0!</v>
      </c>
      <c r="J40" s="79" t="e">
        <f>$I$19-($H40*$I$23)</f>
        <v>#DIV/0!</v>
      </c>
      <c r="K40" s="77">
        <f>COUNTIFS(D:D,"&lt;"&amp;I40,D:D,"&gt;"&amp;J40)</f>
        <v>67</v>
      </c>
      <c r="L40" s="79" t="e">
        <f>K40/$I$31</f>
        <v>#DIV/0!</v>
      </c>
      <c r="M40" s="80">
        <v>0.95450000000000002</v>
      </c>
    </row>
    <row r="41" spans="4:13" x14ac:dyDescent="0.25">
      <c r="D41" t="e">
        <f t="shared" si="0"/>
        <v>#DIV/0!</v>
      </c>
      <c r="H41" s="97">
        <v>3</v>
      </c>
      <c r="I41" s="79" t="e">
        <f>$I$19+($H41*$I$23)</f>
        <v>#DIV/0!</v>
      </c>
      <c r="J41" s="79" t="e">
        <f>$I$19-($H41*$I$23)</f>
        <v>#DIV/0!</v>
      </c>
      <c r="K41" s="77">
        <f>COUNTIFS(D:D,"&lt;"&amp;I41,D:D,"&gt;"&amp;J41)</f>
        <v>67</v>
      </c>
      <c r="L41" s="79" t="e">
        <f>K41/$I$31</f>
        <v>#DIV/0!</v>
      </c>
      <c r="M41" s="98">
        <v>0.99729999999999996</v>
      </c>
    </row>
    <row r="42" spans="4:13" ht="15.75" thickBot="1" x14ac:dyDescent="0.3">
      <c r="D42" t="e">
        <f t="shared" si="0"/>
        <v>#DIV/0!</v>
      </c>
      <c r="H42" s="75"/>
      <c r="M42" s="98"/>
    </row>
    <row r="43" spans="4:13" ht="15.75" thickBot="1" x14ac:dyDescent="0.3">
      <c r="D43" t="e">
        <f t="shared" si="0"/>
        <v>#DIV/0!</v>
      </c>
      <c r="H43" s="141" t="s">
        <v>125</v>
      </c>
      <c r="I43" s="142"/>
      <c r="J43" s="142"/>
      <c r="K43" s="142"/>
      <c r="L43" s="142"/>
      <c r="M43" s="143"/>
    </row>
    <row r="44" spans="4:13" x14ac:dyDescent="0.25">
      <c r="D44" t="e">
        <f t="shared" si="0"/>
        <v>#DIV/0!</v>
      </c>
      <c r="H44" s="99">
        <v>0.01</v>
      </c>
      <c r="I44" s="100" t="e">
        <f t="shared" ref="I44:I58" si="7">_xlfn.PERCENTILE.INC(D:D,H44)</f>
        <v>#DIV/0!</v>
      </c>
      <c r="J44" s="101">
        <v>0.2</v>
      </c>
      <c r="K44" s="100" t="e">
        <f t="shared" ref="K44:K56" si="8">_xlfn.PERCENTILE.INC(D:D,J44)</f>
        <v>#DIV/0!</v>
      </c>
      <c r="L44" s="101">
        <v>0.85</v>
      </c>
      <c r="M44" s="102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3">
        <v>0.02</v>
      </c>
      <c r="I45" s="104" t="e">
        <f t="shared" si="7"/>
        <v>#DIV/0!</v>
      </c>
      <c r="J45" s="105">
        <v>0.25</v>
      </c>
      <c r="K45" s="104" t="e">
        <f t="shared" si="8"/>
        <v>#DIV/0!</v>
      </c>
      <c r="L45" s="105">
        <v>0.86</v>
      </c>
      <c r="M45" s="106" t="e">
        <f t="shared" si="9"/>
        <v>#DIV/0!</v>
      </c>
    </row>
    <row r="46" spans="4:13" x14ac:dyDescent="0.25">
      <c r="D46" t="e">
        <f t="shared" si="0"/>
        <v>#DIV/0!</v>
      </c>
      <c r="H46" s="103">
        <v>0.03</v>
      </c>
      <c r="I46" s="104" t="e">
        <f t="shared" si="7"/>
        <v>#DIV/0!</v>
      </c>
      <c r="J46" s="105">
        <v>0.3</v>
      </c>
      <c r="K46" s="104" t="e">
        <f t="shared" si="8"/>
        <v>#DIV/0!</v>
      </c>
      <c r="L46" s="105">
        <v>0.87</v>
      </c>
      <c r="M46" s="106" t="e">
        <f t="shared" si="9"/>
        <v>#DIV/0!</v>
      </c>
    </row>
    <row r="47" spans="4:13" x14ac:dyDescent="0.25">
      <c r="D47" t="e">
        <f t="shared" si="0"/>
        <v>#DIV/0!</v>
      </c>
      <c r="H47" s="103">
        <v>0.04</v>
      </c>
      <c r="I47" s="104" t="e">
        <f t="shared" si="7"/>
        <v>#DIV/0!</v>
      </c>
      <c r="J47" s="105">
        <v>0.35</v>
      </c>
      <c r="K47" s="104" t="e">
        <f t="shared" si="8"/>
        <v>#DIV/0!</v>
      </c>
      <c r="L47" s="105">
        <v>0.88</v>
      </c>
      <c r="M47" s="106" t="e">
        <f t="shared" si="9"/>
        <v>#DIV/0!</v>
      </c>
    </row>
    <row r="48" spans="4:13" x14ac:dyDescent="0.25">
      <c r="D48" t="e">
        <f t="shared" si="0"/>
        <v>#DIV/0!</v>
      </c>
      <c r="H48" s="103">
        <v>0.05</v>
      </c>
      <c r="I48" s="104" t="e">
        <f t="shared" si="7"/>
        <v>#DIV/0!</v>
      </c>
      <c r="J48" s="105">
        <v>0.4</v>
      </c>
      <c r="K48" s="104" t="e">
        <f t="shared" si="8"/>
        <v>#DIV/0!</v>
      </c>
      <c r="L48" s="105">
        <v>0.89</v>
      </c>
      <c r="M48" s="106" t="e">
        <f t="shared" si="9"/>
        <v>#DIV/0!</v>
      </c>
    </row>
    <row r="49" spans="4:13" x14ac:dyDescent="0.25">
      <c r="D49" t="e">
        <f t="shared" si="0"/>
        <v>#DIV/0!</v>
      </c>
      <c r="H49" s="103">
        <v>0.06</v>
      </c>
      <c r="I49" s="104" t="e">
        <f t="shared" si="7"/>
        <v>#DIV/0!</v>
      </c>
      <c r="J49" s="105">
        <v>0.45</v>
      </c>
      <c r="K49" s="104" t="e">
        <f t="shared" si="8"/>
        <v>#DIV/0!</v>
      </c>
      <c r="L49" s="105">
        <v>0.9</v>
      </c>
      <c r="M49" s="106" t="e">
        <f t="shared" si="9"/>
        <v>#DIV/0!</v>
      </c>
    </row>
    <row r="50" spans="4:13" x14ac:dyDescent="0.25">
      <c r="D50" t="e">
        <f t="shared" si="0"/>
        <v>#DIV/0!</v>
      </c>
      <c r="H50" s="103">
        <v>7.0000000000000007E-2</v>
      </c>
      <c r="I50" s="104" t="e">
        <f t="shared" si="7"/>
        <v>#DIV/0!</v>
      </c>
      <c r="J50" s="105">
        <v>0.5</v>
      </c>
      <c r="K50" s="104" t="e">
        <f t="shared" si="8"/>
        <v>#DIV/0!</v>
      </c>
      <c r="L50" s="105">
        <v>0.91</v>
      </c>
      <c r="M50" s="106" t="e">
        <f t="shared" si="9"/>
        <v>#DIV/0!</v>
      </c>
    </row>
    <row r="51" spans="4:13" x14ac:dyDescent="0.25">
      <c r="D51" t="e">
        <f t="shared" si="0"/>
        <v>#DIV/0!</v>
      </c>
      <c r="H51" s="103">
        <v>0.08</v>
      </c>
      <c r="I51" s="104" t="e">
        <f t="shared" si="7"/>
        <v>#DIV/0!</v>
      </c>
      <c r="J51" s="105">
        <v>0.55000000000000004</v>
      </c>
      <c r="K51" s="104" t="e">
        <f t="shared" si="8"/>
        <v>#DIV/0!</v>
      </c>
      <c r="L51" s="105">
        <v>0.92</v>
      </c>
      <c r="M51" s="106" t="e">
        <f t="shared" si="9"/>
        <v>#DIV/0!</v>
      </c>
    </row>
    <row r="52" spans="4:13" x14ac:dyDescent="0.25">
      <c r="D52" t="e">
        <f t="shared" si="0"/>
        <v>#DIV/0!</v>
      </c>
      <c r="H52" s="103">
        <v>0.09</v>
      </c>
      <c r="I52" s="104" t="e">
        <f t="shared" si="7"/>
        <v>#DIV/0!</v>
      </c>
      <c r="J52" s="105">
        <v>0.6</v>
      </c>
      <c r="K52" s="104" t="e">
        <f t="shared" si="8"/>
        <v>#DIV/0!</v>
      </c>
      <c r="L52" s="105">
        <v>0.93</v>
      </c>
      <c r="M52" s="106" t="e">
        <f t="shared" si="9"/>
        <v>#DIV/0!</v>
      </c>
    </row>
    <row r="53" spans="4:13" x14ac:dyDescent="0.25">
      <c r="D53" t="e">
        <f t="shared" si="0"/>
        <v>#DIV/0!</v>
      </c>
      <c r="H53" s="103">
        <v>0.1</v>
      </c>
      <c r="I53" s="104" t="e">
        <f t="shared" si="7"/>
        <v>#DIV/0!</v>
      </c>
      <c r="J53" s="105">
        <v>0.65</v>
      </c>
      <c r="K53" s="104" t="e">
        <f t="shared" si="8"/>
        <v>#DIV/0!</v>
      </c>
      <c r="L53" s="105">
        <v>0.94</v>
      </c>
      <c r="M53" s="106" t="e">
        <f t="shared" si="9"/>
        <v>#DIV/0!</v>
      </c>
    </row>
    <row r="54" spans="4:13" x14ac:dyDescent="0.25">
      <c r="D54" t="e">
        <f t="shared" si="0"/>
        <v>#DIV/0!</v>
      </c>
      <c r="H54" s="103">
        <v>0.11</v>
      </c>
      <c r="I54" s="104" t="e">
        <f t="shared" si="7"/>
        <v>#DIV/0!</v>
      </c>
      <c r="J54" s="105">
        <v>0.7</v>
      </c>
      <c r="K54" s="104" t="e">
        <f t="shared" si="8"/>
        <v>#DIV/0!</v>
      </c>
      <c r="L54" s="105">
        <v>0.95</v>
      </c>
      <c r="M54" s="106" t="e">
        <f t="shared" si="9"/>
        <v>#DIV/0!</v>
      </c>
    </row>
    <row r="55" spans="4:13" x14ac:dyDescent="0.25">
      <c r="D55" t="e">
        <f t="shared" si="0"/>
        <v>#DIV/0!</v>
      </c>
      <c r="H55" s="103">
        <v>0.12</v>
      </c>
      <c r="I55" s="104" t="e">
        <f t="shared" si="7"/>
        <v>#DIV/0!</v>
      </c>
      <c r="J55" s="105">
        <v>0.75</v>
      </c>
      <c r="K55" s="104" t="e">
        <f t="shared" si="8"/>
        <v>#DIV/0!</v>
      </c>
      <c r="L55" s="105">
        <v>0.96</v>
      </c>
      <c r="M55" s="106" t="e">
        <f t="shared" si="9"/>
        <v>#DIV/0!</v>
      </c>
    </row>
    <row r="56" spans="4:13" x14ac:dyDescent="0.25">
      <c r="D56" t="e">
        <f t="shared" si="0"/>
        <v>#DIV/0!</v>
      </c>
      <c r="H56" s="103">
        <v>0.13</v>
      </c>
      <c r="I56" s="104" t="e">
        <f t="shared" si="7"/>
        <v>#DIV/0!</v>
      </c>
      <c r="J56" s="105">
        <v>0.8</v>
      </c>
      <c r="K56" s="104" t="e">
        <f t="shared" si="8"/>
        <v>#DIV/0!</v>
      </c>
      <c r="L56" s="105">
        <v>0.97</v>
      </c>
      <c r="M56" s="106" t="e">
        <f t="shared" si="9"/>
        <v>#DIV/0!</v>
      </c>
    </row>
    <row r="57" spans="4:13" x14ac:dyDescent="0.25">
      <c r="D57" t="e">
        <f t="shared" si="0"/>
        <v>#DIV/0!</v>
      </c>
      <c r="H57" s="103">
        <v>0.14000000000000001</v>
      </c>
      <c r="I57" s="104" t="e">
        <f t="shared" si="7"/>
        <v>#DIV/0!</v>
      </c>
      <c r="J57" s="105"/>
      <c r="K57" s="104"/>
      <c r="L57" s="105">
        <v>0.98</v>
      </c>
      <c r="M57" s="106" t="e">
        <f t="shared" si="9"/>
        <v>#DIV/0!</v>
      </c>
    </row>
    <row r="58" spans="4:13" ht="15.75" thickBot="1" x14ac:dyDescent="0.3">
      <c r="D58" t="e">
        <f t="shared" si="0"/>
        <v>#DIV/0!</v>
      </c>
      <c r="H58" s="107">
        <v>0.15</v>
      </c>
      <c r="I58" s="108" t="e">
        <f t="shared" si="7"/>
        <v>#DIV/0!</v>
      </c>
      <c r="J58" s="109"/>
      <c r="K58" s="88"/>
      <c r="L58" s="110">
        <v>0.99</v>
      </c>
      <c r="M58" s="111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2" t="s">
        <v>126</v>
      </c>
      <c r="I60" s="113"/>
    </row>
    <row r="61" spans="4:13" ht="15.75" thickBot="1" x14ac:dyDescent="0.3">
      <c r="D61" t="e">
        <f t="shared" si="0"/>
        <v>#DIV/0!</v>
      </c>
      <c r="H61" s="114" t="s">
        <v>127</v>
      </c>
      <c r="I61" s="115"/>
    </row>
    <row r="62" spans="4:13" ht="15.75" thickBot="1" x14ac:dyDescent="0.3">
      <c r="D62" t="e">
        <f t="shared" si="0"/>
        <v>#DIV/0!</v>
      </c>
      <c r="H62" s="116"/>
    </row>
    <row r="63" spans="4:13" x14ac:dyDescent="0.25">
      <c r="D63" t="e">
        <f t="shared" si="0"/>
        <v>#DIV/0!</v>
      </c>
      <c r="H63" s="112" t="s">
        <v>128</v>
      </c>
      <c r="I63" s="117"/>
    </row>
    <row r="64" spans="4:13" x14ac:dyDescent="0.25">
      <c r="D64" t="e">
        <f t="shared" si="0"/>
        <v>#DIV/0!</v>
      </c>
      <c r="H64" s="118" t="s">
        <v>129</v>
      </c>
      <c r="I64" s="119">
        <f>I63*(1-I60)</f>
        <v>0</v>
      </c>
    </row>
    <row r="65" spans="4:9" ht="15.75" thickBot="1" x14ac:dyDescent="0.3">
      <c r="D65" t="e">
        <f t="shared" si="0"/>
        <v>#DIV/0!</v>
      </c>
      <c r="H65" s="114" t="s">
        <v>130</v>
      </c>
      <c r="I65" s="120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2024-09-20T22:29:07Z</dcterms:modified>
</cp:coreProperties>
</file>