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EFE48C94-AC9B-46C2-A27C-DEF1B0E7C1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Model!$B$10</definedName>
    <definedName name="_xlchart.v1.1" hidden="1">Model!$B$9</definedName>
    <definedName name="_xlchart.v1.2" hidden="1">Model!$L$10:$X$10</definedName>
    <definedName name="_xlchart.v1.3" hidden="1">Model!$L$2:$X$2</definedName>
    <definedName name="_xlchart.v1.4" hidden="1">Model!$L$9:$X$9</definedName>
    <definedName name="_xlchart.v1.5" hidden="1">Model!$B$21</definedName>
    <definedName name="_xlchart.v1.6" hidden="1">Model!$B$22</definedName>
    <definedName name="_xlchart.v1.7" hidden="1">Model!$L$21:$X$21</definedName>
    <definedName name="_xlchart.v1.8" hidden="1">Model!$L$22:$X$22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J6" i="1"/>
  <c r="J5" i="1"/>
  <c r="J4" i="1"/>
  <c r="J3" i="1"/>
  <c r="C32" i="1"/>
  <c r="C31" i="1"/>
  <c r="C30" i="1"/>
  <c r="C29" i="1"/>
  <c r="C27" i="1"/>
  <c r="C24" i="1"/>
  <c r="C25" i="1"/>
  <c r="C23" i="1"/>
  <c r="C22" i="1"/>
  <c r="C21" i="1"/>
  <c r="C20" i="1"/>
  <c r="C19" i="1"/>
  <c r="C18" i="1"/>
  <c r="C17" i="1"/>
  <c r="C15" i="1"/>
  <c r="C14" i="1"/>
  <c r="C13" i="1"/>
  <c r="C10" i="1"/>
  <c r="C9" i="1"/>
  <c r="X53" i="2"/>
  <c r="X62" i="2"/>
  <c r="X68" i="2" s="1"/>
  <c r="X47" i="2"/>
  <c r="X41" i="2"/>
  <c r="G41" i="2"/>
  <c r="F41" i="2"/>
  <c r="E41" i="2"/>
  <c r="D41" i="2"/>
  <c r="C41" i="2"/>
  <c r="S41" i="2"/>
  <c r="R41" i="2"/>
  <c r="Q41" i="2"/>
  <c r="P41" i="2"/>
  <c r="O41" i="2"/>
  <c r="N41" i="2"/>
  <c r="M41" i="2"/>
  <c r="L41" i="2"/>
  <c r="V41" i="2"/>
  <c r="U41" i="2"/>
  <c r="T41" i="2"/>
  <c r="W41" i="2"/>
  <c r="U31" i="2"/>
  <c r="W31" i="2"/>
  <c r="X27" i="2"/>
  <c r="Y25" i="2"/>
  <c r="X25" i="2"/>
  <c r="X30" i="2"/>
  <c r="X29" i="2"/>
  <c r="X28" i="2"/>
  <c r="X26" i="2"/>
  <c r="X24" i="2"/>
  <c r="X23" i="2"/>
  <c r="X21" i="2"/>
  <c r="X16" i="2"/>
  <c r="Y5" i="2"/>
  <c r="X35" i="2"/>
  <c r="X36" i="2"/>
  <c r="X37" i="2"/>
  <c r="X9" i="2"/>
  <c r="L34" i="2"/>
  <c r="L33" i="2"/>
  <c r="E5" i="2"/>
  <c r="E4" i="2"/>
  <c r="E3" i="2"/>
  <c r="F5" i="2"/>
  <c r="F4" i="2"/>
  <c r="F3" i="2"/>
  <c r="G5" i="2"/>
  <c r="G4" i="2"/>
  <c r="G3" i="2"/>
  <c r="P37" i="2"/>
  <c r="P36" i="2"/>
  <c r="P35" i="2"/>
  <c r="U37" i="2"/>
  <c r="T37" i="2"/>
  <c r="S37" i="2"/>
  <c r="R37" i="2"/>
  <c r="Q37" i="2"/>
  <c r="U36" i="2"/>
  <c r="T36" i="2"/>
  <c r="S36" i="2"/>
  <c r="R36" i="2"/>
  <c r="Q36" i="2"/>
  <c r="U35" i="2"/>
  <c r="T35" i="2"/>
  <c r="S35" i="2"/>
  <c r="R35" i="2"/>
  <c r="Q35" i="2"/>
  <c r="V37" i="2"/>
  <c r="V36" i="2"/>
  <c r="V35" i="2"/>
  <c r="W37" i="2"/>
  <c r="W36" i="2"/>
  <c r="W35" i="2"/>
  <c r="W30" i="2"/>
  <c r="W29" i="2"/>
  <c r="X34" i="2"/>
  <c r="X33" i="2"/>
  <c r="W33" i="2"/>
  <c r="V29" i="2"/>
  <c r="U29" i="2"/>
  <c r="T29" i="2"/>
  <c r="S29" i="2"/>
  <c r="R29" i="2"/>
  <c r="Q29" i="2"/>
  <c r="P29" i="2"/>
  <c r="Q30" i="2"/>
  <c r="R30" i="2"/>
  <c r="S30" i="2"/>
  <c r="T30" i="2"/>
  <c r="U30" i="2"/>
  <c r="V30" i="2"/>
  <c r="P30" i="2"/>
  <c r="O34" i="2"/>
  <c r="N34" i="2"/>
  <c r="M34" i="2"/>
  <c r="O33" i="2"/>
  <c r="N33" i="2"/>
  <c r="M33" i="2"/>
  <c r="V34" i="2"/>
  <c r="U34" i="2"/>
  <c r="T34" i="2"/>
  <c r="S34" i="2"/>
  <c r="R34" i="2"/>
  <c r="Q34" i="2"/>
  <c r="P34" i="2"/>
  <c r="V33" i="2"/>
  <c r="U33" i="2"/>
  <c r="T33" i="2"/>
  <c r="S33" i="2"/>
  <c r="R33" i="2"/>
  <c r="Q33" i="2"/>
  <c r="P33" i="2"/>
  <c r="W34" i="2"/>
  <c r="I31" i="2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L16" i="2"/>
  <c r="M16" i="2"/>
  <c r="N16" i="2"/>
  <c r="O16" i="2"/>
  <c r="L9" i="2"/>
  <c r="L15" i="2" s="1"/>
  <c r="M9" i="2"/>
  <c r="M15" i="2" s="1"/>
  <c r="N9" i="2"/>
  <c r="N15" i="2" s="1"/>
  <c r="O9" i="2"/>
  <c r="O28" i="2" s="1"/>
  <c r="P16" i="2"/>
  <c r="P9" i="2"/>
  <c r="P27" i="2" s="1"/>
  <c r="Q16" i="2"/>
  <c r="T16" i="2"/>
  <c r="Q9" i="2"/>
  <c r="Q27" i="2" s="1"/>
  <c r="O67" i="2"/>
  <c r="O66" i="2"/>
  <c r="O65" i="2"/>
  <c r="O64" i="2"/>
  <c r="O63" i="2"/>
  <c r="O61" i="2"/>
  <c r="O60" i="2"/>
  <c r="O59" i="2"/>
  <c r="O58" i="2"/>
  <c r="O57" i="2"/>
  <c r="O56" i="2"/>
  <c r="O54" i="2"/>
  <c r="O53" i="2"/>
  <c r="O52" i="2"/>
  <c r="O51" i="2"/>
  <c r="O50" i="2"/>
  <c r="O49" i="2"/>
  <c r="O48" i="2"/>
  <c r="O46" i="2"/>
  <c r="O45" i="2"/>
  <c r="O44" i="2"/>
  <c r="O43" i="2"/>
  <c r="O42" i="2"/>
  <c r="S67" i="2"/>
  <c r="S66" i="2"/>
  <c r="S65" i="2"/>
  <c r="S64" i="2"/>
  <c r="S63" i="2"/>
  <c r="S61" i="2"/>
  <c r="S60" i="2"/>
  <c r="S59" i="2"/>
  <c r="S58" i="2"/>
  <c r="S57" i="2"/>
  <c r="S56" i="2"/>
  <c r="S54" i="2"/>
  <c r="S53" i="2"/>
  <c r="S52" i="2"/>
  <c r="S51" i="2"/>
  <c r="S50" i="2"/>
  <c r="S49" i="2"/>
  <c r="S48" i="2"/>
  <c r="S46" i="2"/>
  <c r="S45" i="2"/>
  <c r="S44" i="2"/>
  <c r="S43" i="2"/>
  <c r="S42" i="2"/>
  <c r="W67" i="2"/>
  <c r="W66" i="2"/>
  <c r="W65" i="2"/>
  <c r="W64" i="2"/>
  <c r="W63" i="2"/>
  <c r="W61" i="2"/>
  <c r="W60" i="2"/>
  <c r="W59" i="2"/>
  <c r="W58" i="2"/>
  <c r="W57" i="2"/>
  <c r="W56" i="2"/>
  <c r="W54" i="2"/>
  <c r="W53" i="2"/>
  <c r="W52" i="2"/>
  <c r="W51" i="2"/>
  <c r="W50" i="2"/>
  <c r="W49" i="2"/>
  <c r="W48" i="2"/>
  <c r="W46" i="2"/>
  <c r="W45" i="2"/>
  <c r="W44" i="2"/>
  <c r="W43" i="2"/>
  <c r="W42" i="2"/>
  <c r="R16" i="2"/>
  <c r="U16" i="2"/>
  <c r="R9" i="2"/>
  <c r="R28" i="2" s="1"/>
  <c r="E25" i="2"/>
  <c r="F27" i="2"/>
  <c r="E28" i="2"/>
  <c r="D28" i="2"/>
  <c r="C28" i="2"/>
  <c r="F28" i="2"/>
  <c r="C16" i="2"/>
  <c r="D16" i="2"/>
  <c r="E16" i="2"/>
  <c r="F16" i="2"/>
  <c r="G16" i="2"/>
  <c r="G8" i="2"/>
  <c r="G7" i="2"/>
  <c r="S16" i="2"/>
  <c r="M28" i="2"/>
  <c r="V16" i="2"/>
  <c r="W16" i="2"/>
  <c r="W9" i="2"/>
  <c r="W28" i="2" s="1"/>
  <c r="V9" i="2"/>
  <c r="V27" i="2" s="1"/>
  <c r="U9" i="2"/>
  <c r="U15" i="2" s="1"/>
  <c r="T9" i="2"/>
  <c r="T27" i="2" s="1"/>
  <c r="S9" i="2"/>
  <c r="S27" i="2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X15" i="2"/>
  <c r="X17" i="2" s="1"/>
  <c r="X19" i="2" s="1"/>
  <c r="Y15" i="2"/>
  <c r="Y17" i="2" s="1"/>
  <c r="Y19" i="2" s="1"/>
  <c r="H15" i="2"/>
  <c r="H17" i="2" s="1"/>
  <c r="I15" i="2"/>
  <c r="I17" i="2" s="1"/>
  <c r="X55" i="2" l="1"/>
  <c r="X69" i="2" s="1"/>
  <c r="F37" i="2"/>
  <c r="F36" i="2"/>
  <c r="F35" i="2"/>
  <c r="G37" i="2"/>
  <c r="G36" i="2"/>
  <c r="G35" i="2"/>
  <c r="P15" i="2"/>
  <c r="P17" i="2" s="1"/>
  <c r="P19" i="2" s="1"/>
  <c r="P21" i="2" s="1"/>
  <c r="P28" i="2"/>
  <c r="U17" i="2"/>
  <c r="U19" i="2" s="1"/>
  <c r="U21" i="2" s="1"/>
  <c r="Q28" i="2"/>
  <c r="Q15" i="2"/>
  <c r="Q17" i="2" s="1"/>
  <c r="Q19" i="2" s="1"/>
  <c r="Q21" i="2" s="1"/>
  <c r="L17" i="2"/>
  <c r="L19" i="2" s="1"/>
  <c r="L21" i="2" s="1"/>
  <c r="M17" i="2"/>
  <c r="M19" i="2" s="1"/>
  <c r="M21" i="2" s="1"/>
  <c r="M27" i="2"/>
  <c r="N17" i="2"/>
  <c r="N19" i="2" s="1"/>
  <c r="N21" i="2" s="1"/>
  <c r="L28" i="2"/>
  <c r="R15" i="2"/>
  <c r="R17" i="2" s="1"/>
  <c r="R19" i="2" s="1"/>
  <c r="R21" i="2" s="1"/>
  <c r="R27" i="2"/>
  <c r="L27" i="2"/>
  <c r="N27" i="2"/>
  <c r="N28" i="2"/>
  <c r="O15" i="2"/>
  <c r="O17" i="2" s="1"/>
  <c r="O19" i="2" s="1"/>
  <c r="O21" i="2" s="1"/>
  <c r="O27" i="2"/>
  <c r="W25" i="2"/>
  <c r="W26" i="2"/>
  <c r="V28" i="2"/>
  <c r="S28" i="2"/>
  <c r="T28" i="2"/>
  <c r="U28" i="2"/>
  <c r="U27" i="2"/>
  <c r="W27" i="2"/>
  <c r="W15" i="2"/>
  <c r="W17" i="2" s="1"/>
  <c r="V15" i="2"/>
  <c r="V17" i="2" s="1"/>
  <c r="V19" i="2" s="1"/>
  <c r="V21" i="2" s="1"/>
  <c r="T15" i="2"/>
  <c r="T17" i="2" s="1"/>
  <c r="T19" i="2" s="1"/>
  <c r="T21" i="2" s="1"/>
  <c r="S15" i="2"/>
  <c r="S17" i="2" s="1"/>
  <c r="S19" i="2" s="1"/>
  <c r="S21" i="2" s="1"/>
  <c r="C8" i="1"/>
  <c r="C12" i="1" s="1"/>
  <c r="C26" i="1" s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W19" i="2" l="1"/>
  <c r="W21" i="2" s="1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5" i="2"/>
  <c r="C17" i="2" s="1"/>
  <c r="C19" i="2" s="1"/>
  <c r="D15" i="2"/>
  <c r="D17" i="2" s="1"/>
  <c r="D19" i="2" s="1"/>
  <c r="E15" i="2"/>
  <c r="E17" i="2" s="1"/>
  <c r="E19" i="2" s="1"/>
  <c r="F15" i="2"/>
  <c r="F17" i="2" s="1"/>
  <c r="F19" i="2" s="1"/>
  <c r="G9" i="2"/>
  <c r="M24" i="2"/>
  <c r="N24" i="2"/>
  <c r="O24" i="2"/>
  <c r="L23" i="2"/>
  <c r="M23" i="2"/>
  <c r="N23" i="2"/>
  <c r="O23" i="2"/>
  <c r="P23" i="2"/>
  <c r="Q23" i="2"/>
  <c r="R23" i="2"/>
  <c r="S23" i="2"/>
  <c r="T23" i="2"/>
  <c r="U23" i="2"/>
  <c r="V23" i="2"/>
  <c r="W23" i="2"/>
  <c r="P25" i="2"/>
  <c r="Q25" i="2"/>
  <c r="R25" i="2"/>
  <c r="S25" i="2"/>
  <c r="T25" i="2"/>
  <c r="U25" i="2"/>
  <c r="V25" i="2"/>
  <c r="L26" i="2"/>
  <c r="M26" i="2"/>
  <c r="N26" i="2"/>
  <c r="O26" i="2"/>
  <c r="P26" i="2"/>
  <c r="Q26" i="2"/>
  <c r="R26" i="2"/>
  <c r="S26" i="2"/>
  <c r="T26" i="2"/>
  <c r="U26" i="2"/>
  <c r="V26" i="2"/>
  <c r="L47" i="2"/>
  <c r="L55" i="2" s="1"/>
  <c r="M47" i="2"/>
  <c r="M55" i="2" s="1"/>
  <c r="N47" i="2"/>
  <c r="N55" i="2" s="1"/>
  <c r="O47" i="2"/>
  <c r="O55" i="2" s="1"/>
  <c r="P47" i="2"/>
  <c r="P55" i="2" s="1"/>
  <c r="Q47" i="2"/>
  <c r="Q55" i="2" s="1"/>
  <c r="Q69" i="2" s="1"/>
  <c r="R47" i="2"/>
  <c r="R55" i="2" s="1"/>
  <c r="S47" i="2"/>
  <c r="S55" i="2" s="1"/>
  <c r="T47" i="2"/>
  <c r="T55" i="2" s="1"/>
  <c r="U47" i="2"/>
  <c r="U55" i="2" s="1"/>
  <c r="V47" i="2"/>
  <c r="V55" i="2" s="1"/>
  <c r="W47" i="2"/>
  <c r="W55" i="2" s="1"/>
  <c r="L62" i="2"/>
  <c r="L68" i="2" s="1"/>
  <c r="M62" i="2"/>
  <c r="M68" i="2" s="1"/>
  <c r="N62" i="2"/>
  <c r="N68" i="2" s="1"/>
  <c r="O62" i="2"/>
  <c r="O68" i="2" s="1"/>
  <c r="P62" i="2"/>
  <c r="P68" i="2" s="1"/>
  <c r="Q62" i="2"/>
  <c r="Q68" i="2" s="1"/>
  <c r="R62" i="2"/>
  <c r="R68" i="2" s="1"/>
  <c r="S62" i="2"/>
  <c r="S68" i="2" s="1"/>
  <c r="T62" i="2"/>
  <c r="T68" i="2" s="1"/>
  <c r="U62" i="2"/>
  <c r="U68" i="2" s="1"/>
  <c r="V62" i="2"/>
  <c r="V68" i="2" s="1"/>
  <c r="W62" i="2"/>
  <c r="W68" i="2" s="1"/>
  <c r="C47" i="2"/>
  <c r="C55" i="2" s="1"/>
  <c r="D47" i="2"/>
  <c r="D55" i="2" s="1"/>
  <c r="E47" i="2"/>
  <c r="E55" i="2" s="1"/>
  <c r="I24" i="2"/>
  <c r="H24" i="2"/>
  <c r="I25" i="2"/>
  <c r="E30" i="2"/>
  <c r="F30" i="2"/>
  <c r="G30" i="2"/>
  <c r="E29" i="2"/>
  <c r="F29" i="2"/>
  <c r="G29" i="2"/>
  <c r="W69" i="2" l="1"/>
  <c r="O69" i="2"/>
  <c r="R69" i="2"/>
  <c r="P69" i="2"/>
  <c r="G15" i="2"/>
  <c r="G17" i="2" s="1"/>
  <c r="G19" i="2" s="1"/>
  <c r="G28" i="2"/>
  <c r="T69" i="2"/>
  <c r="U69" i="2"/>
  <c r="V69" i="2"/>
  <c r="S69" i="2"/>
  <c r="K11" i="5"/>
  <c r="L24" i="2"/>
  <c r="G26" i="2"/>
  <c r="G27" i="2"/>
  <c r="E26" i="2"/>
  <c r="E27" i="2"/>
  <c r="D26" i="2"/>
  <c r="D27" i="2"/>
  <c r="C26" i="2"/>
  <c r="C27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4" i="2"/>
  <c r="T31" i="2"/>
  <c r="P24" i="2"/>
  <c r="S24" i="2"/>
  <c r="S31" i="2"/>
  <c r="W24" i="2"/>
  <c r="V24" i="2"/>
  <c r="U24" i="2"/>
  <c r="R31" i="2"/>
  <c r="R24" i="2"/>
  <c r="Q31" i="2"/>
  <c r="Q24" i="2"/>
  <c r="C23" i="2"/>
  <c r="H25" i="2"/>
  <c r="F23" i="2"/>
  <c r="F26" i="2"/>
  <c r="E23" i="2"/>
  <c r="D23" i="2"/>
  <c r="G23" i="2"/>
  <c r="G25" i="2"/>
  <c r="G62" i="2"/>
  <c r="G68" i="2" s="1"/>
  <c r="G47" i="2"/>
  <c r="G55" i="2" s="1"/>
  <c r="F25" i="2"/>
  <c r="D25" i="2"/>
  <c r="D62" i="2"/>
  <c r="D68" i="2" s="1"/>
  <c r="D69" i="2" s="1"/>
  <c r="E62" i="2"/>
  <c r="F47" i="2"/>
  <c r="F55" i="2" s="1"/>
  <c r="G69" i="2" l="1"/>
  <c r="P31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62" i="2"/>
  <c r="F68" i="2" s="1"/>
  <c r="F69" i="2" s="1"/>
  <c r="E68" i="2"/>
  <c r="E69" i="2" s="1"/>
  <c r="C62" i="2"/>
  <c r="C68" i="2" s="1"/>
  <c r="C21" i="2" l="1"/>
  <c r="E21" i="2"/>
  <c r="D24" i="2"/>
  <c r="G31" i="2"/>
  <c r="G21" i="2"/>
  <c r="H31" i="2" s="1"/>
  <c r="G24" i="2"/>
  <c r="C24" i="2" l="1"/>
  <c r="D31" i="2"/>
  <c r="E24" i="2"/>
  <c r="F31" i="2"/>
  <c r="F21" i="2"/>
  <c r="E31" i="2"/>
  <c r="D21" i="2"/>
  <c r="F24" i="2"/>
  <c r="C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<sst xmlns="http://schemas.openxmlformats.org/spreadsheetml/2006/main" count="190" uniqueCount="169">
  <si>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</si>
  <si>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</si>
  <si>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</si>
  <si>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</si>
  <si>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</si>
  <si>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</si>
  <si>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</si>
  <si>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</si>
  <si>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</si>
  <si>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</si>
  <si>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</si>
  <si>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</si>
  <si>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</si>
  <si>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</si>
  <si>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</si>
  <si>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</si>
  <si>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</si>
  <si>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</si>
  <si>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</si>
  <si>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</si>
  <si>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</si>
  <si>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</si>
  <si>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</si>
  <si>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</si>
  <si>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</si>
  <si>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</si>
  <si>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Goodwill</t>
  </si>
  <si>
    <t>Total Assets</t>
  </si>
  <si>
    <t>Total Liablities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</si>
  <si>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</si>
  <si>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</si>
  <si>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</si>
  <si>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</si>
  <si>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</si>
  <si>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</si>
  <si>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</si>
  <si>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</si>
  <si>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</si>
  <si>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</si>
  <si>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</si>
  <si>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</si>
  <si>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</si>
  <si>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</si>
  <si>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</si>
  <si>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</si>
  <si>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</si>
  <si>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</si>
  <si>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</si>
  <si>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</si>
  <si>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</si>
  <si>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</si>
  <si>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</si>
  <si>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</si>
  <si>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</si>
  <si>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</si>
  <si>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</si>
  <si>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</si>
  <si>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</si>
  <si>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</si>
  <si>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</si>
  <si>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</si>
  <si>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</si>
  <si>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</si>
  <si>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</si>
  <si>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</si>
  <si>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</si>
  <si>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</si>
  <si>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</si>
  <si>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</si>
  <si>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</si>
  <si>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</si>
  <si>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</si>
  <si>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</si>
  <si>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</si>
  <si>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</si>
  <si>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</si>
  <si>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Restricted Cash</t>
  </si>
  <si>
    <t>PP&amp;E</t>
  </si>
  <si>
    <t>Intangible Asset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</si>
  <si>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</si>
  <si>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</si>
  <si>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</si>
  <si>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</si>
  <si>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</si>
  <si>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</si>
  <si>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</si>
  <si>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</si>
  <si>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</si>
  <si>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</si>
  <si>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</si>
  <si>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</si>
  <si>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</si>
  <si>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</si>
  <si>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</si>
  <si>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</si>
  <si>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</si>
  <si>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</si>
  <si>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</si>
  <si>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</si>
  <si>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</si>
  <si>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</si>
  <si>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</si>
  <si>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</si>
  <si>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</si>
  <si>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</si>
  <si>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</si>
  <si>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</si>
  <si>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</si>
  <si>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</si>
  <si>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</si>
  <si>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</si>
  <si>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</si>
  <si>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</si>
  <si>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</si>
  <si>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</si>
  <si>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</si>
  <si>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</si>
  <si>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</si>
  <si>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</si>
  <si>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</si>
  <si>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</si>
  <si>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</si>
  <si>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</si>
  <si>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</si>
  <si>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</si>
  <si>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</si>
  <si>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</si>
  <si>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</si>
  <si>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</si>
  <si>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</si>
  <si>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</si>
  <si>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</si>
  <si>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</si>
  <si>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</si>
  <si>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</si>
  <si>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MAUs</t>
  </si>
  <si>
    <t>Premium Subscribers</t>
  </si>
  <si>
    <t>Premium</t>
  </si>
  <si>
    <t>Ad-Supported</t>
  </si>
  <si>
    <t>Ad-Supported MAUs</t>
  </si>
  <si>
    <t>m</t>
  </si>
  <si>
    <t>Finance Income</t>
  </si>
  <si>
    <t>Short term investments</t>
  </si>
  <si>
    <t>Income Tax Receivables</t>
  </si>
  <si>
    <t>Trade and other</t>
  </si>
  <si>
    <t>Lease of right</t>
  </si>
  <si>
    <t>Long term investments</t>
  </si>
  <si>
    <t>Deffered Tax</t>
  </si>
  <si>
    <t>Trade and other Payables</t>
  </si>
  <si>
    <t>Income Tax payable</t>
  </si>
  <si>
    <t>Deffered Revenue</t>
  </si>
  <si>
    <t>Accrued Expenses</t>
  </si>
  <si>
    <t>Provisions</t>
  </si>
  <si>
    <t>Derivative liabilities</t>
  </si>
  <si>
    <t>Exchangeblae Notes</t>
  </si>
  <si>
    <t>Lease liabilities</t>
  </si>
  <si>
    <t>Accrued expenses</t>
  </si>
  <si>
    <t>Deferred tax liab</t>
  </si>
  <si>
    <t>Daniel Ek</t>
  </si>
  <si>
    <t>Martin Lorentzon</t>
  </si>
  <si>
    <t>Baillie Gifford &amp; Co</t>
  </si>
  <si>
    <t>Tencent</t>
  </si>
  <si>
    <t>Q324</t>
  </si>
  <si>
    <t>Premium Rev y/y</t>
  </si>
  <si>
    <t>Ad-Supported y/y</t>
  </si>
  <si>
    <t>MAUs y/y</t>
  </si>
  <si>
    <t>Premium Subscribers y/y</t>
  </si>
  <si>
    <t>Rev per Premium MAUs</t>
  </si>
  <si>
    <t>Rev per Ad-Support MAUs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</si>
</sst>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64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10" fontId="0" fillId="0" borderId="0" xfId="1" applyNumberFormat="1" applyFont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0" fontId="5" fillId="0" borderId="0" xfId="0" applyFont="1" applyFill="1" applyBorder="1"/>
    <xf numFmtId="0" fontId="6" fillId="0" borderId="0" xfId="0" applyFont="1"/>
    <xf numFmtId="2" fontId="6" fillId="0" borderId="0" xfId="0" applyNumberFormat="1" applyFont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0" fontId="0" fillId="0" borderId="2" xfId="0" applyFill="1" applyBorder="1"/>
    <xf numFmtId="3" fontId="0" fillId="0" borderId="2" xfId="0" applyNumberFormat="1" applyFill="1" applyBorder="1"/>
    <xf numFmtId="2" fontId="2" fillId="11" borderId="2" xfId="0" applyNumberFormat="1" applyFont="1" applyFill="1" applyBorder="1" applyAlignment="1">
      <alignment horizontal="right"/>
    </xf>
    <xf numFmtId="9" fontId="0" fillId="0" borderId="2" xfId="0" applyNumberFormat="1" applyFill="1" applyBorder="1"/>
    <xf numFmtId="9" fontId="5" fillId="0" borderId="0" xfId="0" applyNumberFormat="1" applyFont="1" applyFill="1"/>
    <xf numFmtId="3" fontId="2" fillId="12" borderId="2" xfId="0" applyNumberFormat="1" applyFon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FFFB4"/>
      <color rgb="FF3B31FF"/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Model!$L$2:$Z$2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Model!$L$9:$Z$9</c:f>
              <c:numCache>
                <c:formatCode>#,##0</c:formatCode>
                <c:ptCount val="15"/>
                <c:pt idx="0">
                  <c:v>2147</c:v>
                </c:pt>
                <c:pt idx="1">
                  <c:v>2331</c:v>
                </c:pt>
                <c:pt idx="2">
                  <c:v>2501</c:v>
                </c:pt>
                <c:pt idx="3">
                  <c:v>2689</c:v>
                </c:pt>
                <c:pt idx="4">
                  <c:v>2661</c:v>
                </c:pt>
                <c:pt idx="5">
                  <c:v>2864</c:v>
                </c:pt>
                <c:pt idx="6">
                  <c:v>3036</c:v>
                </c:pt>
                <c:pt idx="7">
                  <c:v>3166</c:v>
                </c:pt>
                <c:pt idx="8">
                  <c:v>3042</c:v>
                </c:pt>
                <c:pt idx="9">
                  <c:v>3177</c:v>
                </c:pt>
                <c:pt idx="10">
                  <c:v>3357</c:v>
                </c:pt>
                <c:pt idx="11">
                  <c:v>3671</c:v>
                </c:pt>
                <c:pt idx="12">
                  <c:v>3636</c:v>
                </c:pt>
                <c:pt idx="13" formatCode="General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Model!$L$25:$Z$25</c:f>
              <c:numCache>
                <c:formatCode>0%</c:formatCode>
                <c:ptCount val="15"/>
                <c:pt idx="4">
                  <c:v>0.23940381928272014</c:v>
                </c:pt>
                <c:pt idx="5">
                  <c:v>0.2286572286572286</c:v>
                </c:pt>
                <c:pt idx="6">
                  <c:v>0.21391443422630951</c:v>
                </c:pt>
                <c:pt idx="7">
                  <c:v>0.17738936407586459</c:v>
                </c:pt>
                <c:pt idx="8">
                  <c:v>0.14317925591882741</c:v>
                </c:pt>
                <c:pt idx="9">
                  <c:v>0.10928770949720668</c:v>
                </c:pt>
                <c:pt idx="10">
                  <c:v>0.10573122529644263</c:v>
                </c:pt>
                <c:pt idx="11">
                  <c:v>0.15950726468730259</c:v>
                </c:pt>
                <c:pt idx="12">
                  <c:v>0.19526627218934922</c:v>
                </c:pt>
                <c:pt idx="13">
                  <c:v>0.1960969468051621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-18,67%</c:v>
                </c:pt>
                <c:pt idx="1">
                  <c:v>-18,67% to -14,86%</c:v>
                </c:pt>
                <c:pt idx="2">
                  <c:v>-14,86% to -11,04%</c:v>
                </c:pt>
                <c:pt idx="3">
                  <c:v>-11,04% to -7,22%</c:v>
                </c:pt>
                <c:pt idx="4">
                  <c:v>-7,22% to -3,40%</c:v>
                </c:pt>
                <c:pt idx="5">
                  <c:v>-3,40% to 0,41%</c:v>
                </c:pt>
                <c:pt idx="6">
                  <c:v>0,41% to 4,23%</c:v>
                </c:pt>
                <c:pt idx="7">
                  <c:v>4,23% to 8,05%</c:v>
                </c:pt>
                <c:pt idx="8">
                  <c:v>8,05% to 11,87%</c:v>
                </c:pt>
                <c:pt idx="9">
                  <c:v>11,87% to 15,68%</c:v>
                </c:pt>
                <c:pt idx="10">
                  <c:v>15,68% to 19,50%</c:v>
                </c:pt>
                <c:pt idx="11">
                  <c:v>Greater than 19,50%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22</c:v>
                </c:pt>
                <c:pt idx="4">
                  <c:v>46</c:v>
                </c:pt>
                <c:pt idx="5">
                  <c:v>78</c:v>
                </c:pt>
                <c:pt idx="6">
                  <c:v>88</c:v>
                </c:pt>
                <c:pt idx="7">
                  <c:v>47</c:v>
                </c:pt>
                <c:pt idx="8">
                  <c:v>12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AA-427B-BE96-7177C4A4C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Model!$C$9:$I$9</c:f>
              <c:numCache>
                <c:formatCode>#,##0</c:formatCode>
                <c:ptCount val="7"/>
                <c:pt idx="0">
                  <c:v>6764</c:v>
                </c:pt>
                <c:pt idx="1">
                  <c:v>7880</c:v>
                </c:pt>
                <c:pt idx="2">
                  <c:v>9668</c:v>
                </c:pt>
                <c:pt idx="3">
                  <c:v>11727</c:v>
                </c:pt>
                <c:pt idx="4">
                  <c:v>13247</c:v>
                </c:pt>
                <c:pt idx="5">
                  <c:v>16560</c:v>
                </c:pt>
                <c:pt idx="6">
                  <c:v>18840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Model!$C$25:$I$25</c:f>
              <c:numCache>
                <c:formatCode>0%</c:formatCode>
                <c:ptCount val="7"/>
                <c:pt idx="1">
                  <c:v>0.16499112950916617</c:v>
                </c:pt>
                <c:pt idx="2">
                  <c:v>0.2269035532994923</c:v>
                </c:pt>
                <c:pt idx="3">
                  <c:v>0.21297062474141493</c:v>
                </c:pt>
                <c:pt idx="4">
                  <c:v>0.12961541741280813</c:v>
                </c:pt>
                <c:pt idx="5">
                  <c:v>0.25009436098739335</c:v>
                </c:pt>
                <c:pt idx="6">
                  <c:v>0.1376811594202898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Model!$L$19:$X$19</c:f>
              <c:numCache>
                <c:formatCode>#,##0</c:formatCode>
                <c:ptCount val="13"/>
                <c:pt idx="0">
                  <c:v>23</c:v>
                </c:pt>
                <c:pt idx="1">
                  <c:v>-20</c:v>
                </c:pt>
                <c:pt idx="2">
                  <c:v>2</c:v>
                </c:pt>
                <c:pt idx="3">
                  <c:v>-39</c:v>
                </c:pt>
                <c:pt idx="4">
                  <c:v>131</c:v>
                </c:pt>
                <c:pt idx="5">
                  <c:v>-125</c:v>
                </c:pt>
                <c:pt idx="6">
                  <c:v>-166</c:v>
                </c:pt>
                <c:pt idx="7">
                  <c:v>-270</c:v>
                </c:pt>
                <c:pt idx="8">
                  <c:v>-225</c:v>
                </c:pt>
                <c:pt idx="9">
                  <c:v>-302</c:v>
                </c:pt>
                <c:pt idx="10">
                  <c:v>65</c:v>
                </c:pt>
                <c:pt idx="11">
                  <c:v>-70</c:v>
                </c:pt>
                <c:pt idx="1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0">
                  <c:v>0.25523986958546807</c:v>
                </c:pt>
                <c:pt idx="1">
                  <c:v>0.28442728442728438</c:v>
                </c:pt>
                <c:pt idx="2">
                  <c:v>0.26709316273490602</c:v>
                </c:pt>
                <c:pt idx="3">
                  <c:v>0.26478244700632203</c:v>
                </c:pt>
                <c:pt idx="4">
                  <c:v>0.25216084178880116</c:v>
                </c:pt>
                <c:pt idx="5">
                  <c:v>0.24581005586592175</c:v>
                </c:pt>
                <c:pt idx="6">
                  <c:v>0.24703557312252966</c:v>
                </c:pt>
                <c:pt idx="7">
                  <c:v>0.25300063171193932</c:v>
                </c:pt>
                <c:pt idx="8">
                  <c:v>0.2518080210387903</c:v>
                </c:pt>
                <c:pt idx="9">
                  <c:v>0.24110796348756691</c:v>
                </c:pt>
                <c:pt idx="10">
                  <c:v>0.26362823949955316</c:v>
                </c:pt>
                <c:pt idx="11">
                  <c:v>0.26695723236175428</c:v>
                </c:pt>
                <c:pt idx="12">
                  <c:v>0.27612761276127618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Model!$C$19:$H$19</c:f>
              <c:numCache>
                <c:formatCode>#,##0</c:formatCode>
                <c:ptCount val="6"/>
                <c:pt idx="0">
                  <c:v>-186</c:v>
                </c:pt>
                <c:pt idx="1">
                  <c:v>-581</c:v>
                </c:pt>
                <c:pt idx="2">
                  <c:v>-34</c:v>
                </c:pt>
                <c:pt idx="3">
                  <c:v>-430</c:v>
                </c:pt>
                <c:pt idx="4">
                  <c:v>-532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Model!$C$31:$H$31</c:f>
              <c:numCache>
                <c:formatCode>0%</c:formatCode>
                <c:ptCount val="6"/>
                <c:pt idx="1">
                  <c:v>-2.1236559139784945</c:v>
                </c:pt>
                <c:pt idx="2">
                  <c:v>0.94148020654044751</c:v>
                </c:pt>
                <c:pt idx="3">
                  <c:v>11.647058823529411</c:v>
                </c:pt>
                <c:pt idx="4">
                  <c:v>0.23720930232558146</c:v>
                </c:pt>
                <c:pt idx="5">
                  <c:v>-2.4238884634586468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Model!$L$26:$X$26</c:f>
              <c:numCache>
                <c:formatCode>0%</c:formatCode>
                <c:ptCount val="13"/>
                <c:pt idx="0">
                  <c:v>9.1290172333488587E-2</c:v>
                </c:pt>
                <c:pt idx="1">
                  <c:v>0.10939510939510939</c:v>
                </c:pt>
                <c:pt idx="2">
                  <c:v>8.3166733306677329E-2</c:v>
                </c:pt>
                <c:pt idx="3">
                  <c:v>9.4087021197471185E-2</c:v>
                </c:pt>
                <c:pt idx="4">
                  <c:v>9.3949642991356636E-2</c:v>
                </c:pt>
                <c:pt idx="5">
                  <c:v>0.11731843575418995</c:v>
                </c:pt>
                <c:pt idx="6">
                  <c:v>0.12714097496706192</c:v>
                </c:pt>
                <c:pt idx="7">
                  <c:v>0.13108022741629816</c:v>
                </c:pt>
                <c:pt idx="8">
                  <c:v>0.14299802761341224</c:v>
                </c:pt>
                <c:pt idx="9">
                  <c:v>0.14258734655335223</c:v>
                </c:pt>
                <c:pt idx="10">
                  <c:v>0.10991957104557641</c:v>
                </c:pt>
                <c:pt idx="11">
                  <c:v>0.1274856987196949</c:v>
                </c:pt>
                <c:pt idx="12">
                  <c:v>0.10698569856985699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Model!$L$27:$X$27</c:f>
              <c:numCache>
                <c:formatCode>0%</c:formatCode>
                <c:ptCount val="13"/>
                <c:pt idx="0">
                  <c:v>0.10992081974848626</c:v>
                </c:pt>
                <c:pt idx="1">
                  <c:v>0.11969111969111969</c:v>
                </c:pt>
                <c:pt idx="2">
                  <c:v>0.11195521791283487</c:v>
                </c:pt>
                <c:pt idx="3">
                  <c:v>0.12644105615470436</c:v>
                </c:pt>
                <c:pt idx="4">
                  <c:v>0.11123637730176625</c:v>
                </c:pt>
                <c:pt idx="5">
                  <c:v>0.13652234636871508</c:v>
                </c:pt>
                <c:pt idx="6">
                  <c:v>0.14229249011857709</c:v>
                </c:pt>
                <c:pt idx="7">
                  <c:v>0.14308275426405559</c:v>
                </c:pt>
                <c:pt idx="8">
                  <c:v>0.11406969099276791</c:v>
                </c:pt>
                <c:pt idx="9">
                  <c:v>0.12559017941454201</c:v>
                </c:pt>
                <c:pt idx="10">
                  <c:v>0.10574918081620495</c:v>
                </c:pt>
                <c:pt idx="11">
                  <c:v>0.1176791065104876</c:v>
                </c:pt>
                <c:pt idx="12">
                  <c:v>8.9108910891089105E-2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0-464F-8FAD-D8E5E7BA1582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Model!$L$28:$X$28</c:f>
              <c:numCache>
                <c:formatCode>0%</c:formatCode>
                <c:ptCount val="13"/>
                <c:pt idx="0">
                  <c:v>4.7508150908244062E-2</c:v>
                </c:pt>
                <c:pt idx="1">
                  <c:v>5.019305019305019E-2</c:v>
                </c:pt>
                <c:pt idx="2">
                  <c:v>4.1983206717313072E-2</c:v>
                </c:pt>
                <c:pt idx="3">
                  <c:v>4.6857567869096318E-2</c:v>
                </c:pt>
                <c:pt idx="4">
                  <c:v>4.9229612927470877E-2</c:v>
                </c:pt>
                <c:pt idx="5">
                  <c:v>5.9706703910614528E-2</c:v>
                </c:pt>
                <c:pt idx="6">
                  <c:v>5.2700922266139656E-2</c:v>
                </c:pt>
                <c:pt idx="7">
                  <c:v>5.1800379027163612E-2</c:v>
                </c:pt>
                <c:pt idx="8">
                  <c:v>4.6022353714661408E-2</c:v>
                </c:pt>
                <c:pt idx="9">
                  <c:v>5.0676739062008182E-2</c:v>
                </c:pt>
                <c:pt idx="10">
                  <c:v>3.8427167113494191E-2</c:v>
                </c:pt>
                <c:pt idx="11">
                  <c:v>4.2222827567420324E-2</c:v>
                </c:pt>
                <c:pt idx="12">
                  <c:v>3.3828382838283828E-2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0-464F-8FAD-D8E5E7BA15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Model!$C$26:$G$26</c:f>
              <c:numCache>
                <c:formatCode>0%</c:formatCode>
                <c:ptCount val="5"/>
                <c:pt idx="0">
                  <c:v>9.0922531046717922E-2</c:v>
                </c:pt>
                <c:pt idx="1">
                  <c:v>0.10621827411167513</c:v>
                </c:pt>
                <c:pt idx="2">
                  <c:v>9.4331816301199828E-2</c:v>
                </c:pt>
                <c:pt idx="3">
                  <c:v>0.11827406838918735</c:v>
                </c:pt>
                <c:pt idx="4">
                  <c:v>0.13021816260285349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E-4659-896F-952DE724B79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Model!$C$27:$G$27</c:f>
              <c:numCache>
                <c:formatCode>0%</c:formatCode>
                <c:ptCount val="5"/>
                <c:pt idx="0">
                  <c:v>0.1221170904790065</c:v>
                </c:pt>
                <c:pt idx="1">
                  <c:v>0.13058375634517766</c:v>
                </c:pt>
                <c:pt idx="2">
                  <c:v>0.11739760033098882</c:v>
                </c:pt>
                <c:pt idx="3">
                  <c:v>0.13404962906114096</c:v>
                </c:pt>
                <c:pt idx="4">
                  <c:v>0.11572431493923152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E-4659-896F-952DE724B792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Model!$C$28:$G$28</c:f>
              <c:numCache>
                <c:formatCode>0%</c:formatCode>
                <c:ptCount val="5"/>
                <c:pt idx="0">
                  <c:v>5.2335895919574216E-2</c:v>
                </c:pt>
                <c:pt idx="1">
                  <c:v>5.6091370558375632E-2</c:v>
                </c:pt>
                <c:pt idx="2">
                  <c:v>4.6545304095986763E-2</c:v>
                </c:pt>
                <c:pt idx="3">
                  <c:v>5.3381086381853841E-2</c:v>
                </c:pt>
                <c:pt idx="4">
                  <c:v>4.4160942100098133E-2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E-4659-896F-952DE724B7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MAUs</c:v>
                </c:pt>
              </c:strCache>
            </c:strRef>
          </c:tx>
          <c:spPr>
            <a:solidFill>
              <a:srgbClr val="3B31FF"/>
            </a:solidFill>
            <a:ln>
              <a:noFill/>
            </a:ln>
            <a:effectLst/>
          </c:spPr>
          <c:invertIfNegative val="0"/>
          <c:cat>
            <c:strRef>
              <c:f>Model!$L$2:$Y$2</c:f>
              <c:strCache>
                <c:ptCount val="14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</c:strCache>
            </c:strRef>
          </c:cat>
          <c:val>
            <c:numRef>
              <c:f>Model!$L$3:$Y$3</c:f>
              <c:numCache>
                <c:formatCode>General</c:formatCode>
                <c:ptCount val="14"/>
                <c:pt idx="0">
                  <c:v>356</c:v>
                </c:pt>
                <c:pt idx="1">
                  <c:v>365</c:v>
                </c:pt>
                <c:pt idx="2">
                  <c:v>381</c:v>
                </c:pt>
                <c:pt idx="3">
                  <c:v>406</c:v>
                </c:pt>
                <c:pt idx="4">
                  <c:v>422</c:v>
                </c:pt>
                <c:pt idx="5">
                  <c:v>433</c:v>
                </c:pt>
                <c:pt idx="6">
                  <c:v>456</c:v>
                </c:pt>
                <c:pt idx="7">
                  <c:v>489</c:v>
                </c:pt>
                <c:pt idx="8">
                  <c:v>515</c:v>
                </c:pt>
                <c:pt idx="9">
                  <c:v>551</c:v>
                </c:pt>
                <c:pt idx="10">
                  <c:v>574</c:v>
                </c:pt>
                <c:pt idx="11">
                  <c:v>602</c:v>
                </c:pt>
                <c:pt idx="12">
                  <c:v>615</c:v>
                </c:pt>
                <c:pt idx="13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A-4E14-935D-26A8C84F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axId val="1359282591"/>
        <c:axId val="1359283071"/>
      </c:barChart>
      <c:catAx>
        <c:axId val="13592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9283071"/>
        <c:crosses val="autoZero"/>
        <c:auto val="1"/>
        <c:lblAlgn val="ctr"/>
        <c:lblOffset val="100"/>
        <c:noMultiLvlLbl val="0"/>
      </c:catAx>
      <c:valAx>
        <c:axId val="13592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928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Model!$B$4</c:f>
              <c:strCache>
                <c:ptCount val="1"/>
                <c:pt idx="0">
                  <c:v>Premium Subscribers</c:v>
                </c:pt>
              </c:strCache>
            </c:strRef>
          </c:tx>
          <c:spPr>
            <a:solidFill>
              <a:srgbClr val="3B31FF"/>
            </a:solidFill>
            <a:ln>
              <a:noFill/>
            </a:ln>
            <a:effectLst/>
          </c:spPr>
          <c:cat>
            <c:strRef>
              <c:f>Model!$L$2:$Y$2</c:f>
              <c:strCache>
                <c:ptCount val="14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</c:strCache>
            </c:strRef>
          </c:cat>
          <c:val>
            <c:numRef>
              <c:f>Model!$L$4:$Y$4</c:f>
              <c:numCache>
                <c:formatCode>General</c:formatCode>
                <c:ptCount val="14"/>
                <c:pt idx="0">
                  <c:v>158</c:v>
                </c:pt>
                <c:pt idx="1">
                  <c:v>165</c:v>
                </c:pt>
                <c:pt idx="2">
                  <c:v>172</c:v>
                </c:pt>
                <c:pt idx="3">
                  <c:v>180</c:v>
                </c:pt>
                <c:pt idx="4">
                  <c:v>182</c:v>
                </c:pt>
                <c:pt idx="5">
                  <c:v>188</c:v>
                </c:pt>
                <c:pt idx="6">
                  <c:v>195</c:v>
                </c:pt>
                <c:pt idx="7">
                  <c:v>205</c:v>
                </c:pt>
                <c:pt idx="8">
                  <c:v>210</c:v>
                </c:pt>
                <c:pt idx="9">
                  <c:v>220</c:v>
                </c:pt>
                <c:pt idx="10">
                  <c:v>226</c:v>
                </c:pt>
                <c:pt idx="11">
                  <c:v>236</c:v>
                </c:pt>
                <c:pt idx="12">
                  <c:v>239</c:v>
                </c:pt>
                <c:pt idx="13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F-4C6B-964E-EF2CBA246412}"/>
            </c:ext>
          </c:extLst>
        </c:ser>
        <c:ser>
          <c:idx val="1"/>
          <c:order val="1"/>
          <c:tx>
            <c:strRef>
              <c:f>Model!$B$5</c:f>
              <c:strCache>
                <c:ptCount val="1"/>
                <c:pt idx="0">
                  <c:v>Ad-Supported MAUs</c:v>
                </c:pt>
              </c:strCache>
            </c:strRef>
          </c:tx>
          <c:spPr>
            <a:solidFill>
              <a:srgbClr val="1FFFB4"/>
            </a:solidFill>
            <a:ln>
              <a:noFill/>
            </a:ln>
            <a:effectLst/>
          </c:spPr>
          <c:val>
            <c:numRef>
              <c:f>Model!$L$5:$Y$5</c:f>
              <c:numCache>
                <c:formatCode>General</c:formatCode>
                <c:ptCount val="14"/>
                <c:pt idx="0">
                  <c:v>208</c:v>
                </c:pt>
                <c:pt idx="1">
                  <c:v>210</c:v>
                </c:pt>
                <c:pt idx="2">
                  <c:v>220</c:v>
                </c:pt>
                <c:pt idx="3">
                  <c:v>236</c:v>
                </c:pt>
                <c:pt idx="4">
                  <c:v>252</c:v>
                </c:pt>
                <c:pt idx="5">
                  <c:v>256</c:v>
                </c:pt>
                <c:pt idx="6">
                  <c:v>273</c:v>
                </c:pt>
                <c:pt idx="7">
                  <c:v>295</c:v>
                </c:pt>
                <c:pt idx="8">
                  <c:v>317</c:v>
                </c:pt>
                <c:pt idx="9">
                  <c:v>343</c:v>
                </c:pt>
                <c:pt idx="10">
                  <c:v>361</c:v>
                </c:pt>
                <c:pt idx="11">
                  <c:v>379</c:v>
                </c:pt>
                <c:pt idx="12">
                  <c:v>388</c:v>
                </c:pt>
                <c:pt idx="13">
                  <c:v>411.59999999999997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F-4C6B-964E-EF2CBA246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282591"/>
        <c:axId val="1359283071"/>
      </c:areaChart>
      <c:catAx>
        <c:axId val="13592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9283071"/>
        <c:crosses val="autoZero"/>
        <c:auto val="1"/>
        <c:lblAlgn val="ctr"/>
        <c:lblOffset val="100"/>
        <c:noMultiLvlLbl val="0"/>
      </c:catAx>
      <c:valAx>
        <c:axId val="13592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92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</c:numCache>
            </c:numRef>
          </c:cat>
          <c:val>
            <c:numRef>
              <c:f>Catalysts!$C$2:$C$10000</c:f>
              <c:numCache>
                <c:formatCode>@</c:formatCode>
                <c:ptCount val="9999"/>
                <c:pt idx="0">
                  <c:v>290.51998900000001</c:v>
                </c:pt>
                <c:pt idx="1">
                  <c:v>300.45001200000002</c:v>
                </c:pt>
                <c:pt idx="2">
                  <c:v>310.30999800000001</c:v>
                </c:pt>
                <c:pt idx="3">
                  <c:v>263.89999399999999</c:v>
                </c:pt>
                <c:pt idx="4">
                  <c:v>264.95001200000002</c:v>
                </c:pt>
                <c:pt idx="5">
                  <c:v>254.88999899999999</c:v>
                </c:pt>
                <c:pt idx="6">
                  <c:v>259.39999399999999</c:v>
                </c:pt>
                <c:pt idx="7">
                  <c:v>263.75</c:v>
                </c:pt>
                <c:pt idx="8">
                  <c:v>256.10000600000001</c:v>
                </c:pt>
                <c:pt idx="9">
                  <c:v>246.25</c:v>
                </c:pt>
                <c:pt idx="10">
                  <c:v>240.770004</c:v>
                </c:pt>
                <c:pt idx="11">
                  <c:v>222.470001</c:v>
                </c:pt>
                <c:pt idx="12">
                  <c:v>214.28999300000001</c:v>
                </c:pt>
                <c:pt idx="13">
                  <c:v>204.71000699999999</c:v>
                </c:pt>
                <c:pt idx="14">
                  <c:v>203.029999</c:v>
                </c:pt>
                <c:pt idx="15">
                  <c:v>193.520004</c:v>
                </c:pt>
                <c:pt idx="16">
                  <c:v>187.91000399999999</c:v>
                </c:pt>
                <c:pt idx="17">
                  <c:v>189.58999600000001</c:v>
                </c:pt>
                <c:pt idx="18">
                  <c:v>192.16999799999999</c:v>
                </c:pt>
                <c:pt idx="19">
                  <c:v>198.050003</c:v>
                </c:pt>
                <c:pt idx="20">
                  <c:v>180.69000199999999</c:v>
                </c:pt>
                <c:pt idx="21">
                  <c:v>181.699997</c:v>
                </c:pt>
                <c:pt idx="22">
                  <c:v>176.050003</c:v>
                </c:pt>
                <c:pt idx="23">
                  <c:v>170.979996</c:v>
                </c:pt>
                <c:pt idx="24">
                  <c:v>169.979996</c:v>
                </c:pt>
                <c:pt idx="25">
                  <c:v>159.35000600000001</c:v>
                </c:pt>
                <c:pt idx="26">
                  <c:v>149.91999799999999</c:v>
                </c:pt>
                <c:pt idx="27">
                  <c:v>153.55999800000001</c:v>
                </c:pt>
                <c:pt idx="28">
                  <c:v>160.529999</c:v>
                </c:pt>
                <c:pt idx="29">
                  <c:v>154.63999899999999</c:v>
                </c:pt>
                <c:pt idx="30">
                  <c:v>156.35000600000001</c:v>
                </c:pt>
                <c:pt idx="31">
                  <c:v>158.58000200000001</c:v>
                </c:pt>
                <c:pt idx="32">
                  <c:v>155.470001</c:v>
                </c:pt>
                <c:pt idx="33">
                  <c:v>157.55999800000001</c:v>
                </c:pt>
                <c:pt idx="34">
                  <c:v>137.220001</c:v>
                </c:pt>
                <c:pt idx="35">
                  <c:v>131.86999499999999</c:v>
                </c:pt>
                <c:pt idx="36">
                  <c:v>138.679993</c:v>
                </c:pt>
                <c:pt idx="37">
                  <c:v>144.11999499999999</c:v>
                </c:pt>
                <c:pt idx="38">
                  <c:v>148.60000600000001</c:v>
                </c:pt>
                <c:pt idx="39">
                  <c:v>171.71000699999999</c:v>
                </c:pt>
                <c:pt idx="40">
                  <c:v>172.029999</c:v>
                </c:pt>
                <c:pt idx="41">
                  <c:v>156.970001</c:v>
                </c:pt>
                <c:pt idx="42">
                  <c:v>160.550003</c:v>
                </c:pt>
                <c:pt idx="43">
                  <c:v>157.490005</c:v>
                </c:pt>
                <c:pt idx="44">
                  <c:v>159.990005</c:v>
                </c:pt>
                <c:pt idx="45">
                  <c:v>150.479996</c:v>
                </c:pt>
                <c:pt idx="46">
                  <c:v>151.740005</c:v>
                </c:pt>
                <c:pt idx="47">
                  <c:v>150.30999800000001</c:v>
                </c:pt>
                <c:pt idx="48">
                  <c:v>149.429993</c:v>
                </c:pt>
                <c:pt idx="49">
                  <c:v>142.529999</c:v>
                </c:pt>
                <c:pt idx="50">
                  <c:v>141.75</c:v>
                </c:pt>
                <c:pt idx="51">
                  <c:v>133.60000600000001</c:v>
                </c:pt>
                <c:pt idx="52">
                  <c:v>133.759995</c:v>
                </c:pt>
                <c:pt idx="53">
                  <c:v>134.740005</c:v>
                </c:pt>
                <c:pt idx="54">
                  <c:v>132.479996</c:v>
                </c:pt>
                <c:pt idx="55">
                  <c:v>133.61999499999999</c:v>
                </c:pt>
                <c:pt idx="56">
                  <c:v>128.300003</c:v>
                </c:pt>
                <c:pt idx="57">
                  <c:v>127.089996</c:v>
                </c:pt>
                <c:pt idx="58">
                  <c:v>121.660004</c:v>
                </c:pt>
                <c:pt idx="59">
                  <c:v>123.739998</c:v>
                </c:pt>
                <c:pt idx="60">
                  <c:v>117.139999</c:v>
                </c:pt>
                <c:pt idx="61">
                  <c:v>125.33000199999999</c:v>
                </c:pt>
                <c:pt idx="62">
                  <c:v>125.160004</c:v>
                </c:pt>
                <c:pt idx="63">
                  <c:v>121.16999800000001</c:v>
                </c:pt>
                <c:pt idx="64">
                  <c:v>102.239998</c:v>
                </c:pt>
                <c:pt idx="65">
                  <c:v>97.910004000000001</c:v>
                </c:pt>
                <c:pt idx="66">
                  <c:v>92.059997999999993</c:v>
                </c:pt>
                <c:pt idx="67">
                  <c:v>83.540001000000004</c:v>
                </c:pt>
                <c:pt idx="68">
                  <c:v>78.949996999999996</c:v>
                </c:pt>
                <c:pt idx="69">
                  <c:v>77.699996999999996</c:v>
                </c:pt>
                <c:pt idx="70">
                  <c:v>74.739998</c:v>
                </c:pt>
                <c:pt idx="71">
                  <c:v>78.169998000000007</c:v>
                </c:pt>
                <c:pt idx="72">
                  <c:v>80.309997999999993</c:v>
                </c:pt>
                <c:pt idx="73">
                  <c:v>78.730002999999996</c:v>
                </c:pt>
                <c:pt idx="74">
                  <c:v>76.989998</c:v>
                </c:pt>
                <c:pt idx="75">
                  <c:v>83.709998999999996</c:v>
                </c:pt>
                <c:pt idx="76">
                  <c:v>71.050003000000004</c:v>
                </c:pt>
                <c:pt idx="77">
                  <c:v>83.360000999999997</c:v>
                </c:pt>
                <c:pt idx="78">
                  <c:v>88.699996999999996</c:v>
                </c:pt>
                <c:pt idx="79">
                  <c:v>81.790001000000004</c:v>
                </c:pt>
                <c:pt idx="80">
                  <c:v>88.010002</c:v>
                </c:pt>
                <c:pt idx="81">
                  <c:v>86.300003000000004</c:v>
                </c:pt>
                <c:pt idx="82">
                  <c:v>89.339995999999999</c:v>
                </c:pt>
                <c:pt idx="83">
                  <c:v>100.339996</c:v>
                </c:pt>
                <c:pt idx="84">
                  <c:v>110.279999</c:v>
                </c:pt>
                <c:pt idx="85">
                  <c:v>104.41999800000001</c:v>
                </c:pt>
                <c:pt idx="86">
                  <c:v>109.30999799999999</c:v>
                </c:pt>
                <c:pt idx="87">
                  <c:v>111.43</c:v>
                </c:pt>
                <c:pt idx="88">
                  <c:v>123.629997</c:v>
                </c:pt>
                <c:pt idx="89">
                  <c:v>118.730003</c:v>
                </c:pt>
                <c:pt idx="90">
                  <c:v>113.019997</c:v>
                </c:pt>
                <c:pt idx="91">
                  <c:v>111.650002</c:v>
                </c:pt>
                <c:pt idx="92">
                  <c:v>102.33000199999999</c:v>
                </c:pt>
                <c:pt idx="93">
                  <c:v>104.239998</c:v>
                </c:pt>
                <c:pt idx="94">
                  <c:v>97.519997000000004</c:v>
                </c:pt>
                <c:pt idx="95">
                  <c:v>107</c:v>
                </c:pt>
                <c:pt idx="96">
                  <c:v>99.269997000000004</c:v>
                </c:pt>
                <c:pt idx="97">
                  <c:v>102.230003</c:v>
                </c:pt>
                <c:pt idx="98">
                  <c:v>112.230003</c:v>
                </c:pt>
                <c:pt idx="99">
                  <c:v>112.970001</c:v>
                </c:pt>
                <c:pt idx="100">
                  <c:v>107.269997</c:v>
                </c:pt>
                <c:pt idx="101">
                  <c:v>106.089996</c:v>
                </c:pt>
                <c:pt idx="102">
                  <c:v>104.68</c:v>
                </c:pt>
                <c:pt idx="103">
                  <c:v>101.650002</c:v>
                </c:pt>
                <c:pt idx="104">
                  <c:v>110.209999</c:v>
                </c:pt>
                <c:pt idx="105">
                  <c:v>136.270004</c:v>
                </c:pt>
                <c:pt idx="106">
                  <c:v>141.279999</c:v>
                </c:pt>
                <c:pt idx="107">
                  <c:v>153.699997</c:v>
                </c:pt>
                <c:pt idx="108">
                  <c:v>146.03999300000001</c:v>
                </c:pt>
                <c:pt idx="109">
                  <c:v>144.779999</c:v>
                </c:pt>
                <c:pt idx="110">
                  <c:v>124.290001</c:v>
                </c:pt>
                <c:pt idx="111">
                  <c:v>135.16999799999999</c:v>
                </c:pt>
                <c:pt idx="112">
                  <c:v>151.91000399999999</c:v>
                </c:pt>
                <c:pt idx="113">
                  <c:v>152.270004</c:v>
                </c:pt>
                <c:pt idx="114">
                  <c:v>161.929993</c:v>
                </c:pt>
                <c:pt idx="115">
                  <c:v>174.429993</c:v>
                </c:pt>
                <c:pt idx="116">
                  <c:v>172.979996</c:v>
                </c:pt>
                <c:pt idx="117">
                  <c:v>195.529999</c:v>
                </c:pt>
                <c:pt idx="118">
                  <c:v>218.55999800000001</c:v>
                </c:pt>
                <c:pt idx="119">
                  <c:v>223.58000200000001</c:v>
                </c:pt>
                <c:pt idx="120">
                  <c:v>234.029999</c:v>
                </c:pt>
                <c:pt idx="121">
                  <c:v>236.63000500000001</c:v>
                </c:pt>
                <c:pt idx="122">
                  <c:v>235.279999</c:v>
                </c:pt>
                <c:pt idx="123">
                  <c:v>233.259995</c:v>
                </c:pt>
                <c:pt idx="124">
                  <c:v>228.800003</c:v>
                </c:pt>
                <c:pt idx="125">
                  <c:v>250.88999899999999</c:v>
                </c:pt>
                <c:pt idx="126">
                  <c:v>259.54998799999998</c:v>
                </c:pt>
                <c:pt idx="127">
                  <c:v>280.55999800000001</c:v>
                </c:pt>
                <c:pt idx="128">
                  <c:v>289.04998799999998</c:v>
                </c:pt>
                <c:pt idx="129">
                  <c:v>289.39999399999999</c:v>
                </c:pt>
                <c:pt idx="130">
                  <c:v>252.96000699999999</c:v>
                </c:pt>
                <c:pt idx="131">
                  <c:v>247.39999399999999</c:v>
                </c:pt>
                <c:pt idx="132">
                  <c:v>232.88000500000001</c:v>
                </c:pt>
                <c:pt idx="133">
                  <c:v>229.33000200000001</c:v>
                </c:pt>
                <c:pt idx="134">
                  <c:v>230.199997</c:v>
                </c:pt>
                <c:pt idx="135">
                  <c:v>248.10000600000001</c:v>
                </c:pt>
                <c:pt idx="136">
                  <c:v>247.759995</c:v>
                </c:pt>
                <c:pt idx="137">
                  <c:v>249.03999300000001</c:v>
                </c:pt>
                <c:pt idx="138">
                  <c:v>226.020004</c:v>
                </c:pt>
                <c:pt idx="139">
                  <c:v>216.63999899999999</c:v>
                </c:pt>
                <c:pt idx="140">
                  <c:v>211.479996</c:v>
                </c:pt>
                <c:pt idx="141">
                  <c:v>221.970001</c:v>
                </c:pt>
                <c:pt idx="142">
                  <c:v>228.66999799999999</c:v>
                </c:pt>
                <c:pt idx="143">
                  <c:v>243.63999899999999</c:v>
                </c:pt>
                <c:pt idx="144">
                  <c:v>243.240005</c:v>
                </c:pt>
                <c:pt idx="145">
                  <c:v>262.82998700000002</c:v>
                </c:pt>
                <c:pt idx="146">
                  <c:v>267.82998700000002</c:v>
                </c:pt>
                <c:pt idx="147">
                  <c:v>266.38000499999998</c:v>
                </c:pt>
                <c:pt idx="148">
                  <c:v>247.63999899999999</c:v>
                </c:pt>
                <c:pt idx="149">
                  <c:v>243.66000399999999</c:v>
                </c:pt>
                <c:pt idx="150">
                  <c:v>236.16999799999999</c:v>
                </c:pt>
                <c:pt idx="151">
                  <c:v>241.570007</c:v>
                </c:pt>
                <c:pt idx="152">
                  <c:v>229.13999899999999</c:v>
                </c:pt>
                <c:pt idx="153">
                  <c:v>223.58999600000001</c:v>
                </c:pt>
                <c:pt idx="154">
                  <c:v>239.41000399999999</c:v>
                </c:pt>
                <c:pt idx="155">
                  <c:v>252.11999499999999</c:v>
                </c:pt>
                <c:pt idx="156">
                  <c:v>284.10998499999999</c:v>
                </c:pt>
                <c:pt idx="157">
                  <c:v>292.01998900000001</c:v>
                </c:pt>
                <c:pt idx="158">
                  <c:v>279.20001200000002</c:v>
                </c:pt>
                <c:pt idx="159">
                  <c:v>273.10000600000001</c:v>
                </c:pt>
                <c:pt idx="160">
                  <c:v>261.30999800000001</c:v>
                </c:pt>
                <c:pt idx="161">
                  <c:v>272.10998499999999</c:v>
                </c:pt>
                <c:pt idx="162">
                  <c:v>279.89001500000001</c:v>
                </c:pt>
                <c:pt idx="163">
                  <c:v>274.98001099999999</c:v>
                </c:pt>
                <c:pt idx="164">
                  <c:v>307.38000499999998</c:v>
                </c:pt>
                <c:pt idx="165">
                  <c:v>364.58999599999999</c:v>
                </c:pt>
                <c:pt idx="166">
                  <c:v>339.70001200000002</c:v>
                </c:pt>
                <c:pt idx="167">
                  <c:v>310.76998900000001</c:v>
                </c:pt>
                <c:pt idx="168">
                  <c:v>315</c:v>
                </c:pt>
                <c:pt idx="169">
                  <c:v>338.959991</c:v>
                </c:pt>
                <c:pt idx="170">
                  <c:v>319.82000699999998</c:v>
                </c:pt>
                <c:pt idx="171">
                  <c:v>353.10998499999999</c:v>
                </c:pt>
                <c:pt idx="172">
                  <c:v>314.66000400000001</c:v>
                </c:pt>
                <c:pt idx="173">
                  <c:v>328.39001500000001</c:v>
                </c:pt>
                <c:pt idx="174">
                  <c:v>336.10000600000001</c:v>
                </c:pt>
                <c:pt idx="175">
                  <c:v>341.22000100000002</c:v>
                </c:pt>
                <c:pt idx="176">
                  <c:v>319.76998900000001</c:v>
                </c:pt>
                <c:pt idx="177">
                  <c:v>277.61999500000002</c:v>
                </c:pt>
                <c:pt idx="178">
                  <c:v>260</c:v>
                </c:pt>
                <c:pt idx="179">
                  <c:v>253.5</c:v>
                </c:pt>
                <c:pt idx="180">
                  <c:v>276.10000600000001</c:v>
                </c:pt>
                <c:pt idx="181">
                  <c:v>239.88999899999999</c:v>
                </c:pt>
                <c:pt idx="182">
                  <c:v>283.48998999999998</c:v>
                </c:pt>
                <c:pt idx="183">
                  <c:v>262.54998799999998</c:v>
                </c:pt>
                <c:pt idx="184">
                  <c:v>250</c:v>
                </c:pt>
                <c:pt idx="185">
                  <c:v>240.279999</c:v>
                </c:pt>
                <c:pt idx="186">
                  <c:v>235.979996</c:v>
                </c:pt>
                <c:pt idx="187">
                  <c:v>233.88999899999999</c:v>
                </c:pt>
                <c:pt idx="188">
                  <c:v>241.60000600000001</c:v>
                </c:pt>
                <c:pt idx="189">
                  <c:v>248.21000699999999</c:v>
                </c:pt>
                <c:pt idx="190">
                  <c:v>279.35998499999999</c:v>
                </c:pt>
                <c:pt idx="191">
                  <c:v>270.98001099999999</c:v>
                </c:pt>
                <c:pt idx="192">
                  <c:v>251.320007</c:v>
                </c:pt>
                <c:pt idx="193">
                  <c:v>252.11999499999999</c:v>
                </c:pt>
                <c:pt idx="194">
                  <c:v>257.82000699999998</c:v>
                </c:pt>
                <c:pt idx="195">
                  <c:v>268.73998999999998</c:v>
                </c:pt>
                <c:pt idx="196">
                  <c:v>263.23001099999999</c:v>
                </c:pt>
                <c:pt idx="197">
                  <c:v>278.23998999999998</c:v>
                </c:pt>
                <c:pt idx="198">
                  <c:v>271.48998999999998</c:v>
                </c:pt>
                <c:pt idx="199">
                  <c:v>264.95001200000002</c:v>
                </c:pt>
                <c:pt idx="200">
                  <c:v>231.28999300000001</c:v>
                </c:pt>
                <c:pt idx="201">
                  <c:v>180.070007</c:v>
                </c:pt>
                <c:pt idx="202">
                  <c:v>184.279999</c:v>
                </c:pt>
                <c:pt idx="203">
                  <c:v>180.929993</c:v>
                </c:pt>
                <c:pt idx="204">
                  <c:v>190.16999799999999</c:v>
                </c:pt>
                <c:pt idx="205">
                  <c:v>158.83000200000001</c:v>
                </c:pt>
                <c:pt idx="206">
                  <c:v>152.14999399999999</c:v>
                </c:pt>
                <c:pt idx="207">
                  <c:v>144.83999600000001</c:v>
                </c:pt>
                <c:pt idx="208">
                  <c:v>137.83999600000001</c:v>
                </c:pt>
                <c:pt idx="209">
                  <c:v>141.86000100000001</c:v>
                </c:pt>
                <c:pt idx="210">
                  <c:v>131.86000100000001</c:v>
                </c:pt>
                <c:pt idx="211">
                  <c:v>122.120003</c:v>
                </c:pt>
                <c:pt idx="212">
                  <c:v>122.540001</c:v>
                </c:pt>
                <c:pt idx="213">
                  <c:v>124.360001</c:v>
                </c:pt>
                <c:pt idx="214">
                  <c:v>131.55999800000001</c:v>
                </c:pt>
                <c:pt idx="215">
                  <c:v>145.13999899999999</c:v>
                </c:pt>
                <c:pt idx="216">
                  <c:v>137.11999499999999</c:v>
                </c:pt>
                <c:pt idx="217">
                  <c:v>146.949997</c:v>
                </c:pt>
                <c:pt idx="218">
                  <c:v>141</c:v>
                </c:pt>
                <c:pt idx="219">
                  <c:v>154.550003</c:v>
                </c:pt>
                <c:pt idx="220">
                  <c:v>141.300003</c:v>
                </c:pt>
                <c:pt idx="221">
                  <c:v>146.63000500000001</c:v>
                </c:pt>
                <c:pt idx="222">
                  <c:v>148.33999600000001</c:v>
                </c:pt>
                <c:pt idx="223">
                  <c:v>156.03999300000001</c:v>
                </c:pt>
                <c:pt idx="224">
                  <c:v>152.5</c:v>
                </c:pt>
                <c:pt idx="225">
                  <c:v>153.16999799999999</c:v>
                </c:pt>
                <c:pt idx="226">
                  <c:v>150.30999800000001</c:v>
                </c:pt>
                <c:pt idx="227">
                  <c:v>147.199997</c:v>
                </c:pt>
                <c:pt idx="228">
                  <c:v>148.08999600000001</c:v>
                </c:pt>
                <c:pt idx="229">
                  <c:v>142.550003</c:v>
                </c:pt>
                <c:pt idx="230">
                  <c:v>140.88999899999999</c:v>
                </c:pt>
                <c:pt idx="231">
                  <c:v>147.509995</c:v>
                </c:pt>
                <c:pt idx="232">
                  <c:v>147.85000600000001</c:v>
                </c:pt>
                <c:pt idx="233">
                  <c:v>146.91999799999999</c:v>
                </c:pt>
                <c:pt idx="234">
                  <c:v>120.69000200000001</c:v>
                </c:pt>
                <c:pt idx="235">
                  <c:v>115.33000199999999</c:v>
                </c:pt>
                <c:pt idx="236">
                  <c:v>115.489998</c:v>
                </c:pt>
                <c:pt idx="237">
                  <c:v>116.41999800000001</c:v>
                </c:pt>
                <c:pt idx="238">
                  <c:v>112.239998</c:v>
                </c:pt>
                <c:pt idx="239">
                  <c:v>120.699997</c:v>
                </c:pt>
                <c:pt idx="240">
                  <c:v>130.63000500000001</c:v>
                </c:pt>
                <c:pt idx="241">
                  <c:v>136.05999800000001</c:v>
                </c:pt>
                <c:pt idx="242">
                  <c:v>134.949997</c:v>
                </c:pt>
                <c:pt idx="243">
                  <c:v>138.020004</c:v>
                </c:pt>
                <c:pt idx="244">
                  <c:v>147.740005</c:v>
                </c:pt>
                <c:pt idx="245">
                  <c:v>155.009995</c:v>
                </c:pt>
                <c:pt idx="246">
                  <c:v>153.470001</c:v>
                </c:pt>
                <c:pt idx="247">
                  <c:v>155.38000500000001</c:v>
                </c:pt>
                <c:pt idx="248">
                  <c:v>144.11000100000001</c:v>
                </c:pt>
                <c:pt idx="249">
                  <c:v>152.300003</c:v>
                </c:pt>
                <c:pt idx="250">
                  <c:v>146.30999800000001</c:v>
                </c:pt>
                <c:pt idx="251">
                  <c:v>146.220001</c:v>
                </c:pt>
                <c:pt idx="252">
                  <c:v>148.30999800000001</c:v>
                </c:pt>
                <c:pt idx="253">
                  <c:v>144.58999600000001</c:v>
                </c:pt>
                <c:pt idx="254">
                  <c:v>140.08000200000001</c:v>
                </c:pt>
                <c:pt idx="255">
                  <c:v>125.58000199999999</c:v>
                </c:pt>
                <c:pt idx="256">
                  <c:v>124.650002</c:v>
                </c:pt>
                <c:pt idx="257">
                  <c:v>132.759995</c:v>
                </c:pt>
                <c:pt idx="258">
                  <c:v>137.85000600000001</c:v>
                </c:pt>
                <c:pt idx="259">
                  <c:v>136.16999799999999</c:v>
                </c:pt>
                <c:pt idx="260">
                  <c:v>138.25</c:v>
                </c:pt>
                <c:pt idx="261">
                  <c:v>139.64999399999999</c:v>
                </c:pt>
                <c:pt idx="262">
                  <c:v>144.949997</c:v>
                </c:pt>
                <c:pt idx="263">
                  <c:v>141.13000500000001</c:v>
                </c:pt>
                <c:pt idx="264">
                  <c:v>138.800003</c:v>
                </c:pt>
                <c:pt idx="265">
                  <c:v>139</c:v>
                </c:pt>
                <c:pt idx="266">
                  <c:v>141.91000399999999</c:v>
                </c:pt>
                <c:pt idx="267">
                  <c:v>140.179993</c:v>
                </c:pt>
                <c:pt idx="268">
                  <c:v>138</c:v>
                </c:pt>
                <c:pt idx="269">
                  <c:v>151.19000199999999</c:v>
                </c:pt>
                <c:pt idx="270">
                  <c:v>148.520004</c:v>
                </c:pt>
                <c:pt idx="271">
                  <c:v>134.71000699999999</c:v>
                </c:pt>
                <c:pt idx="272">
                  <c:v>137.21000699999999</c:v>
                </c:pt>
                <c:pt idx="273">
                  <c:v>134.66999799999999</c:v>
                </c:pt>
                <c:pt idx="274">
                  <c:v>133.66000399999999</c:v>
                </c:pt>
                <c:pt idx="275">
                  <c:v>120.519997</c:v>
                </c:pt>
                <c:pt idx="276">
                  <c:v>118.510002</c:v>
                </c:pt>
                <c:pt idx="277">
                  <c:v>112.160004</c:v>
                </c:pt>
                <c:pt idx="278">
                  <c:v>106.839996</c:v>
                </c:pt>
                <c:pt idx="279">
                  <c:v>125.68</c:v>
                </c:pt>
                <c:pt idx="280">
                  <c:v>135.30999800000001</c:v>
                </c:pt>
                <c:pt idx="281">
                  <c:v>136.38000500000001</c:v>
                </c:pt>
                <c:pt idx="282">
                  <c:v>129.41000399999999</c:v>
                </c:pt>
                <c:pt idx="283">
                  <c:v>134.21000699999999</c:v>
                </c:pt>
                <c:pt idx="284">
                  <c:v>138.05999800000001</c:v>
                </c:pt>
                <c:pt idx="285">
                  <c:v>138.990005</c:v>
                </c:pt>
                <c:pt idx="286">
                  <c:v>146.240005</c:v>
                </c:pt>
                <c:pt idx="287">
                  <c:v>148.929993</c:v>
                </c:pt>
                <c:pt idx="288">
                  <c:v>158.490005</c:v>
                </c:pt>
                <c:pt idx="289">
                  <c:v>164.38000500000001</c:v>
                </c:pt>
                <c:pt idx="290">
                  <c:v>180.83000200000001</c:v>
                </c:pt>
                <c:pt idx="291">
                  <c:v>175.020004</c:v>
                </c:pt>
                <c:pt idx="292">
                  <c:v>180.63000500000001</c:v>
                </c:pt>
                <c:pt idx="293">
                  <c:v>177.800003</c:v>
                </c:pt>
                <c:pt idx="294">
                  <c:v>189.520004</c:v>
                </c:pt>
                <c:pt idx="295">
                  <c:v>192.38000500000001</c:v>
                </c:pt>
                <c:pt idx="296">
                  <c:v>188.36999499999999</c:v>
                </c:pt>
                <c:pt idx="297">
                  <c:v>189.05999800000001</c:v>
                </c:pt>
                <c:pt idx="298">
                  <c:v>175.5</c:v>
                </c:pt>
                <c:pt idx="299">
                  <c:v>186.270004</c:v>
                </c:pt>
                <c:pt idx="300">
                  <c:v>182.78999300000001</c:v>
                </c:pt>
                <c:pt idx="301">
                  <c:v>187.21000699999999</c:v>
                </c:pt>
                <c:pt idx="302">
                  <c:v>175.699997</c:v>
                </c:pt>
                <c:pt idx="303">
                  <c:v>168.240005</c:v>
                </c:pt>
                <c:pt idx="304">
                  <c:v>180.94000199999999</c:v>
                </c:pt>
                <c:pt idx="305">
                  <c:v>175.020004</c:v>
                </c:pt>
                <c:pt idx="306">
                  <c:v>171.479996</c:v>
                </c:pt>
                <c:pt idx="307">
                  <c:v>159.240005</c:v>
                </c:pt>
                <c:pt idx="308">
                  <c:v>156.60000600000001</c:v>
                </c:pt>
                <c:pt idx="309">
                  <c:v>150.800003</c:v>
                </c:pt>
                <c:pt idx="310">
                  <c:v>156.770004</c:v>
                </c:pt>
                <c:pt idx="311">
                  <c:v>154.259995</c:v>
                </c:pt>
                <c:pt idx="312">
                  <c:v>159.979996</c:v>
                </c:pt>
                <c:pt idx="313">
                  <c:v>158.449997</c:v>
                </c:pt>
                <c:pt idx="314">
                  <c:v>149</c:v>
                </c:pt>
                <c:pt idx="315">
                  <c:v>147.91999799999999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_xlchart.v1.2</cx:f>
      </cx:numDim>
    </cx:data>
    <cx:data id="1">
      <cx:strDim type="cat">
        <cx:f dir="row">_xlchart.v1.3</cx:f>
      </cx:strDim>
      <cx:numDim type="val">
        <cx:f dir="row">_xlchart.v1.4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_xlchart.v1.0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_xlchart.v1.1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219074</xdr:colOff>
      <xdr:row>30</xdr:row>
      <xdr:rowOff>61912</xdr:rowOff>
    </xdr:from>
    <xdr:to>
      <xdr:col>10</xdr:col>
      <xdr:colOff>571499</xdr:colOff>
      <xdr:row>47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57150</xdr:rowOff>
    </xdr:from>
    <xdr:to>
      <xdr:col>10</xdr:col>
      <xdr:colOff>600075</xdr:colOff>
      <xdr:row>64</xdr:row>
      <xdr:rowOff>109538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9010650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57150</xdr:rowOff>
    </xdr:from>
    <xdr:to>
      <xdr:col>20</xdr:col>
      <xdr:colOff>419100</xdr:colOff>
      <xdr:row>64</xdr:row>
      <xdr:rowOff>109538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9010650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</xdr:colOff>
      <xdr:row>30</xdr:row>
      <xdr:rowOff>47625</xdr:rowOff>
    </xdr:from>
    <xdr:to>
      <xdr:col>20</xdr:col>
      <xdr:colOff>57151</xdr:colOff>
      <xdr:row>47</xdr:row>
      <xdr:rowOff>14288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D5F941-1A3A-4DA9-92F0-234FCA628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295997</xdr:colOff>
      <xdr:row>13</xdr:row>
      <xdr:rowOff>9819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EED604-584B-17D9-E962-92A1378BD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172797" cy="2105319"/>
        </a:xfrm>
        <a:prstGeom prst="rect">
          <a:avLst/>
        </a:prstGeom>
      </xdr:spPr>
    </xdr:pic>
    <xdr:clientData/>
  </xdr:twoCellAnchor>
  <xdr:twoCellAnchor>
    <xdr:from>
      <xdr:col>0</xdr:col>
      <xdr:colOff>423862</xdr:colOff>
      <xdr:row>13</xdr:row>
      <xdr:rowOff>147637</xdr:rowOff>
    </xdr:from>
    <xdr:to>
      <xdr:col>8</xdr:col>
      <xdr:colOff>119062</xdr:colOff>
      <xdr:row>28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68753-A1B5-6864-76B5-85EE9F6F2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13</xdr:row>
      <xdr:rowOff>142875</xdr:rowOff>
    </xdr:from>
    <xdr:to>
      <xdr:col>15</xdr:col>
      <xdr:colOff>466725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AA1C50-AF6C-4201-B7FB-7937DD64C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workbookViewId="0">
      <selection activeCell="E37" sqref="E3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11.140625" bestFit="1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49</v>
      </c>
      <c r="F2" s="63" t="s">
        <v>50</v>
      </c>
      <c r="G2" s="25"/>
      <c r="H2" s="26" t="s">
        <v>57</v>
      </c>
      <c r="I2" s="26" t="s">
        <v>1</v>
      </c>
      <c r="J2" s="27" t="s">
        <v>50</v>
      </c>
      <c r="L2" s="30" t="s">
        <v>43</v>
      </c>
      <c r="M2" s="31" t="s">
        <v>59</v>
      </c>
      <c r="N2" s="32" t="s">
        <v>58</v>
      </c>
    </row>
    <row r="3" spans="2:14" x14ac:dyDescent="0.25">
      <c r="B3" s="5" t="s">
        <v>42</v>
      </c>
      <c r="C3" s="20">
        <v>45398</v>
      </c>
      <c r="E3" s="5"/>
      <c r="F3" s="28"/>
      <c r="H3" t="s">
        <v>158</v>
      </c>
      <c r="I3" s="10">
        <v>30856.376</v>
      </c>
      <c r="J3" s="38">
        <f>I3/($C$7*10000)</f>
        <v>1.5740151506804259E-2</v>
      </c>
      <c r="L3" s="5"/>
      <c r="N3" s="37"/>
    </row>
    <row r="4" spans="2:14" x14ac:dyDescent="0.25">
      <c r="B4" s="5"/>
      <c r="C4" s="21">
        <v>0.94097222222222221</v>
      </c>
      <c r="E4" s="5"/>
      <c r="F4" s="28"/>
      <c r="H4" t="s">
        <v>159</v>
      </c>
      <c r="I4" s="10">
        <v>21528.184000000001</v>
      </c>
      <c r="J4" s="38">
        <f>I4/($C$7*10000)</f>
        <v>1.098174580924083E-2</v>
      </c>
      <c r="L4" s="5"/>
      <c r="N4" s="13"/>
    </row>
    <row r="5" spans="2:14" x14ac:dyDescent="0.25">
      <c r="B5" s="5"/>
      <c r="C5" s="13"/>
      <c r="E5" s="5"/>
      <c r="F5" s="28"/>
      <c r="H5" t="s">
        <v>160</v>
      </c>
      <c r="I5" s="10">
        <v>23657.094000000001</v>
      </c>
      <c r="J5" s="38">
        <f>I5/($C$7*10000)</f>
        <v>1.2067724471944144E-2</v>
      </c>
      <c r="L5" s="5"/>
      <c r="N5" s="13"/>
    </row>
    <row r="6" spans="2:14" x14ac:dyDescent="0.25">
      <c r="B6" s="5" t="s">
        <v>0</v>
      </c>
      <c r="C6" s="13">
        <v>310</v>
      </c>
      <c r="E6" s="5"/>
      <c r="F6" s="28"/>
      <c r="H6" t="s">
        <v>161</v>
      </c>
      <c r="I6" s="10">
        <v>16631.969000000001</v>
      </c>
      <c r="J6" s="38">
        <f>I6/($C$7*10000)</f>
        <v>8.4841366956531685E-3</v>
      </c>
      <c r="L6" s="5"/>
      <c r="N6" s="13"/>
    </row>
    <row r="7" spans="2:14" x14ac:dyDescent="0.25">
      <c r="B7" s="5" t="s">
        <v>1</v>
      </c>
      <c r="C7" s="15">
        <v>196.03608</v>
      </c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60771.184800000003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>
        <f>Model!X42+Model!X43</f>
        <v>4671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f>Model!X56+Model!X63</f>
        <v>2318</v>
      </c>
      <c r="E10" s="5"/>
      <c r="F10" s="28"/>
      <c r="I10" s="10"/>
      <c r="J10" s="38"/>
      <c r="L10" s="5"/>
      <c r="N10" s="13"/>
    </row>
    <row r="11" spans="2:14" x14ac:dyDescent="0.25">
      <c r="B11" s="5" t="s">
        <v>37</v>
      </c>
      <c r="C11" s="15">
        <f>C9-C10</f>
        <v>2353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>
        <f>C8-C9+C10</f>
        <v>58418.184800000003</v>
      </c>
      <c r="E12" s="5"/>
      <c r="F12" s="28"/>
      <c r="J12" s="13"/>
      <c r="L12" s="5"/>
      <c r="N12" s="13"/>
    </row>
    <row r="13" spans="2:14" x14ac:dyDescent="0.25">
      <c r="B13" s="5" t="s">
        <v>48</v>
      </c>
      <c r="C13" s="36">
        <f>C6/Model!G21</f>
        <v>-113.47183127819549</v>
      </c>
      <c r="E13" s="5"/>
      <c r="J13" s="13"/>
      <c r="L13" s="5"/>
      <c r="N13" s="13"/>
    </row>
    <row r="14" spans="2:14" x14ac:dyDescent="0.25">
      <c r="B14" s="5" t="s">
        <v>46</v>
      </c>
      <c r="C14" s="36">
        <f>C6/Model!H22</f>
        <v>79.691516709511561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47</v>
      </c>
      <c r="C15" s="36">
        <f>C6/Model!I22</f>
        <v>54.385964912280699</v>
      </c>
    </row>
    <row r="16" spans="2:14" x14ac:dyDescent="0.25">
      <c r="B16" s="5" t="s">
        <v>44</v>
      </c>
      <c r="C16" s="6">
        <v>1</v>
      </c>
    </row>
    <row r="17" spans="2:14" x14ac:dyDescent="0.25">
      <c r="B17" s="5" t="s">
        <v>45</v>
      </c>
      <c r="C17" s="6">
        <f>Model!I22/Model!H22-1</f>
        <v>0.46529562982005146</v>
      </c>
      <c r="E17" s="33" t="s">
        <v>55</v>
      </c>
      <c r="L17" s="128"/>
      <c r="M17" s="129"/>
      <c r="N17" s="130"/>
    </row>
    <row r="18" spans="2:14" x14ac:dyDescent="0.25">
      <c r="B18" s="5" t="s">
        <v>70</v>
      </c>
      <c r="C18" s="52">
        <f>C14/(C16*100)</f>
        <v>0.79691516709511556</v>
      </c>
      <c r="E18" t="s">
        <v>135</v>
      </c>
      <c r="L18" s="131"/>
      <c r="M18" s="132"/>
      <c r="N18" s="133"/>
    </row>
    <row r="19" spans="2:14" x14ac:dyDescent="0.25">
      <c r="B19" s="5" t="s">
        <v>71</v>
      </c>
      <c r="C19" s="52">
        <f>C15/(C17*100)</f>
        <v>1.1688475331976347</v>
      </c>
      <c r="E19" t="s">
        <v>136</v>
      </c>
      <c r="L19" s="131"/>
      <c r="M19" s="132"/>
      <c r="N19" s="133"/>
    </row>
    <row r="20" spans="2:14" x14ac:dyDescent="0.25">
      <c r="B20" s="5" t="s">
        <v>80</v>
      </c>
      <c r="C20" s="6">
        <f>Model!H10/Model!G9-1</f>
        <v>0.25009436098739335</v>
      </c>
      <c r="L20" s="131"/>
      <c r="M20" s="132"/>
      <c r="N20" s="133"/>
    </row>
    <row r="21" spans="2:14" x14ac:dyDescent="0.25">
      <c r="B21" s="5" t="s">
        <v>81</v>
      </c>
      <c r="C21" s="6">
        <f>Model!I10/Model!H10-1</f>
        <v>0.1376811594202898</v>
      </c>
      <c r="L21" s="131"/>
      <c r="M21" s="132"/>
      <c r="N21" s="133"/>
    </row>
    <row r="22" spans="2:14" x14ac:dyDescent="0.25">
      <c r="B22" s="5" t="s">
        <v>72</v>
      </c>
      <c r="C22" s="15">
        <f>Model!G15</f>
        <v>-446</v>
      </c>
      <c r="L22" s="131"/>
      <c r="M22" s="132"/>
      <c r="N22" s="133"/>
    </row>
    <row r="23" spans="2:14" x14ac:dyDescent="0.25">
      <c r="B23" s="5" t="s">
        <v>19</v>
      </c>
      <c r="C23" s="15">
        <f>Model!G17</f>
        <v>-505</v>
      </c>
      <c r="L23" s="131"/>
      <c r="M23" s="132"/>
      <c r="N23" s="133"/>
    </row>
    <row r="24" spans="2:14" x14ac:dyDescent="0.25">
      <c r="B24" s="5" t="s">
        <v>29</v>
      </c>
      <c r="C24" s="7">
        <f>Model!X23</f>
        <v>0.27612761276127618</v>
      </c>
      <c r="L24" s="131"/>
      <c r="M24" s="132"/>
      <c r="N24" s="133"/>
    </row>
    <row r="25" spans="2:14" x14ac:dyDescent="0.25">
      <c r="B25" s="5" t="s">
        <v>30</v>
      </c>
      <c r="C25" s="7">
        <f>Model!X24</f>
        <v>5.4180418041804179E-2</v>
      </c>
      <c r="L25" s="131"/>
      <c r="M25" s="132"/>
      <c r="N25" s="133"/>
    </row>
    <row r="26" spans="2:14" x14ac:dyDescent="0.25">
      <c r="B26" s="5" t="s">
        <v>73</v>
      </c>
      <c r="C26" s="36">
        <f>C12/C23</f>
        <v>-115.67957386138615</v>
      </c>
      <c r="L26" s="131"/>
      <c r="M26" s="132"/>
      <c r="N26" s="133"/>
    </row>
    <row r="27" spans="2:14" x14ac:dyDescent="0.25">
      <c r="B27" s="5" t="s">
        <v>82</v>
      </c>
      <c r="C27" s="123">
        <f>Main!C10/Model!X69</f>
        <v>0.70051375037775765</v>
      </c>
      <c r="E27" t="s">
        <v>75</v>
      </c>
      <c r="L27" s="131"/>
      <c r="M27" s="132"/>
      <c r="N27" s="133"/>
    </row>
    <row r="28" spans="2:14" x14ac:dyDescent="0.25">
      <c r="B28" s="5" t="s">
        <v>83</v>
      </c>
      <c r="C28" s="36">
        <v>0</v>
      </c>
      <c r="L28" s="134"/>
      <c r="M28" s="135"/>
      <c r="N28" s="136"/>
    </row>
    <row r="29" spans="2:14" x14ac:dyDescent="0.25">
      <c r="B29" s="5" t="s">
        <v>84</v>
      </c>
      <c r="C29" s="36">
        <f>Model!X47/Model!X62</f>
        <v>1.4230963187090266</v>
      </c>
    </row>
    <row r="30" spans="2:14" x14ac:dyDescent="0.25">
      <c r="B30" s="5" t="s">
        <v>85</v>
      </c>
      <c r="C30" s="36">
        <f>(Model!X42+Model!X43)/Model!X62</f>
        <v>1.1777609682299546</v>
      </c>
    </row>
    <row r="31" spans="2:14" x14ac:dyDescent="0.25">
      <c r="B31" s="5" t="s">
        <v>86</v>
      </c>
      <c r="C31" s="6">
        <f>(Model!X55-Model!X68)/Model!X55</f>
        <v>0.36462809917355371</v>
      </c>
    </row>
    <row r="32" spans="2:14" x14ac:dyDescent="0.25">
      <c r="B32" s="5" t="s">
        <v>87</v>
      </c>
      <c r="C32" s="36">
        <f>(Model!X55-Model!X68)/C7</f>
        <v>16.879545846866556</v>
      </c>
    </row>
    <row r="33" spans="2:9" x14ac:dyDescent="0.25">
      <c r="B33" s="5" t="s">
        <v>88</v>
      </c>
      <c r="C33" s="36">
        <f>Model!G9/Model!G55</f>
        <v>1.5872274143302181</v>
      </c>
    </row>
    <row r="34" spans="2:9" x14ac:dyDescent="0.25">
      <c r="B34" s="5" t="s">
        <v>89</v>
      </c>
      <c r="C34" s="38">
        <f>Model!G17/Model!G55</f>
        <v>-6.0508027797747423E-2</v>
      </c>
    </row>
    <row r="35" spans="2:9" x14ac:dyDescent="0.25">
      <c r="B35" s="5" t="s">
        <v>90</v>
      </c>
      <c r="C35" s="38">
        <f>Model!G17/Model!G69</f>
        <v>-0.20015854141894571</v>
      </c>
    </row>
    <row r="36" spans="2:9" x14ac:dyDescent="0.25">
      <c r="B36" s="22" t="s">
        <v>91</v>
      </c>
      <c r="C36" s="23"/>
    </row>
    <row r="41" spans="2:9" x14ac:dyDescent="0.25">
      <c r="E41" s="59"/>
      <c r="F41" s="59"/>
      <c r="G41" s="62"/>
      <c r="H41" s="62"/>
      <c r="I41" s="62"/>
    </row>
    <row r="42" spans="2:9" x14ac:dyDescent="0.25">
      <c r="E42" s="59"/>
      <c r="F42" s="59"/>
      <c r="G42" s="62"/>
      <c r="H42" s="62"/>
      <c r="I42" s="62"/>
    </row>
    <row r="43" spans="2:9" x14ac:dyDescent="0.25">
      <c r="E43" s="59"/>
      <c r="F43" s="59"/>
      <c r="G43" s="62"/>
      <c r="H43" s="62"/>
      <c r="I43" s="62"/>
    </row>
    <row r="44" spans="2:9" x14ac:dyDescent="0.25">
      <c r="E44" s="59"/>
      <c r="F44" s="59"/>
      <c r="G44" s="62"/>
      <c r="H44" s="62"/>
      <c r="I44" s="62"/>
    </row>
    <row r="45" spans="2:9" x14ac:dyDescent="0.25">
      <c r="E45" s="59"/>
      <c r="F45" s="59"/>
      <c r="G45" s="62"/>
      <c r="H45" s="62"/>
      <c r="I45" s="62"/>
    </row>
    <row r="46" spans="2:9" x14ac:dyDescent="0.25">
      <c r="E46" s="59"/>
      <c r="F46" s="59"/>
      <c r="G46" s="62"/>
      <c r="H46" s="62"/>
      <c r="I46" s="62"/>
    </row>
    <row r="47" spans="2:9" x14ac:dyDescent="0.25">
      <c r="E47" s="59"/>
      <c r="F47" s="59"/>
      <c r="G47" s="62"/>
      <c r="H47" s="62"/>
      <c r="I47" s="62"/>
    </row>
    <row r="48" spans="2:9" x14ac:dyDescent="0.25">
      <c r="E48" s="59"/>
      <c r="F48" s="59"/>
      <c r="G48" s="62"/>
      <c r="H48" s="62"/>
      <c r="I48" s="62"/>
    </row>
    <row r="49" spans="5:9" x14ac:dyDescent="0.25">
      <c r="E49" s="59"/>
      <c r="F49" s="59"/>
      <c r="G49" s="62"/>
      <c r="H49" s="62"/>
      <c r="I49" s="62"/>
    </row>
    <row r="50" spans="5:9" x14ac:dyDescent="0.25">
      <c r="E50" s="59"/>
      <c r="F50" s="59"/>
      <c r="G50" s="62"/>
      <c r="H50" s="62"/>
      <c r="I50" s="62"/>
    </row>
    <row r="51" spans="5:9" x14ac:dyDescent="0.25">
      <c r="E51" s="59"/>
      <c r="F51" s="59"/>
      <c r="G51" s="62"/>
      <c r="H51" s="62"/>
      <c r="I51" s="62"/>
    </row>
    <row r="52" spans="5:9" x14ac:dyDescent="0.25">
      <c r="E52" s="60"/>
      <c r="F52" s="61"/>
      <c r="G52" s="61"/>
    </row>
    <row r="53" spans="5:9" x14ac:dyDescent="0.25">
      <c r="E53" s="60"/>
      <c r="F53" s="61"/>
      <c r="G53" s="61"/>
    </row>
    <row r="54" spans="5:9" x14ac:dyDescent="0.25">
      <c r="E54" s="60"/>
      <c r="F54" s="61"/>
      <c r="G54" s="61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90"/>
  <sheetViews>
    <sheetView zoomScaleNormal="100" workbookViewId="0">
      <pane xSplit="2" ySplit="2" topLeftCell="G45" activePane="bottomRight" state="frozen"/>
      <selection pane="topRight" activeCell="B1" sqref="B1"/>
      <selection pane="bottomLeft" activeCell="A3" sqref="A3"/>
      <selection pane="bottomRight" activeCell="Y13" sqref="Y13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48"/>
    <col min="24" max="24" width="11.42578125" style="13"/>
  </cols>
  <sheetData>
    <row r="1" spans="1:26" x14ac:dyDescent="0.25">
      <c r="A1" s="8" t="s">
        <v>38</v>
      </c>
    </row>
    <row r="2" spans="1:26" x14ac:dyDescent="0.25">
      <c r="C2" t="s">
        <v>34</v>
      </c>
      <c r="D2" t="s">
        <v>18</v>
      </c>
      <c r="E2" t="s">
        <v>14</v>
      </c>
      <c r="F2" t="s">
        <v>15</v>
      </c>
      <c r="G2" s="13" t="s">
        <v>16</v>
      </c>
      <c r="H2" t="s">
        <v>32</v>
      </c>
      <c r="I2" t="s">
        <v>69</v>
      </c>
      <c r="L2" t="s">
        <v>33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36</v>
      </c>
      <c r="V2" t="s">
        <v>40</v>
      </c>
      <c r="W2" s="148" t="s">
        <v>41</v>
      </c>
      <c r="X2" s="13" t="s">
        <v>64</v>
      </c>
      <c r="Y2" t="s">
        <v>68</v>
      </c>
      <c r="Z2" t="s">
        <v>162</v>
      </c>
    </row>
    <row r="3" spans="1:26" x14ac:dyDescent="0.25">
      <c r="A3" t="s">
        <v>140</v>
      </c>
      <c r="B3" t="s">
        <v>135</v>
      </c>
      <c r="E3" s="148">
        <f>AVERAGE(L3:O3)</f>
        <v>377</v>
      </c>
      <c r="F3" s="148">
        <f>AVERAGE(P3:S3)</f>
        <v>450</v>
      </c>
      <c r="G3" s="13">
        <f>AVERAGE(T3:W3)</f>
        <v>560.5</v>
      </c>
      <c r="L3">
        <v>356</v>
      </c>
      <c r="M3">
        <v>365</v>
      </c>
      <c r="N3">
        <v>381</v>
      </c>
      <c r="O3">
        <v>406</v>
      </c>
      <c r="P3">
        <v>422</v>
      </c>
      <c r="Q3">
        <v>433</v>
      </c>
      <c r="R3">
        <v>456</v>
      </c>
      <c r="S3">
        <v>489</v>
      </c>
      <c r="T3">
        <v>515</v>
      </c>
      <c r="U3">
        <v>551</v>
      </c>
      <c r="V3">
        <v>574</v>
      </c>
      <c r="W3" s="148">
        <v>602</v>
      </c>
      <c r="X3" s="158">
        <v>615</v>
      </c>
      <c r="Y3" s="149">
        <v>631</v>
      </c>
    </row>
    <row r="4" spans="1:26" x14ac:dyDescent="0.25">
      <c r="A4" t="s">
        <v>140</v>
      </c>
      <c r="B4" t="s">
        <v>136</v>
      </c>
      <c r="E4" s="148">
        <f>AVERAGE(L4:O4)</f>
        <v>168.75</v>
      </c>
      <c r="F4" s="148">
        <f>AVERAGE(P4:S4)</f>
        <v>192.5</v>
      </c>
      <c r="G4" s="13">
        <f>AVERAGE(T4:W4)</f>
        <v>223</v>
      </c>
      <c r="L4">
        <v>158</v>
      </c>
      <c r="M4">
        <v>165</v>
      </c>
      <c r="N4">
        <v>172</v>
      </c>
      <c r="O4">
        <v>180</v>
      </c>
      <c r="P4">
        <v>182</v>
      </c>
      <c r="Q4">
        <v>188</v>
      </c>
      <c r="R4">
        <v>195</v>
      </c>
      <c r="S4">
        <v>205</v>
      </c>
      <c r="T4">
        <v>210</v>
      </c>
      <c r="U4">
        <v>220</v>
      </c>
      <c r="V4">
        <v>226</v>
      </c>
      <c r="W4" s="148">
        <v>236</v>
      </c>
      <c r="X4" s="158">
        <v>239</v>
      </c>
      <c r="Y4" s="149">
        <v>245</v>
      </c>
    </row>
    <row r="5" spans="1:26" x14ac:dyDescent="0.25">
      <c r="A5" t="s">
        <v>140</v>
      </c>
      <c r="B5" t="s">
        <v>139</v>
      </c>
      <c r="E5" s="148">
        <f>AVERAGE(L5:O5)</f>
        <v>218.5</v>
      </c>
      <c r="F5" s="148">
        <f>AVERAGE(P5:S5)</f>
        <v>269</v>
      </c>
      <c r="G5" s="13">
        <f>AVERAGE(T5:W5)</f>
        <v>350</v>
      </c>
      <c r="L5">
        <v>208</v>
      </c>
      <c r="M5">
        <v>210</v>
      </c>
      <c r="N5">
        <v>220</v>
      </c>
      <c r="O5">
        <v>236</v>
      </c>
      <c r="P5">
        <v>252</v>
      </c>
      <c r="Q5">
        <v>256</v>
      </c>
      <c r="R5">
        <v>273</v>
      </c>
      <c r="S5">
        <v>295</v>
      </c>
      <c r="T5">
        <v>317</v>
      </c>
      <c r="U5">
        <v>343</v>
      </c>
      <c r="V5">
        <v>361</v>
      </c>
      <c r="W5" s="148">
        <v>379</v>
      </c>
      <c r="X5" s="158">
        <v>388</v>
      </c>
      <c r="Y5" s="9">
        <f>U5*1.2</f>
        <v>411.59999999999997</v>
      </c>
    </row>
    <row r="6" spans="1:26" x14ac:dyDescent="0.25">
      <c r="Y6" s="9"/>
    </row>
    <row r="7" spans="1:26" x14ac:dyDescent="0.25">
      <c r="B7" s="9" t="s">
        <v>137</v>
      </c>
      <c r="G7" s="15">
        <f>SUM(T7:W7)</f>
        <v>11566</v>
      </c>
      <c r="L7" s="10">
        <v>1931</v>
      </c>
      <c r="M7" s="10">
        <v>2056</v>
      </c>
      <c r="N7" s="10">
        <v>2178</v>
      </c>
      <c r="O7" s="10">
        <v>2295</v>
      </c>
      <c r="P7" s="10">
        <v>2379</v>
      </c>
      <c r="Q7" s="10">
        <v>2504</v>
      </c>
      <c r="R7" s="10">
        <v>2651</v>
      </c>
      <c r="S7" s="10">
        <v>2717</v>
      </c>
      <c r="T7" s="10">
        <v>2713</v>
      </c>
      <c r="U7" s="10">
        <v>2773</v>
      </c>
      <c r="V7" s="10">
        <v>2910</v>
      </c>
      <c r="W7" s="152">
        <v>3170</v>
      </c>
      <c r="X7" s="159">
        <v>3247</v>
      </c>
      <c r="Y7" s="9"/>
    </row>
    <row r="8" spans="1:26" x14ac:dyDescent="0.25">
      <c r="B8" s="9" t="s">
        <v>138</v>
      </c>
      <c r="G8" s="15">
        <f>SUM(T8:W8)</f>
        <v>1681</v>
      </c>
      <c r="L8">
        <v>216</v>
      </c>
      <c r="M8">
        <v>275</v>
      </c>
      <c r="N8">
        <v>323</v>
      </c>
      <c r="O8" s="10">
        <v>394</v>
      </c>
      <c r="P8" s="10">
        <v>282</v>
      </c>
      <c r="Q8" s="10">
        <v>360</v>
      </c>
      <c r="R8" s="10">
        <v>385</v>
      </c>
      <c r="S8" s="10">
        <v>449</v>
      </c>
      <c r="T8" s="10">
        <v>329</v>
      </c>
      <c r="U8" s="10">
        <v>404</v>
      </c>
      <c r="V8" s="10">
        <v>447</v>
      </c>
      <c r="W8" s="152">
        <v>501</v>
      </c>
      <c r="X8" s="159">
        <v>389</v>
      </c>
      <c r="Y8" s="9"/>
    </row>
    <row r="9" spans="1:26" s="1" customFormat="1" x14ac:dyDescent="0.25">
      <c r="B9" s="1" t="s">
        <v>17</v>
      </c>
      <c r="C9" s="11">
        <v>6764</v>
      </c>
      <c r="D9" s="11">
        <v>7880</v>
      </c>
      <c r="E9" s="11">
        <v>9668</v>
      </c>
      <c r="F9" s="11">
        <v>11727</v>
      </c>
      <c r="G9" s="14">
        <f>SUM(G7:G8)</f>
        <v>13247</v>
      </c>
      <c r="H9" s="43">
        <v>16560</v>
      </c>
      <c r="I9" s="43">
        <v>18840</v>
      </c>
      <c r="L9" s="11">
        <f t="shared" ref="L9:X9" si="0">SUM(L7:L8)</f>
        <v>2147</v>
      </c>
      <c r="M9" s="11">
        <f t="shared" si="0"/>
        <v>2331</v>
      </c>
      <c r="N9" s="11">
        <f t="shared" si="0"/>
        <v>2501</v>
      </c>
      <c r="O9" s="11">
        <f t="shared" si="0"/>
        <v>2689</v>
      </c>
      <c r="P9" s="11">
        <f t="shared" si="0"/>
        <v>2661</v>
      </c>
      <c r="Q9" s="11">
        <f t="shared" si="0"/>
        <v>2864</v>
      </c>
      <c r="R9" s="11">
        <f t="shared" si="0"/>
        <v>3036</v>
      </c>
      <c r="S9" s="11">
        <f t="shared" si="0"/>
        <v>3166</v>
      </c>
      <c r="T9" s="11">
        <f t="shared" si="0"/>
        <v>3042</v>
      </c>
      <c r="U9" s="11">
        <f t="shared" si="0"/>
        <v>3177</v>
      </c>
      <c r="V9" s="11">
        <f t="shared" si="0"/>
        <v>3357</v>
      </c>
      <c r="W9" s="153">
        <f t="shared" si="0"/>
        <v>3671</v>
      </c>
      <c r="X9" s="14">
        <f t="shared" si="0"/>
        <v>3636</v>
      </c>
      <c r="Y9" s="150">
        <v>3800</v>
      </c>
    </row>
    <row r="10" spans="1:26" x14ac:dyDescent="0.25">
      <c r="B10" s="9" t="s">
        <v>66</v>
      </c>
      <c r="C10" s="10"/>
      <c r="D10" s="10"/>
      <c r="E10" s="10"/>
      <c r="F10" s="10"/>
      <c r="G10" s="15"/>
      <c r="H10" s="42">
        <v>16560</v>
      </c>
      <c r="I10" s="42">
        <v>18840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152"/>
      <c r="X10" s="15"/>
      <c r="Y10" s="40">
        <v>3800</v>
      </c>
    </row>
    <row r="11" spans="1:26" x14ac:dyDescent="0.25">
      <c r="B11" t="s">
        <v>60</v>
      </c>
      <c r="C11" s="10">
        <v>5042</v>
      </c>
      <c r="D11" s="10">
        <v>5865</v>
      </c>
      <c r="E11" s="10">
        <v>7077</v>
      </c>
      <c r="F11" s="10">
        <v>8801</v>
      </c>
      <c r="G11" s="15">
        <v>9850</v>
      </c>
      <c r="H11" s="10"/>
      <c r="I11" s="10"/>
      <c r="L11" s="10">
        <v>1599</v>
      </c>
      <c r="M11" s="10">
        <v>1668</v>
      </c>
      <c r="N11" s="10">
        <v>1833</v>
      </c>
      <c r="O11" s="10">
        <v>1977</v>
      </c>
      <c r="P11" s="10">
        <v>1990</v>
      </c>
      <c r="Q11" s="10">
        <v>2160</v>
      </c>
      <c r="R11" s="10">
        <v>2286</v>
      </c>
      <c r="S11" s="10">
        <v>2365</v>
      </c>
      <c r="T11" s="10">
        <v>2276</v>
      </c>
      <c r="U11" s="10">
        <v>2411</v>
      </c>
      <c r="V11" s="10">
        <v>2472</v>
      </c>
      <c r="W11" s="152">
        <v>2691</v>
      </c>
      <c r="X11" s="15">
        <v>2632</v>
      </c>
      <c r="Y11" s="40"/>
    </row>
    <row r="12" spans="1:26" x14ac:dyDescent="0.25">
      <c r="B12" t="s">
        <v>74</v>
      </c>
      <c r="C12" s="10">
        <v>615</v>
      </c>
      <c r="D12" s="10">
        <v>837</v>
      </c>
      <c r="E12" s="10">
        <v>912</v>
      </c>
      <c r="F12" s="10">
        <v>1387</v>
      </c>
      <c r="G12" s="15">
        <v>1725</v>
      </c>
      <c r="H12" s="40"/>
      <c r="I12" s="40"/>
      <c r="L12" s="10">
        <v>196</v>
      </c>
      <c r="M12" s="10">
        <v>255</v>
      </c>
      <c r="N12" s="10">
        <v>208</v>
      </c>
      <c r="O12" s="10">
        <v>253</v>
      </c>
      <c r="P12" s="10">
        <v>250</v>
      </c>
      <c r="Q12" s="10">
        <v>336</v>
      </c>
      <c r="R12" s="10">
        <v>386</v>
      </c>
      <c r="S12" s="10">
        <v>415</v>
      </c>
      <c r="T12" s="10">
        <v>435</v>
      </c>
      <c r="U12" s="10">
        <v>453</v>
      </c>
      <c r="V12" s="10">
        <v>369</v>
      </c>
      <c r="W12" s="152">
        <v>468</v>
      </c>
      <c r="X12" s="13">
        <v>389</v>
      </c>
      <c r="Y12" s="9"/>
    </row>
    <row r="13" spans="1:26" x14ac:dyDescent="0.25">
      <c r="B13" t="s">
        <v>61</v>
      </c>
      <c r="C13" s="10">
        <v>826</v>
      </c>
      <c r="D13" s="10">
        <v>1029</v>
      </c>
      <c r="E13" s="10">
        <v>1135</v>
      </c>
      <c r="F13" s="10">
        <v>1572</v>
      </c>
      <c r="G13" s="15">
        <v>1533</v>
      </c>
      <c r="H13" s="40"/>
      <c r="I13" s="40"/>
      <c r="L13" s="10">
        <v>236</v>
      </c>
      <c r="M13" s="10">
        <v>279</v>
      </c>
      <c r="N13" s="10">
        <v>280</v>
      </c>
      <c r="O13" s="10">
        <v>340</v>
      </c>
      <c r="P13" s="10">
        <v>296</v>
      </c>
      <c r="Q13" s="10">
        <v>391</v>
      </c>
      <c r="R13" s="10">
        <v>432</v>
      </c>
      <c r="S13" s="10">
        <v>453</v>
      </c>
      <c r="T13" s="10">
        <v>347</v>
      </c>
      <c r="U13" s="10">
        <v>399</v>
      </c>
      <c r="V13" s="10">
        <v>355</v>
      </c>
      <c r="W13" s="152">
        <v>432</v>
      </c>
      <c r="X13" s="13">
        <v>324</v>
      </c>
      <c r="Y13" s="9"/>
    </row>
    <row r="14" spans="1:26" x14ac:dyDescent="0.25">
      <c r="B14" t="s">
        <v>134</v>
      </c>
      <c r="C14" s="10">
        <v>354</v>
      </c>
      <c r="D14" s="10">
        <v>442</v>
      </c>
      <c r="E14" s="10">
        <v>450</v>
      </c>
      <c r="F14" s="10">
        <v>626</v>
      </c>
      <c r="G14" s="15">
        <v>585</v>
      </c>
      <c r="H14" s="10"/>
      <c r="I14" s="10"/>
      <c r="L14" s="10">
        <v>102</v>
      </c>
      <c r="M14" s="10">
        <v>117</v>
      </c>
      <c r="N14" s="10">
        <v>105</v>
      </c>
      <c r="O14" s="10">
        <v>126</v>
      </c>
      <c r="P14" s="10">
        <v>131</v>
      </c>
      <c r="Q14" s="10">
        <v>171</v>
      </c>
      <c r="R14" s="10">
        <v>160</v>
      </c>
      <c r="S14" s="10">
        <v>164</v>
      </c>
      <c r="T14" s="10">
        <v>140</v>
      </c>
      <c r="U14" s="10">
        <v>161</v>
      </c>
      <c r="V14" s="10">
        <v>129</v>
      </c>
      <c r="W14" s="152">
        <v>155</v>
      </c>
      <c r="X14" s="13">
        <v>123</v>
      </c>
      <c r="Y14" s="9"/>
    </row>
    <row r="15" spans="1:26" s="1" customFormat="1" x14ac:dyDescent="0.25">
      <c r="B15" s="1" t="s">
        <v>23</v>
      </c>
      <c r="C15" s="11">
        <f t="shared" ref="C15:I15" si="1">C9-SUM(C11:C14)</f>
        <v>-73</v>
      </c>
      <c r="D15" s="11">
        <f t="shared" si="1"/>
        <v>-293</v>
      </c>
      <c r="E15" s="11">
        <f t="shared" si="1"/>
        <v>94</v>
      </c>
      <c r="F15" s="11">
        <f t="shared" si="1"/>
        <v>-659</v>
      </c>
      <c r="G15" s="14">
        <f t="shared" si="1"/>
        <v>-446</v>
      </c>
      <c r="H15" s="11">
        <f t="shared" si="1"/>
        <v>16560</v>
      </c>
      <c r="I15" s="11">
        <f t="shared" si="1"/>
        <v>18840</v>
      </c>
      <c r="J15" s="11"/>
      <c r="K15" s="11"/>
      <c r="L15" s="11">
        <f t="shared" ref="L15:Y15" si="2">L9-SUM(L11:L14)</f>
        <v>14</v>
      </c>
      <c r="M15" s="11">
        <f t="shared" si="2"/>
        <v>12</v>
      </c>
      <c r="N15" s="11">
        <f t="shared" si="2"/>
        <v>75</v>
      </c>
      <c r="O15" s="11">
        <f t="shared" si="2"/>
        <v>-7</v>
      </c>
      <c r="P15" s="11">
        <f t="shared" si="2"/>
        <v>-6</v>
      </c>
      <c r="Q15" s="11">
        <f t="shared" si="2"/>
        <v>-194</v>
      </c>
      <c r="R15" s="11">
        <f t="shared" si="2"/>
        <v>-228</v>
      </c>
      <c r="S15" s="11">
        <f t="shared" si="2"/>
        <v>-231</v>
      </c>
      <c r="T15" s="11">
        <f t="shared" si="2"/>
        <v>-156</v>
      </c>
      <c r="U15" s="11">
        <f t="shared" si="2"/>
        <v>-247</v>
      </c>
      <c r="V15" s="11">
        <f t="shared" si="2"/>
        <v>32</v>
      </c>
      <c r="W15" s="153">
        <f t="shared" si="2"/>
        <v>-75</v>
      </c>
      <c r="X15" s="163">
        <f t="shared" si="2"/>
        <v>168</v>
      </c>
      <c r="Y15" s="43">
        <f t="shared" si="2"/>
        <v>3800</v>
      </c>
    </row>
    <row r="16" spans="1:26" x14ac:dyDescent="0.25">
      <c r="B16" t="s">
        <v>141</v>
      </c>
      <c r="C16" s="10">
        <f>275-333</f>
        <v>-58</v>
      </c>
      <c r="D16" s="10">
        <f>94-510</f>
        <v>-416</v>
      </c>
      <c r="E16" s="10">
        <f>246-91</f>
        <v>155</v>
      </c>
      <c r="F16" s="10">
        <f>421-132</f>
        <v>289</v>
      </c>
      <c r="G16" s="15">
        <f>161-220</f>
        <v>-59</v>
      </c>
      <c r="H16" s="40"/>
      <c r="I16" s="40"/>
      <c r="L16" s="10">
        <f>104-31</f>
        <v>73</v>
      </c>
      <c r="M16" s="10">
        <f>21-25</f>
        <v>-4</v>
      </c>
      <c r="N16" s="10">
        <f>101-14</f>
        <v>87</v>
      </c>
      <c r="O16" s="10">
        <f>20-21</f>
        <v>-1</v>
      </c>
      <c r="P16" s="10">
        <f>175-14</f>
        <v>161</v>
      </c>
      <c r="Q16" s="10">
        <f>118-14</f>
        <v>104</v>
      </c>
      <c r="R16" s="10">
        <f>102-18</f>
        <v>84</v>
      </c>
      <c r="S16" s="10">
        <f>26-86</f>
        <v>-60</v>
      </c>
      <c r="T16" s="10">
        <f>27-77</f>
        <v>-50</v>
      </c>
      <c r="U16" s="10">
        <f>33-27</f>
        <v>6</v>
      </c>
      <c r="V16" s="10">
        <f>55-14</f>
        <v>41</v>
      </c>
      <c r="W16" s="152">
        <f>46-102</f>
        <v>-56</v>
      </c>
      <c r="X16" s="13">
        <f>59-53</f>
        <v>6</v>
      </c>
      <c r="Y16" s="9"/>
    </row>
    <row r="17" spans="2:26" s="1" customFormat="1" x14ac:dyDescent="0.25">
      <c r="B17" s="1" t="s">
        <v>19</v>
      </c>
      <c r="C17" s="11">
        <f t="shared" ref="C17:I17" si="3">C15+SUM(C16:C16)</f>
        <v>-131</v>
      </c>
      <c r="D17" s="11">
        <f t="shared" si="3"/>
        <v>-709</v>
      </c>
      <c r="E17" s="11">
        <f t="shared" si="3"/>
        <v>249</v>
      </c>
      <c r="F17" s="11">
        <f t="shared" si="3"/>
        <v>-370</v>
      </c>
      <c r="G17" s="14">
        <f t="shared" si="3"/>
        <v>-505</v>
      </c>
      <c r="H17" s="11">
        <f t="shared" si="3"/>
        <v>16560</v>
      </c>
      <c r="I17" s="11">
        <f t="shared" si="3"/>
        <v>18840</v>
      </c>
      <c r="L17" s="11">
        <f t="shared" ref="L17:Y17" si="4">L15+SUM(L16:L16)</f>
        <v>87</v>
      </c>
      <c r="M17" s="11">
        <f t="shared" si="4"/>
        <v>8</v>
      </c>
      <c r="N17" s="11">
        <f t="shared" si="4"/>
        <v>162</v>
      </c>
      <c r="O17" s="11">
        <f t="shared" si="4"/>
        <v>-8</v>
      </c>
      <c r="P17" s="11">
        <f t="shared" si="4"/>
        <v>155</v>
      </c>
      <c r="Q17" s="11">
        <f t="shared" si="4"/>
        <v>-90</v>
      </c>
      <c r="R17" s="11">
        <f t="shared" si="4"/>
        <v>-144</v>
      </c>
      <c r="S17" s="11">
        <f t="shared" si="4"/>
        <v>-291</v>
      </c>
      <c r="T17" s="11">
        <f t="shared" si="4"/>
        <v>-206</v>
      </c>
      <c r="U17" s="11">
        <f t="shared" si="4"/>
        <v>-241</v>
      </c>
      <c r="V17" s="11">
        <f t="shared" si="4"/>
        <v>73</v>
      </c>
      <c r="W17" s="153">
        <f t="shared" si="4"/>
        <v>-131</v>
      </c>
      <c r="X17" s="14">
        <f t="shared" si="4"/>
        <v>174</v>
      </c>
      <c r="Y17" s="43">
        <f t="shared" si="4"/>
        <v>3800</v>
      </c>
    </row>
    <row r="18" spans="2:26" x14ac:dyDescent="0.25">
      <c r="B18" t="s">
        <v>20</v>
      </c>
      <c r="C18" s="10">
        <v>55</v>
      </c>
      <c r="D18" s="10">
        <v>-128</v>
      </c>
      <c r="E18" s="10">
        <v>283</v>
      </c>
      <c r="F18" s="10">
        <v>60</v>
      </c>
      <c r="G18" s="15">
        <v>27</v>
      </c>
      <c r="H18" s="40"/>
      <c r="I18" s="40"/>
      <c r="L18" s="10">
        <v>64</v>
      </c>
      <c r="M18" s="10">
        <v>28</v>
      </c>
      <c r="N18" s="10">
        <v>160</v>
      </c>
      <c r="O18" s="10">
        <v>31</v>
      </c>
      <c r="P18" s="10">
        <v>24</v>
      </c>
      <c r="Q18" s="10">
        <v>35</v>
      </c>
      <c r="R18" s="10">
        <v>22</v>
      </c>
      <c r="S18" s="10">
        <v>-21</v>
      </c>
      <c r="T18" s="10">
        <v>19</v>
      </c>
      <c r="U18" s="10">
        <v>61</v>
      </c>
      <c r="V18" s="10">
        <v>8</v>
      </c>
      <c r="W18" s="152">
        <v>-61</v>
      </c>
      <c r="X18" s="13">
        <v>-23</v>
      </c>
      <c r="Y18" s="9"/>
    </row>
    <row r="19" spans="2:26" s="1" customFormat="1" x14ac:dyDescent="0.25">
      <c r="B19" s="1" t="s">
        <v>21</v>
      </c>
      <c r="C19" s="11">
        <f>C17-SUM(C18:C18)</f>
        <v>-186</v>
      </c>
      <c r="D19" s="11">
        <f>D17-SUM(D18:D18)</f>
        <v>-581</v>
      </c>
      <c r="E19" s="11">
        <f>E17-SUM(E18:E18)</f>
        <v>-34</v>
      </c>
      <c r="F19" s="11">
        <f>F17-SUM(F18:F18)</f>
        <v>-430</v>
      </c>
      <c r="G19" s="14">
        <f>G17-SUM(G18:G18)</f>
        <v>-532</v>
      </c>
      <c r="H19" s="58"/>
      <c r="I19" s="58"/>
      <c r="L19" s="11">
        <f t="shared" ref="L19:Y19" si="5">L17-SUM(L18:L18)</f>
        <v>23</v>
      </c>
      <c r="M19" s="11">
        <f t="shared" si="5"/>
        <v>-20</v>
      </c>
      <c r="N19" s="11">
        <f t="shared" si="5"/>
        <v>2</v>
      </c>
      <c r="O19" s="11">
        <f t="shared" si="5"/>
        <v>-39</v>
      </c>
      <c r="P19" s="11">
        <f t="shared" si="5"/>
        <v>131</v>
      </c>
      <c r="Q19" s="11">
        <f t="shared" si="5"/>
        <v>-125</v>
      </c>
      <c r="R19" s="11">
        <f t="shared" si="5"/>
        <v>-166</v>
      </c>
      <c r="S19" s="11">
        <f t="shared" si="5"/>
        <v>-270</v>
      </c>
      <c r="T19" s="11">
        <f t="shared" si="5"/>
        <v>-225</v>
      </c>
      <c r="U19" s="11">
        <f t="shared" si="5"/>
        <v>-302</v>
      </c>
      <c r="V19" s="11">
        <f t="shared" si="5"/>
        <v>65</v>
      </c>
      <c r="W19" s="153">
        <f t="shared" si="5"/>
        <v>-70</v>
      </c>
      <c r="X19" s="14">
        <f t="shared" si="5"/>
        <v>197</v>
      </c>
      <c r="Y19" s="43">
        <f t="shared" si="5"/>
        <v>3800</v>
      </c>
    </row>
    <row r="20" spans="2:26" x14ac:dyDescent="0.25">
      <c r="B20" t="s">
        <v>1</v>
      </c>
      <c r="C20" s="10">
        <v>180.960579</v>
      </c>
      <c r="D20" s="10">
        <v>187.58330699999999</v>
      </c>
      <c r="E20" s="10">
        <v>191.29839699999999</v>
      </c>
      <c r="F20" s="10">
        <v>192.93486200000001</v>
      </c>
      <c r="G20" s="15">
        <v>194.732304</v>
      </c>
      <c r="H20" s="40"/>
      <c r="I20" s="40"/>
      <c r="L20" s="10">
        <v>190.56539699999999</v>
      </c>
      <c r="M20" s="10">
        <v>191.172946</v>
      </c>
      <c r="N20" s="10">
        <v>191.48547300000001</v>
      </c>
      <c r="O20" s="10">
        <v>191.952473</v>
      </c>
      <c r="P20" s="10">
        <v>192.476022</v>
      </c>
      <c r="Q20" s="10">
        <v>192.94803200000001</v>
      </c>
      <c r="R20" s="10">
        <v>193.07733400000001</v>
      </c>
      <c r="S20" s="10">
        <v>193.228229</v>
      </c>
      <c r="T20" s="10">
        <v>193.56246200000001</v>
      </c>
      <c r="U20" s="10">
        <v>194.42012800000001</v>
      </c>
      <c r="V20" s="10">
        <v>194.88172299999999</v>
      </c>
      <c r="W20" s="152">
        <v>196.03608</v>
      </c>
      <c r="X20" s="15">
        <v>198.02545599999999</v>
      </c>
      <c r="Y20" s="40"/>
    </row>
    <row r="21" spans="2:26" s="1" customFormat="1" x14ac:dyDescent="0.25">
      <c r="B21" s="1" t="s">
        <v>22</v>
      </c>
      <c r="C21" s="2">
        <f>C19/C20</f>
        <v>-1.0278481701807551</v>
      </c>
      <c r="D21" s="2">
        <f>D19/D20</f>
        <v>-3.0972905280958716</v>
      </c>
      <c r="E21" s="2">
        <f>E19/E20</f>
        <v>-0.17773280138881667</v>
      </c>
      <c r="F21" s="2">
        <f>F19/F20</f>
        <v>-2.2287314772588895</v>
      </c>
      <c r="G21" s="35">
        <f>G19/G20</f>
        <v>-2.7319555567934941</v>
      </c>
      <c r="H21" s="55"/>
      <c r="I21" s="56"/>
      <c r="L21" s="50">
        <f t="shared" ref="L21:V21" si="6">L19/L20</f>
        <v>0.1206934751118536</v>
      </c>
      <c r="M21" s="50">
        <f t="shared" si="6"/>
        <v>-0.10461731337236389</v>
      </c>
      <c r="N21" s="50">
        <f t="shared" si="6"/>
        <v>1.0444656551048131E-2</v>
      </c>
      <c r="O21" s="50">
        <f t="shared" si="6"/>
        <v>-0.20317529329252246</v>
      </c>
      <c r="P21" s="50">
        <f t="shared" si="6"/>
        <v>0.6806042572928902</v>
      </c>
      <c r="Q21" s="50">
        <f t="shared" si="6"/>
        <v>-0.64784283469654669</v>
      </c>
      <c r="R21" s="50">
        <f t="shared" si="6"/>
        <v>-0.85975912636125373</v>
      </c>
      <c r="S21" s="50">
        <f t="shared" si="6"/>
        <v>-1.3973113628237002</v>
      </c>
      <c r="T21" s="50">
        <f t="shared" si="6"/>
        <v>-1.16241546875964</v>
      </c>
      <c r="U21" s="50">
        <f t="shared" si="6"/>
        <v>-1.5533371112686438</v>
      </c>
      <c r="V21" s="50">
        <f t="shared" si="6"/>
        <v>0.33353563894752719</v>
      </c>
      <c r="W21" s="154">
        <f>W19/W20</f>
        <v>-0.35707712580255635</v>
      </c>
      <c r="X21" s="49">
        <f>X19/X20</f>
        <v>0.99482159505796064</v>
      </c>
      <c r="Y21" s="151"/>
    </row>
    <row r="22" spans="2:26" s="1" customFormat="1" x14ac:dyDescent="0.25">
      <c r="B22" s="9" t="s">
        <v>65</v>
      </c>
      <c r="C22" s="2"/>
      <c r="D22" s="2"/>
      <c r="E22" s="2"/>
      <c r="F22" s="2"/>
      <c r="G22" s="35"/>
      <c r="H22" s="44">
        <v>3.89</v>
      </c>
      <c r="I22" s="45">
        <v>5.7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154"/>
      <c r="X22" s="160">
        <v>0.73</v>
      </c>
      <c r="Y22" s="151">
        <v>0.81</v>
      </c>
    </row>
    <row r="23" spans="2:26" s="1" customFormat="1" x14ac:dyDescent="0.25">
      <c r="B23" t="s">
        <v>29</v>
      </c>
      <c r="C23" s="3">
        <f>1-C11/C9</f>
        <v>0.25458308693081022</v>
      </c>
      <c r="D23" s="3">
        <f>1-D11/D9</f>
        <v>0.25571065989847719</v>
      </c>
      <c r="E23" s="3">
        <f>1-E11/E9</f>
        <v>0.26799751758378154</v>
      </c>
      <c r="F23" s="3">
        <f>1-F11/F9</f>
        <v>0.24950967851965544</v>
      </c>
      <c r="G23" s="6">
        <f>1-G11/G9</f>
        <v>0.25643541934022795</v>
      </c>
      <c r="H23" s="46"/>
      <c r="I23" s="46"/>
      <c r="L23" s="3">
        <f t="shared" ref="L23:X23" si="7">1-L11/L9</f>
        <v>0.25523986958546807</v>
      </c>
      <c r="M23" s="3">
        <f t="shared" si="7"/>
        <v>0.28442728442728438</v>
      </c>
      <c r="N23" s="3">
        <f t="shared" si="7"/>
        <v>0.26709316273490602</v>
      </c>
      <c r="O23" s="3">
        <f t="shared" si="7"/>
        <v>0.26478244700632203</v>
      </c>
      <c r="P23" s="3">
        <f t="shared" si="7"/>
        <v>0.25216084178880116</v>
      </c>
      <c r="Q23" s="3">
        <f t="shared" si="7"/>
        <v>0.24581005586592175</v>
      </c>
      <c r="R23" s="3">
        <f t="shared" si="7"/>
        <v>0.24703557312252966</v>
      </c>
      <c r="S23" s="3">
        <f t="shared" si="7"/>
        <v>0.25300063171193932</v>
      </c>
      <c r="T23" s="3">
        <f t="shared" si="7"/>
        <v>0.2518080210387903</v>
      </c>
      <c r="U23" s="3">
        <f t="shared" si="7"/>
        <v>0.24110796348756691</v>
      </c>
      <c r="V23" s="3">
        <f t="shared" si="7"/>
        <v>0.26362823949955316</v>
      </c>
      <c r="W23" s="39">
        <f t="shared" si="7"/>
        <v>0.26695723236175428</v>
      </c>
      <c r="X23" s="6">
        <f t="shared" si="7"/>
        <v>0.27612761276127618</v>
      </c>
      <c r="Y23" s="150"/>
    </row>
    <row r="24" spans="2:26" x14ac:dyDescent="0.25">
      <c r="B24" t="s">
        <v>30</v>
      </c>
      <c r="C24" s="4">
        <f>C19/C9</f>
        <v>-2.7498521584861029E-2</v>
      </c>
      <c r="D24" s="4">
        <f>D19/D9</f>
        <v>-7.373096446700507E-2</v>
      </c>
      <c r="E24" s="4">
        <f>E19/E9</f>
        <v>-3.5167563094745551E-3</v>
      </c>
      <c r="F24" s="4">
        <f>F19/F9</f>
        <v>-3.6667519399675962E-2</v>
      </c>
      <c r="G24" s="7">
        <f>G19/G9</f>
        <v>-4.0160036234619161E-2</v>
      </c>
      <c r="H24" s="47">
        <f>H19/H10</f>
        <v>0</v>
      </c>
      <c r="I24" s="47">
        <f>I19/I10</f>
        <v>0</v>
      </c>
      <c r="L24" s="4">
        <f t="shared" ref="L24:X24" si="8">L19/L9</f>
        <v>1.0712622263623661E-2</v>
      </c>
      <c r="M24" s="4">
        <f t="shared" si="8"/>
        <v>-8.5800085800085794E-3</v>
      </c>
      <c r="N24" s="4">
        <f t="shared" si="8"/>
        <v>7.9968012794882047E-4</v>
      </c>
      <c r="O24" s="4">
        <f t="shared" si="8"/>
        <v>-1.4503532911863145E-2</v>
      </c>
      <c r="P24" s="4">
        <f t="shared" si="8"/>
        <v>4.9229612927470877E-2</v>
      </c>
      <c r="Q24" s="4">
        <f t="shared" si="8"/>
        <v>-4.3645251396648044E-2</v>
      </c>
      <c r="R24" s="4">
        <f t="shared" si="8"/>
        <v>-5.4677206851119896E-2</v>
      </c>
      <c r="S24" s="4">
        <f t="shared" si="8"/>
        <v>-8.5281111813013261E-2</v>
      </c>
      <c r="T24" s="4">
        <f t="shared" si="8"/>
        <v>-7.3964497041420121E-2</v>
      </c>
      <c r="U24" s="4">
        <f t="shared" si="8"/>
        <v>-9.5058231035568153E-2</v>
      </c>
      <c r="V24" s="4">
        <f t="shared" si="8"/>
        <v>1.9362526064938934E-2</v>
      </c>
      <c r="W24" s="155">
        <f t="shared" si="8"/>
        <v>-1.9068373740125308E-2</v>
      </c>
      <c r="X24" s="7">
        <f t="shared" si="8"/>
        <v>5.4180418041804179E-2</v>
      </c>
      <c r="Y24" s="9"/>
    </row>
    <row r="25" spans="2:26" x14ac:dyDescent="0.25">
      <c r="B25" t="s">
        <v>31</v>
      </c>
      <c r="C25" s="3"/>
      <c r="D25" s="3">
        <f>D9/C9-1</f>
        <v>0.16499112950916617</v>
      </c>
      <c r="E25" s="3">
        <f>E9/D9-1</f>
        <v>0.2269035532994923</v>
      </c>
      <c r="F25" s="39">
        <f>F9/E9-1</f>
        <v>0.21297062474141493</v>
      </c>
      <c r="G25" s="6">
        <f>G9/F9-1</f>
        <v>0.12961541741280813</v>
      </c>
      <c r="H25" s="48">
        <f>H10/G9-1</f>
        <v>0.25009436098739335</v>
      </c>
      <c r="I25" s="48">
        <f>I10/H10-1</f>
        <v>0.1376811594202898</v>
      </c>
      <c r="L25" s="4"/>
      <c r="M25" s="4"/>
      <c r="N25" s="4"/>
      <c r="O25" s="4"/>
      <c r="P25" s="4">
        <f t="shared" ref="P25:W25" si="9">P9/L9-1</f>
        <v>0.23940381928272014</v>
      </c>
      <c r="Q25" s="4">
        <f t="shared" si="9"/>
        <v>0.2286572286572286</v>
      </c>
      <c r="R25" s="4">
        <f t="shared" si="9"/>
        <v>0.21391443422630951</v>
      </c>
      <c r="S25" s="4">
        <f t="shared" si="9"/>
        <v>0.17738936407586459</v>
      </c>
      <c r="T25" s="4">
        <f t="shared" si="9"/>
        <v>0.14317925591882741</v>
      </c>
      <c r="U25" s="4">
        <f t="shared" si="9"/>
        <v>0.10928770949720668</v>
      </c>
      <c r="V25" s="4">
        <f t="shared" si="9"/>
        <v>0.10573122529644263</v>
      </c>
      <c r="W25" s="155">
        <f t="shared" si="9"/>
        <v>0.15950726468730259</v>
      </c>
      <c r="X25" s="161">
        <f>X9/T9-1</f>
        <v>0.19526627218934922</v>
      </c>
      <c r="Y25" s="47">
        <f>Y10/U9-1</f>
        <v>0.1960969468051621</v>
      </c>
      <c r="Z25" s="162"/>
    </row>
    <row r="26" spans="2:26" x14ac:dyDescent="0.25">
      <c r="B26" t="s">
        <v>132</v>
      </c>
      <c r="C26" s="4">
        <f>C12/C9</f>
        <v>9.0922531046717922E-2</v>
      </c>
      <c r="D26" s="4">
        <f>D12/D9</f>
        <v>0.10621827411167513</v>
      </c>
      <c r="E26" s="4">
        <f>E12/E9</f>
        <v>9.4331816301199828E-2</v>
      </c>
      <c r="F26" s="4">
        <f>F12/F9</f>
        <v>0.11827406838918735</v>
      </c>
      <c r="G26" s="7">
        <f>G12/G9</f>
        <v>0.13021816260285349</v>
      </c>
      <c r="H26" s="124"/>
      <c r="I26" s="124"/>
      <c r="L26" s="4">
        <f t="shared" ref="L26:X26" si="10">L12/L9</f>
        <v>9.1290172333488587E-2</v>
      </c>
      <c r="M26" s="4">
        <f t="shared" si="10"/>
        <v>0.10939510939510939</v>
      </c>
      <c r="N26" s="4">
        <f t="shared" si="10"/>
        <v>8.3166733306677329E-2</v>
      </c>
      <c r="O26" s="4">
        <f t="shared" si="10"/>
        <v>9.4087021197471185E-2</v>
      </c>
      <c r="P26" s="4">
        <f t="shared" si="10"/>
        <v>9.3949642991356636E-2</v>
      </c>
      <c r="Q26" s="4">
        <f t="shared" si="10"/>
        <v>0.11731843575418995</v>
      </c>
      <c r="R26" s="4">
        <f t="shared" si="10"/>
        <v>0.12714097496706192</v>
      </c>
      <c r="S26" s="4">
        <f t="shared" si="10"/>
        <v>0.13108022741629816</v>
      </c>
      <c r="T26" s="4">
        <f t="shared" si="10"/>
        <v>0.14299802761341224</v>
      </c>
      <c r="U26" s="4">
        <f t="shared" si="10"/>
        <v>0.14258734655335223</v>
      </c>
      <c r="V26" s="4">
        <f t="shared" si="10"/>
        <v>0.10991957104557641</v>
      </c>
      <c r="W26" s="155">
        <f t="shared" si="10"/>
        <v>0.1274856987196949</v>
      </c>
      <c r="X26" s="7">
        <f t="shared" si="10"/>
        <v>0.10698569856985699</v>
      </c>
      <c r="Y26" s="9"/>
    </row>
    <row r="27" spans="2:26" x14ac:dyDescent="0.25">
      <c r="B27" t="s">
        <v>67</v>
      </c>
      <c r="C27" s="4">
        <f>C13/C9</f>
        <v>0.1221170904790065</v>
      </c>
      <c r="D27" s="4">
        <f>D13/D9</f>
        <v>0.13058375634517766</v>
      </c>
      <c r="E27" s="4">
        <f>E13/E9</f>
        <v>0.11739760033098882</v>
      </c>
      <c r="F27" s="4">
        <f>F13/F9</f>
        <v>0.13404962906114096</v>
      </c>
      <c r="G27" s="7">
        <f>G13/G9</f>
        <v>0.11572431493923152</v>
      </c>
      <c r="H27" s="124"/>
      <c r="I27" s="124"/>
      <c r="L27" s="4">
        <f t="shared" ref="L27:X27" si="11">L13/L9</f>
        <v>0.10992081974848626</v>
      </c>
      <c r="M27" s="4">
        <f t="shared" si="11"/>
        <v>0.11969111969111969</v>
      </c>
      <c r="N27" s="4">
        <f t="shared" si="11"/>
        <v>0.11195521791283487</v>
      </c>
      <c r="O27" s="4">
        <f t="shared" si="11"/>
        <v>0.12644105615470436</v>
      </c>
      <c r="P27" s="4">
        <f t="shared" si="11"/>
        <v>0.11123637730176625</v>
      </c>
      <c r="Q27" s="4">
        <f t="shared" si="11"/>
        <v>0.13652234636871508</v>
      </c>
      <c r="R27" s="4">
        <f t="shared" si="11"/>
        <v>0.14229249011857709</v>
      </c>
      <c r="S27" s="4">
        <f t="shared" si="11"/>
        <v>0.14308275426405559</v>
      </c>
      <c r="T27" s="4">
        <f t="shared" si="11"/>
        <v>0.11406969099276791</v>
      </c>
      <c r="U27" s="4">
        <f t="shared" si="11"/>
        <v>0.12559017941454201</v>
      </c>
      <c r="V27" s="4">
        <f t="shared" si="11"/>
        <v>0.10574918081620495</v>
      </c>
      <c r="W27" s="155">
        <f t="shared" si="11"/>
        <v>0.1176791065104876</v>
      </c>
      <c r="X27" s="7">
        <f>X13/X9</f>
        <v>8.9108910891089105E-2</v>
      </c>
      <c r="Y27" s="9"/>
    </row>
    <row r="28" spans="2:26" x14ac:dyDescent="0.25">
      <c r="B28" t="s">
        <v>133</v>
      </c>
      <c r="C28" s="4">
        <f t="shared" ref="C28:E28" si="12">C14/C9</f>
        <v>5.2335895919574216E-2</v>
      </c>
      <c r="D28" s="4">
        <f t="shared" si="12"/>
        <v>5.6091370558375632E-2</v>
      </c>
      <c r="E28" s="4">
        <f t="shared" si="12"/>
        <v>4.6545304095986763E-2</v>
      </c>
      <c r="F28" s="4">
        <f>F14/F9</f>
        <v>5.3381086381853841E-2</v>
      </c>
      <c r="G28" s="7">
        <f>G14/G9</f>
        <v>4.4160942100098133E-2</v>
      </c>
      <c r="H28" s="124"/>
      <c r="I28" s="124"/>
      <c r="L28" s="4">
        <f t="shared" ref="L28:U28" si="13">L14/L9</f>
        <v>4.7508150908244062E-2</v>
      </c>
      <c r="M28" s="4">
        <f t="shared" si="13"/>
        <v>5.019305019305019E-2</v>
      </c>
      <c r="N28" s="4">
        <f t="shared" si="13"/>
        <v>4.1983206717313072E-2</v>
      </c>
      <c r="O28" s="4">
        <f t="shared" si="13"/>
        <v>4.6857567869096318E-2</v>
      </c>
      <c r="P28" s="4">
        <f t="shared" si="13"/>
        <v>4.9229612927470877E-2</v>
      </c>
      <c r="Q28" s="4">
        <f t="shared" si="13"/>
        <v>5.9706703910614528E-2</v>
      </c>
      <c r="R28" s="4">
        <f t="shared" si="13"/>
        <v>5.2700922266139656E-2</v>
      </c>
      <c r="S28" s="4">
        <f t="shared" si="13"/>
        <v>5.1800379027163612E-2</v>
      </c>
      <c r="T28" s="4">
        <f t="shared" si="13"/>
        <v>4.6022353714661408E-2</v>
      </c>
      <c r="U28" s="4">
        <f t="shared" si="13"/>
        <v>5.0676739062008182E-2</v>
      </c>
      <c r="V28" s="4">
        <f>V14/V9</f>
        <v>3.8427167113494191E-2</v>
      </c>
      <c r="W28" s="155">
        <f>W14/W9</f>
        <v>4.2222827567420324E-2</v>
      </c>
      <c r="X28" s="7">
        <f>X14/X9</f>
        <v>3.3828382838283828E-2</v>
      </c>
      <c r="Y28" s="9"/>
    </row>
    <row r="29" spans="2:26" x14ac:dyDescent="0.25">
      <c r="B29" t="s">
        <v>163</v>
      </c>
      <c r="C29" s="4"/>
      <c r="D29" s="4"/>
      <c r="E29" s="4" t="e">
        <f t="shared" ref="E29:G30" si="14">E7/D7-1</f>
        <v>#DIV/0!</v>
      </c>
      <c r="F29" s="4" t="e">
        <f t="shared" si="14"/>
        <v>#DIV/0!</v>
      </c>
      <c r="G29" s="7" t="e">
        <f t="shared" si="14"/>
        <v>#DIV/0!</v>
      </c>
      <c r="H29" s="124"/>
      <c r="I29" s="124"/>
      <c r="L29" s="4"/>
      <c r="M29" s="4"/>
      <c r="N29" s="4"/>
      <c r="O29" s="4"/>
      <c r="P29" s="4">
        <f t="shared" ref="P29:V29" si="15">P7/L7-1</f>
        <v>0.2320041429311237</v>
      </c>
      <c r="Q29" s="4">
        <f t="shared" si="15"/>
        <v>0.21789883268482479</v>
      </c>
      <c r="R29" s="4">
        <f t="shared" si="15"/>
        <v>0.21717171717171713</v>
      </c>
      <c r="S29" s="4">
        <f t="shared" si="15"/>
        <v>0.18387799564270146</v>
      </c>
      <c r="T29" s="4">
        <f t="shared" si="15"/>
        <v>0.14039512400168142</v>
      </c>
      <c r="U29" s="4">
        <f t="shared" si="15"/>
        <v>0.10742811501597438</v>
      </c>
      <c r="V29" s="4">
        <f t="shared" si="15"/>
        <v>9.7698981516408878E-2</v>
      </c>
      <c r="W29" s="155">
        <f>W7/S7-1</f>
        <v>0.1667280088332721</v>
      </c>
      <c r="X29" s="7">
        <f>X7/T7-1</f>
        <v>0.19683007740508662</v>
      </c>
      <c r="Y29" s="9"/>
    </row>
    <row r="30" spans="2:26" x14ac:dyDescent="0.25">
      <c r="B30" t="s">
        <v>164</v>
      </c>
      <c r="C30" s="4"/>
      <c r="D30" s="4"/>
      <c r="E30" s="4" t="e">
        <f t="shared" si="14"/>
        <v>#DIV/0!</v>
      </c>
      <c r="F30" s="4" t="e">
        <f t="shared" si="14"/>
        <v>#DIV/0!</v>
      </c>
      <c r="G30" s="7" t="e">
        <f t="shared" si="14"/>
        <v>#DIV/0!</v>
      </c>
      <c r="H30" s="124"/>
      <c r="I30" s="124"/>
      <c r="L30" s="4"/>
      <c r="M30" s="4"/>
      <c r="N30" s="4"/>
      <c r="O30" s="4"/>
      <c r="P30" s="4">
        <f>P8/L8-1</f>
        <v>0.30555555555555558</v>
      </c>
      <c r="Q30" s="4">
        <f t="shared" ref="Q30:V30" si="16">Q8/M8-1</f>
        <v>0.30909090909090908</v>
      </c>
      <c r="R30" s="4">
        <f t="shared" si="16"/>
        <v>0.19195046439628483</v>
      </c>
      <c r="S30" s="4">
        <f t="shared" si="16"/>
        <v>0.13959390862944154</v>
      </c>
      <c r="T30" s="4">
        <f t="shared" si="16"/>
        <v>0.16666666666666674</v>
      </c>
      <c r="U30" s="4">
        <f t="shared" si="16"/>
        <v>0.12222222222222223</v>
      </c>
      <c r="V30" s="4">
        <f t="shared" si="16"/>
        <v>0.16103896103896109</v>
      </c>
      <c r="W30" s="155">
        <f>W8/S8-1</f>
        <v>0.11581291759465473</v>
      </c>
      <c r="X30" s="7">
        <f>X8/T8-1</f>
        <v>0.18237082066869292</v>
      </c>
      <c r="Y30" s="9"/>
    </row>
    <row r="31" spans="2:26" x14ac:dyDescent="0.25">
      <c r="B31" t="s">
        <v>35</v>
      </c>
      <c r="C31" s="3"/>
      <c r="D31" s="3">
        <f>-(D19/C19-1)</f>
        <v>-2.1236559139784945</v>
      </c>
      <c r="E31" s="3">
        <f>-(E19/D19-1)</f>
        <v>0.94148020654044751</v>
      </c>
      <c r="F31" s="39">
        <f>F19/E19-1</f>
        <v>11.647058823529411</v>
      </c>
      <c r="G31" s="6">
        <f>G19/F19-1</f>
        <v>0.23720930232558146</v>
      </c>
      <c r="H31" s="57">
        <f>H22/G21-1</f>
        <v>-2.4238884634586468</v>
      </c>
      <c r="I31" s="57">
        <f>I22/H22-1</f>
        <v>0.46529562982005146</v>
      </c>
      <c r="L31" s="4"/>
      <c r="M31" s="4"/>
      <c r="N31" s="4"/>
      <c r="O31" s="4"/>
      <c r="P31" s="4">
        <f t="shared" ref="P31:X31" si="17">P19/L19-1</f>
        <v>4.6956521739130439</v>
      </c>
      <c r="Q31" s="4">
        <f t="shared" si="17"/>
        <v>5.25</v>
      </c>
      <c r="R31" s="4">
        <f t="shared" si="17"/>
        <v>-84</v>
      </c>
      <c r="S31" s="4">
        <f t="shared" si="17"/>
        <v>5.9230769230769234</v>
      </c>
      <c r="T31" s="4">
        <f t="shared" si="17"/>
        <v>-2.717557251908397</v>
      </c>
      <c r="U31" s="4">
        <f>U19/Q19-1</f>
        <v>1.4159999999999999</v>
      </c>
      <c r="V31" s="4">
        <v>1</v>
      </c>
      <c r="W31" s="155">
        <f>W19/S19-1</f>
        <v>-0.7407407407407407</v>
      </c>
      <c r="X31" s="7">
        <v>1</v>
      </c>
      <c r="Y31" s="9"/>
    </row>
    <row r="32" spans="2:26" x14ac:dyDescent="0.25">
      <c r="C32" s="3"/>
      <c r="D32" s="3"/>
      <c r="E32" s="3"/>
      <c r="F32" s="39"/>
      <c r="G32" s="6"/>
      <c r="H32" s="57"/>
      <c r="I32" s="5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55"/>
      <c r="X32" s="7"/>
      <c r="Y32" s="9"/>
    </row>
    <row r="33" spans="2:25" x14ac:dyDescent="0.25">
      <c r="B33" t="s">
        <v>167</v>
      </c>
      <c r="C33" s="3"/>
      <c r="D33" s="3"/>
      <c r="E33" s="147"/>
      <c r="F33" s="147"/>
      <c r="G33" s="52"/>
      <c r="H33" s="57"/>
      <c r="I33" s="57"/>
      <c r="L33" s="18">
        <f>SUM(L3:L4)/L7</f>
        <v>0.26618332470222683</v>
      </c>
      <c r="M33" s="18">
        <f t="shared" ref="L33:O33" si="18">SUM(M3:M4)/M7</f>
        <v>0.25778210116731515</v>
      </c>
      <c r="N33" s="18">
        <f t="shared" si="18"/>
        <v>0.25390266299357206</v>
      </c>
      <c r="O33" s="18">
        <f t="shared" si="18"/>
        <v>0.25533769063180828</v>
      </c>
      <c r="P33" s="18">
        <f t="shared" ref="P33:V33" si="19">SUM(P3:P4)/P7</f>
        <v>0.25388818831441784</v>
      </c>
      <c r="Q33" s="18">
        <f t="shared" si="19"/>
        <v>0.2480031948881789</v>
      </c>
      <c r="R33" s="18">
        <f t="shared" si="19"/>
        <v>0.24556771029800076</v>
      </c>
      <c r="S33" s="18">
        <f t="shared" si="19"/>
        <v>0.25542878174457123</v>
      </c>
      <c r="T33" s="18">
        <f t="shared" si="19"/>
        <v>0.26723184666420935</v>
      </c>
      <c r="U33" s="18">
        <f t="shared" si="19"/>
        <v>0.27803822574828707</v>
      </c>
      <c r="V33" s="18">
        <f t="shared" si="19"/>
        <v>0.27491408934707906</v>
      </c>
      <c r="W33" s="147">
        <f>SUM(W3:W4)/W7</f>
        <v>0.26435331230283909</v>
      </c>
      <c r="X33" s="52">
        <f>SUM(X3:X4)/X7</f>
        <v>0.26301201108715738</v>
      </c>
    </row>
    <row r="34" spans="2:25" x14ac:dyDescent="0.25">
      <c r="B34" t="s">
        <v>168</v>
      </c>
      <c r="C34" s="3"/>
      <c r="D34" s="3"/>
      <c r="E34" s="147"/>
      <c r="F34" s="147"/>
      <c r="G34" s="52"/>
      <c r="H34" s="57"/>
      <c r="I34" s="57"/>
      <c r="L34" s="18">
        <f>L8/L5</f>
        <v>1.0384615384615385</v>
      </c>
      <c r="M34" s="18">
        <f t="shared" ref="L34:O34" si="20">M8/M5</f>
        <v>1.3095238095238095</v>
      </c>
      <c r="N34" s="18">
        <f t="shared" si="20"/>
        <v>1.4681818181818183</v>
      </c>
      <c r="O34" s="18">
        <f t="shared" si="20"/>
        <v>1.6694915254237288</v>
      </c>
      <c r="P34" s="18">
        <f t="shared" ref="P34:V34" si="21">P8/P5</f>
        <v>1.1190476190476191</v>
      </c>
      <c r="Q34" s="18">
        <f t="shared" si="21"/>
        <v>1.40625</v>
      </c>
      <c r="R34" s="18">
        <f t="shared" si="21"/>
        <v>1.4102564102564104</v>
      </c>
      <c r="S34" s="18">
        <f t="shared" si="21"/>
        <v>1.5220338983050847</v>
      </c>
      <c r="T34" s="18">
        <f t="shared" si="21"/>
        <v>1.0378548895899053</v>
      </c>
      <c r="U34" s="18">
        <f t="shared" si="21"/>
        <v>1.1778425655976676</v>
      </c>
      <c r="V34" s="18">
        <f t="shared" si="21"/>
        <v>1.2382271468144044</v>
      </c>
      <c r="W34" s="147">
        <f>W8/W5</f>
        <v>1.3218997361477574</v>
      </c>
      <c r="X34" s="52">
        <f>X8/X5</f>
        <v>1.0025773195876289</v>
      </c>
    </row>
    <row r="35" spans="2:25" x14ac:dyDescent="0.25">
      <c r="B35" t="s">
        <v>165</v>
      </c>
      <c r="C35" s="3"/>
      <c r="D35" s="3"/>
      <c r="E35" s="39"/>
      <c r="F35" s="39">
        <f>F3/E3-1</f>
        <v>0.19363395225464197</v>
      </c>
      <c r="G35" s="6">
        <f>G3/F3-1</f>
        <v>0.24555555555555553</v>
      </c>
      <c r="H35" s="57"/>
      <c r="I35" s="57"/>
      <c r="L35" s="18"/>
      <c r="M35" s="18"/>
      <c r="N35" s="18"/>
      <c r="O35" s="18"/>
      <c r="P35" s="39">
        <f>P3/L3-1</f>
        <v>0.18539325842696619</v>
      </c>
      <c r="Q35" s="39">
        <f t="shared" ref="Q35:U35" si="22">Q3/M3-1</f>
        <v>0.1863013698630136</v>
      </c>
      <c r="R35" s="39">
        <f t="shared" si="22"/>
        <v>0.1968503937007875</v>
      </c>
      <c r="S35" s="39">
        <f t="shared" si="22"/>
        <v>0.20443349753694573</v>
      </c>
      <c r="T35" s="39">
        <f t="shared" si="22"/>
        <v>0.22037914691943139</v>
      </c>
      <c r="U35" s="39">
        <f t="shared" si="22"/>
        <v>0.27251732101616621</v>
      </c>
      <c r="V35" s="39">
        <f>V3/R3-1</f>
        <v>0.25877192982456143</v>
      </c>
      <c r="W35" s="39">
        <f>W3/S3-1</f>
        <v>0.23108384458077702</v>
      </c>
      <c r="X35" s="6">
        <f>X3/T3-1</f>
        <v>0.19417475728155331</v>
      </c>
    </row>
    <row r="36" spans="2:25" x14ac:dyDescent="0.25">
      <c r="B36" t="s">
        <v>166</v>
      </c>
      <c r="C36" s="3"/>
      <c r="D36" s="3"/>
      <c r="E36" s="39"/>
      <c r="F36" s="39">
        <f>F4/E4-1</f>
        <v>0.14074074074074083</v>
      </c>
      <c r="G36" s="6">
        <f>G4/F4-1</f>
        <v>0.15844155844155838</v>
      </c>
      <c r="H36" s="57"/>
      <c r="I36" s="57"/>
      <c r="L36" s="18"/>
      <c r="M36" s="18"/>
      <c r="N36" s="18"/>
      <c r="O36" s="18"/>
      <c r="P36" s="39">
        <f>P4/L4-1</f>
        <v>0.15189873417721511</v>
      </c>
      <c r="Q36" s="39">
        <f t="shared" ref="Q36:U36" si="23">Q4/M4-1</f>
        <v>0.1393939393939394</v>
      </c>
      <c r="R36" s="39">
        <f t="shared" si="23"/>
        <v>0.13372093023255816</v>
      </c>
      <c r="S36" s="39">
        <f t="shared" si="23"/>
        <v>0.13888888888888884</v>
      </c>
      <c r="T36" s="39">
        <f t="shared" si="23"/>
        <v>0.15384615384615374</v>
      </c>
      <c r="U36" s="39">
        <f t="shared" si="23"/>
        <v>0.17021276595744683</v>
      </c>
      <c r="V36" s="39">
        <f>V4/R4-1</f>
        <v>0.15897435897435908</v>
      </c>
      <c r="W36" s="39">
        <f>W4/S4-1</f>
        <v>0.15121951219512186</v>
      </c>
      <c r="X36" s="6">
        <f>X4/T4-1</f>
        <v>0.13809523809523805</v>
      </c>
    </row>
    <row r="37" spans="2:25" x14ac:dyDescent="0.25">
      <c r="B37" t="s">
        <v>139</v>
      </c>
      <c r="C37" s="3"/>
      <c r="D37" s="3"/>
      <c r="E37" s="39"/>
      <c r="F37" s="39">
        <f>F5/E5-1</f>
        <v>0.23112128146453093</v>
      </c>
      <c r="G37" s="6">
        <f>G5/F5-1</f>
        <v>0.3011152416356877</v>
      </c>
      <c r="H37" s="57"/>
      <c r="I37" s="57"/>
      <c r="L37" s="18"/>
      <c r="M37" s="18"/>
      <c r="N37" s="18"/>
      <c r="O37" s="18"/>
      <c r="P37" s="39">
        <f>P5/L5-1</f>
        <v>0.21153846153846145</v>
      </c>
      <c r="Q37" s="39">
        <f t="shared" ref="Q37:U37" si="24">Q5/M5-1</f>
        <v>0.21904761904761916</v>
      </c>
      <c r="R37" s="39">
        <f t="shared" si="24"/>
        <v>0.24090909090909096</v>
      </c>
      <c r="S37" s="39">
        <f t="shared" si="24"/>
        <v>0.25</v>
      </c>
      <c r="T37" s="39">
        <f t="shared" si="24"/>
        <v>0.25793650793650791</v>
      </c>
      <c r="U37" s="39">
        <f t="shared" si="24"/>
        <v>0.33984375</v>
      </c>
      <c r="V37" s="39">
        <f>V5/R5-1</f>
        <v>0.32234432234432231</v>
      </c>
      <c r="W37" s="39">
        <f>W5/S5-1</f>
        <v>0.28474576271186436</v>
      </c>
      <c r="X37" s="6">
        <f>X5/T5-1</f>
        <v>0.22397476340694</v>
      </c>
      <c r="Y37" s="4">
        <v>0.22</v>
      </c>
    </row>
    <row r="38" spans="2:25" x14ac:dyDescent="0.25">
      <c r="C38" s="3"/>
      <c r="D38" s="3"/>
      <c r="E38" s="3"/>
      <c r="F38" s="39"/>
      <c r="G38" s="6"/>
      <c r="H38" s="57"/>
      <c r="I38" s="5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47"/>
      <c r="X38" s="52"/>
    </row>
    <row r="41" spans="2:25" s="1" customFormat="1" x14ac:dyDescent="0.25">
      <c r="B41" s="1" t="s">
        <v>39</v>
      </c>
      <c r="C41" s="153">
        <f t="shared" ref="C41:G41" si="25">C42+C43-C56-C63</f>
        <v>0</v>
      </c>
      <c r="D41" s="153">
        <f t="shared" si="25"/>
        <v>1109</v>
      </c>
      <c r="E41" s="153">
        <f t="shared" si="25"/>
        <v>1505</v>
      </c>
      <c r="F41" s="153">
        <f t="shared" si="25"/>
        <v>1377</v>
      </c>
      <c r="G41" s="14">
        <f t="shared" si="25"/>
        <v>2033</v>
      </c>
      <c r="L41" s="153">
        <f t="shared" ref="L41:S41" si="26">L42+L43-L56-L63</f>
        <v>0</v>
      </c>
      <c r="M41" s="153">
        <f t="shared" si="26"/>
        <v>0</v>
      </c>
      <c r="N41" s="153">
        <f t="shared" si="26"/>
        <v>0</v>
      </c>
      <c r="O41" s="153">
        <f t="shared" si="26"/>
        <v>1505</v>
      </c>
      <c r="P41" s="153">
        <f t="shared" si="26"/>
        <v>0</v>
      </c>
      <c r="Q41" s="153">
        <f t="shared" si="26"/>
        <v>0</v>
      </c>
      <c r="R41" s="153">
        <f t="shared" si="26"/>
        <v>0</v>
      </c>
      <c r="S41" s="153">
        <f t="shared" si="26"/>
        <v>1377</v>
      </c>
      <c r="T41" s="153">
        <f t="shared" ref="T41:X41" si="27">T42+T43-T56-T63</f>
        <v>1432</v>
      </c>
      <c r="U41" s="153">
        <f t="shared" si="27"/>
        <v>1356</v>
      </c>
      <c r="V41" s="153">
        <f t="shared" si="27"/>
        <v>1561</v>
      </c>
      <c r="W41" s="153">
        <f>W42+W43-W56-W63</f>
        <v>2033</v>
      </c>
      <c r="X41" s="14">
        <f t="shared" si="27"/>
        <v>2353</v>
      </c>
    </row>
    <row r="42" spans="2:25" x14ac:dyDescent="0.25">
      <c r="B42" t="s">
        <v>24</v>
      </c>
      <c r="C42" s="10"/>
      <c r="D42" s="10">
        <v>1151</v>
      </c>
      <c r="E42" s="10">
        <v>2744</v>
      </c>
      <c r="F42" s="10">
        <v>2483</v>
      </c>
      <c r="G42" s="15">
        <v>3114</v>
      </c>
      <c r="L42" s="10"/>
      <c r="M42" s="10"/>
      <c r="N42" s="10"/>
      <c r="O42" s="10">
        <f>E42</f>
        <v>2744</v>
      </c>
      <c r="P42" s="10"/>
      <c r="Q42" s="10"/>
      <c r="R42" s="10"/>
      <c r="S42" s="10">
        <f>F42</f>
        <v>2483</v>
      </c>
      <c r="T42" s="10">
        <v>2443</v>
      </c>
      <c r="U42" s="10">
        <v>2550</v>
      </c>
      <c r="V42" s="10">
        <v>2618</v>
      </c>
      <c r="W42" s="152">
        <f>G42</f>
        <v>3114</v>
      </c>
      <c r="X42" s="15">
        <v>3451</v>
      </c>
    </row>
    <row r="43" spans="2:25" x14ac:dyDescent="0.25">
      <c r="B43" t="s">
        <v>142</v>
      </c>
      <c r="C43" s="10"/>
      <c r="D43" s="10">
        <v>596</v>
      </c>
      <c r="E43" s="10">
        <v>756</v>
      </c>
      <c r="F43" s="10">
        <v>867</v>
      </c>
      <c r="G43" s="15">
        <v>1100</v>
      </c>
      <c r="L43" s="10"/>
      <c r="M43" s="10"/>
      <c r="N43" s="10"/>
      <c r="O43" s="10">
        <f t="shared" ref="O43:O67" si="28">E43</f>
        <v>756</v>
      </c>
      <c r="P43" s="10"/>
      <c r="Q43" s="10"/>
      <c r="R43" s="10"/>
      <c r="S43" s="10">
        <f t="shared" ref="S43:S67" si="29">F43</f>
        <v>867</v>
      </c>
      <c r="T43" s="10">
        <v>995</v>
      </c>
      <c r="U43" s="10">
        <v>866</v>
      </c>
      <c r="V43" s="10">
        <v>1097</v>
      </c>
      <c r="W43" s="152">
        <f t="shared" ref="W43:W67" si="30">G43</f>
        <v>1100</v>
      </c>
      <c r="X43" s="15">
        <v>1220</v>
      </c>
    </row>
    <row r="44" spans="2:25" x14ac:dyDescent="0.25">
      <c r="B44" t="s">
        <v>143</v>
      </c>
      <c r="C44" s="10"/>
      <c r="D44" s="10">
        <v>4</v>
      </c>
      <c r="E44" s="10">
        <v>5</v>
      </c>
      <c r="F44" s="10">
        <v>5</v>
      </c>
      <c r="G44" s="15">
        <v>20</v>
      </c>
      <c r="L44" s="10"/>
      <c r="M44" s="10"/>
      <c r="N44" s="10"/>
      <c r="O44" s="10">
        <f t="shared" si="28"/>
        <v>5</v>
      </c>
      <c r="P44" s="10"/>
      <c r="Q44" s="10"/>
      <c r="R44" s="10"/>
      <c r="S44" s="10">
        <f t="shared" si="29"/>
        <v>5</v>
      </c>
      <c r="T44" s="10">
        <v>5</v>
      </c>
      <c r="U44" s="10">
        <v>8</v>
      </c>
      <c r="V44" s="10">
        <v>8</v>
      </c>
      <c r="W44" s="152">
        <f t="shared" si="30"/>
        <v>20</v>
      </c>
      <c r="X44" s="15">
        <v>21</v>
      </c>
    </row>
    <row r="45" spans="2:25" x14ac:dyDescent="0.25">
      <c r="B45" t="s">
        <v>144</v>
      </c>
      <c r="C45" s="10"/>
      <c r="D45" s="10">
        <v>464</v>
      </c>
      <c r="E45" s="10">
        <v>621</v>
      </c>
      <c r="F45" s="10">
        <v>690</v>
      </c>
      <c r="G45" s="15">
        <v>858</v>
      </c>
      <c r="L45" s="10"/>
      <c r="M45" s="10"/>
      <c r="N45" s="10"/>
      <c r="O45" s="10">
        <f t="shared" si="28"/>
        <v>621</v>
      </c>
      <c r="P45" s="10"/>
      <c r="Q45" s="10"/>
      <c r="R45" s="10"/>
      <c r="S45" s="10">
        <f t="shared" si="29"/>
        <v>690</v>
      </c>
      <c r="T45" s="10">
        <v>555</v>
      </c>
      <c r="U45" s="10">
        <v>632</v>
      </c>
      <c r="V45" s="10">
        <v>747</v>
      </c>
      <c r="W45" s="152">
        <f t="shared" si="30"/>
        <v>858</v>
      </c>
      <c r="X45" s="15">
        <v>777</v>
      </c>
    </row>
    <row r="46" spans="2:25" x14ac:dyDescent="0.25">
      <c r="B46" t="s">
        <v>25</v>
      </c>
      <c r="C46" s="10"/>
      <c r="D46" s="10">
        <v>151</v>
      </c>
      <c r="E46" s="10">
        <v>246</v>
      </c>
      <c r="F46" s="10">
        <v>307</v>
      </c>
      <c r="G46" s="15">
        <v>168</v>
      </c>
      <c r="L46" s="10"/>
      <c r="M46" s="10"/>
      <c r="N46" s="10"/>
      <c r="O46" s="10">
        <f t="shared" si="28"/>
        <v>246</v>
      </c>
      <c r="P46" s="10"/>
      <c r="Q46" s="10"/>
      <c r="R46" s="10"/>
      <c r="S46" s="10">
        <f t="shared" si="29"/>
        <v>307</v>
      </c>
      <c r="T46" s="10">
        <v>295</v>
      </c>
      <c r="U46" s="10">
        <v>273</v>
      </c>
      <c r="V46" s="10">
        <v>225</v>
      </c>
      <c r="W46" s="152">
        <f t="shared" si="30"/>
        <v>168</v>
      </c>
      <c r="X46" s="15">
        <v>175</v>
      </c>
    </row>
    <row r="47" spans="2:25" s="1" customFormat="1" x14ac:dyDescent="0.25">
      <c r="B47" s="1" t="s">
        <v>62</v>
      </c>
      <c r="C47" s="11">
        <f>SUM(C42:C46)</f>
        <v>0</v>
      </c>
      <c r="D47" s="11">
        <f>SUM(D42:D46)</f>
        <v>2366</v>
      </c>
      <c r="E47" s="11">
        <f>SUM(E42:E46)</f>
        <v>4372</v>
      </c>
      <c r="F47" s="11">
        <f>SUM(F42:F46)</f>
        <v>4352</v>
      </c>
      <c r="G47" s="14">
        <f>SUM(G42:G46)</f>
        <v>5260</v>
      </c>
      <c r="L47" s="11">
        <f t="shared" ref="L47:W47" si="31">SUM(L42:L46)</f>
        <v>0</v>
      </c>
      <c r="M47" s="11">
        <f t="shared" si="31"/>
        <v>0</v>
      </c>
      <c r="N47" s="11">
        <f t="shared" si="31"/>
        <v>0</v>
      </c>
      <c r="O47" s="11">
        <f t="shared" si="31"/>
        <v>4372</v>
      </c>
      <c r="P47" s="11">
        <f t="shared" si="31"/>
        <v>0</v>
      </c>
      <c r="Q47" s="11">
        <f t="shared" si="31"/>
        <v>0</v>
      </c>
      <c r="R47" s="11">
        <f t="shared" si="31"/>
        <v>0</v>
      </c>
      <c r="S47" s="11">
        <f t="shared" si="31"/>
        <v>4352</v>
      </c>
      <c r="T47" s="11">
        <f t="shared" si="31"/>
        <v>4293</v>
      </c>
      <c r="U47" s="11">
        <f t="shared" si="31"/>
        <v>4329</v>
      </c>
      <c r="V47" s="11">
        <f t="shared" si="31"/>
        <v>4695</v>
      </c>
      <c r="W47" s="153">
        <f t="shared" si="31"/>
        <v>5260</v>
      </c>
      <c r="X47" s="14">
        <f t="shared" ref="X47" si="32">SUM(X42:X46)</f>
        <v>5644</v>
      </c>
    </row>
    <row r="48" spans="2:25" x14ac:dyDescent="0.25">
      <c r="B48" t="s">
        <v>145</v>
      </c>
      <c r="C48" s="10"/>
      <c r="D48" s="10">
        <v>444</v>
      </c>
      <c r="E48" s="10">
        <v>437</v>
      </c>
      <c r="F48" s="10">
        <v>417</v>
      </c>
      <c r="G48" s="15">
        <v>300</v>
      </c>
      <c r="L48" s="10"/>
      <c r="M48" s="10"/>
      <c r="N48" s="10"/>
      <c r="O48" s="10">
        <f t="shared" si="28"/>
        <v>437</v>
      </c>
      <c r="P48" s="10"/>
      <c r="Q48" s="10"/>
      <c r="R48" s="10"/>
      <c r="S48" s="10">
        <f t="shared" si="29"/>
        <v>417</v>
      </c>
      <c r="T48" s="10">
        <v>413</v>
      </c>
      <c r="U48" s="10">
        <v>344</v>
      </c>
      <c r="V48" s="10">
        <v>343</v>
      </c>
      <c r="W48" s="152">
        <f t="shared" si="30"/>
        <v>300</v>
      </c>
      <c r="X48" s="15">
        <v>274</v>
      </c>
    </row>
    <row r="49" spans="2:25" x14ac:dyDescent="0.25">
      <c r="B49" t="s">
        <v>77</v>
      </c>
      <c r="C49" s="10"/>
      <c r="D49" s="10">
        <v>313</v>
      </c>
      <c r="E49" s="10">
        <v>372</v>
      </c>
      <c r="F49" s="10">
        <v>348</v>
      </c>
      <c r="G49" s="15">
        <v>247</v>
      </c>
      <c r="L49" s="10"/>
      <c r="M49" s="10"/>
      <c r="N49" s="10"/>
      <c r="O49" s="10">
        <f t="shared" si="28"/>
        <v>372</v>
      </c>
      <c r="P49" s="10"/>
      <c r="Q49" s="10"/>
      <c r="R49" s="10"/>
      <c r="S49" s="10">
        <f t="shared" si="29"/>
        <v>348</v>
      </c>
      <c r="T49" s="10">
        <v>331</v>
      </c>
      <c r="U49" s="10">
        <v>280</v>
      </c>
      <c r="V49" s="10">
        <v>275</v>
      </c>
      <c r="W49" s="152">
        <f t="shared" si="30"/>
        <v>247</v>
      </c>
      <c r="X49" s="15">
        <v>224</v>
      </c>
    </row>
    <row r="50" spans="2:25" x14ac:dyDescent="0.25">
      <c r="B50" t="s">
        <v>26</v>
      </c>
      <c r="C50" s="10"/>
      <c r="D50" s="10">
        <v>736</v>
      </c>
      <c r="E50" s="10">
        <v>894</v>
      </c>
      <c r="F50" s="10">
        <v>1168</v>
      </c>
      <c r="G50" s="15">
        <v>1137</v>
      </c>
      <c r="L50" s="10"/>
      <c r="M50" s="10"/>
      <c r="N50" s="10"/>
      <c r="O50" s="10">
        <f t="shared" si="28"/>
        <v>894</v>
      </c>
      <c r="P50" s="10"/>
      <c r="Q50" s="10"/>
      <c r="R50" s="10"/>
      <c r="S50" s="10">
        <f t="shared" si="29"/>
        <v>1168</v>
      </c>
      <c r="T50" s="10">
        <v>1155</v>
      </c>
      <c r="U50" s="10">
        <v>1148</v>
      </c>
      <c r="V50" s="10">
        <v>1180</v>
      </c>
      <c r="W50" s="152">
        <f t="shared" si="30"/>
        <v>1137</v>
      </c>
      <c r="X50" s="15">
        <v>1159</v>
      </c>
    </row>
    <row r="51" spans="2:25" x14ac:dyDescent="0.25">
      <c r="B51" t="s">
        <v>78</v>
      </c>
      <c r="C51" s="10"/>
      <c r="D51" s="10">
        <v>97</v>
      </c>
      <c r="E51" s="10">
        <v>89</v>
      </c>
      <c r="F51" s="10">
        <v>127</v>
      </c>
      <c r="G51" s="15">
        <v>84</v>
      </c>
      <c r="L51" s="10"/>
      <c r="M51" s="10"/>
      <c r="N51" s="10"/>
      <c r="O51" s="10">
        <f t="shared" si="28"/>
        <v>89</v>
      </c>
      <c r="P51" s="10"/>
      <c r="Q51" s="10"/>
      <c r="R51" s="10"/>
      <c r="S51" s="10">
        <f t="shared" si="29"/>
        <v>127</v>
      </c>
      <c r="T51" s="10">
        <v>115</v>
      </c>
      <c r="U51" s="10">
        <v>105</v>
      </c>
      <c r="V51" s="10">
        <v>98</v>
      </c>
      <c r="W51" s="152">
        <f t="shared" si="30"/>
        <v>84</v>
      </c>
      <c r="X51" s="15">
        <v>76</v>
      </c>
    </row>
    <row r="52" spans="2:25" s="1" customFormat="1" x14ac:dyDescent="0.25">
      <c r="B52" t="s">
        <v>146</v>
      </c>
      <c r="C52" s="10"/>
      <c r="D52" s="10">
        <v>2277</v>
      </c>
      <c r="E52" s="10">
        <v>916</v>
      </c>
      <c r="F52" s="10">
        <v>1138</v>
      </c>
      <c r="G52" s="15">
        <v>1215</v>
      </c>
      <c r="L52" s="10"/>
      <c r="M52" s="10"/>
      <c r="N52" s="10"/>
      <c r="O52" s="10">
        <f t="shared" si="28"/>
        <v>916</v>
      </c>
      <c r="P52" s="10"/>
      <c r="Q52" s="10"/>
      <c r="R52" s="10"/>
      <c r="S52" s="10">
        <f t="shared" si="29"/>
        <v>1138</v>
      </c>
      <c r="T52" s="10">
        <v>1134</v>
      </c>
      <c r="U52" s="10">
        <v>1015</v>
      </c>
      <c r="V52" s="10">
        <v>903</v>
      </c>
      <c r="W52" s="152">
        <f t="shared" si="30"/>
        <v>1215</v>
      </c>
      <c r="X52" s="15">
        <v>1534</v>
      </c>
    </row>
    <row r="53" spans="2:25" s="1" customFormat="1" x14ac:dyDescent="0.25">
      <c r="B53" t="s">
        <v>76</v>
      </c>
      <c r="C53" s="10"/>
      <c r="D53" s="10">
        <v>78</v>
      </c>
      <c r="E53" s="10">
        <v>77</v>
      </c>
      <c r="F53" s="10">
        <v>78</v>
      </c>
      <c r="G53" s="15">
        <v>75</v>
      </c>
      <c r="L53" s="10"/>
      <c r="M53" s="10"/>
      <c r="N53" s="10"/>
      <c r="O53" s="10">
        <f t="shared" si="28"/>
        <v>77</v>
      </c>
      <c r="P53" s="10"/>
      <c r="Q53" s="10"/>
      <c r="R53" s="10"/>
      <c r="S53" s="10">
        <f t="shared" si="29"/>
        <v>78</v>
      </c>
      <c r="T53" s="10">
        <v>77</v>
      </c>
      <c r="U53" s="10">
        <v>76</v>
      </c>
      <c r="V53" s="10">
        <v>75</v>
      </c>
      <c r="W53" s="152">
        <f t="shared" si="30"/>
        <v>75</v>
      </c>
      <c r="X53" s="15">
        <f>72+51</f>
        <v>123</v>
      </c>
    </row>
    <row r="54" spans="2:25" s="1" customFormat="1" x14ac:dyDescent="0.25">
      <c r="B54" t="s">
        <v>147</v>
      </c>
      <c r="C54" s="10"/>
      <c r="D54" s="10">
        <v>15</v>
      </c>
      <c r="E54" s="10">
        <v>13</v>
      </c>
      <c r="F54" s="10">
        <v>8</v>
      </c>
      <c r="G54" s="15">
        <v>28</v>
      </c>
      <c r="L54" s="10"/>
      <c r="M54" s="10"/>
      <c r="N54" s="10"/>
      <c r="O54" s="10">
        <f t="shared" si="28"/>
        <v>13</v>
      </c>
      <c r="P54" s="10"/>
      <c r="Q54" s="10"/>
      <c r="R54" s="10"/>
      <c r="S54" s="10">
        <f t="shared" si="29"/>
        <v>8</v>
      </c>
      <c r="T54" s="10">
        <v>11</v>
      </c>
      <c r="U54" s="10">
        <v>15</v>
      </c>
      <c r="V54" s="10">
        <v>23</v>
      </c>
      <c r="W54" s="152">
        <f t="shared" si="30"/>
        <v>28</v>
      </c>
      <c r="X54" s="15">
        <v>41</v>
      </c>
    </row>
    <row r="55" spans="2:25" x14ac:dyDescent="0.25">
      <c r="B55" s="1" t="s">
        <v>27</v>
      </c>
      <c r="C55" s="11">
        <f>SUM(C47:C54)</f>
        <v>0</v>
      </c>
      <c r="D55" s="11">
        <f>SUM(D47:D54)</f>
        <v>6326</v>
      </c>
      <c r="E55" s="11">
        <f>SUM(E47:E54)</f>
        <v>7170</v>
      </c>
      <c r="F55" s="11">
        <f>SUM(F47:F54)</f>
        <v>7636</v>
      </c>
      <c r="G55" s="14">
        <f>SUM(G47:G54)</f>
        <v>8346</v>
      </c>
      <c r="L55" s="11">
        <f t="shared" ref="L55:W55" si="33">SUM(L47:L54)</f>
        <v>0</v>
      </c>
      <c r="M55" s="11">
        <f t="shared" si="33"/>
        <v>0</v>
      </c>
      <c r="N55" s="11">
        <f t="shared" si="33"/>
        <v>0</v>
      </c>
      <c r="O55" s="11">
        <f t="shared" si="33"/>
        <v>7170</v>
      </c>
      <c r="P55" s="11">
        <f t="shared" si="33"/>
        <v>0</v>
      </c>
      <c r="Q55" s="11">
        <f t="shared" si="33"/>
        <v>0</v>
      </c>
      <c r="R55" s="11">
        <f t="shared" si="33"/>
        <v>0</v>
      </c>
      <c r="S55" s="11">
        <f t="shared" si="33"/>
        <v>7636</v>
      </c>
      <c r="T55" s="11">
        <f t="shared" si="33"/>
        <v>7529</v>
      </c>
      <c r="U55" s="11">
        <f t="shared" si="33"/>
        <v>7312</v>
      </c>
      <c r="V55" s="11">
        <f t="shared" si="33"/>
        <v>7592</v>
      </c>
      <c r="W55" s="153">
        <f t="shared" si="33"/>
        <v>8346</v>
      </c>
      <c r="X55" s="14">
        <f t="shared" ref="X55" si="34">SUM(X47:X54)</f>
        <v>9075</v>
      </c>
    </row>
    <row r="56" spans="2:25" x14ac:dyDescent="0.25">
      <c r="B56" t="s">
        <v>148</v>
      </c>
      <c r="C56" s="10"/>
      <c r="D56" s="10">
        <v>638</v>
      </c>
      <c r="E56" s="10">
        <v>793</v>
      </c>
      <c r="F56" s="10">
        <v>845</v>
      </c>
      <c r="G56" s="15">
        <v>978</v>
      </c>
      <c r="L56" s="10"/>
      <c r="M56" s="10"/>
      <c r="N56" s="10"/>
      <c r="O56" s="10">
        <f t="shared" si="28"/>
        <v>793</v>
      </c>
      <c r="P56" s="10"/>
      <c r="Q56" s="10"/>
      <c r="R56" s="10"/>
      <c r="S56" s="10">
        <f t="shared" si="29"/>
        <v>845</v>
      </c>
      <c r="T56" s="10">
        <v>850</v>
      </c>
      <c r="U56" s="10">
        <v>893</v>
      </c>
      <c r="V56" s="10">
        <v>945</v>
      </c>
      <c r="W56" s="152">
        <f t="shared" si="30"/>
        <v>978</v>
      </c>
      <c r="X56" s="15">
        <v>1048</v>
      </c>
    </row>
    <row r="57" spans="2:25" x14ac:dyDescent="0.25">
      <c r="B57" t="s">
        <v>149</v>
      </c>
      <c r="C57" s="10"/>
      <c r="D57" s="10">
        <v>9</v>
      </c>
      <c r="E57" s="10">
        <v>23</v>
      </c>
      <c r="F57" s="10">
        <v>11</v>
      </c>
      <c r="G57" s="15">
        <v>12</v>
      </c>
      <c r="L57" s="10"/>
      <c r="M57" s="10"/>
      <c r="N57" s="10"/>
      <c r="O57" s="10">
        <f t="shared" si="28"/>
        <v>23</v>
      </c>
      <c r="P57" s="10"/>
      <c r="Q57" s="10"/>
      <c r="R57" s="10"/>
      <c r="S57" s="10">
        <f t="shared" si="29"/>
        <v>11</v>
      </c>
      <c r="T57" s="10">
        <v>9</v>
      </c>
      <c r="U57" s="10">
        <v>11</v>
      </c>
      <c r="V57" s="10">
        <v>8</v>
      </c>
      <c r="W57" s="152">
        <f t="shared" si="30"/>
        <v>12</v>
      </c>
      <c r="X57" s="15">
        <v>14</v>
      </c>
    </row>
    <row r="58" spans="2:25" x14ac:dyDescent="0.25">
      <c r="B58" t="s">
        <v>150</v>
      </c>
      <c r="C58" s="10"/>
      <c r="D58" s="10">
        <v>380</v>
      </c>
      <c r="E58" s="10">
        <v>458</v>
      </c>
      <c r="F58" s="10">
        <v>520</v>
      </c>
      <c r="G58" s="15">
        <v>622</v>
      </c>
      <c r="L58" s="10"/>
      <c r="M58" s="10"/>
      <c r="N58" s="10"/>
      <c r="O58" s="10">
        <f t="shared" si="28"/>
        <v>458</v>
      </c>
      <c r="P58" s="10"/>
      <c r="Q58" s="10"/>
      <c r="R58" s="10"/>
      <c r="S58" s="10">
        <f t="shared" si="29"/>
        <v>520</v>
      </c>
      <c r="T58" s="10">
        <v>524</v>
      </c>
      <c r="U58" s="10">
        <v>536</v>
      </c>
      <c r="V58" s="10">
        <v>599</v>
      </c>
      <c r="W58" s="152">
        <f t="shared" si="30"/>
        <v>622</v>
      </c>
      <c r="X58" s="15">
        <v>634</v>
      </c>
    </row>
    <row r="59" spans="2:25" x14ac:dyDescent="0.25">
      <c r="B59" t="s">
        <v>151</v>
      </c>
      <c r="C59" s="10"/>
      <c r="D59" s="10">
        <v>1748</v>
      </c>
      <c r="E59" s="10">
        <v>1841</v>
      </c>
      <c r="F59" s="10">
        <v>2093</v>
      </c>
      <c r="G59" s="15">
        <v>2440</v>
      </c>
      <c r="L59" s="10"/>
      <c r="M59" s="10"/>
      <c r="N59" s="10"/>
      <c r="O59" s="10">
        <f t="shared" si="28"/>
        <v>1841</v>
      </c>
      <c r="P59" s="10"/>
      <c r="Q59" s="10"/>
      <c r="R59" s="10"/>
      <c r="S59" s="10">
        <f t="shared" si="29"/>
        <v>2093</v>
      </c>
      <c r="T59" s="10">
        <v>2025</v>
      </c>
      <c r="U59" s="10">
        <v>2053</v>
      </c>
      <c r="V59" s="10">
        <v>2108</v>
      </c>
      <c r="W59" s="152">
        <f t="shared" si="30"/>
        <v>2440</v>
      </c>
      <c r="X59" s="15">
        <v>2228</v>
      </c>
    </row>
    <row r="60" spans="2:25" x14ac:dyDescent="0.25">
      <c r="B60" t="s">
        <v>152</v>
      </c>
      <c r="C60" s="10"/>
      <c r="D60" s="10">
        <v>20</v>
      </c>
      <c r="E60" s="10">
        <v>22</v>
      </c>
      <c r="F60" s="10">
        <v>26</v>
      </c>
      <c r="G60" s="15">
        <v>21</v>
      </c>
      <c r="L60" s="10"/>
      <c r="M60" s="10"/>
      <c r="N60" s="10"/>
      <c r="O60" s="10">
        <f t="shared" si="28"/>
        <v>22</v>
      </c>
      <c r="P60" s="10"/>
      <c r="Q60" s="10"/>
      <c r="R60" s="10"/>
      <c r="S60" s="10">
        <f t="shared" si="29"/>
        <v>26</v>
      </c>
      <c r="T60" s="10">
        <v>27</v>
      </c>
      <c r="U60" s="10">
        <v>25</v>
      </c>
      <c r="V60" s="10">
        <v>24</v>
      </c>
      <c r="W60" s="152">
        <f t="shared" si="30"/>
        <v>21</v>
      </c>
      <c r="X60" s="15">
        <v>20</v>
      </c>
    </row>
    <row r="61" spans="2:25" x14ac:dyDescent="0.25">
      <c r="B61" t="s">
        <v>153</v>
      </c>
      <c r="C61" s="10"/>
      <c r="D61" s="10">
        <v>105</v>
      </c>
      <c r="E61" s="10">
        <v>89</v>
      </c>
      <c r="F61" s="10">
        <v>21</v>
      </c>
      <c r="G61" s="15">
        <v>17</v>
      </c>
      <c r="L61" s="10"/>
      <c r="M61" s="10"/>
      <c r="N61" s="10"/>
      <c r="O61" s="10">
        <f t="shared" si="28"/>
        <v>89</v>
      </c>
      <c r="P61" s="10"/>
      <c r="Q61" s="10"/>
      <c r="R61" s="10"/>
      <c r="S61" s="10">
        <f t="shared" si="29"/>
        <v>21</v>
      </c>
      <c r="T61" s="10">
        <v>24</v>
      </c>
      <c r="U61" s="10">
        <v>28</v>
      </c>
      <c r="V61" s="10">
        <v>17</v>
      </c>
      <c r="W61" s="152">
        <f t="shared" si="30"/>
        <v>17</v>
      </c>
      <c r="X61" s="15">
        <v>22</v>
      </c>
    </row>
    <row r="62" spans="2:25" s="1" customFormat="1" x14ac:dyDescent="0.25">
      <c r="B62" s="1" t="s">
        <v>63</v>
      </c>
      <c r="C62" s="11">
        <f>SUM(C56:C61)</f>
        <v>0</v>
      </c>
      <c r="D62" s="11">
        <f>SUM(D56:D61)</f>
        <v>2900</v>
      </c>
      <c r="E62" s="11">
        <f>SUM(E56:E61)</f>
        <v>3226</v>
      </c>
      <c r="F62" s="11">
        <f>SUM(F56:F61)</f>
        <v>3516</v>
      </c>
      <c r="G62" s="14">
        <f>SUM(G56:G61)</f>
        <v>4090</v>
      </c>
      <c r="L62" s="11">
        <f t="shared" ref="L62:W62" si="35">SUM(L56:L61)</f>
        <v>0</v>
      </c>
      <c r="M62" s="11">
        <f t="shared" si="35"/>
        <v>0</v>
      </c>
      <c r="N62" s="11">
        <f t="shared" si="35"/>
        <v>0</v>
      </c>
      <c r="O62" s="11">
        <f t="shared" si="35"/>
        <v>3226</v>
      </c>
      <c r="P62" s="11">
        <f t="shared" si="35"/>
        <v>0</v>
      </c>
      <c r="Q62" s="11">
        <f t="shared" si="35"/>
        <v>0</v>
      </c>
      <c r="R62" s="11">
        <f t="shared" si="35"/>
        <v>0</v>
      </c>
      <c r="S62" s="11">
        <f t="shared" si="35"/>
        <v>3516</v>
      </c>
      <c r="T62" s="11">
        <f t="shared" si="35"/>
        <v>3459</v>
      </c>
      <c r="U62" s="11">
        <f t="shared" si="35"/>
        <v>3546</v>
      </c>
      <c r="V62" s="11">
        <f t="shared" si="35"/>
        <v>3701</v>
      </c>
      <c r="W62" s="153">
        <f t="shared" si="35"/>
        <v>4090</v>
      </c>
      <c r="X62" s="14">
        <f t="shared" ref="X62" si="36">SUM(X56:X61)</f>
        <v>3966</v>
      </c>
      <c r="Y62" s="11"/>
    </row>
    <row r="63" spans="2:25" x14ac:dyDescent="0.25">
      <c r="B63" t="s">
        <v>154</v>
      </c>
      <c r="C63" s="10"/>
      <c r="D63" s="10">
        <v>0</v>
      </c>
      <c r="E63" s="10">
        <v>1202</v>
      </c>
      <c r="F63" s="10">
        <v>1128</v>
      </c>
      <c r="G63" s="15">
        <v>1203</v>
      </c>
      <c r="L63" s="10"/>
      <c r="M63" s="10"/>
      <c r="N63" s="10"/>
      <c r="O63" s="10">
        <f t="shared" si="28"/>
        <v>1202</v>
      </c>
      <c r="P63" s="10"/>
      <c r="Q63" s="10"/>
      <c r="R63" s="10"/>
      <c r="S63" s="10">
        <f t="shared" si="29"/>
        <v>1128</v>
      </c>
      <c r="T63" s="10">
        <v>1156</v>
      </c>
      <c r="U63" s="10">
        <v>1167</v>
      </c>
      <c r="V63" s="10">
        <v>1209</v>
      </c>
      <c r="W63" s="152">
        <f t="shared" si="30"/>
        <v>1203</v>
      </c>
      <c r="X63" s="15">
        <v>1270</v>
      </c>
    </row>
    <row r="64" spans="2:25" x14ac:dyDescent="0.25">
      <c r="B64" t="s">
        <v>155</v>
      </c>
      <c r="C64" s="10"/>
      <c r="D64" s="10">
        <v>577</v>
      </c>
      <c r="E64" s="10">
        <v>579</v>
      </c>
      <c r="F64" s="10">
        <v>555</v>
      </c>
      <c r="G64" s="15">
        <v>493</v>
      </c>
      <c r="L64" s="10"/>
      <c r="M64" s="10"/>
      <c r="N64" s="10"/>
      <c r="O64" s="10">
        <f t="shared" si="28"/>
        <v>579</v>
      </c>
      <c r="P64" s="10"/>
      <c r="Q64" s="10"/>
      <c r="R64" s="10"/>
      <c r="S64" s="10">
        <f t="shared" si="29"/>
        <v>555</v>
      </c>
      <c r="T64" s="10">
        <v>546</v>
      </c>
      <c r="U64" s="10">
        <v>522</v>
      </c>
      <c r="V64" s="10">
        <v>520</v>
      </c>
      <c r="W64" s="152">
        <f t="shared" si="30"/>
        <v>493</v>
      </c>
      <c r="X64" s="15">
        <v>493</v>
      </c>
    </row>
    <row r="65" spans="2:24" x14ac:dyDescent="0.25">
      <c r="B65" t="s">
        <v>156</v>
      </c>
      <c r="C65" s="10"/>
      <c r="D65" s="10">
        <v>42</v>
      </c>
      <c r="E65" s="10">
        <v>37</v>
      </c>
      <c r="F65" s="10">
        <v>28</v>
      </c>
      <c r="G65" s="15">
        <v>26</v>
      </c>
      <c r="L65" s="10"/>
      <c r="M65" s="10"/>
      <c r="N65" s="10"/>
      <c r="O65" s="10">
        <f t="shared" si="28"/>
        <v>37</v>
      </c>
      <c r="P65" s="10"/>
      <c r="Q65" s="10"/>
      <c r="R65" s="10"/>
      <c r="S65" s="10">
        <f t="shared" si="29"/>
        <v>28</v>
      </c>
      <c r="T65" s="10">
        <v>17</v>
      </c>
      <c r="U65" s="10">
        <v>14</v>
      </c>
      <c r="V65" s="10">
        <v>14</v>
      </c>
      <c r="W65" s="152">
        <f t="shared" si="30"/>
        <v>26</v>
      </c>
      <c r="X65" s="15">
        <v>17</v>
      </c>
    </row>
    <row r="66" spans="2:24" x14ac:dyDescent="0.25">
      <c r="B66" t="s">
        <v>152</v>
      </c>
      <c r="C66" s="10"/>
      <c r="D66" s="10">
        <v>2</v>
      </c>
      <c r="E66" s="10">
        <v>7</v>
      </c>
      <c r="F66" s="10">
        <v>3</v>
      </c>
      <c r="G66" s="15">
        <v>3</v>
      </c>
      <c r="L66" s="10"/>
      <c r="M66" s="10"/>
      <c r="N66" s="10"/>
      <c r="O66" s="10">
        <f t="shared" si="28"/>
        <v>7</v>
      </c>
      <c r="P66" s="10"/>
      <c r="Q66" s="10"/>
      <c r="R66" s="10"/>
      <c r="S66" s="10">
        <f t="shared" si="29"/>
        <v>3</v>
      </c>
      <c r="T66" s="10">
        <v>3</v>
      </c>
      <c r="U66" s="10">
        <v>3</v>
      </c>
      <c r="V66" s="10">
        <v>3</v>
      </c>
      <c r="W66" s="152">
        <f t="shared" si="30"/>
        <v>3</v>
      </c>
      <c r="X66" s="15">
        <v>3</v>
      </c>
    </row>
    <row r="67" spans="2:24" x14ac:dyDescent="0.25">
      <c r="B67" t="s">
        <v>157</v>
      </c>
      <c r="C67" s="10"/>
      <c r="D67" s="10"/>
      <c r="E67" s="10"/>
      <c r="F67" s="10">
        <v>5</v>
      </c>
      <c r="G67" s="15">
        <v>8</v>
      </c>
      <c r="L67" s="10"/>
      <c r="M67" s="10"/>
      <c r="N67" s="10"/>
      <c r="O67" s="10">
        <f t="shared" si="28"/>
        <v>0</v>
      </c>
      <c r="P67" s="10"/>
      <c r="Q67" s="10"/>
      <c r="R67" s="10"/>
      <c r="S67" s="10">
        <f t="shared" si="29"/>
        <v>5</v>
      </c>
      <c r="T67" s="10">
        <v>6</v>
      </c>
      <c r="U67" s="10">
        <v>6</v>
      </c>
      <c r="V67" s="10">
        <v>6</v>
      </c>
      <c r="W67" s="152">
        <f t="shared" si="30"/>
        <v>8</v>
      </c>
      <c r="X67" s="15">
        <v>17</v>
      </c>
    </row>
    <row r="68" spans="2:24" x14ac:dyDescent="0.25">
      <c r="B68" s="1" t="s">
        <v>28</v>
      </c>
      <c r="C68" s="11">
        <f>SUM(C62:C67)</f>
        <v>0</v>
      </c>
      <c r="D68" s="11">
        <f>SUM(D62:D67)</f>
        <v>3521</v>
      </c>
      <c r="E68" s="11">
        <f>SUM(E62:E67)</f>
        <v>5051</v>
      </c>
      <c r="F68" s="11">
        <f>SUM(F62:F67)</f>
        <v>5235</v>
      </c>
      <c r="G68" s="14">
        <f>SUM(G62:G67)</f>
        <v>5823</v>
      </c>
      <c r="L68" s="11">
        <f t="shared" ref="L68:W68" si="37">SUM(L62:L67)</f>
        <v>0</v>
      </c>
      <c r="M68" s="11">
        <f t="shared" si="37"/>
        <v>0</v>
      </c>
      <c r="N68" s="11">
        <f t="shared" si="37"/>
        <v>0</v>
      </c>
      <c r="O68" s="11">
        <f t="shared" si="37"/>
        <v>5051</v>
      </c>
      <c r="P68" s="11">
        <f t="shared" si="37"/>
        <v>0</v>
      </c>
      <c r="Q68" s="11">
        <f t="shared" si="37"/>
        <v>0</v>
      </c>
      <c r="R68" s="11">
        <f t="shared" si="37"/>
        <v>0</v>
      </c>
      <c r="S68" s="11">
        <f t="shared" si="37"/>
        <v>5235</v>
      </c>
      <c r="T68" s="11">
        <f t="shared" si="37"/>
        <v>5187</v>
      </c>
      <c r="U68" s="11">
        <f t="shared" si="37"/>
        <v>5258</v>
      </c>
      <c r="V68" s="11">
        <f t="shared" si="37"/>
        <v>5453</v>
      </c>
      <c r="W68" s="153">
        <f t="shared" si="37"/>
        <v>5823</v>
      </c>
      <c r="X68" s="14">
        <f t="shared" ref="X68" si="38">SUM(X62:X67)</f>
        <v>5766</v>
      </c>
    </row>
    <row r="69" spans="2:24" x14ac:dyDescent="0.25">
      <c r="B69" t="s">
        <v>79</v>
      </c>
      <c r="C69" s="10"/>
      <c r="D69" s="10">
        <f>D55-D68</f>
        <v>2805</v>
      </c>
      <c r="E69" s="10">
        <f>E55-E68</f>
        <v>2119</v>
      </c>
      <c r="F69" s="10">
        <f>F55-F68</f>
        <v>2401</v>
      </c>
      <c r="G69" s="15">
        <f>G55-G68</f>
        <v>2523</v>
      </c>
      <c r="O69" s="10">
        <f t="shared" ref="O69:U69" si="39">O55-O68</f>
        <v>2119</v>
      </c>
      <c r="P69" s="10">
        <f t="shared" si="39"/>
        <v>0</v>
      </c>
      <c r="Q69" s="10">
        <f t="shared" si="39"/>
        <v>0</v>
      </c>
      <c r="R69" s="10">
        <f t="shared" si="39"/>
        <v>0</v>
      </c>
      <c r="S69" s="10">
        <f t="shared" si="39"/>
        <v>2401</v>
      </c>
      <c r="T69" s="10">
        <f t="shared" si="39"/>
        <v>2342</v>
      </c>
      <c r="U69" s="10">
        <f t="shared" si="39"/>
        <v>2054</v>
      </c>
      <c r="V69" s="10">
        <f>V55-V68</f>
        <v>2139</v>
      </c>
      <c r="W69" s="152">
        <f>W55-W68</f>
        <v>2523</v>
      </c>
      <c r="X69" s="15">
        <f>X55-X68</f>
        <v>3309</v>
      </c>
    </row>
    <row r="71" spans="2:24" s="1" customFormat="1" x14ac:dyDescent="0.25">
      <c r="C71" s="53"/>
      <c r="D71" s="53"/>
      <c r="E71" s="53"/>
      <c r="F71" s="53"/>
      <c r="G71" s="54"/>
      <c r="W71" s="156"/>
      <c r="X71" s="16"/>
    </row>
    <row r="89" spans="7:24" s="9" customFormat="1" x14ac:dyDescent="0.25">
      <c r="G89" s="41"/>
      <c r="W89" s="157"/>
      <c r="X89" s="41"/>
    </row>
    <row r="90" spans="7:24" s="1" customFormat="1" x14ac:dyDescent="0.25">
      <c r="G90" s="16"/>
      <c r="W90" s="156"/>
      <c r="X9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36" sqref="W36"/>
    </sheetView>
  </sheetViews>
  <sheetFormatPr defaultRowHeight="15" x14ac:dyDescent="0.25"/>
  <sheetData>
    <row r="1" spans="1:1" x14ac:dyDescent="0.25">
      <c r="A1" s="8" t="s">
        <v>38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M31" sqref="M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3" workbookViewId="0">
      <selection activeCell="V45" sqref="V4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38</v>
      </c>
      <c r="B1" t="s">
        <v>51</v>
      </c>
      <c r="C1" s="17" t="s">
        <v>52</v>
      </c>
    </row>
    <row r="2" spans="1:13" x14ac:dyDescent="0.25">
      <c r="B2" s="12">
        <v>45397</v>
      </c>
      <c r="C2" s="17">
        <v>290.51998900000001</v>
      </c>
      <c r="E2" t="s">
        <v>51</v>
      </c>
      <c r="F2" t="s">
        <v>53</v>
      </c>
      <c r="M2" t="s">
        <v>54</v>
      </c>
    </row>
    <row r="3" spans="1:13" x14ac:dyDescent="0.25">
      <c r="B3" s="12">
        <v>45390</v>
      </c>
      <c r="C3" s="17">
        <v>300.45001200000002</v>
      </c>
      <c r="E3" s="12">
        <v>45328</v>
      </c>
      <c r="F3" t="s">
        <v>56</v>
      </c>
      <c r="M3" s="12"/>
    </row>
    <row r="4" spans="1:13" x14ac:dyDescent="0.25">
      <c r="B4" s="12">
        <v>45383</v>
      </c>
      <c r="C4" s="17">
        <v>310.30999800000001</v>
      </c>
      <c r="E4" s="12">
        <v>45302</v>
      </c>
      <c r="F4" t="s">
        <v>56</v>
      </c>
      <c r="M4" s="12"/>
    </row>
    <row r="5" spans="1:13" x14ac:dyDescent="0.25">
      <c r="B5" s="12">
        <v>45376</v>
      </c>
      <c r="C5" s="17">
        <v>263.89999399999999</v>
      </c>
      <c r="M5" s="12"/>
    </row>
    <row r="6" spans="1:13" x14ac:dyDescent="0.25">
      <c r="B6" s="12">
        <v>45369</v>
      </c>
      <c r="C6" s="17">
        <v>264.95001200000002</v>
      </c>
      <c r="M6" s="12"/>
    </row>
    <row r="7" spans="1:13" x14ac:dyDescent="0.25">
      <c r="B7" s="12">
        <v>45362</v>
      </c>
      <c r="C7" s="17">
        <v>254.88999899999999</v>
      </c>
      <c r="M7" s="12"/>
    </row>
    <row r="8" spans="1:13" x14ac:dyDescent="0.25">
      <c r="B8" s="12">
        <v>45355</v>
      </c>
      <c r="C8" s="17">
        <v>259.39999399999999</v>
      </c>
      <c r="M8" s="12"/>
    </row>
    <row r="9" spans="1:13" x14ac:dyDescent="0.25">
      <c r="B9" s="12">
        <v>45348</v>
      </c>
      <c r="C9" s="17">
        <v>263.75</v>
      </c>
      <c r="M9" s="12"/>
    </row>
    <row r="10" spans="1:13" x14ac:dyDescent="0.25">
      <c r="B10" s="12">
        <v>45341</v>
      </c>
      <c r="C10" s="17">
        <v>256.10000600000001</v>
      </c>
      <c r="M10" s="12"/>
    </row>
    <row r="11" spans="1:13" x14ac:dyDescent="0.25">
      <c r="B11" s="12">
        <v>45334</v>
      </c>
      <c r="C11" s="17">
        <v>246.25</v>
      </c>
      <c r="M11" s="12"/>
    </row>
    <row r="12" spans="1:13" x14ac:dyDescent="0.25">
      <c r="B12" s="12">
        <v>45327</v>
      </c>
      <c r="C12" s="17">
        <v>240.770004</v>
      </c>
      <c r="M12" s="12"/>
    </row>
    <row r="13" spans="1:13" x14ac:dyDescent="0.25">
      <c r="B13" s="12">
        <v>45320</v>
      </c>
      <c r="C13" s="17">
        <v>222.470001</v>
      </c>
    </row>
    <row r="14" spans="1:13" x14ac:dyDescent="0.25">
      <c r="B14" s="12">
        <v>45313</v>
      </c>
      <c r="C14" s="17">
        <v>214.28999300000001</v>
      </c>
    </row>
    <row r="15" spans="1:13" x14ac:dyDescent="0.25">
      <c r="B15" s="12">
        <v>45306</v>
      </c>
      <c r="C15" s="17">
        <v>204.71000699999999</v>
      </c>
    </row>
    <row r="16" spans="1:13" x14ac:dyDescent="0.25">
      <c r="B16" s="12">
        <v>45299</v>
      </c>
      <c r="C16" s="17">
        <v>203.029999</v>
      </c>
    </row>
    <row r="17" spans="2:3" x14ac:dyDescent="0.25">
      <c r="B17" s="12">
        <v>45292</v>
      </c>
      <c r="C17" s="17">
        <v>193.520004</v>
      </c>
    </row>
    <row r="18" spans="2:3" x14ac:dyDescent="0.25">
      <c r="B18" s="12">
        <v>45285</v>
      </c>
      <c r="C18" s="17">
        <v>187.91000399999999</v>
      </c>
    </row>
    <row r="19" spans="2:3" x14ac:dyDescent="0.25">
      <c r="B19" s="12">
        <v>45278</v>
      </c>
      <c r="C19" s="17">
        <v>189.58999600000001</v>
      </c>
    </row>
    <row r="20" spans="2:3" x14ac:dyDescent="0.25">
      <c r="B20" s="12">
        <v>45271</v>
      </c>
      <c r="C20" s="17">
        <v>192.16999799999999</v>
      </c>
    </row>
    <row r="21" spans="2:3" x14ac:dyDescent="0.25">
      <c r="B21" s="12">
        <v>45264</v>
      </c>
      <c r="C21" s="17">
        <v>198.050003</v>
      </c>
    </row>
    <row r="22" spans="2:3" x14ac:dyDescent="0.25">
      <c r="B22" s="12">
        <v>45257</v>
      </c>
      <c r="C22" s="17">
        <v>180.69000199999999</v>
      </c>
    </row>
    <row r="23" spans="2:3" x14ac:dyDescent="0.25">
      <c r="B23" s="12">
        <v>45250</v>
      </c>
      <c r="C23" s="17">
        <v>181.699997</v>
      </c>
    </row>
    <row r="24" spans="2:3" x14ac:dyDescent="0.25">
      <c r="B24" s="12">
        <v>45243</v>
      </c>
      <c r="C24" s="17">
        <v>176.050003</v>
      </c>
    </row>
    <row r="25" spans="2:3" x14ac:dyDescent="0.25">
      <c r="B25" s="12">
        <v>45236</v>
      </c>
      <c r="C25" s="17">
        <v>170.979996</v>
      </c>
    </row>
    <row r="26" spans="2:3" x14ac:dyDescent="0.25">
      <c r="B26" s="12">
        <v>45229</v>
      </c>
      <c r="C26" s="17">
        <v>169.979996</v>
      </c>
    </row>
    <row r="27" spans="2:3" x14ac:dyDescent="0.25">
      <c r="B27" s="12">
        <v>45222</v>
      </c>
      <c r="C27" s="17">
        <v>159.35000600000001</v>
      </c>
    </row>
    <row r="28" spans="2:3" x14ac:dyDescent="0.25">
      <c r="B28" s="12">
        <v>45215</v>
      </c>
      <c r="C28" s="17">
        <v>149.91999799999999</v>
      </c>
    </row>
    <row r="29" spans="2:3" x14ac:dyDescent="0.25">
      <c r="B29" s="12">
        <v>45208</v>
      </c>
      <c r="C29" s="17">
        <v>153.55999800000001</v>
      </c>
    </row>
    <row r="30" spans="2:3" x14ac:dyDescent="0.25">
      <c r="B30" s="12">
        <v>45201</v>
      </c>
      <c r="C30" s="17">
        <v>160.529999</v>
      </c>
    </row>
    <row r="31" spans="2:3" x14ac:dyDescent="0.25">
      <c r="B31" s="12">
        <v>45194</v>
      </c>
      <c r="C31" s="17">
        <v>154.63999899999999</v>
      </c>
    </row>
    <row r="32" spans="2:3" x14ac:dyDescent="0.25">
      <c r="B32" s="12">
        <v>45187</v>
      </c>
      <c r="C32" s="17">
        <v>156.35000600000001</v>
      </c>
    </row>
    <row r="33" spans="2:3" x14ac:dyDescent="0.25">
      <c r="B33" s="12">
        <v>45180</v>
      </c>
      <c r="C33" s="17">
        <v>158.58000200000001</v>
      </c>
    </row>
    <row r="34" spans="2:3" x14ac:dyDescent="0.25">
      <c r="B34" s="12">
        <v>45173</v>
      </c>
      <c r="C34" s="17">
        <v>155.470001</v>
      </c>
    </row>
    <row r="35" spans="2:3" x14ac:dyDescent="0.25">
      <c r="B35" s="12">
        <v>45166</v>
      </c>
      <c r="C35" s="17">
        <v>157.55999800000001</v>
      </c>
    </row>
    <row r="36" spans="2:3" x14ac:dyDescent="0.25">
      <c r="B36" s="12">
        <v>45159</v>
      </c>
      <c r="C36" s="17">
        <v>137.220001</v>
      </c>
    </row>
    <row r="37" spans="2:3" x14ac:dyDescent="0.25">
      <c r="B37" s="12">
        <v>45152</v>
      </c>
      <c r="C37" s="17">
        <v>131.86999499999999</v>
      </c>
    </row>
    <row r="38" spans="2:3" x14ac:dyDescent="0.25">
      <c r="B38" s="12">
        <v>45145</v>
      </c>
      <c r="C38" s="17">
        <v>138.679993</v>
      </c>
    </row>
    <row r="39" spans="2:3" x14ac:dyDescent="0.25">
      <c r="B39" s="12">
        <v>45138</v>
      </c>
      <c r="C39" s="17">
        <v>144.11999499999999</v>
      </c>
    </row>
    <row r="40" spans="2:3" x14ac:dyDescent="0.25">
      <c r="B40" s="12">
        <v>45131</v>
      </c>
      <c r="C40" s="17">
        <v>148.60000600000001</v>
      </c>
    </row>
    <row r="41" spans="2:3" x14ac:dyDescent="0.25">
      <c r="B41" s="12">
        <v>45124</v>
      </c>
      <c r="C41" s="17">
        <v>171.71000699999999</v>
      </c>
    </row>
    <row r="42" spans="2:3" x14ac:dyDescent="0.25">
      <c r="B42" s="12">
        <v>45117</v>
      </c>
      <c r="C42" s="17">
        <v>172.029999</v>
      </c>
    </row>
    <row r="43" spans="2:3" x14ac:dyDescent="0.25">
      <c r="B43" s="12">
        <v>45110</v>
      </c>
      <c r="C43" s="17">
        <v>156.970001</v>
      </c>
    </row>
    <row r="44" spans="2:3" x14ac:dyDescent="0.25">
      <c r="B44" s="12">
        <v>45103</v>
      </c>
      <c r="C44" s="17">
        <v>160.550003</v>
      </c>
    </row>
    <row r="45" spans="2:3" x14ac:dyDescent="0.25">
      <c r="B45" s="12">
        <v>45096</v>
      </c>
      <c r="C45" s="17">
        <v>157.490005</v>
      </c>
    </row>
    <row r="46" spans="2:3" x14ac:dyDescent="0.25">
      <c r="B46" s="12">
        <v>45089</v>
      </c>
      <c r="C46" s="17">
        <v>159.990005</v>
      </c>
    </row>
    <row r="47" spans="2:3" x14ac:dyDescent="0.25">
      <c r="B47" s="12">
        <v>45082</v>
      </c>
      <c r="C47" s="17">
        <v>150.479996</v>
      </c>
    </row>
    <row r="48" spans="2:3" x14ac:dyDescent="0.25">
      <c r="B48" s="12">
        <v>45075</v>
      </c>
      <c r="C48" s="17">
        <v>151.740005</v>
      </c>
    </row>
    <row r="49" spans="2:3" x14ac:dyDescent="0.25">
      <c r="B49" s="12">
        <v>45068</v>
      </c>
      <c r="C49" s="17">
        <v>150.30999800000001</v>
      </c>
    </row>
    <row r="50" spans="2:3" x14ac:dyDescent="0.25">
      <c r="B50" s="12">
        <v>45061</v>
      </c>
      <c r="C50" s="17">
        <v>149.429993</v>
      </c>
    </row>
    <row r="51" spans="2:3" x14ac:dyDescent="0.25">
      <c r="B51" s="12">
        <v>45054</v>
      </c>
      <c r="C51" s="17">
        <v>142.529999</v>
      </c>
    </row>
    <row r="52" spans="2:3" x14ac:dyDescent="0.25">
      <c r="B52" s="12">
        <v>45047</v>
      </c>
      <c r="C52" s="17">
        <v>141.75</v>
      </c>
    </row>
    <row r="53" spans="2:3" x14ac:dyDescent="0.25">
      <c r="B53" s="12">
        <v>45040</v>
      </c>
      <c r="C53" s="17">
        <v>133.60000600000001</v>
      </c>
    </row>
    <row r="54" spans="2:3" x14ac:dyDescent="0.25">
      <c r="B54" s="12">
        <v>45033</v>
      </c>
      <c r="C54" s="17">
        <v>133.759995</v>
      </c>
    </row>
    <row r="55" spans="2:3" x14ac:dyDescent="0.25">
      <c r="B55" s="12">
        <v>45026</v>
      </c>
      <c r="C55" s="17">
        <v>134.740005</v>
      </c>
    </row>
    <row r="56" spans="2:3" x14ac:dyDescent="0.25">
      <c r="B56" s="12">
        <v>45019</v>
      </c>
      <c r="C56" s="17">
        <v>132.479996</v>
      </c>
    </row>
    <row r="57" spans="2:3" x14ac:dyDescent="0.25">
      <c r="B57" s="12">
        <v>45012</v>
      </c>
      <c r="C57" s="17">
        <v>133.61999499999999</v>
      </c>
    </row>
    <row r="58" spans="2:3" x14ac:dyDescent="0.25">
      <c r="B58" s="12">
        <v>45005</v>
      </c>
      <c r="C58" s="17">
        <v>128.300003</v>
      </c>
    </row>
    <row r="59" spans="2:3" x14ac:dyDescent="0.25">
      <c r="B59" s="12">
        <v>44998</v>
      </c>
      <c r="C59" s="17">
        <v>127.089996</v>
      </c>
    </row>
    <row r="60" spans="2:3" x14ac:dyDescent="0.25">
      <c r="B60" s="12">
        <v>44991</v>
      </c>
      <c r="C60" s="17">
        <v>121.660004</v>
      </c>
    </row>
    <row r="61" spans="2:3" x14ac:dyDescent="0.25">
      <c r="B61" s="12">
        <v>44984</v>
      </c>
      <c r="C61" s="17">
        <v>123.739998</v>
      </c>
    </row>
    <row r="62" spans="2:3" x14ac:dyDescent="0.25">
      <c r="B62" s="12">
        <v>44977</v>
      </c>
      <c r="C62" s="17">
        <v>117.139999</v>
      </c>
    </row>
    <row r="63" spans="2:3" x14ac:dyDescent="0.25">
      <c r="B63" s="12">
        <v>44970</v>
      </c>
      <c r="C63" s="17">
        <v>125.33000199999999</v>
      </c>
    </row>
    <row r="64" spans="2:3" x14ac:dyDescent="0.25">
      <c r="B64" s="12">
        <v>44963</v>
      </c>
      <c r="C64" s="17">
        <v>125.160004</v>
      </c>
    </row>
    <row r="65" spans="2:3" x14ac:dyDescent="0.25">
      <c r="B65" s="12">
        <v>44956</v>
      </c>
      <c r="C65" s="17">
        <v>121.16999800000001</v>
      </c>
    </row>
    <row r="66" spans="2:3" x14ac:dyDescent="0.25">
      <c r="B66" s="12">
        <v>44949</v>
      </c>
      <c r="C66" s="17">
        <v>102.239998</v>
      </c>
    </row>
    <row r="67" spans="2:3" x14ac:dyDescent="0.25">
      <c r="B67" s="12">
        <v>44942</v>
      </c>
      <c r="C67" s="17">
        <v>97.910004000000001</v>
      </c>
    </row>
    <row r="68" spans="2:3" x14ac:dyDescent="0.25">
      <c r="B68" s="12">
        <v>44935</v>
      </c>
      <c r="C68" s="17">
        <v>92.059997999999993</v>
      </c>
    </row>
    <row r="69" spans="2:3" x14ac:dyDescent="0.25">
      <c r="B69" s="12">
        <v>44928</v>
      </c>
      <c r="C69" s="17">
        <v>83.540001000000004</v>
      </c>
    </row>
    <row r="70" spans="2:3" x14ac:dyDescent="0.25">
      <c r="B70" s="12">
        <v>44921</v>
      </c>
      <c r="C70" s="17">
        <v>78.949996999999996</v>
      </c>
    </row>
    <row r="71" spans="2:3" x14ac:dyDescent="0.25">
      <c r="B71" s="12">
        <v>44914</v>
      </c>
      <c r="C71" s="17">
        <v>77.699996999999996</v>
      </c>
    </row>
    <row r="72" spans="2:3" x14ac:dyDescent="0.25">
      <c r="B72" s="12">
        <v>44907</v>
      </c>
      <c r="C72" s="17">
        <v>74.739998</v>
      </c>
    </row>
    <row r="73" spans="2:3" x14ac:dyDescent="0.25">
      <c r="B73" s="12">
        <v>44900</v>
      </c>
      <c r="C73" s="17">
        <v>78.169998000000007</v>
      </c>
    </row>
    <row r="74" spans="2:3" x14ac:dyDescent="0.25">
      <c r="B74" s="12">
        <v>44893</v>
      </c>
      <c r="C74" s="17">
        <v>80.309997999999993</v>
      </c>
    </row>
    <row r="75" spans="2:3" x14ac:dyDescent="0.25">
      <c r="B75" s="12">
        <v>44886</v>
      </c>
      <c r="C75" s="17">
        <v>78.730002999999996</v>
      </c>
    </row>
    <row r="76" spans="2:3" x14ac:dyDescent="0.25">
      <c r="B76" s="12">
        <v>44879</v>
      </c>
      <c r="C76" s="17">
        <v>76.989998</v>
      </c>
    </row>
    <row r="77" spans="2:3" x14ac:dyDescent="0.25">
      <c r="B77" s="12">
        <v>44872</v>
      </c>
      <c r="C77" s="17">
        <v>83.709998999999996</v>
      </c>
    </row>
    <row r="78" spans="2:3" x14ac:dyDescent="0.25">
      <c r="B78" s="12">
        <v>44865</v>
      </c>
      <c r="C78" s="17">
        <v>71.050003000000004</v>
      </c>
    </row>
    <row r="79" spans="2:3" x14ac:dyDescent="0.25">
      <c r="B79" s="12">
        <v>44858</v>
      </c>
      <c r="C79" s="17">
        <v>83.360000999999997</v>
      </c>
    </row>
    <row r="80" spans="2:3" x14ac:dyDescent="0.25">
      <c r="B80" s="12">
        <v>44851</v>
      </c>
      <c r="C80" s="17">
        <v>88.699996999999996</v>
      </c>
    </row>
    <row r="81" spans="2:3" x14ac:dyDescent="0.25">
      <c r="B81" s="12">
        <v>44844</v>
      </c>
      <c r="C81" s="17">
        <v>81.790001000000004</v>
      </c>
    </row>
    <row r="82" spans="2:3" x14ac:dyDescent="0.25">
      <c r="B82" s="12">
        <v>44837</v>
      </c>
      <c r="C82" s="17">
        <v>88.010002</v>
      </c>
    </row>
    <row r="83" spans="2:3" x14ac:dyDescent="0.25">
      <c r="B83" s="12">
        <v>44830</v>
      </c>
      <c r="C83" s="17">
        <v>86.300003000000004</v>
      </c>
    </row>
    <row r="84" spans="2:3" x14ac:dyDescent="0.25">
      <c r="B84" s="12">
        <v>44823</v>
      </c>
      <c r="C84" s="17">
        <v>89.339995999999999</v>
      </c>
    </row>
    <row r="85" spans="2:3" x14ac:dyDescent="0.25">
      <c r="B85" s="12">
        <v>44816</v>
      </c>
      <c r="C85" s="17">
        <v>100.339996</v>
      </c>
    </row>
    <row r="86" spans="2:3" x14ac:dyDescent="0.25">
      <c r="B86" s="12">
        <v>44809</v>
      </c>
      <c r="C86" s="17">
        <v>110.279999</v>
      </c>
    </row>
    <row r="87" spans="2:3" x14ac:dyDescent="0.25">
      <c r="B87" s="12">
        <v>44802</v>
      </c>
      <c r="C87" s="17">
        <v>104.41999800000001</v>
      </c>
    </row>
    <row r="88" spans="2:3" x14ac:dyDescent="0.25">
      <c r="B88" s="12">
        <v>44795</v>
      </c>
      <c r="C88" s="17">
        <v>109.30999799999999</v>
      </c>
    </row>
    <row r="89" spans="2:3" x14ac:dyDescent="0.25">
      <c r="B89" s="12">
        <v>44788</v>
      </c>
      <c r="C89" s="17">
        <v>111.43</v>
      </c>
    </row>
    <row r="90" spans="2:3" x14ac:dyDescent="0.25">
      <c r="B90" s="12">
        <v>44781</v>
      </c>
      <c r="C90" s="17">
        <v>123.629997</v>
      </c>
    </row>
    <row r="91" spans="2:3" x14ac:dyDescent="0.25">
      <c r="B91" s="12">
        <v>44774</v>
      </c>
      <c r="C91" s="17">
        <v>118.730003</v>
      </c>
    </row>
    <row r="92" spans="2:3" x14ac:dyDescent="0.25">
      <c r="B92" s="12">
        <v>44767</v>
      </c>
      <c r="C92" s="17">
        <v>113.019997</v>
      </c>
    </row>
    <row r="93" spans="2:3" x14ac:dyDescent="0.25">
      <c r="B93" s="12">
        <v>44760</v>
      </c>
      <c r="C93" s="17">
        <v>111.650002</v>
      </c>
    </row>
    <row r="94" spans="2:3" x14ac:dyDescent="0.25">
      <c r="B94" s="12">
        <v>44753</v>
      </c>
      <c r="C94" s="17">
        <v>102.33000199999999</v>
      </c>
    </row>
    <row r="95" spans="2:3" x14ac:dyDescent="0.25">
      <c r="B95" s="12">
        <v>44746</v>
      </c>
      <c r="C95" s="17">
        <v>104.239998</v>
      </c>
    </row>
    <row r="96" spans="2:3" x14ac:dyDescent="0.25">
      <c r="B96" s="12">
        <v>44739</v>
      </c>
      <c r="C96" s="17">
        <v>97.519997000000004</v>
      </c>
    </row>
    <row r="97" spans="2:3" x14ac:dyDescent="0.25">
      <c r="B97" s="12">
        <v>44732</v>
      </c>
      <c r="C97" s="17">
        <v>107</v>
      </c>
    </row>
    <row r="98" spans="2:3" x14ac:dyDescent="0.25">
      <c r="B98" s="12">
        <v>44725</v>
      </c>
      <c r="C98" s="17">
        <v>99.269997000000004</v>
      </c>
    </row>
    <row r="99" spans="2:3" x14ac:dyDescent="0.25">
      <c r="B99" s="12">
        <v>44718</v>
      </c>
      <c r="C99" s="17">
        <v>102.230003</v>
      </c>
    </row>
    <row r="100" spans="2:3" x14ac:dyDescent="0.25">
      <c r="B100" s="12">
        <v>44711</v>
      </c>
      <c r="C100" s="17">
        <v>112.230003</v>
      </c>
    </row>
    <row r="101" spans="2:3" x14ac:dyDescent="0.25">
      <c r="B101" s="12">
        <v>44704</v>
      </c>
      <c r="C101" s="17">
        <v>112.970001</v>
      </c>
    </row>
    <row r="102" spans="2:3" x14ac:dyDescent="0.25">
      <c r="B102" s="12">
        <v>44697</v>
      </c>
      <c r="C102" s="17">
        <v>107.269997</v>
      </c>
    </row>
    <row r="103" spans="2:3" x14ac:dyDescent="0.25">
      <c r="B103" s="12">
        <v>44690</v>
      </c>
      <c r="C103" s="17">
        <v>106.089996</v>
      </c>
    </row>
    <row r="104" spans="2:3" x14ac:dyDescent="0.25">
      <c r="B104" s="12">
        <v>44683</v>
      </c>
      <c r="C104" s="17">
        <v>104.68</v>
      </c>
    </row>
    <row r="105" spans="2:3" x14ac:dyDescent="0.25">
      <c r="B105" s="12">
        <v>44676</v>
      </c>
      <c r="C105" s="17">
        <v>101.650002</v>
      </c>
    </row>
    <row r="106" spans="2:3" x14ac:dyDescent="0.25">
      <c r="B106" s="12">
        <v>44669</v>
      </c>
      <c r="C106" s="17">
        <v>110.209999</v>
      </c>
    </row>
    <row r="107" spans="2:3" x14ac:dyDescent="0.25">
      <c r="B107" s="12">
        <v>44662</v>
      </c>
      <c r="C107" s="17">
        <v>136.270004</v>
      </c>
    </row>
    <row r="108" spans="2:3" x14ac:dyDescent="0.25">
      <c r="B108" s="12">
        <v>44655</v>
      </c>
      <c r="C108" s="17">
        <v>141.279999</v>
      </c>
    </row>
    <row r="109" spans="2:3" x14ac:dyDescent="0.25">
      <c r="B109" s="12">
        <v>44648</v>
      </c>
      <c r="C109" s="17">
        <v>153.699997</v>
      </c>
    </row>
    <row r="110" spans="2:3" x14ac:dyDescent="0.25">
      <c r="B110" s="12">
        <v>44641</v>
      </c>
      <c r="C110" s="17">
        <v>146.03999300000001</v>
      </c>
    </row>
    <row r="111" spans="2:3" x14ac:dyDescent="0.25">
      <c r="B111" s="12">
        <v>44634</v>
      </c>
      <c r="C111" s="17">
        <v>144.779999</v>
      </c>
    </row>
    <row r="112" spans="2:3" x14ac:dyDescent="0.25">
      <c r="B112" s="12">
        <v>44627</v>
      </c>
      <c r="C112" s="17">
        <v>124.290001</v>
      </c>
    </row>
    <row r="113" spans="2:3" x14ac:dyDescent="0.25">
      <c r="B113" s="12">
        <v>44620</v>
      </c>
      <c r="C113" s="17">
        <v>135.16999799999999</v>
      </c>
    </row>
    <row r="114" spans="2:3" x14ac:dyDescent="0.25">
      <c r="B114" s="12">
        <v>44613</v>
      </c>
      <c r="C114" s="17">
        <v>151.91000399999999</v>
      </c>
    </row>
    <row r="115" spans="2:3" x14ac:dyDescent="0.25">
      <c r="B115" s="12">
        <v>44606</v>
      </c>
      <c r="C115" s="17">
        <v>152.270004</v>
      </c>
    </row>
    <row r="116" spans="2:3" x14ac:dyDescent="0.25">
      <c r="B116" s="12">
        <v>44599</v>
      </c>
      <c r="C116" s="17">
        <v>161.929993</v>
      </c>
    </row>
    <row r="117" spans="2:3" x14ac:dyDescent="0.25">
      <c r="B117" s="12">
        <v>44592</v>
      </c>
      <c r="C117" s="17">
        <v>174.429993</v>
      </c>
    </row>
    <row r="118" spans="2:3" x14ac:dyDescent="0.25">
      <c r="B118" s="12">
        <v>44585</v>
      </c>
      <c r="C118" s="17">
        <v>172.979996</v>
      </c>
    </row>
    <row r="119" spans="2:3" x14ac:dyDescent="0.25">
      <c r="B119" s="12">
        <v>44578</v>
      </c>
      <c r="C119" s="17">
        <v>195.529999</v>
      </c>
    </row>
    <row r="120" spans="2:3" x14ac:dyDescent="0.25">
      <c r="B120" s="12">
        <v>44571</v>
      </c>
      <c r="C120" s="17">
        <v>218.55999800000001</v>
      </c>
    </row>
    <row r="121" spans="2:3" x14ac:dyDescent="0.25">
      <c r="B121" s="12">
        <v>44564</v>
      </c>
      <c r="C121" s="17">
        <v>223.58000200000001</v>
      </c>
    </row>
    <row r="122" spans="2:3" x14ac:dyDescent="0.25">
      <c r="B122" s="12">
        <v>44557</v>
      </c>
      <c r="C122" s="17">
        <v>234.029999</v>
      </c>
    </row>
    <row r="123" spans="2:3" x14ac:dyDescent="0.25">
      <c r="B123" s="12">
        <v>44550</v>
      </c>
      <c r="C123" s="17">
        <v>236.63000500000001</v>
      </c>
    </row>
    <row r="124" spans="2:3" x14ac:dyDescent="0.25">
      <c r="B124" s="12">
        <v>44543</v>
      </c>
      <c r="C124" s="17">
        <v>235.279999</v>
      </c>
    </row>
    <row r="125" spans="2:3" x14ac:dyDescent="0.25">
      <c r="B125" s="12">
        <v>44536</v>
      </c>
      <c r="C125" s="17">
        <v>233.259995</v>
      </c>
    </row>
    <row r="126" spans="2:3" x14ac:dyDescent="0.25">
      <c r="B126" s="12">
        <v>44529</v>
      </c>
      <c r="C126" s="17">
        <v>228.800003</v>
      </c>
    </row>
    <row r="127" spans="2:3" x14ac:dyDescent="0.25">
      <c r="B127" s="12">
        <v>44522</v>
      </c>
      <c r="C127" s="17">
        <v>250.88999899999999</v>
      </c>
    </row>
    <row r="128" spans="2:3" x14ac:dyDescent="0.25">
      <c r="B128" s="12">
        <v>44515</v>
      </c>
      <c r="C128" s="17">
        <v>259.54998799999998</v>
      </c>
    </row>
    <row r="129" spans="2:3" x14ac:dyDescent="0.25">
      <c r="B129" s="12">
        <v>44508</v>
      </c>
      <c r="C129" s="17">
        <v>280.55999800000001</v>
      </c>
    </row>
    <row r="130" spans="2:3" x14ac:dyDescent="0.25">
      <c r="B130" s="12">
        <v>44501</v>
      </c>
      <c r="C130" s="17">
        <v>289.04998799999998</v>
      </c>
    </row>
    <row r="131" spans="2:3" x14ac:dyDescent="0.25">
      <c r="B131" s="12">
        <v>44494</v>
      </c>
      <c r="C131" s="17">
        <v>289.39999399999999</v>
      </c>
    </row>
    <row r="132" spans="2:3" x14ac:dyDescent="0.25">
      <c r="B132" s="12">
        <v>44487</v>
      </c>
      <c r="C132" s="17">
        <v>252.96000699999999</v>
      </c>
    </row>
    <row r="133" spans="2:3" x14ac:dyDescent="0.25">
      <c r="B133" s="12">
        <v>44480</v>
      </c>
      <c r="C133" s="17">
        <v>247.39999399999999</v>
      </c>
    </row>
    <row r="134" spans="2:3" x14ac:dyDescent="0.25">
      <c r="B134" s="12">
        <v>44473</v>
      </c>
      <c r="C134" s="17">
        <v>232.88000500000001</v>
      </c>
    </row>
    <row r="135" spans="2:3" x14ac:dyDescent="0.25">
      <c r="B135" s="12">
        <v>44466</v>
      </c>
      <c r="C135" s="17">
        <v>229.33000200000001</v>
      </c>
    </row>
    <row r="136" spans="2:3" x14ac:dyDescent="0.25">
      <c r="B136" s="12">
        <v>44459</v>
      </c>
      <c r="C136" s="17">
        <v>230.199997</v>
      </c>
    </row>
    <row r="137" spans="2:3" x14ac:dyDescent="0.25">
      <c r="B137" s="12">
        <v>44452</v>
      </c>
      <c r="C137" s="17">
        <v>248.10000600000001</v>
      </c>
    </row>
    <row r="138" spans="2:3" x14ac:dyDescent="0.25">
      <c r="B138" s="12">
        <v>44445</v>
      </c>
      <c r="C138" s="17">
        <v>247.759995</v>
      </c>
    </row>
    <row r="139" spans="2:3" x14ac:dyDescent="0.25">
      <c r="B139" s="12">
        <v>44438</v>
      </c>
      <c r="C139" s="17">
        <v>249.03999300000001</v>
      </c>
    </row>
    <row r="140" spans="2:3" x14ac:dyDescent="0.25">
      <c r="B140" s="12">
        <v>44431</v>
      </c>
      <c r="C140" s="17">
        <v>226.020004</v>
      </c>
    </row>
    <row r="141" spans="2:3" x14ac:dyDescent="0.25">
      <c r="B141" s="12">
        <v>44424</v>
      </c>
      <c r="C141" s="17">
        <v>216.63999899999999</v>
      </c>
    </row>
    <row r="142" spans="2:3" x14ac:dyDescent="0.25">
      <c r="B142" s="12">
        <v>44417</v>
      </c>
      <c r="C142" s="17">
        <v>211.479996</v>
      </c>
    </row>
    <row r="143" spans="2:3" x14ac:dyDescent="0.25">
      <c r="B143" s="12">
        <v>44410</v>
      </c>
      <c r="C143" s="17">
        <v>221.970001</v>
      </c>
    </row>
    <row r="144" spans="2:3" x14ac:dyDescent="0.25">
      <c r="B144" s="12">
        <v>44403</v>
      </c>
      <c r="C144" s="17">
        <v>228.66999799999999</v>
      </c>
    </row>
    <row r="145" spans="2:3" x14ac:dyDescent="0.25">
      <c r="B145" s="12">
        <v>44396</v>
      </c>
      <c r="C145" s="17">
        <v>243.63999899999999</v>
      </c>
    </row>
    <row r="146" spans="2:3" x14ac:dyDescent="0.25">
      <c r="B146" s="12">
        <v>44389</v>
      </c>
      <c r="C146" s="17">
        <v>243.240005</v>
      </c>
    </row>
    <row r="147" spans="2:3" x14ac:dyDescent="0.25">
      <c r="B147" s="12">
        <v>44382</v>
      </c>
      <c r="C147" s="17">
        <v>262.82998700000002</v>
      </c>
    </row>
    <row r="148" spans="2:3" x14ac:dyDescent="0.25">
      <c r="B148" s="12">
        <v>44375</v>
      </c>
      <c r="C148" s="17">
        <v>267.82998700000002</v>
      </c>
    </row>
    <row r="149" spans="2:3" x14ac:dyDescent="0.25">
      <c r="B149" s="12">
        <v>44368</v>
      </c>
      <c r="C149" s="17">
        <v>266.38000499999998</v>
      </c>
    </row>
    <row r="150" spans="2:3" x14ac:dyDescent="0.25">
      <c r="B150" s="12">
        <v>44361</v>
      </c>
      <c r="C150" s="17">
        <v>247.63999899999999</v>
      </c>
    </row>
    <row r="151" spans="2:3" x14ac:dyDescent="0.25">
      <c r="B151" s="12">
        <v>44354</v>
      </c>
      <c r="C151" s="17">
        <v>243.66000399999999</v>
      </c>
    </row>
    <row r="152" spans="2:3" x14ac:dyDescent="0.25">
      <c r="B152" s="12">
        <v>44347</v>
      </c>
      <c r="C152" s="17">
        <v>236.16999799999999</v>
      </c>
    </row>
    <row r="153" spans="2:3" x14ac:dyDescent="0.25">
      <c r="B153" s="12">
        <v>44340</v>
      </c>
      <c r="C153" s="17">
        <v>241.570007</v>
      </c>
    </row>
    <row r="154" spans="2:3" x14ac:dyDescent="0.25">
      <c r="B154" s="12">
        <v>44333</v>
      </c>
      <c r="C154" s="17">
        <v>229.13999899999999</v>
      </c>
    </row>
    <row r="155" spans="2:3" x14ac:dyDescent="0.25">
      <c r="B155" s="12">
        <v>44326</v>
      </c>
      <c r="C155" s="17">
        <v>223.58999600000001</v>
      </c>
    </row>
    <row r="156" spans="2:3" x14ac:dyDescent="0.25">
      <c r="B156" s="12">
        <v>44319</v>
      </c>
      <c r="C156" s="17">
        <v>239.41000399999999</v>
      </c>
    </row>
    <row r="157" spans="2:3" x14ac:dyDescent="0.25">
      <c r="B157" s="12">
        <v>44312</v>
      </c>
      <c r="C157" s="17">
        <v>252.11999499999999</v>
      </c>
    </row>
    <row r="158" spans="2:3" x14ac:dyDescent="0.25">
      <c r="B158" s="12">
        <v>44305</v>
      </c>
      <c r="C158" s="17">
        <v>284.10998499999999</v>
      </c>
    </row>
    <row r="159" spans="2:3" x14ac:dyDescent="0.25">
      <c r="B159" s="12">
        <v>44298</v>
      </c>
      <c r="C159" s="17">
        <v>292.01998900000001</v>
      </c>
    </row>
    <row r="160" spans="2:3" x14ac:dyDescent="0.25">
      <c r="B160" s="12">
        <v>44291</v>
      </c>
      <c r="C160" s="17">
        <v>279.20001200000002</v>
      </c>
    </row>
    <row r="161" spans="2:3" x14ac:dyDescent="0.25">
      <c r="B161" s="12">
        <v>44284</v>
      </c>
      <c r="C161" s="17">
        <v>273.10000600000001</v>
      </c>
    </row>
    <row r="162" spans="2:3" x14ac:dyDescent="0.25">
      <c r="B162" s="12">
        <v>44277</v>
      </c>
      <c r="C162" s="17">
        <v>261.30999800000001</v>
      </c>
    </row>
    <row r="163" spans="2:3" x14ac:dyDescent="0.25">
      <c r="B163" s="12">
        <v>44270</v>
      </c>
      <c r="C163" s="17">
        <v>272.10998499999999</v>
      </c>
    </row>
    <row r="164" spans="2:3" x14ac:dyDescent="0.25">
      <c r="B164" s="12">
        <v>44263</v>
      </c>
      <c r="C164" s="17">
        <v>279.89001500000001</v>
      </c>
    </row>
    <row r="165" spans="2:3" x14ac:dyDescent="0.25">
      <c r="B165" s="12">
        <v>44256</v>
      </c>
      <c r="C165" s="17">
        <v>274.98001099999999</v>
      </c>
    </row>
    <row r="166" spans="2:3" x14ac:dyDescent="0.25">
      <c r="B166" s="12">
        <v>44249</v>
      </c>
      <c r="C166" s="17">
        <v>307.38000499999998</v>
      </c>
    </row>
    <row r="167" spans="2:3" x14ac:dyDescent="0.25">
      <c r="B167" s="12">
        <v>44242</v>
      </c>
      <c r="C167" s="17">
        <v>364.58999599999999</v>
      </c>
    </row>
    <row r="168" spans="2:3" x14ac:dyDescent="0.25">
      <c r="B168" s="12">
        <v>44235</v>
      </c>
      <c r="C168" s="17">
        <v>339.70001200000002</v>
      </c>
    </row>
    <row r="169" spans="2:3" x14ac:dyDescent="0.25">
      <c r="B169" s="12">
        <v>44228</v>
      </c>
      <c r="C169" s="17">
        <v>310.76998900000001</v>
      </c>
    </row>
    <row r="170" spans="2:3" x14ac:dyDescent="0.25">
      <c r="B170" s="12">
        <v>44221</v>
      </c>
      <c r="C170" s="17">
        <v>315</v>
      </c>
    </row>
    <row r="171" spans="2:3" x14ac:dyDescent="0.25">
      <c r="B171" s="12">
        <v>44214</v>
      </c>
      <c r="C171" s="17">
        <v>338.959991</v>
      </c>
    </row>
    <row r="172" spans="2:3" x14ac:dyDescent="0.25">
      <c r="B172" s="12">
        <v>44207</v>
      </c>
      <c r="C172" s="17">
        <v>319.82000699999998</v>
      </c>
    </row>
    <row r="173" spans="2:3" x14ac:dyDescent="0.25">
      <c r="B173" s="12">
        <v>44200</v>
      </c>
      <c r="C173" s="17">
        <v>353.10998499999999</v>
      </c>
    </row>
    <row r="174" spans="2:3" x14ac:dyDescent="0.25">
      <c r="B174" s="12">
        <v>44193</v>
      </c>
      <c r="C174" s="17">
        <v>314.66000400000001</v>
      </c>
    </row>
    <row r="175" spans="2:3" x14ac:dyDescent="0.25">
      <c r="B175" s="12">
        <v>44186</v>
      </c>
      <c r="C175" s="17">
        <v>328.39001500000001</v>
      </c>
    </row>
    <row r="176" spans="2:3" x14ac:dyDescent="0.25">
      <c r="B176" s="12">
        <v>44179</v>
      </c>
      <c r="C176" s="17">
        <v>336.10000600000001</v>
      </c>
    </row>
    <row r="177" spans="2:3" x14ac:dyDescent="0.25">
      <c r="B177" s="12">
        <v>44172</v>
      </c>
      <c r="C177" s="17">
        <v>341.22000100000002</v>
      </c>
    </row>
    <row r="178" spans="2:3" x14ac:dyDescent="0.25">
      <c r="B178" s="12">
        <v>44165</v>
      </c>
      <c r="C178" s="17">
        <v>319.76998900000001</v>
      </c>
    </row>
    <row r="179" spans="2:3" x14ac:dyDescent="0.25">
      <c r="B179" s="12">
        <v>44158</v>
      </c>
      <c r="C179" s="17">
        <v>277.61999500000002</v>
      </c>
    </row>
    <row r="180" spans="2:3" x14ac:dyDescent="0.25">
      <c r="B180" s="12">
        <v>44151</v>
      </c>
      <c r="C180" s="17">
        <v>260</v>
      </c>
    </row>
    <row r="181" spans="2:3" x14ac:dyDescent="0.25">
      <c r="B181" s="12">
        <v>44144</v>
      </c>
      <c r="C181" s="17">
        <v>253.5</v>
      </c>
    </row>
    <row r="182" spans="2:3" x14ac:dyDescent="0.25">
      <c r="B182" s="12">
        <v>44137</v>
      </c>
      <c r="C182" s="17">
        <v>276.10000600000001</v>
      </c>
    </row>
    <row r="183" spans="2:3" x14ac:dyDescent="0.25">
      <c r="B183" s="12">
        <v>44130</v>
      </c>
      <c r="C183" s="17">
        <v>239.88999899999999</v>
      </c>
    </row>
    <row r="184" spans="2:3" x14ac:dyDescent="0.25">
      <c r="B184" s="12">
        <v>44123</v>
      </c>
      <c r="C184" s="17">
        <v>283.48998999999998</v>
      </c>
    </row>
    <row r="185" spans="2:3" x14ac:dyDescent="0.25">
      <c r="B185" s="12">
        <v>44116</v>
      </c>
      <c r="C185" s="17">
        <v>262.54998799999998</v>
      </c>
    </row>
    <row r="186" spans="2:3" x14ac:dyDescent="0.25">
      <c r="B186" s="12">
        <v>44109</v>
      </c>
      <c r="C186" s="17">
        <v>250</v>
      </c>
    </row>
    <row r="187" spans="2:3" x14ac:dyDescent="0.25">
      <c r="B187" s="12">
        <v>44102</v>
      </c>
      <c r="C187" s="17">
        <v>240.279999</v>
      </c>
    </row>
    <row r="188" spans="2:3" x14ac:dyDescent="0.25">
      <c r="B188" s="12">
        <v>44095</v>
      </c>
      <c r="C188" s="17">
        <v>235.979996</v>
      </c>
    </row>
    <row r="189" spans="2:3" x14ac:dyDescent="0.25">
      <c r="B189" s="12">
        <v>44088</v>
      </c>
      <c r="C189" s="17">
        <v>233.88999899999999</v>
      </c>
    </row>
    <row r="190" spans="2:3" x14ac:dyDescent="0.25">
      <c r="B190" s="12">
        <v>44081</v>
      </c>
      <c r="C190" s="17">
        <v>241.60000600000001</v>
      </c>
    </row>
    <row r="191" spans="2:3" x14ac:dyDescent="0.25">
      <c r="B191" s="12">
        <v>44074</v>
      </c>
      <c r="C191" s="17">
        <v>248.21000699999999</v>
      </c>
    </row>
    <row r="192" spans="2:3" x14ac:dyDescent="0.25">
      <c r="B192" s="12">
        <v>44067</v>
      </c>
      <c r="C192" s="17">
        <v>279.35998499999999</v>
      </c>
    </row>
    <row r="193" spans="2:3" x14ac:dyDescent="0.25">
      <c r="B193" s="12">
        <v>44060</v>
      </c>
      <c r="C193" s="17">
        <v>270.98001099999999</v>
      </c>
    </row>
    <row r="194" spans="2:3" x14ac:dyDescent="0.25">
      <c r="B194" s="12">
        <v>44053</v>
      </c>
      <c r="C194" s="17">
        <v>251.320007</v>
      </c>
    </row>
    <row r="195" spans="2:3" x14ac:dyDescent="0.25">
      <c r="B195" s="12">
        <v>44046</v>
      </c>
      <c r="C195" s="17">
        <v>252.11999499999999</v>
      </c>
    </row>
    <row r="196" spans="2:3" x14ac:dyDescent="0.25">
      <c r="B196" s="12">
        <v>44039</v>
      </c>
      <c r="C196" s="17">
        <v>257.82000699999998</v>
      </c>
    </row>
    <row r="197" spans="2:3" x14ac:dyDescent="0.25">
      <c r="B197" s="12">
        <v>44032</v>
      </c>
      <c r="C197" s="17">
        <v>268.73998999999998</v>
      </c>
    </row>
    <row r="198" spans="2:3" x14ac:dyDescent="0.25">
      <c r="B198" s="12">
        <v>44025</v>
      </c>
      <c r="C198" s="17">
        <v>263.23001099999999</v>
      </c>
    </row>
    <row r="199" spans="2:3" x14ac:dyDescent="0.25">
      <c r="B199" s="12">
        <v>44018</v>
      </c>
      <c r="C199" s="17">
        <v>278.23998999999998</v>
      </c>
    </row>
    <row r="200" spans="2:3" x14ac:dyDescent="0.25">
      <c r="B200" s="12">
        <v>44011</v>
      </c>
      <c r="C200" s="17">
        <v>271.48998999999998</v>
      </c>
    </row>
    <row r="201" spans="2:3" x14ac:dyDescent="0.25">
      <c r="B201" s="12">
        <v>44004</v>
      </c>
      <c r="C201" s="17">
        <v>264.95001200000002</v>
      </c>
    </row>
    <row r="202" spans="2:3" x14ac:dyDescent="0.25">
      <c r="B202" s="12">
        <v>43997</v>
      </c>
      <c r="C202" s="17">
        <v>231.28999300000001</v>
      </c>
    </row>
    <row r="203" spans="2:3" x14ac:dyDescent="0.25">
      <c r="B203" s="12">
        <v>43990</v>
      </c>
      <c r="C203" s="17">
        <v>180.070007</v>
      </c>
    </row>
    <row r="204" spans="2:3" x14ac:dyDescent="0.25">
      <c r="B204" s="12">
        <v>43983</v>
      </c>
      <c r="C204" s="17">
        <v>184.279999</v>
      </c>
    </row>
    <row r="205" spans="2:3" x14ac:dyDescent="0.25">
      <c r="B205" s="12">
        <v>43976</v>
      </c>
      <c r="C205" s="17">
        <v>180.929993</v>
      </c>
    </row>
    <row r="206" spans="2:3" x14ac:dyDescent="0.25">
      <c r="B206" s="12">
        <v>43969</v>
      </c>
      <c r="C206" s="17">
        <v>190.16999799999999</v>
      </c>
    </row>
    <row r="207" spans="2:3" x14ac:dyDescent="0.25">
      <c r="B207" s="12">
        <v>43962</v>
      </c>
      <c r="C207" s="17">
        <v>158.83000200000001</v>
      </c>
    </row>
    <row r="208" spans="2:3" x14ac:dyDescent="0.25">
      <c r="B208" s="12">
        <v>43955</v>
      </c>
      <c r="C208" s="17">
        <v>152.14999399999999</v>
      </c>
    </row>
    <row r="209" spans="2:3" x14ac:dyDescent="0.25">
      <c r="B209" s="12">
        <v>43948</v>
      </c>
      <c r="C209" s="17">
        <v>144.83999600000001</v>
      </c>
    </row>
    <row r="210" spans="2:3" x14ac:dyDescent="0.25">
      <c r="B210" s="12">
        <v>43941</v>
      </c>
      <c r="C210" s="17">
        <v>137.83999600000001</v>
      </c>
    </row>
    <row r="211" spans="2:3" x14ac:dyDescent="0.25">
      <c r="B211" s="12">
        <v>43934</v>
      </c>
      <c r="C211" s="17">
        <v>141.86000100000001</v>
      </c>
    </row>
    <row r="212" spans="2:3" x14ac:dyDescent="0.25">
      <c r="B212" s="12">
        <v>43927</v>
      </c>
      <c r="C212" s="17">
        <v>131.86000100000001</v>
      </c>
    </row>
    <row r="213" spans="2:3" x14ac:dyDescent="0.25">
      <c r="B213" s="12">
        <v>43920</v>
      </c>
      <c r="C213" s="17">
        <v>122.120003</v>
      </c>
    </row>
    <row r="214" spans="2:3" x14ac:dyDescent="0.25">
      <c r="B214" s="12">
        <v>43913</v>
      </c>
      <c r="C214" s="17">
        <v>122.540001</v>
      </c>
    </row>
    <row r="215" spans="2:3" x14ac:dyDescent="0.25">
      <c r="B215" s="12">
        <v>43906</v>
      </c>
      <c r="C215" s="17">
        <v>124.360001</v>
      </c>
    </row>
    <row r="216" spans="2:3" x14ac:dyDescent="0.25">
      <c r="B216" s="12">
        <v>43899</v>
      </c>
      <c r="C216" s="17">
        <v>131.55999800000001</v>
      </c>
    </row>
    <row r="217" spans="2:3" x14ac:dyDescent="0.25">
      <c r="B217" s="12">
        <v>43892</v>
      </c>
      <c r="C217" s="17">
        <v>145.13999899999999</v>
      </c>
    </row>
    <row r="218" spans="2:3" x14ac:dyDescent="0.25">
      <c r="B218" s="12">
        <v>43885</v>
      </c>
      <c r="C218" s="17">
        <v>137.11999499999999</v>
      </c>
    </row>
    <row r="219" spans="2:3" x14ac:dyDescent="0.25">
      <c r="B219" s="12">
        <v>43878</v>
      </c>
      <c r="C219" s="17">
        <v>146.949997</v>
      </c>
    </row>
    <row r="220" spans="2:3" x14ac:dyDescent="0.25">
      <c r="B220" s="12">
        <v>43871</v>
      </c>
      <c r="C220" s="17">
        <v>141</v>
      </c>
    </row>
    <row r="221" spans="2:3" x14ac:dyDescent="0.25">
      <c r="B221" s="12">
        <v>43864</v>
      </c>
      <c r="C221" s="17">
        <v>154.550003</v>
      </c>
    </row>
    <row r="222" spans="2:3" x14ac:dyDescent="0.25">
      <c r="B222" s="12">
        <v>43857</v>
      </c>
      <c r="C222" s="17">
        <v>141.300003</v>
      </c>
    </row>
    <row r="223" spans="2:3" x14ac:dyDescent="0.25">
      <c r="B223" s="12">
        <v>43850</v>
      </c>
      <c r="C223" s="17">
        <v>146.63000500000001</v>
      </c>
    </row>
    <row r="224" spans="2:3" x14ac:dyDescent="0.25">
      <c r="B224" s="12">
        <v>43843</v>
      </c>
      <c r="C224" s="17">
        <v>148.33999600000001</v>
      </c>
    </row>
    <row r="225" spans="2:3" x14ac:dyDescent="0.25">
      <c r="B225" s="12">
        <v>43836</v>
      </c>
      <c r="C225" s="17">
        <v>156.03999300000001</v>
      </c>
    </row>
    <row r="226" spans="2:3" x14ac:dyDescent="0.25">
      <c r="B226" s="12">
        <v>43829</v>
      </c>
      <c r="C226" s="17">
        <v>152.5</v>
      </c>
    </row>
    <row r="227" spans="2:3" x14ac:dyDescent="0.25">
      <c r="B227" s="12">
        <v>43822</v>
      </c>
      <c r="C227" s="17">
        <v>153.16999799999999</v>
      </c>
    </row>
    <row r="228" spans="2:3" x14ac:dyDescent="0.25">
      <c r="B228" s="12">
        <v>43815</v>
      </c>
      <c r="C228" s="17">
        <v>150.30999800000001</v>
      </c>
    </row>
    <row r="229" spans="2:3" x14ac:dyDescent="0.25">
      <c r="B229" s="12">
        <v>43808</v>
      </c>
      <c r="C229" s="17">
        <v>147.199997</v>
      </c>
    </row>
    <row r="230" spans="2:3" x14ac:dyDescent="0.25">
      <c r="B230" s="12">
        <v>43801</v>
      </c>
      <c r="C230" s="17">
        <v>148.08999600000001</v>
      </c>
    </row>
    <row r="231" spans="2:3" x14ac:dyDescent="0.25">
      <c r="B231" s="12">
        <v>43794</v>
      </c>
      <c r="C231" s="17">
        <v>142.550003</v>
      </c>
    </row>
    <row r="232" spans="2:3" x14ac:dyDescent="0.25">
      <c r="B232" s="12">
        <v>43787</v>
      </c>
      <c r="C232" s="17">
        <v>140.88999899999999</v>
      </c>
    </row>
    <row r="233" spans="2:3" x14ac:dyDescent="0.25">
      <c r="B233" s="12">
        <v>43780</v>
      </c>
      <c r="C233" s="17">
        <v>147.509995</v>
      </c>
    </row>
    <row r="234" spans="2:3" x14ac:dyDescent="0.25">
      <c r="B234" s="12">
        <v>43773</v>
      </c>
      <c r="C234" s="17">
        <v>147.85000600000001</v>
      </c>
    </row>
    <row r="235" spans="2:3" x14ac:dyDescent="0.25">
      <c r="B235" s="12">
        <v>43766</v>
      </c>
      <c r="C235" s="17">
        <v>146.91999799999999</v>
      </c>
    </row>
    <row r="236" spans="2:3" x14ac:dyDescent="0.25">
      <c r="B236" s="12">
        <v>43759</v>
      </c>
      <c r="C236" s="17">
        <v>120.69000200000001</v>
      </c>
    </row>
    <row r="237" spans="2:3" x14ac:dyDescent="0.25">
      <c r="B237" s="12">
        <v>43752</v>
      </c>
      <c r="C237" s="17">
        <v>115.33000199999999</v>
      </c>
    </row>
    <row r="238" spans="2:3" x14ac:dyDescent="0.25">
      <c r="B238" s="12">
        <v>43745</v>
      </c>
      <c r="C238" s="17">
        <v>115.489998</v>
      </c>
    </row>
    <row r="239" spans="2:3" x14ac:dyDescent="0.25">
      <c r="B239" s="12">
        <v>43738</v>
      </c>
      <c r="C239" s="17">
        <v>116.41999800000001</v>
      </c>
    </row>
    <row r="240" spans="2:3" x14ac:dyDescent="0.25">
      <c r="B240" s="12">
        <v>43731</v>
      </c>
      <c r="C240" s="17">
        <v>112.239998</v>
      </c>
    </row>
    <row r="241" spans="2:3" x14ac:dyDescent="0.25">
      <c r="B241" s="12">
        <v>43724</v>
      </c>
      <c r="C241" s="17">
        <v>120.699997</v>
      </c>
    </row>
    <row r="242" spans="2:3" x14ac:dyDescent="0.25">
      <c r="B242" s="12">
        <v>43717</v>
      </c>
      <c r="C242" s="17">
        <v>130.63000500000001</v>
      </c>
    </row>
    <row r="243" spans="2:3" x14ac:dyDescent="0.25">
      <c r="B243" s="12">
        <v>43710</v>
      </c>
      <c r="C243" s="17">
        <v>136.05999800000001</v>
      </c>
    </row>
    <row r="244" spans="2:3" x14ac:dyDescent="0.25">
      <c r="B244" s="12">
        <v>43703</v>
      </c>
      <c r="C244" s="17">
        <v>134.949997</v>
      </c>
    </row>
    <row r="245" spans="2:3" x14ac:dyDescent="0.25">
      <c r="B245" s="12">
        <v>43696</v>
      </c>
      <c r="C245" s="17">
        <v>138.020004</v>
      </c>
    </row>
    <row r="246" spans="2:3" x14ac:dyDescent="0.25">
      <c r="B246" s="12">
        <v>43689</v>
      </c>
      <c r="C246" s="17">
        <v>147.740005</v>
      </c>
    </row>
    <row r="247" spans="2:3" x14ac:dyDescent="0.25">
      <c r="B247" s="12">
        <v>43682</v>
      </c>
      <c r="C247" s="17">
        <v>155.009995</v>
      </c>
    </row>
    <row r="248" spans="2:3" x14ac:dyDescent="0.25">
      <c r="B248" s="12">
        <v>43675</v>
      </c>
      <c r="C248" s="17">
        <v>153.470001</v>
      </c>
    </row>
    <row r="249" spans="2:3" x14ac:dyDescent="0.25">
      <c r="B249" s="12">
        <v>43668</v>
      </c>
      <c r="C249" s="17">
        <v>155.38000500000001</v>
      </c>
    </row>
    <row r="250" spans="2:3" x14ac:dyDescent="0.25">
      <c r="B250" s="12">
        <v>43661</v>
      </c>
      <c r="C250" s="17">
        <v>144.11000100000001</v>
      </c>
    </row>
    <row r="251" spans="2:3" x14ac:dyDescent="0.25">
      <c r="B251" s="12">
        <v>43654</v>
      </c>
      <c r="C251" s="17">
        <v>152.300003</v>
      </c>
    </row>
    <row r="252" spans="2:3" x14ac:dyDescent="0.25">
      <c r="B252" s="12">
        <v>43647</v>
      </c>
      <c r="C252" s="17">
        <v>146.30999800000001</v>
      </c>
    </row>
    <row r="253" spans="2:3" x14ac:dyDescent="0.25">
      <c r="B253" s="12">
        <v>43640</v>
      </c>
      <c r="C253" s="17">
        <v>146.220001</v>
      </c>
    </row>
    <row r="254" spans="2:3" x14ac:dyDescent="0.25">
      <c r="B254" s="12">
        <v>43633</v>
      </c>
      <c r="C254" s="17">
        <v>148.30999800000001</v>
      </c>
    </row>
    <row r="255" spans="2:3" x14ac:dyDescent="0.25">
      <c r="B255" s="12">
        <v>43626</v>
      </c>
      <c r="C255" s="17">
        <v>144.58999600000001</v>
      </c>
    </row>
    <row r="256" spans="2:3" x14ac:dyDescent="0.25">
      <c r="B256" s="12">
        <v>43619</v>
      </c>
      <c r="C256" s="17">
        <v>140.08000200000001</v>
      </c>
    </row>
    <row r="257" spans="2:3" x14ac:dyDescent="0.25">
      <c r="B257" s="12">
        <v>43612</v>
      </c>
      <c r="C257" s="17">
        <v>125.58000199999999</v>
      </c>
    </row>
    <row r="258" spans="2:3" x14ac:dyDescent="0.25">
      <c r="B258" s="12">
        <v>43605</v>
      </c>
      <c r="C258" s="17">
        <v>124.650002</v>
      </c>
    </row>
    <row r="259" spans="2:3" x14ac:dyDescent="0.25">
      <c r="B259" s="12">
        <v>43598</v>
      </c>
      <c r="C259" s="17">
        <v>132.759995</v>
      </c>
    </row>
    <row r="260" spans="2:3" x14ac:dyDescent="0.25">
      <c r="B260" s="12">
        <v>43591</v>
      </c>
      <c r="C260" s="17">
        <v>137.85000600000001</v>
      </c>
    </row>
    <row r="261" spans="2:3" x14ac:dyDescent="0.25">
      <c r="B261" s="12">
        <v>43584</v>
      </c>
      <c r="C261" s="17">
        <v>136.16999799999999</v>
      </c>
    </row>
    <row r="262" spans="2:3" x14ac:dyDescent="0.25">
      <c r="B262" s="12">
        <v>43577</v>
      </c>
      <c r="C262" s="17">
        <v>138.25</v>
      </c>
    </row>
    <row r="263" spans="2:3" x14ac:dyDescent="0.25">
      <c r="B263" s="12">
        <v>43570</v>
      </c>
      <c r="C263" s="17">
        <v>139.64999399999999</v>
      </c>
    </row>
    <row r="264" spans="2:3" x14ac:dyDescent="0.25">
      <c r="B264" s="12">
        <v>43563</v>
      </c>
      <c r="C264" s="17">
        <v>144.949997</v>
      </c>
    </row>
    <row r="265" spans="2:3" x14ac:dyDescent="0.25">
      <c r="B265" s="12">
        <v>43556</v>
      </c>
      <c r="C265" s="17">
        <v>141.13000500000001</v>
      </c>
    </row>
    <row r="266" spans="2:3" x14ac:dyDescent="0.25">
      <c r="B266" s="12">
        <v>43549</v>
      </c>
      <c r="C266" s="17">
        <v>138.800003</v>
      </c>
    </row>
    <row r="267" spans="2:3" x14ac:dyDescent="0.25">
      <c r="B267" s="12">
        <v>43542</v>
      </c>
      <c r="C267" s="17">
        <v>139</v>
      </c>
    </row>
    <row r="268" spans="2:3" x14ac:dyDescent="0.25">
      <c r="B268" s="12">
        <v>43535</v>
      </c>
      <c r="C268" s="17">
        <v>141.91000399999999</v>
      </c>
    </row>
    <row r="269" spans="2:3" x14ac:dyDescent="0.25">
      <c r="B269" s="12">
        <v>43528</v>
      </c>
      <c r="C269" s="17">
        <v>140.179993</v>
      </c>
    </row>
    <row r="270" spans="2:3" x14ac:dyDescent="0.25">
      <c r="B270" s="12">
        <v>43521</v>
      </c>
      <c r="C270" s="17">
        <v>138</v>
      </c>
    </row>
    <row r="271" spans="2:3" x14ac:dyDescent="0.25">
      <c r="B271" s="12">
        <v>43514</v>
      </c>
      <c r="C271" s="17">
        <v>151.19000199999999</v>
      </c>
    </row>
    <row r="272" spans="2:3" x14ac:dyDescent="0.25">
      <c r="B272" s="12">
        <v>43507</v>
      </c>
      <c r="C272" s="17">
        <v>148.520004</v>
      </c>
    </row>
    <row r="273" spans="2:3" x14ac:dyDescent="0.25">
      <c r="B273" s="12">
        <v>43500</v>
      </c>
      <c r="C273" s="17">
        <v>134.71000699999999</v>
      </c>
    </row>
    <row r="274" spans="2:3" x14ac:dyDescent="0.25">
      <c r="B274" s="12">
        <v>43493</v>
      </c>
      <c r="C274" s="17">
        <v>137.21000699999999</v>
      </c>
    </row>
    <row r="275" spans="2:3" x14ac:dyDescent="0.25">
      <c r="B275" s="12">
        <v>43486</v>
      </c>
      <c r="C275" s="17">
        <v>134.66999799999999</v>
      </c>
    </row>
    <row r="276" spans="2:3" x14ac:dyDescent="0.25">
      <c r="B276" s="12">
        <v>43479</v>
      </c>
      <c r="C276" s="17">
        <v>133.66000399999999</v>
      </c>
    </row>
    <row r="277" spans="2:3" x14ac:dyDescent="0.25">
      <c r="B277" s="12">
        <v>43472</v>
      </c>
      <c r="C277" s="17">
        <v>120.519997</v>
      </c>
    </row>
    <row r="278" spans="2:3" x14ac:dyDescent="0.25">
      <c r="B278" s="12">
        <v>43465</v>
      </c>
      <c r="C278" s="17">
        <v>118.510002</v>
      </c>
    </row>
    <row r="279" spans="2:3" x14ac:dyDescent="0.25">
      <c r="B279" s="12">
        <v>43458</v>
      </c>
      <c r="C279" s="17">
        <v>112.160004</v>
      </c>
    </row>
    <row r="280" spans="2:3" x14ac:dyDescent="0.25">
      <c r="B280" s="12">
        <v>43451</v>
      </c>
      <c r="C280" s="17">
        <v>106.839996</v>
      </c>
    </row>
    <row r="281" spans="2:3" x14ac:dyDescent="0.25">
      <c r="B281" s="12">
        <v>43444</v>
      </c>
      <c r="C281" s="17">
        <v>125.68</v>
      </c>
    </row>
    <row r="282" spans="2:3" x14ac:dyDescent="0.25">
      <c r="B282" s="12">
        <v>43437</v>
      </c>
      <c r="C282" s="17">
        <v>135.30999800000001</v>
      </c>
    </row>
    <row r="283" spans="2:3" x14ac:dyDescent="0.25">
      <c r="B283" s="12">
        <v>43430</v>
      </c>
      <c r="C283" s="17">
        <v>136.38000500000001</v>
      </c>
    </row>
    <row r="284" spans="2:3" x14ac:dyDescent="0.25">
      <c r="B284" s="12">
        <v>43423</v>
      </c>
      <c r="C284" s="17">
        <v>129.41000399999999</v>
      </c>
    </row>
    <row r="285" spans="2:3" x14ac:dyDescent="0.25">
      <c r="B285" s="12">
        <v>43416</v>
      </c>
      <c r="C285" s="17">
        <v>134.21000699999999</v>
      </c>
    </row>
    <row r="286" spans="2:3" x14ac:dyDescent="0.25">
      <c r="B286" s="12">
        <v>43409</v>
      </c>
      <c r="C286" s="17">
        <v>138.05999800000001</v>
      </c>
    </row>
    <row r="287" spans="2:3" x14ac:dyDescent="0.25">
      <c r="B287" s="12">
        <v>43402</v>
      </c>
      <c r="C287" s="17">
        <v>138.990005</v>
      </c>
    </row>
    <row r="288" spans="2:3" x14ac:dyDescent="0.25">
      <c r="B288" s="12">
        <v>43395</v>
      </c>
      <c r="C288" s="17">
        <v>146.240005</v>
      </c>
    </row>
    <row r="289" spans="2:3" x14ac:dyDescent="0.25">
      <c r="B289" s="12">
        <v>43388</v>
      </c>
      <c r="C289" s="17">
        <v>148.929993</v>
      </c>
    </row>
    <row r="290" spans="2:3" x14ac:dyDescent="0.25">
      <c r="B290" s="12">
        <v>43381</v>
      </c>
      <c r="C290" s="17">
        <v>158.490005</v>
      </c>
    </row>
    <row r="291" spans="2:3" x14ac:dyDescent="0.25">
      <c r="B291" s="12">
        <v>43374</v>
      </c>
      <c r="C291" s="17">
        <v>164.38000500000001</v>
      </c>
    </row>
    <row r="292" spans="2:3" x14ac:dyDescent="0.25">
      <c r="B292" s="12">
        <v>43367</v>
      </c>
      <c r="C292" s="17">
        <v>180.83000200000001</v>
      </c>
    </row>
    <row r="293" spans="2:3" x14ac:dyDescent="0.25">
      <c r="B293" s="12">
        <v>43360</v>
      </c>
      <c r="C293" s="17">
        <v>175.020004</v>
      </c>
    </row>
    <row r="294" spans="2:3" x14ac:dyDescent="0.25">
      <c r="B294" s="12">
        <v>43353</v>
      </c>
      <c r="C294" s="17">
        <v>180.63000500000001</v>
      </c>
    </row>
    <row r="295" spans="2:3" x14ac:dyDescent="0.25">
      <c r="B295" s="12">
        <v>43346</v>
      </c>
      <c r="C295" s="17">
        <v>177.800003</v>
      </c>
    </row>
    <row r="296" spans="2:3" x14ac:dyDescent="0.25">
      <c r="B296" s="12">
        <v>43339</v>
      </c>
      <c r="C296" s="17">
        <v>189.520004</v>
      </c>
    </row>
    <row r="297" spans="2:3" x14ac:dyDescent="0.25">
      <c r="B297" s="12">
        <v>43332</v>
      </c>
      <c r="C297" s="17">
        <v>192.38000500000001</v>
      </c>
    </row>
    <row r="298" spans="2:3" x14ac:dyDescent="0.25">
      <c r="B298" s="12">
        <v>43325</v>
      </c>
      <c r="C298" s="17">
        <v>188.36999499999999</v>
      </c>
    </row>
    <row r="299" spans="2:3" x14ac:dyDescent="0.25">
      <c r="B299" s="12">
        <v>43318</v>
      </c>
      <c r="C299" s="17">
        <v>189.05999800000001</v>
      </c>
    </row>
    <row r="300" spans="2:3" x14ac:dyDescent="0.25">
      <c r="B300" s="12">
        <v>43311</v>
      </c>
      <c r="C300" s="17">
        <v>175.5</v>
      </c>
    </row>
    <row r="301" spans="2:3" x14ac:dyDescent="0.25">
      <c r="B301" s="12">
        <v>43304</v>
      </c>
      <c r="C301" s="17">
        <v>186.270004</v>
      </c>
    </row>
    <row r="302" spans="2:3" x14ac:dyDescent="0.25">
      <c r="B302" s="12">
        <v>43297</v>
      </c>
      <c r="C302" s="17">
        <v>182.78999300000001</v>
      </c>
    </row>
    <row r="303" spans="2:3" x14ac:dyDescent="0.25">
      <c r="B303" s="12">
        <v>43290</v>
      </c>
      <c r="C303" s="17">
        <v>187.21000699999999</v>
      </c>
    </row>
    <row r="304" spans="2:3" x14ac:dyDescent="0.25">
      <c r="B304" s="12">
        <v>43283</v>
      </c>
      <c r="C304" s="17">
        <v>175.699997</v>
      </c>
    </row>
    <row r="305" spans="2:3" x14ac:dyDescent="0.25">
      <c r="B305" s="12">
        <v>43276</v>
      </c>
      <c r="C305" s="17">
        <v>168.240005</v>
      </c>
    </row>
    <row r="306" spans="2:3" x14ac:dyDescent="0.25">
      <c r="B306" s="12">
        <v>43269</v>
      </c>
      <c r="C306" s="17">
        <v>180.94000199999999</v>
      </c>
    </row>
    <row r="307" spans="2:3" x14ac:dyDescent="0.25">
      <c r="B307" s="12">
        <v>43262</v>
      </c>
      <c r="C307" s="17">
        <v>175.020004</v>
      </c>
    </row>
    <row r="308" spans="2:3" x14ac:dyDescent="0.25">
      <c r="B308" s="12">
        <v>43255</v>
      </c>
      <c r="C308" s="17">
        <v>171.479996</v>
      </c>
    </row>
    <row r="309" spans="2:3" x14ac:dyDescent="0.25">
      <c r="B309" s="12">
        <v>43248</v>
      </c>
      <c r="C309" s="17">
        <v>159.240005</v>
      </c>
    </row>
    <row r="310" spans="2:3" x14ac:dyDescent="0.25">
      <c r="B310" s="12">
        <v>43241</v>
      </c>
      <c r="C310" s="17">
        <v>156.60000600000001</v>
      </c>
    </row>
    <row r="311" spans="2:3" x14ac:dyDescent="0.25">
      <c r="B311" s="12">
        <v>43234</v>
      </c>
      <c r="C311" s="17">
        <v>150.800003</v>
      </c>
    </row>
    <row r="312" spans="2:3" x14ac:dyDescent="0.25">
      <c r="B312" s="12">
        <v>43227</v>
      </c>
      <c r="C312" s="17">
        <v>156.770004</v>
      </c>
    </row>
    <row r="313" spans="2:3" x14ac:dyDescent="0.25">
      <c r="B313" s="12">
        <v>43220</v>
      </c>
      <c r="C313" s="17">
        <v>154.259995</v>
      </c>
    </row>
    <row r="314" spans="2:3" x14ac:dyDescent="0.25">
      <c r="B314" s="12">
        <v>43213</v>
      </c>
      <c r="C314" s="17">
        <v>159.979996</v>
      </c>
    </row>
    <row r="315" spans="2:3" x14ac:dyDescent="0.25">
      <c r="B315" s="12">
        <v>43206</v>
      </c>
      <c r="C315" s="17">
        <v>158.449997</v>
      </c>
    </row>
    <row r="316" spans="2:3" x14ac:dyDescent="0.25">
      <c r="B316" s="12">
        <v>43199</v>
      </c>
      <c r="C316" s="17">
        <v>149</v>
      </c>
    </row>
    <row r="317" spans="2:3" x14ac:dyDescent="0.25">
      <c r="B317" s="12">
        <v>43192</v>
      </c>
      <c r="C317" s="17">
        <v>147.91999799999999</v>
      </c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317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38</v>
      </c>
      <c r="B1" s="1" t="s">
        <v>51</v>
      </c>
      <c r="C1" s="1" t="s">
        <v>0</v>
      </c>
      <c r="D1" s="1" t="s">
        <v>92</v>
      </c>
      <c r="H1" s="137" t="s">
        <v>93</v>
      </c>
      <c r="I1" s="138"/>
      <c r="J1" s="138"/>
      <c r="K1" s="138"/>
      <c r="L1" s="138"/>
      <c r="M1" s="139"/>
    </row>
    <row r="2" spans="1:13" ht="15.75" thickBot="1" x14ac:dyDescent="0.3">
      <c r="B2" s="12">
        <v>45397</v>
      </c>
      <c r="C2" s="17">
        <v>290.51998900000001</v>
      </c>
      <c r="D2" s="127">
        <f>C2/C3-1</f>
        <v>-3.3050499595253857E-2</v>
      </c>
      <c r="H2" s="64"/>
      <c r="I2" s="65"/>
      <c r="J2" s="65"/>
      <c r="K2" s="65"/>
      <c r="L2" s="65"/>
      <c r="M2" s="66"/>
    </row>
    <row r="3" spans="1:13" ht="15.75" thickBot="1" x14ac:dyDescent="0.3">
      <c r="B3" s="12">
        <v>45390</v>
      </c>
      <c r="C3" s="17">
        <v>300.45001200000002</v>
      </c>
      <c r="D3" s="127">
        <f t="shared" ref="D3:D66" si="0">C3/C4-1</f>
        <v>-3.1774632024585969E-2</v>
      </c>
      <c r="H3" s="67" t="s">
        <v>94</v>
      </c>
      <c r="I3" s="68" t="s">
        <v>95</v>
      </c>
      <c r="J3" s="69" t="s">
        <v>96</v>
      </c>
      <c r="K3" s="70" t="s">
        <v>97</v>
      </c>
      <c r="L3" s="70" t="s">
        <v>98</v>
      </c>
      <c r="M3" s="71" t="s">
        <v>99</v>
      </c>
    </row>
    <row r="4" spans="1:13" x14ac:dyDescent="0.25">
      <c r="B4" s="12">
        <v>45383</v>
      </c>
      <c r="C4" s="17">
        <v>310.30999800000001</v>
      </c>
      <c r="D4" s="127">
        <f t="shared" si="0"/>
        <v>0.17586208812115411</v>
      </c>
      <c r="H4" s="72">
        <f>$I$19-3*$I$23</f>
        <v>-0.1867372124935977</v>
      </c>
      <c r="I4" s="73">
        <f>H4</f>
        <v>-0.1867372124935977</v>
      </c>
      <c r="J4" s="74">
        <f>COUNTIF(D:D,"&lt;="&amp;H4)</f>
        <v>1</v>
      </c>
      <c r="K4" s="74" t="str">
        <f>"Less than "&amp;TEXT(H4,"0,00%")</f>
        <v>Less than -18,67%</v>
      </c>
      <c r="L4" s="75">
        <f>J4/$I$31</f>
        <v>3.1746031746031746E-3</v>
      </c>
      <c r="M4" s="76">
        <f>L4</f>
        <v>3.1746031746031746E-3</v>
      </c>
    </row>
    <row r="5" spans="1:13" x14ac:dyDescent="0.25">
      <c r="B5" s="12">
        <v>45376</v>
      </c>
      <c r="C5" s="17">
        <v>263.89999399999999</v>
      </c>
      <c r="D5" s="127">
        <f t="shared" si="0"/>
        <v>-3.9630796468883567E-3</v>
      </c>
      <c r="H5" s="77">
        <f>$I$19-2.4*$I$23</f>
        <v>-0.14856340517697827</v>
      </c>
      <c r="I5" s="78">
        <f>H5</f>
        <v>-0.14856340517697827</v>
      </c>
      <c r="J5" s="79">
        <f>COUNTIFS(D:D,"&lt;="&amp;H5,D:D,"&gt;"&amp;H4)</f>
        <v>3</v>
      </c>
      <c r="K5" s="80" t="str">
        <f t="shared" ref="K5:K14" si="1">TEXT(H4,"0,00%")&amp;" to "&amp;TEXT(H5,"0,00%")</f>
        <v>-18,67% to -14,86%</v>
      </c>
      <c r="L5" s="81">
        <f>J5/$I$31</f>
        <v>9.5238095238095247E-3</v>
      </c>
      <c r="M5" s="82">
        <f>M4+L5</f>
        <v>1.2698412698412698E-2</v>
      </c>
    </row>
    <row r="6" spans="1:13" x14ac:dyDescent="0.25">
      <c r="B6" s="12">
        <v>45369</v>
      </c>
      <c r="C6" s="17">
        <v>264.95001200000002</v>
      </c>
      <c r="D6" s="127">
        <f t="shared" si="0"/>
        <v>3.9468056963663178E-2</v>
      </c>
      <c r="H6" s="77">
        <f>$I$19-1.8*$I$23</f>
        <v>-0.11038959786035886</v>
      </c>
      <c r="I6" s="78">
        <f t="shared" ref="I6:I14" si="2">H6</f>
        <v>-0.11038959786035886</v>
      </c>
      <c r="J6" s="79">
        <f t="shared" ref="J6:J14" si="3">COUNTIFS(D:D,"&lt;="&amp;H6,D:D,"&gt;"&amp;H5)</f>
        <v>5</v>
      </c>
      <c r="K6" s="80" t="str">
        <f t="shared" si="1"/>
        <v>-14,86% to -11,04%</v>
      </c>
      <c r="L6" s="81">
        <f t="shared" ref="L6:L15" si="4">J6/$I$31</f>
        <v>1.5873015873015872E-2</v>
      </c>
      <c r="M6" s="82">
        <f t="shared" ref="M6:M15" si="5">M5+L6</f>
        <v>2.8571428571428571E-2</v>
      </c>
    </row>
    <row r="7" spans="1:13" x14ac:dyDescent="0.25">
      <c r="B7" s="12">
        <v>45362</v>
      </c>
      <c r="C7" s="17">
        <v>254.88999899999999</v>
      </c>
      <c r="D7" s="127">
        <f t="shared" si="0"/>
        <v>-1.7386257148487072E-2</v>
      </c>
      <c r="H7" s="77">
        <f>$I$19-1.2*$I$23</f>
        <v>-7.221579054373943E-2</v>
      </c>
      <c r="I7" s="78">
        <f t="shared" si="2"/>
        <v>-7.221579054373943E-2</v>
      </c>
      <c r="J7" s="79">
        <f t="shared" si="3"/>
        <v>22</v>
      </c>
      <c r="K7" s="80" t="str">
        <f t="shared" si="1"/>
        <v>-11,04% to -7,22%</v>
      </c>
      <c r="L7" s="81">
        <f t="shared" si="4"/>
        <v>6.9841269841269843E-2</v>
      </c>
      <c r="M7" s="82">
        <f t="shared" si="5"/>
        <v>9.841269841269841E-2</v>
      </c>
    </row>
    <row r="8" spans="1:13" x14ac:dyDescent="0.25">
      <c r="B8" s="12">
        <v>45355</v>
      </c>
      <c r="C8" s="17">
        <v>259.39999399999999</v>
      </c>
      <c r="D8" s="127">
        <f t="shared" si="0"/>
        <v>-1.649291374407591E-2</v>
      </c>
      <c r="H8" s="77">
        <f>$I$19-0.6*$I$23</f>
        <v>-3.4041983227120015E-2</v>
      </c>
      <c r="I8" s="78">
        <f t="shared" si="2"/>
        <v>-3.4041983227120015E-2</v>
      </c>
      <c r="J8" s="79">
        <f t="shared" si="3"/>
        <v>46</v>
      </c>
      <c r="K8" s="80" t="str">
        <f t="shared" si="1"/>
        <v>-7,22% to -3,40%</v>
      </c>
      <c r="L8" s="81">
        <f t="shared" si="4"/>
        <v>0.14603174603174604</v>
      </c>
      <c r="M8" s="82">
        <f t="shared" si="5"/>
        <v>0.24444444444444446</v>
      </c>
    </row>
    <row r="9" spans="1:13" x14ac:dyDescent="0.25">
      <c r="B9" s="12">
        <v>45348</v>
      </c>
      <c r="C9" s="17">
        <v>263.75</v>
      </c>
      <c r="D9" s="127">
        <f t="shared" si="0"/>
        <v>2.9871119956162762E-2</v>
      </c>
      <c r="H9" s="77">
        <f>$I$19</f>
        <v>4.1318240894993993E-3</v>
      </c>
      <c r="I9" s="78">
        <f t="shared" si="2"/>
        <v>4.1318240894993993E-3</v>
      </c>
      <c r="J9" s="79">
        <f t="shared" si="3"/>
        <v>78</v>
      </c>
      <c r="K9" s="80" t="str">
        <f t="shared" si="1"/>
        <v>-3,40% to 0,41%</v>
      </c>
      <c r="L9" s="81">
        <f t="shared" si="4"/>
        <v>0.24761904761904763</v>
      </c>
      <c r="M9" s="82">
        <f t="shared" si="5"/>
        <v>0.49206349206349209</v>
      </c>
    </row>
    <row r="10" spans="1:13" x14ac:dyDescent="0.25">
      <c r="B10" s="12">
        <v>45341</v>
      </c>
      <c r="C10" s="17">
        <v>256.10000600000001</v>
      </c>
      <c r="D10" s="127">
        <f t="shared" si="0"/>
        <v>4.0000024365482334E-2</v>
      </c>
      <c r="H10" s="77">
        <f>$I$19+0.6*$I$23</f>
        <v>4.2305631406118815E-2</v>
      </c>
      <c r="I10" s="78">
        <f t="shared" si="2"/>
        <v>4.2305631406118815E-2</v>
      </c>
      <c r="J10" s="79">
        <f t="shared" si="3"/>
        <v>88</v>
      </c>
      <c r="K10" s="80" t="str">
        <f t="shared" si="1"/>
        <v>0,41% to 4,23%</v>
      </c>
      <c r="L10" s="81">
        <f t="shared" si="4"/>
        <v>0.27936507936507937</v>
      </c>
      <c r="M10" s="82">
        <f t="shared" si="5"/>
        <v>0.77142857142857146</v>
      </c>
    </row>
    <row r="11" spans="1:13" x14ac:dyDescent="0.25">
      <c r="B11" s="12">
        <v>45334</v>
      </c>
      <c r="C11" s="17">
        <v>246.25</v>
      </c>
      <c r="D11" s="127">
        <f t="shared" si="0"/>
        <v>2.2760293678443455E-2</v>
      </c>
      <c r="H11" s="77">
        <f>$I$19+1.2*$I$23</f>
        <v>8.0479438722738231E-2</v>
      </c>
      <c r="I11" s="78">
        <f t="shared" si="2"/>
        <v>8.0479438722738231E-2</v>
      </c>
      <c r="J11" s="79">
        <f t="shared" si="3"/>
        <v>47</v>
      </c>
      <c r="K11" s="80" t="str">
        <f t="shared" si="1"/>
        <v>4,23% to 8,05%</v>
      </c>
      <c r="L11" s="81">
        <f t="shared" si="4"/>
        <v>0.1492063492063492</v>
      </c>
      <c r="M11" s="82">
        <f t="shared" si="5"/>
        <v>0.92063492063492069</v>
      </c>
    </row>
    <row r="12" spans="1:13" x14ac:dyDescent="0.25">
      <c r="B12" s="12">
        <v>45327</v>
      </c>
      <c r="C12" s="17">
        <v>240.770004</v>
      </c>
      <c r="D12" s="127">
        <f t="shared" si="0"/>
        <v>8.2258295130766879E-2</v>
      </c>
      <c r="H12" s="77">
        <f>$I$19+1.8*$I$23</f>
        <v>0.11865324603935766</v>
      </c>
      <c r="I12" s="78">
        <f t="shared" si="2"/>
        <v>0.11865324603935766</v>
      </c>
      <c r="J12" s="79">
        <f t="shared" si="3"/>
        <v>12</v>
      </c>
      <c r="K12" s="80" t="str">
        <f t="shared" si="1"/>
        <v>8,05% to 11,87%</v>
      </c>
      <c r="L12" s="81">
        <f t="shared" si="4"/>
        <v>3.8095238095238099E-2</v>
      </c>
      <c r="M12" s="82">
        <f t="shared" si="5"/>
        <v>0.95873015873015877</v>
      </c>
    </row>
    <row r="13" spans="1:13" x14ac:dyDescent="0.25">
      <c r="B13" s="12">
        <v>45320</v>
      </c>
      <c r="C13" s="17">
        <v>222.470001</v>
      </c>
      <c r="D13" s="127">
        <f t="shared" si="0"/>
        <v>3.8172608461469304E-2</v>
      </c>
      <c r="H13" s="77">
        <f>$I$19+2.4*$I$23</f>
        <v>0.15682705335597705</v>
      </c>
      <c r="I13" s="78">
        <f t="shared" si="2"/>
        <v>0.15682705335597705</v>
      </c>
      <c r="J13" s="79">
        <f t="shared" si="3"/>
        <v>6</v>
      </c>
      <c r="K13" s="80" t="str">
        <f t="shared" si="1"/>
        <v>11,87% to 15,68%</v>
      </c>
      <c r="L13" s="81">
        <f t="shared" si="4"/>
        <v>1.9047619047619049E-2</v>
      </c>
      <c r="M13" s="82">
        <f t="shared" si="5"/>
        <v>0.97777777777777786</v>
      </c>
    </row>
    <row r="14" spans="1:13" x14ac:dyDescent="0.25">
      <c r="B14" s="12">
        <v>45313</v>
      </c>
      <c r="C14" s="17">
        <v>214.28999300000001</v>
      </c>
      <c r="D14" s="127">
        <f t="shared" si="0"/>
        <v>4.6797839247790352E-2</v>
      </c>
      <c r="H14" s="77">
        <f>$I$19+3*$I$23</f>
        <v>0.19500086067259648</v>
      </c>
      <c r="I14" s="78">
        <f t="shared" si="2"/>
        <v>0.19500086067259648</v>
      </c>
      <c r="J14" s="79">
        <f t="shared" si="3"/>
        <v>4</v>
      </c>
      <c r="K14" s="80" t="str">
        <f t="shared" si="1"/>
        <v>15,68% to 19,50%</v>
      </c>
      <c r="L14" s="81">
        <f t="shared" si="4"/>
        <v>1.2698412698412698E-2</v>
      </c>
      <c r="M14" s="82">
        <f t="shared" si="5"/>
        <v>0.99047619047619051</v>
      </c>
    </row>
    <row r="15" spans="1:13" ht="15.75" thickBot="1" x14ac:dyDescent="0.3">
      <c r="B15" s="12">
        <v>45306</v>
      </c>
      <c r="C15" s="17">
        <v>204.71000699999999</v>
      </c>
      <c r="D15" s="127">
        <f t="shared" si="0"/>
        <v>8.2746786596792354E-3</v>
      </c>
      <c r="H15" s="83"/>
      <c r="I15" s="84" t="s">
        <v>100</v>
      </c>
      <c r="J15" s="84">
        <f>COUNTIF(D:D,"&gt;"&amp;H14)</f>
        <v>3</v>
      </c>
      <c r="K15" s="84" t="str">
        <f>"Greater than "&amp;TEXT(H14,"0,00%")</f>
        <v>Greater than 19,50%</v>
      </c>
      <c r="L15" s="85">
        <f t="shared" si="4"/>
        <v>9.5238095238095247E-3</v>
      </c>
      <c r="M15" s="85">
        <f t="shared" si="5"/>
        <v>1</v>
      </c>
    </row>
    <row r="16" spans="1:13" ht="15.75" thickBot="1" x14ac:dyDescent="0.3">
      <c r="B16" s="12">
        <v>45299</v>
      </c>
      <c r="C16" s="17">
        <v>203.029999</v>
      </c>
      <c r="D16" s="127">
        <f t="shared" si="0"/>
        <v>4.9142180670893376E-2</v>
      </c>
      <c r="H16" s="86"/>
      <c r="M16" s="87"/>
    </row>
    <row r="17" spans="2:13" x14ac:dyDescent="0.25">
      <c r="B17" s="12">
        <v>45292</v>
      </c>
      <c r="C17" s="17">
        <v>193.520004</v>
      </c>
      <c r="D17" s="127">
        <f t="shared" si="0"/>
        <v>2.9854717048486856E-2</v>
      </c>
      <c r="H17" s="140" t="s">
        <v>131</v>
      </c>
      <c r="I17" s="141"/>
      <c r="M17" s="87"/>
    </row>
    <row r="18" spans="2:13" x14ac:dyDescent="0.25">
      <c r="B18" s="12">
        <v>45285</v>
      </c>
      <c r="C18" s="17">
        <v>187.91000399999999</v>
      </c>
      <c r="D18" s="127">
        <f t="shared" si="0"/>
        <v>-8.8611848485931066E-3</v>
      </c>
      <c r="H18" s="142"/>
      <c r="I18" s="143"/>
      <c r="M18" s="87"/>
    </row>
    <row r="19" spans="2:13" x14ac:dyDescent="0.25">
      <c r="B19" s="12">
        <v>45278</v>
      </c>
      <c r="C19" s="17">
        <v>189.58999600000001</v>
      </c>
      <c r="D19" s="127">
        <f t="shared" si="0"/>
        <v>-1.3425623285899024E-2</v>
      </c>
      <c r="H19" s="88" t="s">
        <v>101</v>
      </c>
      <c r="I19" s="125">
        <f>AVERAGE(D:D)</f>
        <v>4.1318240894993993E-3</v>
      </c>
      <c r="M19" s="87"/>
    </row>
    <row r="20" spans="2:13" x14ac:dyDescent="0.25">
      <c r="B20" s="12">
        <v>45271</v>
      </c>
      <c r="C20" s="17">
        <v>192.16999799999999</v>
      </c>
      <c r="D20" s="127">
        <f t="shared" si="0"/>
        <v>-2.9689497151888511E-2</v>
      </c>
      <c r="H20" s="88" t="s">
        <v>102</v>
      </c>
      <c r="I20" s="125">
        <f>_xlfn.STDEV.S(D:D)/SQRT(COUNT(D:D))</f>
        <v>3.584750630314164E-3</v>
      </c>
      <c r="M20" s="87"/>
    </row>
    <row r="21" spans="2:13" x14ac:dyDescent="0.25">
      <c r="B21" s="12">
        <v>45264</v>
      </c>
      <c r="C21" s="17">
        <v>198.050003</v>
      </c>
      <c r="D21" s="127">
        <f t="shared" si="0"/>
        <v>9.6076156997330742E-2</v>
      </c>
      <c r="H21" s="88" t="s">
        <v>103</v>
      </c>
      <c r="I21" s="125">
        <f>MEDIAN(D:D)</f>
        <v>5.737869796573758E-3</v>
      </c>
      <c r="M21" s="87"/>
    </row>
    <row r="22" spans="2:13" x14ac:dyDescent="0.25">
      <c r="B22" s="12">
        <v>45257</v>
      </c>
      <c r="C22" s="17">
        <v>180.69000199999999</v>
      </c>
      <c r="D22" s="127">
        <f t="shared" si="0"/>
        <v>-5.5585856724037486E-3</v>
      </c>
      <c r="H22" s="88" t="s">
        <v>104</v>
      </c>
      <c r="I22" s="125" t="e">
        <f>MODE(D:D)</f>
        <v>#N/A</v>
      </c>
      <c r="M22" s="87"/>
    </row>
    <row r="23" spans="2:13" x14ac:dyDescent="0.25">
      <c r="B23" s="12">
        <v>45250</v>
      </c>
      <c r="C23" s="17">
        <v>181.699997</v>
      </c>
      <c r="D23" s="127">
        <f t="shared" si="0"/>
        <v>3.2093120725479318E-2</v>
      </c>
      <c r="H23" s="88" t="s">
        <v>105</v>
      </c>
      <c r="I23" s="125">
        <f>_xlfn.STDEV.S(D:D)</f>
        <v>6.3623012194365697E-2</v>
      </c>
      <c r="M23" s="87"/>
    </row>
    <row r="24" spans="2:13" x14ac:dyDescent="0.25">
      <c r="B24" s="12">
        <v>45243</v>
      </c>
      <c r="C24" s="17">
        <v>176.050003</v>
      </c>
      <c r="D24" s="127">
        <f t="shared" si="0"/>
        <v>2.9652632580480454E-2</v>
      </c>
      <c r="H24" s="88" t="s">
        <v>106</v>
      </c>
      <c r="I24" s="125">
        <f>_xlfn.VAR.S(D:D)</f>
        <v>4.0478876806844064E-3</v>
      </c>
      <c r="M24" s="87"/>
    </row>
    <row r="25" spans="2:13" x14ac:dyDescent="0.25">
      <c r="B25" s="12">
        <v>45236</v>
      </c>
      <c r="C25" s="17">
        <v>170.979996</v>
      </c>
      <c r="D25" s="127">
        <f t="shared" si="0"/>
        <v>5.8830452025659952E-3</v>
      </c>
      <c r="H25" s="88" t="s">
        <v>107</v>
      </c>
      <c r="I25" s="126">
        <f>KURT(D:D)</f>
        <v>1.7849143888820111</v>
      </c>
      <c r="M25" s="87"/>
    </row>
    <row r="26" spans="2:13" x14ac:dyDescent="0.25">
      <c r="B26" s="12">
        <v>45229</v>
      </c>
      <c r="C26" s="17">
        <v>169.979996</v>
      </c>
      <c r="D26" s="127">
        <f t="shared" si="0"/>
        <v>6.6708438027921924E-2</v>
      </c>
      <c r="H26" s="88" t="s">
        <v>108</v>
      </c>
      <c r="I26" s="126">
        <f>SKEW(D:D)</f>
        <v>0.45639967737195436</v>
      </c>
      <c r="M26" s="87"/>
    </row>
    <row r="27" spans="2:13" x14ac:dyDescent="0.25">
      <c r="B27" s="12">
        <v>45222</v>
      </c>
      <c r="C27" s="17">
        <v>159.35000600000001</v>
      </c>
      <c r="D27" s="127">
        <f t="shared" si="0"/>
        <v>6.2900267648082542E-2</v>
      </c>
      <c r="H27" s="88" t="s">
        <v>97</v>
      </c>
      <c r="I27" s="125">
        <f>I29-I28</f>
        <v>0.47568286376828617</v>
      </c>
      <c r="M27" s="87"/>
    </row>
    <row r="28" spans="2:13" x14ac:dyDescent="0.25">
      <c r="B28" s="12">
        <v>45215</v>
      </c>
      <c r="C28" s="17">
        <v>149.91999799999999</v>
      </c>
      <c r="D28" s="127">
        <f t="shared" si="0"/>
        <v>-2.3704089915395854E-2</v>
      </c>
      <c r="H28" s="88" t="s">
        <v>109</v>
      </c>
      <c r="I28" s="125">
        <f>MIN(D:D)</f>
        <v>-0.1912380144936372</v>
      </c>
      <c r="M28" s="87"/>
    </row>
    <row r="29" spans="2:13" x14ac:dyDescent="0.25">
      <c r="B29" s="12">
        <v>45208</v>
      </c>
      <c r="C29" s="17">
        <v>153.55999800000001</v>
      </c>
      <c r="D29" s="127">
        <f t="shared" si="0"/>
        <v>-4.3418682136788678E-2</v>
      </c>
      <c r="H29" s="88" t="s">
        <v>110</v>
      </c>
      <c r="I29" s="125">
        <f>MAX(D:D)</f>
        <v>0.28444484927464897</v>
      </c>
      <c r="M29" s="87"/>
    </row>
    <row r="30" spans="2:13" x14ac:dyDescent="0.25">
      <c r="B30" s="12">
        <v>45201</v>
      </c>
      <c r="C30" s="17">
        <v>160.529999</v>
      </c>
      <c r="D30" s="127">
        <f t="shared" si="0"/>
        <v>3.8088463774498704E-2</v>
      </c>
      <c r="H30" s="88" t="s">
        <v>111</v>
      </c>
      <c r="I30" s="126">
        <f>SUM(D:D)</f>
        <v>1.3015245881923108</v>
      </c>
      <c r="M30" s="87"/>
    </row>
    <row r="31" spans="2:13" ht="15.75" thickBot="1" x14ac:dyDescent="0.3">
      <c r="B31" s="12">
        <v>45194</v>
      </c>
      <c r="C31" s="17">
        <v>154.63999899999999</v>
      </c>
      <c r="D31" s="127">
        <f t="shared" si="0"/>
        <v>-1.0937044671427865E-2</v>
      </c>
      <c r="H31" s="89" t="s">
        <v>112</v>
      </c>
      <c r="I31" s="66">
        <f>COUNT(D:D)</f>
        <v>315</v>
      </c>
      <c r="M31" s="87"/>
    </row>
    <row r="32" spans="2:13" ht="15.75" thickBot="1" x14ac:dyDescent="0.3">
      <c r="B32" s="12">
        <v>45187</v>
      </c>
      <c r="C32" s="17">
        <v>156.35000600000001</v>
      </c>
      <c r="D32" s="127">
        <f t="shared" si="0"/>
        <v>-1.4062277537365664E-2</v>
      </c>
      <c r="H32" s="91"/>
      <c r="M32" s="87"/>
    </row>
    <row r="33" spans="2:13" x14ac:dyDescent="0.25">
      <c r="B33" s="12">
        <v>45180</v>
      </c>
      <c r="C33" s="17">
        <v>158.58000200000001</v>
      </c>
      <c r="D33" s="127">
        <f t="shared" si="0"/>
        <v>2.0003865568895218E-2</v>
      </c>
      <c r="H33" s="92"/>
      <c r="I33" s="93" t="s">
        <v>113</v>
      </c>
      <c r="J33" s="93" t="s">
        <v>112</v>
      </c>
      <c r="K33" s="93" t="s">
        <v>114</v>
      </c>
      <c r="L33" s="94" t="s">
        <v>115</v>
      </c>
      <c r="M33" s="87"/>
    </row>
    <row r="34" spans="2:13" x14ac:dyDescent="0.25">
      <c r="B34" s="12">
        <v>45173</v>
      </c>
      <c r="C34" s="17">
        <v>155.470001</v>
      </c>
      <c r="D34" s="127">
        <f t="shared" si="0"/>
        <v>-1.3264769145275079E-2</v>
      </c>
      <c r="H34" s="95" t="s">
        <v>116</v>
      </c>
      <c r="I34" s="81">
        <f>AVERAGEIF(D:D,"&gt;0")</f>
        <v>4.9551844016394196E-2</v>
      </c>
      <c r="J34" s="79">
        <f>COUNTIF(D:D,"&gt;0")</f>
        <v>164</v>
      </c>
      <c r="K34" s="81">
        <f>J34/$I$31</f>
        <v>0.52063492063492067</v>
      </c>
      <c r="L34" s="82">
        <f>K34*I34</f>
        <v>2.5798420376789363E-2</v>
      </c>
      <c r="M34" s="87"/>
    </row>
    <row r="35" spans="2:13" x14ac:dyDescent="0.25">
      <c r="B35" s="12">
        <v>45166</v>
      </c>
      <c r="C35" s="17">
        <v>157.55999800000001</v>
      </c>
      <c r="D35" s="127">
        <f t="shared" si="0"/>
        <v>0.1482290981764387</v>
      </c>
      <c r="H35" s="95" t="s">
        <v>117</v>
      </c>
      <c r="I35" s="81">
        <f>AVERAGEIF(D:D,"&lt;0")</f>
        <v>-4.5198528678783739E-2</v>
      </c>
      <c r="J35" s="79">
        <f>COUNTIF(D:D,"&lt;0")</f>
        <v>151</v>
      </c>
      <c r="K35" s="81">
        <f>J35/$I$31</f>
        <v>0.47936507936507938</v>
      </c>
      <c r="L35" s="82">
        <f t="shared" ref="L35:L36" si="6">K35*I35</f>
        <v>-2.1666596287289983E-2</v>
      </c>
      <c r="M35" s="87"/>
    </row>
    <row r="36" spans="2:13" ht="15.75" thickBot="1" x14ac:dyDescent="0.3">
      <c r="B36" s="12">
        <v>45159</v>
      </c>
      <c r="C36" s="17">
        <v>137.220001</v>
      </c>
      <c r="D36" s="127">
        <f t="shared" si="0"/>
        <v>4.0570305625627689E-2</v>
      </c>
      <c r="H36" s="96" t="s">
        <v>118</v>
      </c>
      <c r="I36" s="84">
        <v>0</v>
      </c>
      <c r="J36" s="84">
        <f>COUNTIF(D:D,"0")</f>
        <v>0</v>
      </c>
      <c r="K36" s="97">
        <f>J36/$I$31</f>
        <v>0</v>
      </c>
      <c r="L36" s="85">
        <f t="shared" si="6"/>
        <v>0</v>
      </c>
      <c r="M36" s="87"/>
    </row>
    <row r="37" spans="2:13" ht="15.75" thickBot="1" x14ac:dyDescent="0.3">
      <c r="B37" s="12">
        <v>45152</v>
      </c>
      <c r="C37" s="17">
        <v>131.86999499999999</v>
      </c>
      <c r="D37" s="127">
        <f t="shared" si="0"/>
        <v>-4.9105843263202442E-2</v>
      </c>
      <c r="H37" s="91"/>
      <c r="I37" s="98"/>
      <c r="J37" s="98"/>
      <c r="K37" s="98"/>
      <c r="L37" s="98"/>
      <c r="M37" s="87"/>
    </row>
    <row r="38" spans="2:13" x14ac:dyDescent="0.25">
      <c r="B38" s="12">
        <v>45145</v>
      </c>
      <c r="C38" s="17">
        <v>138.679993</v>
      </c>
      <c r="D38" s="127">
        <f t="shared" si="0"/>
        <v>-3.7746337695890086E-2</v>
      </c>
      <c r="H38" s="72" t="s">
        <v>119</v>
      </c>
      <c r="I38" s="93" t="s">
        <v>120</v>
      </c>
      <c r="J38" s="93" t="s">
        <v>121</v>
      </c>
      <c r="K38" s="93" t="s">
        <v>122</v>
      </c>
      <c r="L38" s="93" t="s">
        <v>123</v>
      </c>
      <c r="M38" s="94" t="s">
        <v>124</v>
      </c>
    </row>
    <row r="39" spans="2:13" x14ac:dyDescent="0.25">
      <c r="B39" s="12">
        <v>45138</v>
      </c>
      <c r="C39" s="17">
        <v>144.11999499999999</v>
      </c>
      <c r="D39" s="127">
        <f t="shared" si="0"/>
        <v>-3.0148121259160776E-2</v>
      </c>
      <c r="H39" s="99">
        <v>1</v>
      </c>
      <c r="I39" s="81">
        <f>$I$19+($H39*$I$23)</f>
        <v>6.7754836283865097E-2</v>
      </c>
      <c r="J39" s="81">
        <f>$I$19-($H39*$I$23)</f>
        <v>-5.9491188104866297E-2</v>
      </c>
      <c r="K39" s="79">
        <f>COUNTIFS(D:D,"&lt;"&amp;I39,D:D,"&gt;"&amp;J39)</f>
        <v>230</v>
      </c>
      <c r="L39" s="81">
        <f>K39/$I$31</f>
        <v>0.73015873015873012</v>
      </c>
      <c r="M39" s="82">
        <v>0.68269999999999997</v>
      </c>
    </row>
    <row r="40" spans="2:13" x14ac:dyDescent="0.25">
      <c r="B40" s="12">
        <v>45131</v>
      </c>
      <c r="C40" s="17">
        <v>148.60000600000001</v>
      </c>
      <c r="D40" s="127">
        <f t="shared" si="0"/>
        <v>-0.13458738604559017</v>
      </c>
      <c r="H40" s="99">
        <v>2</v>
      </c>
      <c r="I40" s="81">
        <f>$I$19+($H40*$I$23)</f>
        <v>0.13137784847823078</v>
      </c>
      <c r="J40" s="81">
        <f>$I$19-($H40*$I$23)</f>
        <v>-0.12311420029923199</v>
      </c>
      <c r="K40" s="79">
        <f>COUNTIFS(D:D,"&lt;"&amp;I40,D:D,"&gt;"&amp;J40)</f>
        <v>297</v>
      </c>
      <c r="L40" s="81">
        <f>K40/$I$31</f>
        <v>0.94285714285714284</v>
      </c>
      <c r="M40" s="82">
        <v>0.95450000000000002</v>
      </c>
    </row>
    <row r="41" spans="2:13" x14ac:dyDescent="0.25">
      <c r="B41" s="12">
        <v>45124</v>
      </c>
      <c r="C41" s="17">
        <v>171.71000699999999</v>
      </c>
      <c r="D41" s="127">
        <f t="shared" si="0"/>
        <v>-1.860094180434313E-3</v>
      </c>
      <c r="H41" s="99">
        <v>3</v>
      </c>
      <c r="I41" s="81">
        <f>$I$19+($H41*$I$23)</f>
        <v>0.19500086067259648</v>
      </c>
      <c r="J41" s="81">
        <f>$I$19-($H41*$I$23)</f>
        <v>-0.1867372124935977</v>
      </c>
      <c r="K41" s="79">
        <f>COUNTIFS(D:D,"&lt;"&amp;I41,D:D,"&gt;"&amp;J41)</f>
        <v>311</v>
      </c>
      <c r="L41" s="81">
        <f>K41/$I$31</f>
        <v>0.98730158730158735</v>
      </c>
      <c r="M41" s="100">
        <v>0.99729999999999996</v>
      </c>
    </row>
    <row r="42" spans="2:13" ht="15.75" thickBot="1" x14ac:dyDescent="0.3">
      <c r="B42" s="12">
        <v>45117</v>
      </c>
      <c r="C42" s="17">
        <v>172.029999</v>
      </c>
      <c r="D42" s="127">
        <f t="shared" si="0"/>
        <v>9.5941886373562602E-2</v>
      </c>
      <c r="H42" s="77"/>
      <c r="M42" s="100"/>
    </row>
    <row r="43" spans="2:13" ht="15.75" thickBot="1" x14ac:dyDescent="0.3">
      <c r="B43" s="12">
        <v>45110</v>
      </c>
      <c r="C43" s="17">
        <v>156.970001</v>
      </c>
      <c r="D43" s="127">
        <f t="shared" si="0"/>
        <v>-2.229836146437203E-2</v>
      </c>
      <c r="H43" s="144" t="s">
        <v>125</v>
      </c>
      <c r="I43" s="145"/>
      <c r="J43" s="145"/>
      <c r="K43" s="145"/>
      <c r="L43" s="145"/>
      <c r="M43" s="146"/>
    </row>
    <row r="44" spans="2:13" x14ac:dyDescent="0.25">
      <c r="B44" s="12">
        <v>45103</v>
      </c>
      <c r="C44" s="17">
        <v>160.550003</v>
      </c>
      <c r="D44" s="127">
        <f t="shared" si="0"/>
        <v>1.9429791750911418E-2</v>
      </c>
      <c r="H44" s="101">
        <v>0.01</v>
      </c>
      <c r="I44" s="102">
        <f t="shared" ref="I44:I58" si="7">_xlfn.PERCENTILE.INC(D:D,H44)</f>
        <v>-0.14959209472157353</v>
      </c>
      <c r="J44" s="103">
        <v>0.2</v>
      </c>
      <c r="K44" s="102">
        <f t="shared" ref="K44:K56" si="8">_xlfn.PERCENTILE.INC(D:D,J44)</f>
        <v>-4.3510691104742351E-2</v>
      </c>
      <c r="L44" s="103">
        <v>0.85</v>
      </c>
      <c r="M44" s="104">
        <f t="shared" ref="M44:M58" si="9">_xlfn.PERCENTILE.INC(D:D,L44)</f>
        <v>5.8453863004962171E-2</v>
      </c>
    </row>
    <row r="45" spans="2:13" x14ac:dyDescent="0.25">
      <c r="B45" s="12">
        <v>45096</v>
      </c>
      <c r="C45" s="17">
        <v>157.490005</v>
      </c>
      <c r="D45" s="127">
        <f t="shared" si="0"/>
        <v>-1.5625976135196673E-2</v>
      </c>
      <c r="H45" s="105">
        <v>0.02</v>
      </c>
      <c r="I45" s="106">
        <f t="shared" si="7"/>
        <v>-0.11456307992723055</v>
      </c>
      <c r="J45" s="107">
        <v>0.25</v>
      </c>
      <c r="K45" s="106">
        <f t="shared" si="8"/>
        <v>-3.3207949470878295E-2</v>
      </c>
      <c r="L45" s="107">
        <v>0.86</v>
      </c>
      <c r="M45" s="108">
        <f t="shared" si="9"/>
        <v>6.2371683759520048E-2</v>
      </c>
    </row>
    <row r="46" spans="2:13" x14ac:dyDescent="0.25">
      <c r="B46" s="12">
        <v>45089</v>
      </c>
      <c r="C46" s="17">
        <v>159.990005</v>
      </c>
      <c r="D46" s="127">
        <f t="shared" si="0"/>
        <v>6.3197828633647646E-2</v>
      </c>
      <c r="H46" s="105">
        <v>0.03</v>
      </c>
      <c r="I46" s="106">
        <f t="shared" si="7"/>
        <v>-0.10995763502298019</v>
      </c>
      <c r="J46" s="107">
        <v>0.3</v>
      </c>
      <c r="K46" s="106">
        <f t="shared" si="8"/>
        <v>-2.3685256692458245E-2</v>
      </c>
      <c r="L46" s="107">
        <v>0.87</v>
      </c>
      <c r="M46" s="108">
        <f t="shared" si="9"/>
        <v>6.3444899362466015E-2</v>
      </c>
    </row>
    <row r="47" spans="2:13" x14ac:dyDescent="0.25">
      <c r="B47" s="12">
        <v>45082</v>
      </c>
      <c r="C47" s="17">
        <v>150.479996</v>
      </c>
      <c r="D47" s="127">
        <f t="shared" si="0"/>
        <v>-8.3037363811869769E-3</v>
      </c>
      <c r="H47" s="105">
        <v>0.04</v>
      </c>
      <c r="I47" s="106">
        <f t="shared" si="7"/>
        <v>-0.10162512402845111</v>
      </c>
      <c r="J47" s="107">
        <v>0.35</v>
      </c>
      <c r="K47" s="106">
        <f t="shared" si="8"/>
        <v>-1.6867077551416559E-2</v>
      </c>
      <c r="L47" s="107">
        <v>0.88</v>
      </c>
      <c r="M47" s="108">
        <f t="shared" si="9"/>
        <v>6.6827178882597177E-2</v>
      </c>
    </row>
    <row r="48" spans="2:13" x14ac:dyDescent="0.25">
      <c r="B48" s="12">
        <v>45075</v>
      </c>
      <c r="C48" s="17">
        <v>151.740005</v>
      </c>
      <c r="D48" s="127">
        <f t="shared" si="0"/>
        <v>9.5137184420692744E-3</v>
      </c>
      <c r="H48" s="105">
        <v>0.05</v>
      </c>
      <c r="I48" s="106">
        <f t="shared" si="7"/>
        <v>-9.1748033282774075E-2</v>
      </c>
      <c r="J48" s="107">
        <v>0.4</v>
      </c>
      <c r="K48" s="106">
        <f t="shared" si="8"/>
        <v>-1.0389829942255827E-2</v>
      </c>
      <c r="L48" s="107">
        <v>0.89</v>
      </c>
      <c r="M48" s="108">
        <f t="shared" si="9"/>
        <v>7.091525747185165E-2</v>
      </c>
    </row>
    <row r="49" spans="2:13" x14ac:dyDescent="0.25">
      <c r="B49" s="12">
        <v>45068</v>
      </c>
      <c r="C49" s="17">
        <v>150.30999800000001</v>
      </c>
      <c r="D49" s="127">
        <f t="shared" si="0"/>
        <v>5.8890787741656681E-3</v>
      </c>
      <c r="H49" s="105">
        <v>0.06</v>
      </c>
      <c r="I49" s="106">
        <f t="shared" si="7"/>
        <v>-8.8678890749494185E-2</v>
      </c>
      <c r="J49" s="107">
        <v>0.45</v>
      </c>
      <c r="K49" s="106">
        <f t="shared" si="8"/>
        <v>-3.5829864335528237E-3</v>
      </c>
      <c r="L49" s="107">
        <v>0.9</v>
      </c>
      <c r="M49" s="108">
        <f t="shared" si="9"/>
        <v>7.6454233976431737E-2</v>
      </c>
    </row>
    <row r="50" spans="2:13" x14ac:dyDescent="0.25">
      <c r="B50" s="12">
        <v>45061</v>
      </c>
      <c r="C50" s="17">
        <v>149.429993</v>
      </c>
      <c r="D50" s="127">
        <f t="shared" si="0"/>
        <v>4.8410819114648174E-2</v>
      </c>
      <c r="H50" s="105">
        <v>7.0000000000000007E-2</v>
      </c>
      <c r="I50" s="106">
        <f t="shared" si="7"/>
        <v>-8.7249885290151569E-2</v>
      </c>
      <c r="J50" s="107">
        <v>0.5</v>
      </c>
      <c r="K50" s="106">
        <f t="shared" si="8"/>
        <v>5.737869796573758E-3</v>
      </c>
      <c r="L50" s="107">
        <v>0.91</v>
      </c>
      <c r="M50" s="108">
        <f t="shared" si="9"/>
        <v>7.811689361574127E-2</v>
      </c>
    </row>
    <row r="51" spans="2:13" x14ac:dyDescent="0.25">
      <c r="B51" s="12">
        <v>45054</v>
      </c>
      <c r="C51" s="17">
        <v>142.529999</v>
      </c>
      <c r="D51" s="127">
        <f t="shared" si="0"/>
        <v>5.5026384479717194E-3</v>
      </c>
      <c r="H51" s="105">
        <v>0.08</v>
      </c>
      <c r="I51" s="106">
        <f t="shared" si="7"/>
        <v>-8.0465526011393382E-2</v>
      </c>
      <c r="J51" s="107">
        <v>0.55000000000000004</v>
      </c>
      <c r="K51" s="106">
        <f t="shared" si="8"/>
        <v>9.9209577292361864E-3</v>
      </c>
      <c r="L51" s="107">
        <v>0.92</v>
      </c>
      <c r="M51" s="108">
        <f t="shared" si="9"/>
        <v>7.9757435249137879E-2</v>
      </c>
    </row>
    <row r="52" spans="2:13" x14ac:dyDescent="0.25">
      <c r="B52" s="12">
        <v>45047</v>
      </c>
      <c r="C52" s="17">
        <v>141.75</v>
      </c>
      <c r="D52" s="127">
        <f t="shared" si="0"/>
        <v>6.1002946362143096E-2</v>
      </c>
      <c r="H52" s="105">
        <v>0.09</v>
      </c>
      <c r="I52" s="106">
        <f t="shared" si="7"/>
        <v>-7.5722407088406551E-2</v>
      </c>
      <c r="J52" s="107">
        <v>0.6</v>
      </c>
      <c r="K52" s="106">
        <f t="shared" si="8"/>
        <v>1.7000029817087859E-2</v>
      </c>
      <c r="L52" s="107">
        <v>0.93</v>
      </c>
      <c r="M52" s="108">
        <f t="shared" si="9"/>
        <v>9.111815444397435E-2</v>
      </c>
    </row>
    <row r="53" spans="2:13" x14ac:dyDescent="0.25">
      <c r="B53" s="12">
        <v>45040</v>
      </c>
      <c r="C53" s="17">
        <v>133.60000600000001</v>
      </c>
      <c r="D53" s="127">
        <f t="shared" si="0"/>
        <v>-1.1960900566719834E-3</v>
      </c>
      <c r="H53" s="105">
        <v>0.1</v>
      </c>
      <c r="I53" s="106">
        <f t="shared" si="7"/>
        <v>-7.1953812141425336E-2</v>
      </c>
      <c r="J53" s="107">
        <v>0.65</v>
      </c>
      <c r="K53" s="106">
        <f t="shared" si="8"/>
        <v>2.1143746604354894E-2</v>
      </c>
      <c r="L53" s="107">
        <v>0.94</v>
      </c>
      <c r="M53" s="108">
        <f t="shared" si="9"/>
        <v>9.5963369673365495E-2</v>
      </c>
    </row>
    <row r="54" spans="2:13" x14ac:dyDescent="0.25">
      <c r="B54" s="12">
        <v>45033</v>
      </c>
      <c r="C54" s="17">
        <v>133.759995</v>
      </c>
      <c r="D54" s="127">
        <f t="shared" si="0"/>
        <v>-7.2733409799116133E-3</v>
      </c>
      <c r="H54" s="105">
        <v>0.11</v>
      </c>
      <c r="I54" s="106">
        <f t="shared" si="7"/>
        <v>-7.0679770018855878E-2</v>
      </c>
      <c r="J54" s="107">
        <v>0.7</v>
      </c>
      <c r="K54" s="106">
        <f t="shared" si="8"/>
        <v>2.9845402641020112E-2</v>
      </c>
      <c r="L54" s="107">
        <v>0.95</v>
      </c>
      <c r="M54" s="108">
        <f t="shared" si="9"/>
        <v>0.10214587126022781</v>
      </c>
    </row>
    <row r="55" spans="2:13" x14ac:dyDescent="0.25">
      <c r="B55" s="12">
        <v>45026</v>
      </c>
      <c r="C55" s="17">
        <v>134.740005</v>
      </c>
      <c r="D55" s="127">
        <f t="shared" si="0"/>
        <v>1.7059247193817795E-2</v>
      </c>
      <c r="H55" s="105">
        <v>0.12</v>
      </c>
      <c r="I55" s="106">
        <f t="shared" si="7"/>
        <v>-6.7916752114139223E-2</v>
      </c>
      <c r="J55" s="107">
        <v>0.75</v>
      </c>
      <c r="K55" s="106">
        <f t="shared" si="8"/>
        <v>3.980198622079234E-2</v>
      </c>
      <c r="L55" s="107">
        <v>0.96</v>
      </c>
      <c r="M55" s="108">
        <f t="shared" si="9"/>
        <v>0.1184259190398356</v>
      </c>
    </row>
    <row r="56" spans="2:13" x14ac:dyDescent="0.25">
      <c r="B56" s="12">
        <v>45019</v>
      </c>
      <c r="C56" s="17">
        <v>132.479996</v>
      </c>
      <c r="D56" s="127">
        <f t="shared" si="0"/>
        <v>-8.5316497729249763E-3</v>
      </c>
      <c r="H56" s="105">
        <v>0.13</v>
      </c>
      <c r="I56" s="106">
        <f t="shared" si="7"/>
        <v>-6.542738124352708E-2</v>
      </c>
      <c r="J56" s="107">
        <v>0.8</v>
      </c>
      <c r="K56" s="106">
        <f t="shared" si="8"/>
        <v>4.7120435221161945E-2</v>
      </c>
      <c r="L56" s="107">
        <v>0.97</v>
      </c>
      <c r="M56" s="108">
        <f t="shared" si="9"/>
        <v>0.14709617845931788</v>
      </c>
    </row>
    <row r="57" spans="2:13" x14ac:dyDescent="0.25">
      <c r="B57" s="12">
        <v>45012</v>
      </c>
      <c r="C57" s="17">
        <v>133.61999499999999</v>
      </c>
      <c r="D57" s="127">
        <f t="shared" si="0"/>
        <v>4.1465252342979264E-2</v>
      </c>
      <c r="H57" s="105">
        <v>0.14000000000000001</v>
      </c>
      <c r="I57" s="106">
        <f t="shared" si="7"/>
        <v>-6.1101846207536475E-2</v>
      </c>
      <c r="J57" s="107"/>
      <c r="K57" s="106"/>
      <c r="L57" s="107">
        <v>0.98</v>
      </c>
      <c r="M57" s="108">
        <f t="shared" si="9"/>
        <v>0.16120792528725802</v>
      </c>
    </row>
    <row r="58" spans="2:13" ht="15.75" thickBot="1" x14ac:dyDescent="0.3">
      <c r="B58" s="12">
        <v>45005</v>
      </c>
      <c r="C58" s="17">
        <v>128.300003</v>
      </c>
      <c r="D58" s="127">
        <f t="shared" si="0"/>
        <v>9.5208674017110972E-3</v>
      </c>
      <c r="H58" s="109">
        <v>0.15</v>
      </c>
      <c r="I58" s="110">
        <f t="shared" si="7"/>
        <v>-5.9471738655379566E-2</v>
      </c>
      <c r="J58" s="111"/>
      <c r="K58" s="90"/>
      <c r="L58" s="112">
        <v>0.99</v>
      </c>
      <c r="M58" s="113">
        <f t="shared" si="9"/>
        <v>0.1841770276449311</v>
      </c>
    </row>
    <row r="59" spans="2:13" ht="15.75" thickBot="1" x14ac:dyDescent="0.3">
      <c r="B59" s="12">
        <v>44998</v>
      </c>
      <c r="C59" s="17">
        <v>127.089996</v>
      </c>
      <c r="D59" s="127">
        <f t="shared" si="0"/>
        <v>4.4632515382787563E-2</v>
      </c>
    </row>
    <row r="60" spans="2:13" x14ac:dyDescent="0.25">
      <c r="B60" s="12">
        <v>44991</v>
      </c>
      <c r="C60" s="17">
        <v>121.660004</v>
      </c>
      <c r="D60" s="127">
        <f t="shared" si="0"/>
        <v>-1.680939092951983E-2</v>
      </c>
      <c r="H60" s="114" t="s">
        <v>126</v>
      </c>
      <c r="I60" s="115"/>
    </row>
    <row r="61" spans="2:13" ht="15.75" thickBot="1" x14ac:dyDescent="0.3">
      <c r="B61" s="12">
        <v>44984</v>
      </c>
      <c r="C61" s="17">
        <v>123.739998</v>
      </c>
      <c r="D61" s="127">
        <f t="shared" si="0"/>
        <v>5.6342829574379527E-2</v>
      </c>
      <c r="H61" s="116" t="s">
        <v>127</v>
      </c>
      <c r="I61" s="117"/>
    </row>
    <row r="62" spans="2:13" ht="15.75" thickBot="1" x14ac:dyDescent="0.3">
      <c r="B62" s="12">
        <v>44977</v>
      </c>
      <c r="C62" s="17">
        <v>117.139999</v>
      </c>
      <c r="D62" s="127">
        <f t="shared" si="0"/>
        <v>-6.5347505539814721E-2</v>
      </c>
      <c r="H62" s="118"/>
    </row>
    <row r="63" spans="2:13" x14ac:dyDescent="0.25">
      <c r="B63" s="12">
        <v>44970</v>
      </c>
      <c r="C63" s="17">
        <v>125.33000199999999</v>
      </c>
      <c r="D63" s="127">
        <f t="shared" si="0"/>
        <v>1.3582454024210211E-3</v>
      </c>
      <c r="H63" s="114" t="s">
        <v>128</v>
      </c>
      <c r="I63" s="119"/>
    </row>
    <row r="64" spans="2:13" x14ac:dyDescent="0.25">
      <c r="B64" s="12">
        <v>44963</v>
      </c>
      <c r="C64" s="17">
        <v>125.160004</v>
      </c>
      <c r="D64" s="127">
        <f t="shared" si="0"/>
        <v>3.2928992868350049E-2</v>
      </c>
      <c r="H64" s="120" t="s">
        <v>129</v>
      </c>
      <c r="I64" s="121">
        <f>I63*(1-I60)</f>
        <v>0</v>
      </c>
    </row>
    <row r="65" spans="2:9" ht="15.75" thickBot="1" x14ac:dyDescent="0.3">
      <c r="B65" s="12">
        <v>44956</v>
      </c>
      <c r="C65" s="17">
        <v>121.16999800000001</v>
      </c>
      <c r="D65" s="127">
        <f t="shared" si="0"/>
        <v>0.18515258578154525</v>
      </c>
      <c r="H65" s="116" t="s">
        <v>130</v>
      </c>
      <c r="I65" s="122">
        <f>I63*(1+I61)</f>
        <v>0</v>
      </c>
    </row>
    <row r="66" spans="2:9" x14ac:dyDescent="0.25">
      <c r="B66" s="12">
        <v>44949</v>
      </c>
      <c r="C66" s="17">
        <v>102.239998</v>
      </c>
      <c r="D66" s="127">
        <f t="shared" si="0"/>
        <v>4.4224224523573774E-2</v>
      </c>
    </row>
    <row r="67" spans="2:9" x14ac:dyDescent="0.25">
      <c r="B67" s="12">
        <v>44942</v>
      </c>
      <c r="C67" s="17">
        <v>97.910004000000001</v>
      </c>
      <c r="D67" s="127">
        <f t="shared" ref="D67:D130" si="10">C67/C68-1</f>
        <v>6.3545580350762298E-2</v>
      </c>
    </row>
    <row r="68" spans="2:9" x14ac:dyDescent="0.25">
      <c r="B68" s="12">
        <v>44935</v>
      </c>
      <c r="C68" s="17">
        <v>92.059997999999993</v>
      </c>
      <c r="D68" s="127">
        <f t="shared" si="10"/>
        <v>0.10198703492953021</v>
      </c>
    </row>
    <row r="69" spans="2:9" x14ac:dyDescent="0.25">
      <c r="B69" s="12">
        <v>44928</v>
      </c>
      <c r="C69" s="17">
        <v>83.540001000000004</v>
      </c>
      <c r="D69" s="127">
        <f t="shared" si="10"/>
        <v>5.813811493875054E-2</v>
      </c>
    </row>
    <row r="70" spans="2:9" x14ac:dyDescent="0.25">
      <c r="B70" s="12">
        <v>44921</v>
      </c>
      <c r="C70" s="17">
        <v>78.949996999999996</v>
      </c>
      <c r="D70" s="127">
        <f t="shared" si="10"/>
        <v>1.6087516708655825E-2</v>
      </c>
    </row>
    <row r="71" spans="2:9" x14ac:dyDescent="0.25">
      <c r="B71" s="12">
        <v>44914</v>
      </c>
      <c r="C71" s="17">
        <v>77.699996999999996</v>
      </c>
      <c r="D71" s="127">
        <f t="shared" si="10"/>
        <v>3.9603948076102347E-2</v>
      </c>
    </row>
    <row r="72" spans="2:9" x14ac:dyDescent="0.25">
      <c r="B72" s="12">
        <v>44907</v>
      </c>
      <c r="C72" s="17">
        <v>74.739998</v>
      </c>
      <c r="D72" s="127">
        <f t="shared" si="10"/>
        <v>-4.3878726976557036E-2</v>
      </c>
    </row>
    <row r="73" spans="2:9" x14ac:dyDescent="0.25">
      <c r="B73" s="12">
        <v>44900</v>
      </c>
      <c r="C73" s="17">
        <v>78.169998000000007</v>
      </c>
      <c r="D73" s="127">
        <f t="shared" si="10"/>
        <v>-2.6646744531110378E-2</v>
      </c>
    </row>
    <row r="74" spans="2:9" x14ac:dyDescent="0.25">
      <c r="B74" s="12">
        <v>44893</v>
      </c>
      <c r="C74" s="17">
        <v>80.309997999999993</v>
      </c>
      <c r="D74" s="127">
        <f t="shared" si="10"/>
        <v>2.0068524575059365E-2</v>
      </c>
    </row>
    <row r="75" spans="2:9" x14ac:dyDescent="0.25">
      <c r="B75" s="12">
        <v>44886</v>
      </c>
      <c r="C75" s="17">
        <v>78.730002999999996</v>
      </c>
      <c r="D75" s="127">
        <f t="shared" si="10"/>
        <v>2.2600403236794353E-2</v>
      </c>
    </row>
    <row r="76" spans="2:9" x14ac:dyDescent="0.25">
      <c r="B76" s="12">
        <v>44879</v>
      </c>
      <c r="C76" s="17">
        <v>76.989998</v>
      </c>
      <c r="D76" s="127">
        <f t="shared" si="10"/>
        <v>-8.0277160199225372E-2</v>
      </c>
    </row>
    <row r="77" spans="2:9" x14ac:dyDescent="0.25">
      <c r="B77" s="12">
        <v>44872</v>
      </c>
      <c r="C77" s="17">
        <v>83.709998999999996</v>
      </c>
      <c r="D77" s="127">
        <f t="shared" si="10"/>
        <v>0.17818431337715768</v>
      </c>
    </row>
    <row r="78" spans="2:9" x14ac:dyDescent="0.25">
      <c r="B78" s="12">
        <v>44865</v>
      </c>
      <c r="C78" s="17">
        <v>71.050003000000004</v>
      </c>
      <c r="D78" s="127">
        <f t="shared" si="10"/>
        <v>-0.14767271895786083</v>
      </c>
    </row>
    <row r="79" spans="2:9" x14ac:dyDescent="0.25">
      <c r="B79" s="12">
        <v>44858</v>
      </c>
      <c r="C79" s="17">
        <v>83.360000999999997</v>
      </c>
      <c r="D79" s="127">
        <f t="shared" si="10"/>
        <v>-6.0202888169207047E-2</v>
      </c>
    </row>
    <row r="80" spans="2:9" x14ac:dyDescent="0.25">
      <c r="B80" s="12">
        <v>44851</v>
      </c>
      <c r="C80" s="17">
        <v>88.699996999999996</v>
      </c>
      <c r="D80" s="127">
        <f t="shared" si="10"/>
        <v>8.4484605887215958E-2</v>
      </c>
    </row>
    <row r="81" spans="2:4" x14ac:dyDescent="0.25">
      <c r="B81" s="12">
        <v>44844</v>
      </c>
      <c r="C81" s="17">
        <v>81.790001000000004</v>
      </c>
      <c r="D81" s="127">
        <f t="shared" si="10"/>
        <v>-7.0673796825956203E-2</v>
      </c>
    </row>
    <row r="82" spans="2:4" x14ac:dyDescent="0.25">
      <c r="B82" s="12">
        <v>44837</v>
      </c>
      <c r="C82" s="17">
        <v>88.010002</v>
      </c>
      <c r="D82" s="127">
        <f t="shared" si="10"/>
        <v>1.9814587955460317E-2</v>
      </c>
    </row>
    <row r="83" spans="2:4" x14ac:dyDescent="0.25">
      <c r="B83" s="12">
        <v>44830</v>
      </c>
      <c r="C83" s="17">
        <v>86.300003000000004</v>
      </c>
      <c r="D83" s="127">
        <f t="shared" si="10"/>
        <v>-3.4027234565804032E-2</v>
      </c>
    </row>
    <row r="84" spans="2:4" x14ac:dyDescent="0.25">
      <c r="B84" s="12">
        <v>44823</v>
      </c>
      <c r="C84" s="17">
        <v>89.339995999999999</v>
      </c>
      <c r="D84" s="127">
        <f t="shared" si="10"/>
        <v>-0.10962727166144193</v>
      </c>
    </row>
    <row r="85" spans="2:4" x14ac:dyDescent="0.25">
      <c r="B85" s="12">
        <v>44816</v>
      </c>
      <c r="C85" s="17">
        <v>100.339996</v>
      </c>
      <c r="D85" s="127">
        <f t="shared" si="10"/>
        <v>-9.0134231865562575E-2</v>
      </c>
    </row>
    <row r="86" spans="2:4" x14ac:dyDescent="0.25">
      <c r="B86" s="12">
        <v>44809</v>
      </c>
      <c r="C86" s="17">
        <v>110.279999</v>
      </c>
      <c r="D86" s="127">
        <f t="shared" si="10"/>
        <v>5.6119527985434292E-2</v>
      </c>
    </row>
    <row r="87" spans="2:4" x14ac:dyDescent="0.25">
      <c r="B87" s="12">
        <v>44802</v>
      </c>
      <c r="C87" s="17">
        <v>104.41999800000001</v>
      </c>
      <c r="D87" s="127">
        <f t="shared" si="10"/>
        <v>-4.473515771173997E-2</v>
      </c>
    </row>
    <row r="88" spans="2:4" x14ac:dyDescent="0.25">
      <c r="B88" s="12">
        <v>44795</v>
      </c>
      <c r="C88" s="17">
        <v>109.30999799999999</v>
      </c>
      <c r="D88" s="127">
        <f t="shared" si="10"/>
        <v>-1.9025415058781414E-2</v>
      </c>
    </row>
    <row r="89" spans="2:4" x14ac:dyDescent="0.25">
      <c r="B89" s="12">
        <v>44788</v>
      </c>
      <c r="C89" s="17">
        <v>111.43</v>
      </c>
      <c r="D89" s="127">
        <f t="shared" si="10"/>
        <v>-9.8681527914297296E-2</v>
      </c>
    </row>
    <row r="90" spans="2:4" x14ac:dyDescent="0.25">
      <c r="B90" s="12">
        <v>44781</v>
      </c>
      <c r="C90" s="17">
        <v>123.629997</v>
      </c>
      <c r="D90" s="127">
        <f t="shared" si="10"/>
        <v>4.12700570722635E-2</v>
      </c>
    </row>
    <row r="91" spans="2:4" x14ac:dyDescent="0.25">
      <c r="B91" s="12">
        <v>44774</v>
      </c>
      <c r="C91" s="17">
        <v>118.730003</v>
      </c>
      <c r="D91" s="127">
        <f t="shared" si="10"/>
        <v>5.0522085927855676E-2</v>
      </c>
    </row>
    <row r="92" spans="2:4" x14ac:dyDescent="0.25">
      <c r="B92" s="12">
        <v>44767</v>
      </c>
      <c r="C92" s="17">
        <v>113.019997</v>
      </c>
      <c r="D92" s="127">
        <f t="shared" si="10"/>
        <v>1.2270443129951847E-2</v>
      </c>
    </row>
    <row r="93" spans="2:4" x14ac:dyDescent="0.25">
      <c r="B93" s="12">
        <v>44760</v>
      </c>
      <c r="C93" s="17">
        <v>111.650002</v>
      </c>
      <c r="D93" s="127">
        <f t="shared" si="10"/>
        <v>9.1077883493054346E-2</v>
      </c>
    </row>
    <row r="94" spans="2:4" x14ac:dyDescent="0.25">
      <c r="B94" s="12">
        <v>44753</v>
      </c>
      <c r="C94" s="17">
        <v>102.33000199999999</v>
      </c>
      <c r="D94" s="127">
        <f t="shared" si="10"/>
        <v>-1.8323062515791744E-2</v>
      </c>
    </row>
    <row r="95" spans="2:4" x14ac:dyDescent="0.25">
      <c r="B95" s="12">
        <v>44746</v>
      </c>
      <c r="C95" s="17">
        <v>104.239998</v>
      </c>
      <c r="D95" s="127">
        <f t="shared" si="10"/>
        <v>6.8908954129684785E-2</v>
      </c>
    </row>
    <row r="96" spans="2:4" x14ac:dyDescent="0.25">
      <c r="B96" s="12">
        <v>44739</v>
      </c>
      <c r="C96" s="17">
        <v>97.519997000000004</v>
      </c>
      <c r="D96" s="127">
        <f t="shared" si="10"/>
        <v>-8.859815887850464E-2</v>
      </c>
    </row>
    <row r="97" spans="2:4" x14ac:dyDescent="0.25">
      <c r="B97" s="12">
        <v>44732</v>
      </c>
      <c r="C97" s="17">
        <v>107</v>
      </c>
      <c r="D97" s="127">
        <f t="shared" si="10"/>
        <v>7.7868472182989867E-2</v>
      </c>
    </row>
    <row r="98" spans="2:4" x14ac:dyDescent="0.25">
      <c r="B98" s="12">
        <v>44725</v>
      </c>
      <c r="C98" s="17">
        <v>99.269997000000004</v>
      </c>
      <c r="D98" s="127">
        <f t="shared" si="10"/>
        <v>-2.8954376534646054E-2</v>
      </c>
    </row>
    <row r="99" spans="2:4" x14ac:dyDescent="0.25">
      <c r="B99" s="12">
        <v>44718</v>
      </c>
      <c r="C99" s="17">
        <v>102.230003</v>
      </c>
      <c r="D99" s="127">
        <f t="shared" si="10"/>
        <v>-8.91027330721893E-2</v>
      </c>
    </row>
    <row r="100" spans="2:4" x14ac:dyDescent="0.25">
      <c r="B100" s="12">
        <v>44711</v>
      </c>
      <c r="C100" s="17">
        <v>112.230003</v>
      </c>
      <c r="D100" s="127">
        <f t="shared" si="10"/>
        <v>-6.550393851904146E-3</v>
      </c>
    </row>
    <row r="101" spans="2:4" x14ac:dyDescent="0.25">
      <c r="B101" s="12">
        <v>44704</v>
      </c>
      <c r="C101" s="17">
        <v>112.970001</v>
      </c>
      <c r="D101" s="127">
        <f t="shared" si="10"/>
        <v>5.3136982934752774E-2</v>
      </c>
    </row>
    <row r="102" spans="2:4" x14ac:dyDescent="0.25">
      <c r="B102" s="12">
        <v>44697</v>
      </c>
      <c r="C102" s="17">
        <v>107.269997</v>
      </c>
      <c r="D102" s="127">
        <f t="shared" si="10"/>
        <v>1.1122641573103609E-2</v>
      </c>
    </row>
    <row r="103" spans="2:4" x14ac:dyDescent="0.25">
      <c r="B103" s="12">
        <v>44690</v>
      </c>
      <c r="C103" s="17">
        <v>106.089996</v>
      </c>
      <c r="D103" s="127">
        <f t="shared" si="10"/>
        <v>1.3469583492548676E-2</v>
      </c>
    </row>
    <row r="104" spans="2:4" x14ac:dyDescent="0.25">
      <c r="B104" s="12">
        <v>44683</v>
      </c>
      <c r="C104" s="17">
        <v>104.68</v>
      </c>
      <c r="D104" s="127">
        <f t="shared" si="10"/>
        <v>2.9808145011153142E-2</v>
      </c>
    </row>
    <row r="105" spans="2:4" x14ac:dyDescent="0.25">
      <c r="B105" s="12">
        <v>44676</v>
      </c>
      <c r="C105" s="17">
        <v>101.650002</v>
      </c>
      <c r="D105" s="127">
        <f t="shared" si="10"/>
        <v>-7.7669876396605275E-2</v>
      </c>
    </row>
    <row r="106" spans="2:4" x14ac:dyDescent="0.25">
      <c r="B106" s="12">
        <v>44669</v>
      </c>
      <c r="C106" s="17">
        <v>110.209999</v>
      </c>
      <c r="D106" s="127">
        <f t="shared" si="10"/>
        <v>-0.1912380144936372</v>
      </c>
    </row>
    <row r="107" spans="2:4" x14ac:dyDescent="0.25">
      <c r="B107" s="12">
        <v>44662</v>
      </c>
      <c r="C107" s="17">
        <v>136.270004</v>
      </c>
      <c r="D107" s="127">
        <f t="shared" si="10"/>
        <v>-3.5461459764025038E-2</v>
      </c>
    </row>
    <row r="108" spans="2:4" x14ac:dyDescent="0.25">
      <c r="B108" s="12">
        <v>44655</v>
      </c>
      <c r="C108" s="17">
        <v>141.279999</v>
      </c>
      <c r="D108" s="127">
        <f t="shared" si="10"/>
        <v>-8.0806754992974961E-2</v>
      </c>
    </row>
    <row r="109" spans="2:4" x14ac:dyDescent="0.25">
      <c r="B109" s="12">
        <v>44648</v>
      </c>
      <c r="C109" s="17">
        <v>153.699997</v>
      </c>
      <c r="D109" s="127">
        <f t="shared" si="10"/>
        <v>5.2451413086550769E-2</v>
      </c>
    </row>
    <row r="110" spans="2:4" x14ac:dyDescent="0.25">
      <c r="B110" s="12">
        <v>44641</v>
      </c>
      <c r="C110" s="17">
        <v>146.03999300000001</v>
      </c>
      <c r="D110" s="127">
        <f t="shared" si="10"/>
        <v>8.7028181289046103E-3</v>
      </c>
    </row>
    <row r="111" spans="2:4" x14ac:dyDescent="0.25">
      <c r="B111" s="12">
        <v>44634</v>
      </c>
      <c r="C111" s="17">
        <v>144.779999</v>
      </c>
      <c r="D111" s="127">
        <f t="shared" si="10"/>
        <v>0.16485636684482774</v>
      </c>
    </row>
    <row r="112" spans="2:4" x14ac:dyDescent="0.25">
      <c r="B112" s="12">
        <v>44627</v>
      </c>
      <c r="C112" s="17">
        <v>124.290001</v>
      </c>
      <c r="D112" s="127">
        <f t="shared" si="10"/>
        <v>-8.0491212258507194E-2</v>
      </c>
    </row>
    <row r="113" spans="2:4" x14ac:dyDescent="0.25">
      <c r="B113" s="12">
        <v>44620</v>
      </c>
      <c r="C113" s="17">
        <v>135.16999799999999</v>
      </c>
      <c r="D113" s="127">
        <f t="shared" si="10"/>
        <v>-0.11019686366409409</v>
      </c>
    </row>
    <row r="114" spans="2:4" x14ac:dyDescent="0.25">
      <c r="B114" s="12">
        <v>44613</v>
      </c>
      <c r="C114" s="17">
        <v>151.91000399999999</v>
      </c>
      <c r="D114" s="127">
        <f t="shared" si="10"/>
        <v>-2.3642213866363893E-3</v>
      </c>
    </row>
    <row r="115" spans="2:4" x14ac:dyDescent="0.25">
      <c r="B115" s="12">
        <v>44606</v>
      </c>
      <c r="C115" s="17">
        <v>152.270004</v>
      </c>
      <c r="D115" s="127">
        <f t="shared" si="10"/>
        <v>-5.9655341305424492E-2</v>
      </c>
    </row>
    <row r="116" spans="2:4" x14ac:dyDescent="0.25">
      <c r="B116" s="12">
        <v>44599</v>
      </c>
      <c r="C116" s="17">
        <v>161.929993</v>
      </c>
      <c r="D116" s="127">
        <f t="shared" si="10"/>
        <v>-7.1661987626176149E-2</v>
      </c>
    </row>
    <row r="117" spans="2:4" x14ac:dyDescent="0.25">
      <c r="B117" s="12">
        <v>44592</v>
      </c>
      <c r="C117" s="17">
        <v>174.429993</v>
      </c>
      <c r="D117" s="127">
        <f t="shared" si="10"/>
        <v>8.3824548128674792E-3</v>
      </c>
    </row>
    <row r="118" spans="2:4" x14ac:dyDescent="0.25">
      <c r="B118" s="12">
        <v>44585</v>
      </c>
      <c r="C118" s="17">
        <v>172.979996</v>
      </c>
      <c r="D118" s="127">
        <f t="shared" si="10"/>
        <v>-0.1153275871494277</v>
      </c>
    </row>
    <row r="119" spans="2:4" x14ac:dyDescent="0.25">
      <c r="B119" s="12">
        <v>44578</v>
      </c>
      <c r="C119" s="17">
        <v>195.529999</v>
      </c>
      <c r="D119" s="127">
        <f t="shared" si="10"/>
        <v>-0.10537151908282871</v>
      </c>
    </row>
    <row r="120" spans="2:4" x14ac:dyDescent="0.25">
      <c r="B120" s="12">
        <v>44571</v>
      </c>
      <c r="C120" s="17">
        <v>218.55999800000001</v>
      </c>
      <c r="D120" s="127">
        <f t="shared" si="10"/>
        <v>-2.2452831000511431E-2</v>
      </c>
    </row>
    <row r="121" spans="2:4" x14ac:dyDescent="0.25">
      <c r="B121" s="12">
        <v>44564</v>
      </c>
      <c r="C121" s="17">
        <v>223.58000200000001</v>
      </c>
      <c r="D121" s="127">
        <f t="shared" si="10"/>
        <v>-4.4652382364023357E-2</v>
      </c>
    </row>
    <row r="122" spans="2:4" x14ac:dyDescent="0.25">
      <c r="B122" s="12">
        <v>44557</v>
      </c>
      <c r="C122" s="17">
        <v>234.029999</v>
      </c>
      <c r="D122" s="127">
        <f t="shared" si="10"/>
        <v>-1.0987642923812713E-2</v>
      </c>
    </row>
    <row r="123" spans="2:4" x14ac:dyDescent="0.25">
      <c r="B123" s="12">
        <v>44550</v>
      </c>
      <c r="C123" s="17">
        <v>236.63000500000001</v>
      </c>
      <c r="D123" s="127">
        <f t="shared" si="10"/>
        <v>5.737869796573758E-3</v>
      </c>
    </row>
    <row r="124" spans="2:4" x14ac:dyDescent="0.25">
      <c r="B124" s="12">
        <v>44543</v>
      </c>
      <c r="C124" s="17">
        <v>235.279999</v>
      </c>
      <c r="D124" s="127">
        <f t="shared" si="10"/>
        <v>8.6598818627257046E-3</v>
      </c>
    </row>
    <row r="125" spans="2:4" x14ac:dyDescent="0.25">
      <c r="B125" s="12">
        <v>44536</v>
      </c>
      <c r="C125" s="17">
        <v>233.259995</v>
      </c>
      <c r="D125" s="127">
        <f t="shared" si="10"/>
        <v>1.9492971772382406E-2</v>
      </c>
    </row>
    <row r="126" spans="2:4" x14ac:dyDescent="0.25">
      <c r="B126" s="12">
        <v>44529</v>
      </c>
      <c r="C126" s="17">
        <v>228.800003</v>
      </c>
      <c r="D126" s="127">
        <f t="shared" si="10"/>
        <v>-8.8046538674504848E-2</v>
      </c>
    </row>
    <row r="127" spans="2:4" x14ac:dyDescent="0.25">
      <c r="B127" s="12">
        <v>44522</v>
      </c>
      <c r="C127" s="17">
        <v>250.88999899999999</v>
      </c>
      <c r="D127" s="127">
        <f t="shared" si="10"/>
        <v>-3.3365399346502733E-2</v>
      </c>
    </row>
    <row r="128" spans="2:4" x14ac:dyDescent="0.25">
      <c r="B128" s="12">
        <v>44515</v>
      </c>
      <c r="C128" s="17">
        <v>259.54998799999998</v>
      </c>
      <c r="D128" s="127">
        <f t="shared" si="10"/>
        <v>-7.4885978577744483E-2</v>
      </c>
    </row>
    <row r="129" spans="2:4" x14ac:dyDescent="0.25">
      <c r="B129" s="12">
        <v>44508</v>
      </c>
      <c r="C129" s="17">
        <v>280.55999800000001</v>
      </c>
      <c r="D129" s="127">
        <f t="shared" si="10"/>
        <v>-2.9372047578151039E-2</v>
      </c>
    </row>
    <row r="130" spans="2:4" x14ac:dyDescent="0.25">
      <c r="B130" s="12">
        <v>44501</v>
      </c>
      <c r="C130" s="17">
        <v>289.04998799999998</v>
      </c>
      <c r="D130" s="127">
        <f t="shared" si="10"/>
        <v>-1.2094195136714836E-3</v>
      </c>
    </row>
    <row r="131" spans="2:4" x14ac:dyDescent="0.25">
      <c r="B131" s="12">
        <v>44494</v>
      </c>
      <c r="C131" s="17">
        <v>289.39999399999999</v>
      </c>
      <c r="D131" s="127">
        <f t="shared" ref="D131:D194" si="11">C131/C132-1</f>
        <v>0.14405434057408129</v>
      </c>
    </row>
    <row r="132" spans="2:4" x14ac:dyDescent="0.25">
      <c r="B132" s="12">
        <v>44487</v>
      </c>
      <c r="C132" s="17">
        <v>252.96000699999999</v>
      </c>
      <c r="D132" s="127">
        <f t="shared" si="11"/>
        <v>2.2473779849808695E-2</v>
      </c>
    </row>
    <row r="133" spans="2:4" x14ac:dyDescent="0.25">
      <c r="B133" s="12">
        <v>44480</v>
      </c>
      <c r="C133" s="17">
        <v>247.39999399999999</v>
      </c>
      <c r="D133" s="127">
        <f t="shared" si="11"/>
        <v>6.2349659430829929E-2</v>
      </c>
    </row>
    <row r="134" spans="2:4" x14ac:dyDescent="0.25">
      <c r="B134" s="12">
        <v>44473</v>
      </c>
      <c r="C134" s="17">
        <v>232.88000500000001</v>
      </c>
      <c r="D134" s="127">
        <f t="shared" si="11"/>
        <v>1.547988910757514E-2</v>
      </c>
    </row>
    <row r="135" spans="2:4" x14ac:dyDescent="0.25">
      <c r="B135" s="12">
        <v>44466</v>
      </c>
      <c r="C135" s="17">
        <v>229.33000200000001</v>
      </c>
      <c r="D135" s="127">
        <f t="shared" si="11"/>
        <v>-3.7793006574191601E-3</v>
      </c>
    </row>
    <row r="136" spans="2:4" x14ac:dyDescent="0.25">
      <c r="B136" s="12">
        <v>44459</v>
      </c>
      <c r="C136" s="17">
        <v>230.199997</v>
      </c>
      <c r="D136" s="127">
        <f t="shared" si="11"/>
        <v>-7.2148361818258122E-2</v>
      </c>
    </row>
    <row r="137" spans="2:4" x14ac:dyDescent="0.25">
      <c r="B137" s="12">
        <v>44452</v>
      </c>
      <c r="C137" s="17">
        <v>248.10000600000001</v>
      </c>
      <c r="D137" s="127">
        <f t="shared" si="11"/>
        <v>1.3723401955993975E-3</v>
      </c>
    </row>
    <row r="138" spans="2:4" x14ac:dyDescent="0.25">
      <c r="B138" s="12">
        <v>44445</v>
      </c>
      <c r="C138" s="17">
        <v>247.759995</v>
      </c>
      <c r="D138" s="127">
        <f t="shared" si="11"/>
        <v>-5.1397287021286431E-3</v>
      </c>
    </row>
    <row r="139" spans="2:4" x14ac:dyDescent="0.25">
      <c r="B139" s="12">
        <v>44438</v>
      </c>
      <c r="C139" s="17">
        <v>249.03999300000001</v>
      </c>
      <c r="D139" s="127">
        <f t="shared" si="11"/>
        <v>0.1018493433882075</v>
      </c>
    </row>
    <row r="140" spans="2:4" x14ac:dyDescent="0.25">
      <c r="B140" s="12">
        <v>44431</v>
      </c>
      <c r="C140" s="17">
        <v>226.020004</v>
      </c>
      <c r="D140" s="127">
        <f t="shared" si="11"/>
        <v>4.329765991182466E-2</v>
      </c>
    </row>
    <row r="141" spans="2:4" x14ac:dyDescent="0.25">
      <c r="B141" s="12">
        <v>44424</v>
      </c>
      <c r="C141" s="17">
        <v>216.63999899999999</v>
      </c>
      <c r="D141" s="127">
        <f t="shared" si="11"/>
        <v>2.4399485046330271E-2</v>
      </c>
    </row>
    <row r="142" spans="2:4" x14ac:dyDescent="0.25">
      <c r="B142" s="12">
        <v>44417</v>
      </c>
      <c r="C142" s="17">
        <v>211.479996</v>
      </c>
      <c r="D142" s="127">
        <f t="shared" si="11"/>
        <v>-4.7258660867420588E-2</v>
      </c>
    </row>
    <row r="143" spans="2:4" x14ac:dyDescent="0.25">
      <c r="B143" s="12">
        <v>44410</v>
      </c>
      <c r="C143" s="17">
        <v>221.970001</v>
      </c>
      <c r="D143" s="127">
        <f t="shared" si="11"/>
        <v>-2.929985157038395E-2</v>
      </c>
    </row>
    <row r="144" spans="2:4" x14ac:dyDescent="0.25">
      <c r="B144" s="12">
        <v>44403</v>
      </c>
      <c r="C144" s="17">
        <v>228.66999799999999</v>
      </c>
      <c r="D144" s="127">
        <f t="shared" si="11"/>
        <v>-6.1443117145965842E-2</v>
      </c>
    </row>
    <row r="145" spans="2:4" x14ac:dyDescent="0.25">
      <c r="B145" s="12">
        <v>44396</v>
      </c>
      <c r="C145" s="17">
        <v>243.63999899999999</v>
      </c>
      <c r="D145" s="127">
        <f t="shared" si="11"/>
        <v>1.6444416698642161E-3</v>
      </c>
    </row>
    <row r="146" spans="2:4" x14ac:dyDescent="0.25">
      <c r="B146" s="12">
        <v>44389</v>
      </c>
      <c r="C146" s="17">
        <v>243.240005</v>
      </c>
      <c r="D146" s="127">
        <f t="shared" si="11"/>
        <v>-7.4534805649859148E-2</v>
      </c>
    </row>
    <row r="147" spans="2:4" x14ac:dyDescent="0.25">
      <c r="B147" s="12">
        <v>44382</v>
      </c>
      <c r="C147" s="17">
        <v>262.82998700000002</v>
      </c>
      <c r="D147" s="127">
        <f t="shared" si="11"/>
        <v>-1.8668559320058509E-2</v>
      </c>
    </row>
    <row r="148" spans="2:4" x14ac:dyDescent="0.25">
      <c r="B148" s="12">
        <v>44375</v>
      </c>
      <c r="C148" s="17">
        <v>267.82998700000002</v>
      </c>
      <c r="D148" s="127">
        <f t="shared" si="11"/>
        <v>5.443283928161291E-3</v>
      </c>
    </row>
    <row r="149" spans="2:4" x14ac:dyDescent="0.25">
      <c r="B149" s="12">
        <v>44368</v>
      </c>
      <c r="C149" s="17">
        <v>266.38000499999998</v>
      </c>
      <c r="D149" s="127">
        <f t="shared" si="11"/>
        <v>7.5674390549484771E-2</v>
      </c>
    </row>
    <row r="150" spans="2:4" x14ac:dyDescent="0.25">
      <c r="B150" s="12">
        <v>44361</v>
      </c>
      <c r="C150" s="17">
        <v>247.63999899999999</v>
      </c>
      <c r="D150" s="127">
        <f t="shared" si="11"/>
        <v>1.633421544226854E-2</v>
      </c>
    </row>
    <row r="151" spans="2:4" x14ac:dyDescent="0.25">
      <c r="B151" s="12">
        <v>44354</v>
      </c>
      <c r="C151" s="17">
        <v>243.66000399999999</v>
      </c>
      <c r="D151" s="127">
        <f t="shared" si="11"/>
        <v>3.1714468659986172E-2</v>
      </c>
    </row>
    <row r="152" spans="2:4" x14ac:dyDescent="0.25">
      <c r="B152" s="12">
        <v>44347</v>
      </c>
      <c r="C152" s="17">
        <v>236.16999799999999</v>
      </c>
      <c r="D152" s="127">
        <f t="shared" si="11"/>
        <v>-2.235380570237766E-2</v>
      </c>
    </row>
    <row r="153" spans="2:4" x14ac:dyDescent="0.25">
      <c r="B153" s="12">
        <v>44340</v>
      </c>
      <c r="C153" s="17">
        <v>241.570007</v>
      </c>
      <c r="D153" s="127">
        <f t="shared" si="11"/>
        <v>5.4246347448050791E-2</v>
      </c>
    </row>
    <row r="154" spans="2:4" x14ac:dyDescent="0.25">
      <c r="B154" s="12">
        <v>44333</v>
      </c>
      <c r="C154" s="17">
        <v>229.13999899999999</v>
      </c>
      <c r="D154" s="127">
        <f t="shared" si="11"/>
        <v>2.482223310205689E-2</v>
      </c>
    </row>
    <row r="155" spans="2:4" x14ac:dyDescent="0.25">
      <c r="B155" s="12">
        <v>44326</v>
      </c>
      <c r="C155" s="17">
        <v>223.58999600000001</v>
      </c>
      <c r="D155" s="127">
        <f t="shared" si="11"/>
        <v>-6.6079143459685907E-2</v>
      </c>
    </row>
    <row r="156" spans="2:4" x14ac:dyDescent="0.25">
      <c r="B156" s="12">
        <v>44319</v>
      </c>
      <c r="C156" s="17">
        <v>239.41000399999999</v>
      </c>
      <c r="D156" s="127">
        <f t="shared" si="11"/>
        <v>-5.0412467285666951E-2</v>
      </c>
    </row>
    <row r="157" spans="2:4" x14ac:dyDescent="0.25">
      <c r="B157" s="12">
        <v>44312</v>
      </c>
      <c r="C157" s="17">
        <v>252.11999499999999</v>
      </c>
      <c r="D157" s="127">
        <f t="shared" si="11"/>
        <v>-0.11259720421300934</v>
      </c>
    </row>
    <row r="158" spans="2:4" x14ac:dyDescent="0.25">
      <c r="B158" s="12">
        <v>44305</v>
      </c>
      <c r="C158" s="17">
        <v>284.10998499999999</v>
      </c>
      <c r="D158" s="127">
        <f t="shared" si="11"/>
        <v>-2.7087200527221467E-2</v>
      </c>
    </row>
    <row r="159" spans="2:4" x14ac:dyDescent="0.25">
      <c r="B159" s="12">
        <v>44298</v>
      </c>
      <c r="C159" s="17">
        <v>292.01998900000001</v>
      </c>
      <c r="D159" s="127">
        <f t="shared" si="11"/>
        <v>4.591682109240014E-2</v>
      </c>
    </row>
    <row r="160" spans="2:4" x14ac:dyDescent="0.25">
      <c r="B160" s="12">
        <v>44291</v>
      </c>
      <c r="C160" s="17">
        <v>279.20001200000002</v>
      </c>
      <c r="D160" s="127">
        <f t="shared" si="11"/>
        <v>2.2336162087085443E-2</v>
      </c>
    </row>
    <row r="161" spans="2:4" x14ac:dyDescent="0.25">
      <c r="B161" s="12">
        <v>44284</v>
      </c>
      <c r="C161" s="17">
        <v>273.10000600000001</v>
      </c>
      <c r="D161" s="127">
        <f t="shared" si="11"/>
        <v>4.5118855345136932E-2</v>
      </c>
    </row>
    <row r="162" spans="2:4" x14ac:dyDescent="0.25">
      <c r="B162" s="12">
        <v>44277</v>
      </c>
      <c r="C162" s="17">
        <v>261.30999800000001</v>
      </c>
      <c r="D162" s="127">
        <f t="shared" si="11"/>
        <v>-3.968978573130999E-2</v>
      </c>
    </row>
    <row r="163" spans="2:4" x14ac:dyDescent="0.25">
      <c r="B163" s="12">
        <v>44270</v>
      </c>
      <c r="C163" s="17">
        <v>272.10998499999999</v>
      </c>
      <c r="D163" s="127">
        <f t="shared" si="11"/>
        <v>-2.779674008735189E-2</v>
      </c>
    </row>
    <row r="164" spans="2:4" x14ac:dyDescent="0.25">
      <c r="B164" s="12">
        <v>44263</v>
      </c>
      <c r="C164" s="17">
        <v>279.89001500000001</v>
      </c>
      <c r="D164" s="127">
        <f t="shared" si="11"/>
        <v>1.7855857893612548E-2</v>
      </c>
    </row>
    <row r="165" spans="2:4" x14ac:dyDescent="0.25">
      <c r="B165" s="12">
        <v>44256</v>
      </c>
      <c r="C165" s="17">
        <v>274.98001099999999</v>
      </c>
      <c r="D165" s="127">
        <f t="shared" si="11"/>
        <v>-0.10540696685849815</v>
      </c>
    </row>
    <row r="166" spans="2:4" x14ac:dyDescent="0.25">
      <c r="B166" s="12">
        <v>44249</v>
      </c>
      <c r="C166" s="17">
        <v>307.38000499999998</v>
      </c>
      <c r="D166" s="127">
        <f t="shared" si="11"/>
        <v>-0.15691596485823489</v>
      </c>
    </row>
    <row r="167" spans="2:4" x14ac:dyDescent="0.25">
      <c r="B167" s="12">
        <v>44242</v>
      </c>
      <c r="C167" s="17">
        <v>364.58999599999999</v>
      </c>
      <c r="D167" s="127">
        <f t="shared" si="11"/>
        <v>7.3270483134395548E-2</v>
      </c>
    </row>
    <row r="168" spans="2:4" x14ac:dyDescent="0.25">
      <c r="B168" s="12">
        <v>44235</v>
      </c>
      <c r="C168" s="17">
        <v>339.70001200000002</v>
      </c>
      <c r="D168" s="127">
        <f t="shared" si="11"/>
        <v>9.3091431039050487E-2</v>
      </c>
    </row>
    <row r="169" spans="2:4" x14ac:dyDescent="0.25">
      <c r="B169" s="12">
        <v>44228</v>
      </c>
      <c r="C169" s="17">
        <v>310.76998900000001</v>
      </c>
      <c r="D169" s="127">
        <f t="shared" si="11"/>
        <v>-1.3428606349206285E-2</v>
      </c>
    </row>
    <row r="170" spans="2:4" x14ac:dyDescent="0.25">
      <c r="B170" s="12">
        <v>44221</v>
      </c>
      <c r="C170" s="17">
        <v>315</v>
      </c>
      <c r="D170" s="127">
        <f t="shared" si="11"/>
        <v>-7.068678202791201E-2</v>
      </c>
    </row>
    <row r="171" spans="2:4" x14ac:dyDescent="0.25">
      <c r="B171" s="12">
        <v>44214</v>
      </c>
      <c r="C171" s="17">
        <v>338.959991</v>
      </c>
      <c r="D171" s="127">
        <f t="shared" si="11"/>
        <v>5.9846112128938866E-2</v>
      </c>
    </row>
    <row r="172" spans="2:4" x14ac:dyDescent="0.25">
      <c r="B172" s="12">
        <v>44207</v>
      </c>
      <c r="C172" s="17">
        <v>319.82000699999998</v>
      </c>
      <c r="D172" s="127">
        <f t="shared" si="11"/>
        <v>-9.4276512741490515E-2</v>
      </c>
    </row>
    <row r="173" spans="2:4" x14ac:dyDescent="0.25">
      <c r="B173" s="12">
        <v>44200</v>
      </c>
      <c r="C173" s="17">
        <v>353.10998499999999</v>
      </c>
      <c r="D173" s="127">
        <f t="shared" si="11"/>
        <v>0.12219532355945684</v>
      </c>
    </row>
    <row r="174" spans="2:4" x14ac:dyDescent="0.25">
      <c r="B174" s="12">
        <v>44193</v>
      </c>
      <c r="C174" s="17">
        <v>314.66000400000001</v>
      </c>
      <c r="D174" s="127">
        <f t="shared" si="11"/>
        <v>-4.1810074523733531E-2</v>
      </c>
    </row>
    <row r="175" spans="2:4" x14ac:dyDescent="0.25">
      <c r="B175" s="12">
        <v>44186</v>
      </c>
      <c r="C175" s="17">
        <v>328.39001500000001</v>
      </c>
      <c r="D175" s="127">
        <f t="shared" si="11"/>
        <v>-2.2939574121876083E-2</v>
      </c>
    </row>
    <row r="176" spans="2:4" x14ac:dyDescent="0.25">
      <c r="B176" s="12">
        <v>44179</v>
      </c>
      <c r="C176" s="17">
        <v>336.10000600000001</v>
      </c>
      <c r="D176" s="127">
        <f t="shared" si="11"/>
        <v>-1.5004967425693239E-2</v>
      </c>
    </row>
    <row r="177" spans="2:4" x14ac:dyDescent="0.25">
      <c r="B177" s="12">
        <v>44172</v>
      </c>
      <c r="C177" s="17">
        <v>341.22000100000002</v>
      </c>
      <c r="D177" s="127">
        <f t="shared" si="11"/>
        <v>6.7079503198782087E-2</v>
      </c>
    </row>
    <row r="178" spans="2:4" x14ac:dyDescent="0.25">
      <c r="B178" s="12">
        <v>44165</v>
      </c>
      <c r="C178" s="17">
        <v>319.76998900000001</v>
      </c>
      <c r="D178" s="127">
        <f t="shared" si="11"/>
        <v>0.15182621842493726</v>
      </c>
    </row>
    <row r="179" spans="2:4" x14ac:dyDescent="0.25">
      <c r="B179" s="12">
        <v>44158</v>
      </c>
      <c r="C179" s="17">
        <v>277.61999500000002</v>
      </c>
      <c r="D179" s="127">
        <f t="shared" si="11"/>
        <v>6.7769211538461605E-2</v>
      </c>
    </row>
    <row r="180" spans="2:4" x14ac:dyDescent="0.25">
      <c r="B180" s="12">
        <v>44151</v>
      </c>
      <c r="C180" s="17">
        <v>260</v>
      </c>
      <c r="D180" s="127">
        <f t="shared" si="11"/>
        <v>2.564102564102555E-2</v>
      </c>
    </row>
    <row r="181" spans="2:4" x14ac:dyDescent="0.25">
      <c r="B181" s="12">
        <v>44144</v>
      </c>
      <c r="C181" s="17">
        <v>253.5</v>
      </c>
      <c r="D181" s="127">
        <f t="shared" si="11"/>
        <v>-8.1854420531957572E-2</v>
      </c>
    </row>
    <row r="182" spans="2:4" x14ac:dyDescent="0.25">
      <c r="B182" s="12">
        <v>44137</v>
      </c>
      <c r="C182" s="17">
        <v>276.10000600000001</v>
      </c>
      <c r="D182" s="127">
        <f t="shared" si="11"/>
        <v>0.15094421255969093</v>
      </c>
    </row>
    <row r="183" spans="2:4" x14ac:dyDescent="0.25">
      <c r="B183" s="12">
        <v>44130</v>
      </c>
      <c r="C183" s="17">
        <v>239.88999899999999</v>
      </c>
      <c r="D183" s="127">
        <f t="shared" si="11"/>
        <v>-0.15379728575248808</v>
      </c>
    </row>
    <row r="184" spans="2:4" x14ac:dyDescent="0.25">
      <c r="B184" s="12">
        <v>44123</v>
      </c>
      <c r="C184" s="17">
        <v>283.48998999999998</v>
      </c>
      <c r="D184" s="127">
        <f t="shared" si="11"/>
        <v>7.9756248170157917E-2</v>
      </c>
    </row>
    <row r="185" spans="2:4" x14ac:dyDescent="0.25">
      <c r="B185" s="12">
        <v>44116</v>
      </c>
      <c r="C185" s="17">
        <v>262.54998799999998</v>
      </c>
      <c r="D185" s="127">
        <f t="shared" si="11"/>
        <v>5.0199952000000048E-2</v>
      </c>
    </row>
    <row r="186" spans="2:4" x14ac:dyDescent="0.25">
      <c r="B186" s="12">
        <v>44109</v>
      </c>
      <c r="C186" s="17">
        <v>250</v>
      </c>
      <c r="D186" s="127">
        <f t="shared" si="11"/>
        <v>4.0452809390930655E-2</v>
      </c>
    </row>
    <row r="187" spans="2:4" x14ac:dyDescent="0.25">
      <c r="B187" s="12">
        <v>44102</v>
      </c>
      <c r="C187" s="17">
        <v>240.279999</v>
      </c>
      <c r="D187" s="127">
        <f t="shared" si="11"/>
        <v>1.8221896232255119E-2</v>
      </c>
    </row>
    <row r="188" spans="2:4" x14ac:dyDescent="0.25">
      <c r="B188" s="12">
        <v>44095</v>
      </c>
      <c r="C188" s="17">
        <v>235.979996</v>
      </c>
      <c r="D188" s="127">
        <f t="shared" si="11"/>
        <v>8.935811744562816E-3</v>
      </c>
    </row>
    <row r="189" spans="2:4" x14ac:dyDescent="0.25">
      <c r="B189" s="12">
        <v>44088</v>
      </c>
      <c r="C189" s="17">
        <v>233.88999899999999</v>
      </c>
      <c r="D189" s="127">
        <f t="shared" si="11"/>
        <v>-3.1912279836615598E-2</v>
      </c>
    </row>
    <row r="190" spans="2:4" x14ac:dyDescent="0.25">
      <c r="B190" s="12">
        <v>44081</v>
      </c>
      <c r="C190" s="17">
        <v>241.60000600000001</v>
      </c>
      <c r="D190" s="127">
        <f t="shared" si="11"/>
        <v>-2.6630678915374961E-2</v>
      </c>
    </row>
    <row r="191" spans="2:4" x14ac:dyDescent="0.25">
      <c r="B191" s="12">
        <v>44074</v>
      </c>
      <c r="C191" s="17">
        <v>248.21000699999999</v>
      </c>
      <c r="D191" s="127">
        <f t="shared" si="11"/>
        <v>-0.11150479550605652</v>
      </c>
    </row>
    <row r="192" spans="2:4" x14ac:dyDescent="0.25">
      <c r="B192" s="12">
        <v>44067</v>
      </c>
      <c r="C192" s="17">
        <v>279.35998499999999</v>
      </c>
      <c r="D192" s="127">
        <f t="shared" si="11"/>
        <v>3.0924694294148569E-2</v>
      </c>
    </row>
    <row r="193" spans="2:4" x14ac:dyDescent="0.25">
      <c r="B193" s="12">
        <v>44060</v>
      </c>
      <c r="C193" s="17">
        <v>270.98001099999999</v>
      </c>
      <c r="D193" s="127">
        <f t="shared" si="11"/>
        <v>7.8226975379640074E-2</v>
      </c>
    </row>
    <row r="194" spans="2:4" x14ac:dyDescent="0.25">
      <c r="B194" s="12">
        <v>44053</v>
      </c>
      <c r="C194" s="17">
        <v>251.320007</v>
      </c>
      <c r="D194" s="127">
        <f t="shared" si="11"/>
        <v>-3.173044644872336E-3</v>
      </c>
    </row>
    <row r="195" spans="2:4" x14ac:dyDescent="0.25">
      <c r="B195" s="12">
        <v>44046</v>
      </c>
      <c r="C195" s="17">
        <v>252.11999499999999</v>
      </c>
      <c r="D195" s="127">
        <f t="shared" ref="D195:D258" si="12">C195/C196-1</f>
        <v>-2.2108493698085985E-2</v>
      </c>
    </row>
    <row r="196" spans="2:4" x14ac:dyDescent="0.25">
      <c r="B196" s="12">
        <v>44039</v>
      </c>
      <c r="C196" s="17">
        <v>257.82000699999998</v>
      </c>
      <c r="D196" s="127">
        <f t="shared" si="12"/>
        <v>-4.0634008358785723E-2</v>
      </c>
    </row>
    <row r="197" spans="2:4" x14ac:dyDescent="0.25">
      <c r="B197" s="12">
        <v>44032</v>
      </c>
      <c r="C197" s="17">
        <v>268.73998999999998</v>
      </c>
      <c r="D197" s="127">
        <f t="shared" si="12"/>
        <v>2.0932183906644308E-2</v>
      </c>
    </row>
    <row r="198" spans="2:4" x14ac:dyDescent="0.25">
      <c r="B198" s="12">
        <v>44025</v>
      </c>
      <c r="C198" s="17">
        <v>263.23001099999999</v>
      </c>
      <c r="D198" s="127">
        <f t="shared" si="12"/>
        <v>-5.3946159931934967E-2</v>
      </c>
    </row>
    <row r="199" spans="2:4" x14ac:dyDescent="0.25">
      <c r="B199" s="12">
        <v>44018</v>
      </c>
      <c r="C199" s="17">
        <v>278.23998999999998</v>
      </c>
      <c r="D199" s="127">
        <f t="shared" si="12"/>
        <v>2.486279512552203E-2</v>
      </c>
    </row>
    <row r="200" spans="2:4" x14ac:dyDescent="0.25">
      <c r="B200" s="12">
        <v>44011</v>
      </c>
      <c r="C200" s="17">
        <v>271.48998999999998</v>
      </c>
      <c r="D200" s="127">
        <f t="shared" si="12"/>
        <v>2.4683818470632835E-2</v>
      </c>
    </row>
    <row r="201" spans="2:4" x14ac:dyDescent="0.25">
      <c r="B201" s="12">
        <v>44004</v>
      </c>
      <c r="C201" s="17">
        <v>264.95001200000002</v>
      </c>
      <c r="D201" s="127">
        <f t="shared" si="12"/>
        <v>0.14553167027853209</v>
      </c>
    </row>
    <row r="202" spans="2:4" x14ac:dyDescent="0.25">
      <c r="B202" s="12">
        <v>43997</v>
      </c>
      <c r="C202" s="17">
        <v>231.28999300000001</v>
      </c>
      <c r="D202" s="127">
        <f t="shared" si="12"/>
        <v>0.28444484927464897</v>
      </c>
    </row>
    <row r="203" spans="2:4" x14ac:dyDescent="0.25">
      <c r="B203" s="12">
        <v>43990</v>
      </c>
      <c r="C203" s="17">
        <v>180.070007</v>
      </c>
      <c r="D203" s="127">
        <f t="shared" si="12"/>
        <v>-2.2845626344940473E-2</v>
      </c>
    </row>
    <row r="204" spans="2:4" x14ac:dyDescent="0.25">
      <c r="B204" s="12">
        <v>43983</v>
      </c>
      <c r="C204" s="17">
        <v>184.279999</v>
      </c>
      <c r="D204" s="127">
        <f t="shared" si="12"/>
        <v>1.8515481841642423E-2</v>
      </c>
    </row>
    <row r="205" spans="2:4" x14ac:dyDescent="0.25">
      <c r="B205" s="12">
        <v>43976</v>
      </c>
      <c r="C205" s="17">
        <v>180.929993</v>
      </c>
      <c r="D205" s="127">
        <f t="shared" si="12"/>
        <v>-4.8588132182659005E-2</v>
      </c>
    </row>
    <row r="206" spans="2:4" x14ac:dyDescent="0.25">
      <c r="B206" s="12">
        <v>43969</v>
      </c>
      <c r="C206" s="17">
        <v>190.16999799999999</v>
      </c>
      <c r="D206" s="127">
        <f t="shared" si="12"/>
        <v>0.19731785938024471</v>
      </c>
    </row>
    <row r="207" spans="2:4" x14ac:dyDescent="0.25">
      <c r="B207" s="12">
        <v>43962</v>
      </c>
      <c r="C207" s="17">
        <v>158.83000200000001</v>
      </c>
      <c r="D207" s="127">
        <f t="shared" si="12"/>
        <v>4.3904096374791868E-2</v>
      </c>
    </row>
    <row r="208" spans="2:4" x14ac:dyDescent="0.25">
      <c r="B208" s="12">
        <v>43955</v>
      </c>
      <c r="C208" s="17">
        <v>152.14999399999999</v>
      </c>
      <c r="D208" s="127">
        <f t="shared" si="12"/>
        <v>5.0469471153534062E-2</v>
      </c>
    </row>
    <row r="209" spans="2:4" x14ac:dyDescent="0.25">
      <c r="B209" s="12">
        <v>43948</v>
      </c>
      <c r="C209" s="17">
        <v>144.83999600000001</v>
      </c>
      <c r="D209" s="127">
        <f t="shared" si="12"/>
        <v>5.0783518594994748E-2</v>
      </c>
    </row>
    <row r="210" spans="2:4" x14ac:dyDescent="0.25">
      <c r="B210" s="12">
        <v>43941</v>
      </c>
      <c r="C210" s="17">
        <v>137.83999600000001</v>
      </c>
      <c r="D210" s="127">
        <f t="shared" si="12"/>
        <v>-2.8337832875103386E-2</v>
      </c>
    </row>
    <row r="211" spans="2:4" x14ac:dyDescent="0.25">
      <c r="B211" s="12">
        <v>43934</v>
      </c>
      <c r="C211" s="17">
        <v>141.86000100000001</v>
      </c>
      <c r="D211" s="127">
        <f t="shared" si="12"/>
        <v>7.5838009435476916E-2</v>
      </c>
    </row>
    <row r="212" spans="2:4" x14ac:dyDescent="0.25">
      <c r="B212" s="12">
        <v>43927</v>
      </c>
      <c r="C212" s="17">
        <v>131.86000100000001</v>
      </c>
      <c r="D212" s="127">
        <f t="shared" si="12"/>
        <v>7.9757597123544244E-2</v>
      </c>
    </row>
    <row r="213" spans="2:4" x14ac:dyDescent="0.25">
      <c r="B213" s="12">
        <v>43920</v>
      </c>
      <c r="C213" s="17">
        <v>122.120003</v>
      </c>
      <c r="D213" s="127">
        <f t="shared" si="12"/>
        <v>-3.4274359113152242E-3</v>
      </c>
    </row>
    <row r="214" spans="2:4" x14ac:dyDescent="0.25">
      <c r="B214" s="12">
        <v>43913</v>
      </c>
      <c r="C214" s="17">
        <v>122.540001</v>
      </c>
      <c r="D214" s="127">
        <f t="shared" si="12"/>
        <v>-1.4634930728249174E-2</v>
      </c>
    </row>
    <row r="215" spans="2:4" x14ac:dyDescent="0.25">
      <c r="B215" s="12">
        <v>43906</v>
      </c>
      <c r="C215" s="17">
        <v>124.360001</v>
      </c>
      <c r="D215" s="127">
        <f t="shared" si="12"/>
        <v>-5.4727858843537036E-2</v>
      </c>
    </row>
    <row r="216" spans="2:4" x14ac:dyDescent="0.25">
      <c r="B216" s="12">
        <v>43899</v>
      </c>
      <c r="C216" s="17">
        <v>131.55999800000001</v>
      </c>
      <c r="D216" s="127">
        <f t="shared" si="12"/>
        <v>-9.3564841487975947E-2</v>
      </c>
    </row>
    <row r="217" spans="2:4" x14ac:dyDescent="0.25">
      <c r="B217" s="12">
        <v>43892</v>
      </c>
      <c r="C217" s="17">
        <v>145.13999899999999</v>
      </c>
      <c r="D217" s="127">
        <f t="shared" si="12"/>
        <v>5.8488946123430141E-2</v>
      </c>
    </row>
    <row r="218" spans="2:4" x14ac:dyDescent="0.25">
      <c r="B218" s="12">
        <v>43885</v>
      </c>
      <c r="C218" s="17">
        <v>137.11999499999999</v>
      </c>
      <c r="D218" s="127">
        <f t="shared" si="12"/>
        <v>-6.6893516166591005E-2</v>
      </c>
    </row>
    <row r="219" spans="2:4" x14ac:dyDescent="0.25">
      <c r="B219" s="12">
        <v>43878</v>
      </c>
      <c r="C219" s="17">
        <v>146.949997</v>
      </c>
      <c r="D219" s="127">
        <f t="shared" si="12"/>
        <v>4.2198560283687847E-2</v>
      </c>
    </row>
    <row r="220" spans="2:4" x14ac:dyDescent="0.25">
      <c r="B220" s="12">
        <v>43871</v>
      </c>
      <c r="C220" s="17">
        <v>141</v>
      </c>
      <c r="D220" s="127">
        <f t="shared" si="12"/>
        <v>-8.7673909653693149E-2</v>
      </c>
    </row>
    <row r="221" spans="2:4" x14ac:dyDescent="0.25">
      <c r="B221" s="12">
        <v>43864</v>
      </c>
      <c r="C221" s="17">
        <v>154.550003</v>
      </c>
      <c r="D221" s="127">
        <f t="shared" si="12"/>
        <v>9.3772114074194279E-2</v>
      </c>
    </row>
    <row r="222" spans="2:4" x14ac:dyDescent="0.25">
      <c r="B222" s="12">
        <v>43857</v>
      </c>
      <c r="C222" s="17">
        <v>141.300003</v>
      </c>
      <c r="D222" s="127">
        <f t="shared" si="12"/>
        <v>-3.6350008990315485E-2</v>
      </c>
    </row>
    <row r="223" spans="2:4" x14ac:dyDescent="0.25">
      <c r="B223" s="12">
        <v>43850</v>
      </c>
      <c r="C223" s="17">
        <v>146.63000500000001</v>
      </c>
      <c r="D223" s="127">
        <f t="shared" si="12"/>
        <v>-1.1527511433935822E-2</v>
      </c>
    </row>
    <row r="224" spans="2:4" x14ac:dyDescent="0.25">
      <c r="B224" s="12">
        <v>43843</v>
      </c>
      <c r="C224" s="17">
        <v>148.33999600000001</v>
      </c>
      <c r="D224" s="127">
        <f t="shared" si="12"/>
        <v>-4.934630444388699E-2</v>
      </c>
    </row>
    <row r="225" spans="2:4" x14ac:dyDescent="0.25">
      <c r="B225" s="12">
        <v>43836</v>
      </c>
      <c r="C225" s="17">
        <v>156.03999300000001</v>
      </c>
      <c r="D225" s="127">
        <f t="shared" si="12"/>
        <v>2.3213068852458996E-2</v>
      </c>
    </row>
    <row r="226" spans="2:4" x14ac:dyDescent="0.25">
      <c r="B226" s="12">
        <v>43829</v>
      </c>
      <c r="C226" s="17">
        <v>152.5</v>
      </c>
      <c r="D226" s="127">
        <f t="shared" si="12"/>
        <v>-4.3742117173625195E-3</v>
      </c>
    </row>
    <row r="227" spans="2:4" x14ac:dyDescent="0.25">
      <c r="B227" s="12">
        <v>43822</v>
      </c>
      <c r="C227" s="17">
        <v>153.16999799999999</v>
      </c>
      <c r="D227" s="127">
        <f t="shared" si="12"/>
        <v>1.9027343743295067E-2</v>
      </c>
    </row>
    <row r="228" spans="2:4" x14ac:dyDescent="0.25">
      <c r="B228" s="12">
        <v>43815</v>
      </c>
      <c r="C228" s="17">
        <v>150.30999800000001</v>
      </c>
      <c r="D228" s="127">
        <f t="shared" si="12"/>
        <v>2.1127724615374932E-2</v>
      </c>
    </row>
    <row r="229" spans="2:4" x14ac:dyDescent="0.25">
      <c r="B229" s="12">
        <v>43808</v>
      </c>
      <c r="C229" s="17">
        <v>147.199997</v>
      </c>
      <c r="D229" s="127">
        <f t="shared" si="12"/>
        <v>-6.0098522792857434E-3</v>
      </c>
    </row>
    <row r="230" spans="2:4" x14ac:dyDescent="0.25">
      <c r="B230" s="12">
        <v>43801</v>
      </c>
      <c r="C230" s="17">
        <v>148.08999600000001</v>
      </c>
      <c r="D230" s="127">
        <f t="shared" si="12"/>
        <v>3.8863506723321617E-2</v>
      </c>
    </row>
    <row r="231" spans="2:4" x14ac:dyDescent="0.25">
      <c r="B231" s="12">
        <v>43794</v>
      </c>
      <c r="C231" s="17">
        <v>142.550003</v>
      </c>
      <c r="D231" s="127">
        <f t="shared" si="12"/>
        <v>1.1782269939543566E-2</v>
      </c>
    </row>
    <row r="232" spans="2:4" x14ac:dyDescent="0.25">
      <c r="B232" s="12">
        <v>43787</v>
      </c>
      <c r="C232" s="17">
        <v>140.88999899999999</v>
      </c>
      <c r="D232" s="127">
        <f t="shared" si="12"/>
        <v>-4.4878287739078426E-2</v>
      </c>
    </row>
    <row r="233" spans="2:4" x14ac:dyDescent="0.25">
      <c r="B233" s="12">
        <v>43780</v>
      </c>
      <c r="C233" s="17">
        <v>147.509995</v>
      </c>
      <c r="D233" s="127">
        <f t="shared" si="12"/>
        <v>-2.299702307756446E-3</v>
      </c>
    </row>
    <row r="234" spans="2:4" x14ac:dyDescent="0.25">
      <c r="B234" s="12">
        <v>43773</v>
      </c>
      <c r="C234" s="17">
        <v>147.85000600000001</v>
      </c>
      <c r="D234" s="127">
        <f t="shared" si="12"/>
        <v>6.3300300344411031E-3</v>
      </c>
    </row>
    <row r="235" spans="2:4" x14ac:dyDescent="0.25">
      <c r="B235" s="12">
        <v>43766</v>
      </c>
      <c r="C235" s="17">
        <v>146.91999799999999</v>
      </c>
      <c r="D235" s="127">
        <f t="shared" si="12"/>
        <v>0.21733362801667688</v>
      </c>
    </row>
    <row r="236" spans="2:4" x14ac:dyDescent="0.25">
      <c r="B236" s="12">
        <v>43759</v>
      </c>
      <c r="C236" s="17">
        <v>120.69000200000001</v>
      </c>
      <c r="D236" s="127">
        <f t="shared" si="12"/>
        <v>4.6475330851030616E-2</v>
      </c>
    </row>
    <row r="237" spans="2:4" x14ac:dyDescent="0.25">
      <c r="B237" s="12">
        <v>43752</v>
      </c>
      <c r="C237" s="17">
        <v>115.33000199999999</v>
      </c>
      <c r="D237" s="127">
        <f t="shared" si="12"/>
        <v>-1.3853667224066335E-3</v>
      </c>
    </row>
    <row r="238" spans="2:4" x14ac:dyDescent="0.25">
      <c r="B238" s="12">
        <v>43745</v>
      </c>
      <c r="C238" s="17">
        <v>115.489998</v>
      </c>
      <c r="D238" s="127">
        <f t="shared" si="12"/>
        <v>-7.9883182956248522E-3</v>
      </c>
    </row>
    <row r="239" spans="2:4" x14ac:dyDescent="0.25">
      <c r="B239" s="12">
        <v>43738</v>
      </c>
      <c r="C239" s="17">
        <v>116.41999800000001</v>
      </c>
      <c r="D239" s="127">
        <f t="shared" si="12"/>
        <v>3.7241625752701957E-2</v>
      </c>
    </row>
    <row r="240" spans="2:4" x14ac:dyDescent="0.25">
      <c r="B240" s="12">
        <v>43731</v>
      </c>
      <c r="C240" s="17">
        <v>112.239998</v>
      </c>
      <c r="D240" s="127">
        <f t="shared" si="12"/>
        <v>-7.0091128502679179E-2</v>
      </c>
    </row>
    <row r="241" spans="2:4" x14ac:dyDescent="0.25">
      <c r="B241" s="12">
        <v>43724</v>
      </c>
      <c r="C241" s="17">
        <v>120.699997</v>
      </c>
      <c r="D241" s="127">
        <f t="shared" si="12"/>
        <v>-7.6016287375936464E-2</v>
      </c>
    </row>
    <row r="242" spans="2:4" x14ac:dyDescent="0.25">
      <c r="B242" s="12">
        <v>43717</v>
      </c>
      <c r="C242" s="17">
        <v>130.63000500000001</v>
      </c>
      <c r="D242" s="127">
        <f t="shared" si="12"/>
        <v>-3.9908812875331656E-2</v>
      </c>
    </row>
    <row r="243" spans="2:4" x14ac:dyDescent="0.25">
      <c r="B243" s="12">
        <v>43710</v>
      </c>
      <c r="C243" s="17">
        <v>136.05999800000001</v>
      </c>
      <c r="D243" s="127">
        <f t="shared" si="12"/>
        <v>8.2252762110102129E-3</v>
      </c>
    </row>
    <row r="244" spans="2:4" x14ac:dyDescent="0.25">
      <c r="B244" s="12">
        <v>43703</v>
      </c>
      <c r="C244" s="17">
        <v>134.949997</v>
      </c>
      <c r="D244" s="127">
        <f t="shared" si="12"/>
        <v>-2.2243203238858089E-2</v>
      </c>
    </row>
    <row r="245" spans="2:4" x14ac:dyDescent="0.25">
      <c r="B245" s="12">
        <v>43696</v>
      </c>
      <c r="C245" s="17">
        <v>138.020004</v>
      </c>
      <c r="D245" s="127">
        <f t="shared" si="12"/>
        <v>-6.5791259449327844E-2</v>
      </c>
    </row>
    <row r="246" spans="2:4" x14ac:dyDescent="0.25">
      <c r="B246" s="12">
        <v>43689</v>
      </c>
      <c r="C246" s="17">
        <v>147.740005</v>
      </c>
      <c r="D246" s="127">
        <f t="shared" si="12"/>
        <v>-4.690013698794071E-2</v>
      </c>
    </row>
    <row r="247" spans="2:4" x14ac:dyDescent="0.25">
      <c r="B247" s="12">
        <v>43682</v>
      </c>
      <c r="C247" s="17">
        <v>155.009995</v>
      </c>
      <c r="D247" s="127">
        <f t="shared" si="12"/>
        <v>1.0034495275724975E-2</v>
      </c>
    </row>
    <row r="248" spans="2:4" x14ac:dyDescent="0.25">
      <c r="B248" s="12">
        <v>43675</v>
      </c>
      <c r="C248" s="17">
        <v>153.470001</v>
      </c>
      <c r="D248" s="127">
        <f t="shared" si="12"/>
        <v>-1.2292469677807061E-2</v>
      </c>
    </row>
    <row r="249" spans="2:4" x14ac:dyDescent="0.25">
      <c r="B249" s="12">
        <v>43668</v>
      </c>
      <c r="C249" s="17">
        <v>155.38000500000001</v>
      </c>
      <c r="D249" s="127">
        <f t="shared" si="12"/>
        <v>7.8204176821843108E-2</v>
      </c>
    </row>
    <row r="250" spans="2:4" x14ac:dyDescent="0.25">
      <c r="B250" s="12">
        <v>43661</v>
      </c>
      <c r="C250" s="17">
        <v>144.11000100000001</v>
      </c>
      <c r="D250" s="127">
        <f t="shared" si="12"/>
        <v>-5.3775455276911521E-2</v>
      </c>
    </row>
    <row r="251" spans="2:4" x14ac:dyDescent="0.25">
      <c r="B251" s="12">
        <v>43654</v>
      </c>
      <c r="C251" s="17">
        <v>152.300003</v>
      </c>
      <c r="D251" s="127">
        <f t="shared" si="12"/>
        <v>4.0940503601127665E-2</v>
      </c>
    </row>
    <row r="252" spans="2:4" x14ac:dyDescent="0.25">
      <c r="B252" s="12">
        <v>43647</v>
      </c>
      <c r="C252" s="17">
        <v>146.30999800000001</v>
      </c>
      <c r="D252" s="127">
        <f t="shared" si="12"/>
        <v>6.1549035278707365E-4</v>
      </c>
    </row>
    <row r="253" spans="2:4" x14ac:dyDescent="0.25">
      <c r="B253" s="12">
        <v>43640</v>
      </c>
      <c r="C253" s="17">
        <v>146.220001</v>
      </c>
      <c r="D253" s="127">
        <f t="shared" si="12"/>
        <v>-1.4092084338103827E-2</v>
      </c>
    </row>
    <row r="254" spans="2:4" x14ac:dyDescent="0.25">
      <c r="B254" s="12">
        <v>43633</v>
      </c>
      <c r="C254" s="17">
        <v>148.30999800000001</v>
      </c>
      <c r="D254" s="127">
        <f t="shared" si="12"/>
        <v>2.5727934870404034E-2</v>
      </c>
    </row>
    <row r="255" spans="2:4" x14ac:dyDescent="0.25">
      <c r="B255" s="12">
        <v>43626</v>
      </c>
      <c r="C255" s="17">
        <v>144.58999600000001</v>
      </c>
      <c r="D255" s="127">
        <f t="shared" si="12"/>
        <v>3.2195844771618409E-2</v>
      </c>
    </row>
    <row r="256" spans="2:4" x14ac:dyDescent="0.25">
      <c r="B256" s="12">
        <v>43619</v>
      </c>
      <c r="C256" s="17">
        <v>140.08000200000001</v>
      </c>
      <c r="D256" s="127">
        <f t="shared" si="12"/>
        <v>0.11546424406013323</v>
      </c>
    </row>
    <row r="257" spans="2:4" x14ac:dyDescent="0.25">
      <c r="B257" s="12">
        <v>43612</v>
      </c>
      <c r="C257" s="17">
        <v>125.58000199999999</v>
      </c>
      <c r="D257" s="127">
        <f t="shared" si="12"/>
        <v>7.4608903736719245E-3</v>
      </c>
    </row>
    <row r="258" spans="2:4" x14ac:dyDescent="0.25">
      <c r="B258" s="12">
        <v>43605</v>
      </c>
      <c r="C258" s="17">
        <v>124.650002</v>
      </c>
      <c r="D258" s="127">
        <f t="shared" si="12"/>
        <v>-6.1087626585101917E-2</v>
      </c>
    </row>
    <row r="259" spans="2:4" x14ac:dyDescent="0.25">
      <c r="B259" s="12">
        <v>43598</v>
      </c>
      <c r="C259" s="17">
        <v>132.759995</v>
      </c>
      <c r="D259" s="127">
        <f t="shared" ref="D259:D316" si="13">C259/C260-1</f>
        <v>-3.692427115309671E-2</v>
      </c>
    </row>
    <row r="260" spans="2:4" x14ac:dyDescent="0.25">
      <c r="B260" s="12">
        <v>43591</v>
      </c>
      <c r="C260" s="17">
        <v>137.85000600000001</v>
      </c>
      <c r="D260" s="127">
        <f t="shared" si="13"/>
        <v>1.2337578208674316E-2</v>
      </c>
    </row>
    <row r="261" spans="2:4" x14ac:dyDescent="0.25">
      <c r="B261" s="12">
        <v>43584</v>
      </c>
      <c r="C261" s="17">
        <v>136.16999799999999</v>
      </c>
      <c r="D261" s="127">
        <f t="shared" si="13"/>
        <v>-1.5045222423146543E-2</v>
      </c>
    </row>
    <row r="262" spans="2:4" x14ac:dyDescent="0.25">
      <c r="B262" s="12">
        <v>43577</v>
      </c>
      <c r="C262" s="17">
        <v>138.25</v>
      </c>
      <c r="D262" s="127">
        <f t="shared" si="13"/>
        <v>-1.0025020122807815E-2</v>
      </c>
    </row>
    <row r="263" spans="2:4" x14ac:dyDescent="0.25">
      <c r="B263" s="12">
        <v>43570</v>
      </c>
      <c r="C263" s="17">
        <v>139.64999399999999</v>
      </c>
      <c r="D263" s="127">
        <f t="shared" si="13"/>
        <v>-3.6564353982014963E-2</v>
      </c>
    </row>
    <row r="264" spans="2:4" x14ac:dyDescent="0.25">
      <c r="B264" s="12">
        <v>43563</v>
      </c>
      <c r="C264" s="17">
        <v>144.949997</v>
      </c>
      <c r="D264" s="127">
        <f t="shared" si="13"/>
        <v>2.7067185323206067E-2</v>
      </c>
    </row>
    <row r="265" spans="2:4" x14ac:dyDescent="0.25">
      <c r="B265" s="12">
        <v>43556</v>
      </c>
      <c r="C265" s="17">
        <v>141.13000500000001</v>
      </c>
      <c r="D265" s="127">
        <f t="shared" si="13"/>
        <v>1.6786757562246013E-2</v>
      </c>
    </row>
    <row r="266" spans="2:4" x14ac:dyDescent="0.25">
      <c r="B266" s="12">
        <v>43549</v>
      </c>
      <c r="C266" s="17">
        <v>138.800003</v>
      </c>
      <c r="D266" s="127">
        <f t="shared" si="13"/>
        <v>-1.4388273381295003E-3</v>
      </c>
    </row>
    <row r="267" spans="2:4" x14ac:dyDescent="0.25">
      <c r="B267" s="12">
        <v>43542</v>
      </c>
      <c r="C267" s="17">
        <v>139</v>
      </c>
      <c r="D267" s="127">
        <f t="shared" si="13"/>
        <v>-2.0505982087069663E-2</v>
      </c>
    </row>
    <row r="268" spans="2:4" x14ac:dyDescent="0.25">
      <c r="B268" s="12">
        <v>43535</v>
      </c>
      <c r="C268" s="17">
        <v>141.91000399999999</v>
      </c>
      <c r="D268" s="127">
        <f t="shared" si="13"/>
        <v>1.2341354589737952E-2</v>
      </c>
    </row>
    <row r="269" spans="2:4" x14ac:dyDescent="0.25">
      <c r="B269" s="12">
        <v>43528</v>
      </c>
      <c r="C269" s="17">
        <v>140.179993</v>
      </c>
      <c r="D269" s="127">
        <f t="shared" si="13"/>
        <v>1.5797050724637662E-2</v>
      </c>
    </row>
    <row r="270" spans="2:4" x14ac:dyDescent="0.25">
      <c r="B270" s="12">
        <v>43521</v>
      </c>
      <c r="C270" s="17">
        <v>138</v>
      </c>
      <c r="D270" s="127">
        <f t="shared" si="13"/>
        <v>-8.7241231731711943E-2</v>
      </c>
    </row>
    <row r="271" spans="2:4" x14ac:dyDescent="0.25">
      <c r="B271" s="12">
        <v>43514</v>
      </c>
      <c r="C271" s="17">
        <v>151.19000199999999</v>
      </c>
      <c r="D271" s="127">
        <f t="shared" si="13"/>
        <v>1.7977362833898169E-2</v>
      </c>
    </row>
    <row r="272" spans="2:4" x14ac:dyDescent="0.25">
      <c r="B272" s="12">
        <v>43507</v>
      </c>
      <c r="C272" s="17">
        <v>148.520004</v>
      </c>
      <c r="D272" s="127">
        <f t="shared" si="13"/>
        <v>0.10251648936518887</v>
      </c>
    </row>
    <row r="273" spans="2:4" x14ac:dyDescent="0.25">
      <c r="B273" s="12">
        <v>43500</v>
      </c>
      <c r="C273" s="17">
        <v>134.71000699999999</v>
      </c>
      <c r="D273" s="127">
        <f t="shared" si="13"/>
        <v>-1.8220245408193891E-2</v>
      </c>
    </row>
    <row r="274" spans="2:4" x14ac:dyDescent="0.25">
      <c r="B274" s="12">
        <v>43493</v>
      </c>
      <c r="C274" s="17">
        <v>137.21000699999999</v>
      </c>
      <c r="D274" s="127">
        <f t="shared" si="13"/>
        <v>1.8860986394311885E-2</v>
      </c>
    </row>
    <row r="275" spans="2:4" x14ac:dyDescent="0.25">
      <c r="B275" s="12">
        <v>43486</v>
      </c>
      <c r="C275" s="17">
        <v>134.66999799999999</v>
      </c>
      <c r="D275" s="127">
        <f t="shared" si="13"/>
        <v>7.5564414916522438E-3</v>
      </c>
    </row>
    <row r="276" spans="2:4" x14ac:dyDescent="0.25">
      <c r="B276" s="12">
        <v>43479</v>
      </c>
      <c r="C276" s="17">
        <v>133.66000399999999</v>
      </c>
      <c r="D276" s="127">
        <f t="shared" si="13"/>
        <v>0.10902760809063072</v>
      </c>
    </row>
    <row r="277" spans="2:4" x14ac:dyDescent="0.25">
      <c r="B277" s="12">
        <v>43472</v>
      </c>
      <c r="C277" s="17">
        <v>120.519997</v>
      </c>
      <c r="D277" s="127">
        <f t="shared" si="13"/>
        <v>1.6960551565934567E-2</v>
      </c>
    </row>
    <row r="278" spans="2:4" x14ac:dyDescent="0.25">
      <c r="B278" s="12">
        <v>43465</v>
      </c>
      <c r="C278" s="17">
        <v>118.510002</v>
      </c>
      <c r="D278" s="127">
        <f t="shared" si="13"/>
        <v>5.661552936463865E-2</v>
      </c>
    </row>
    <row r="279" spans="2:4" x14ac:dyDescent="0.25">
      <c r="B279" s="12">
        <v>43458</v>
      </c>
      <c r="C279" s="17">
        <v>112.160004</v>
      </c>
      <c r="D279" s="127">
        <f t="shared" si="13"/>
        <v>4.979416135507897E-2</v>
      </c>
    </row>
    <row r="280" spans="2:4" x14ac:dyDescent="0.25">
      <c r="B280" s="12">
        <v>43451</v>
      </c>
      <c r="C280" s="17">
        <v>106.839996</v>
      </c>
      <c r="D280" s="127">
        <f t="shared" si="13"/>
        <v>-0.14990455124124769</v>
      </c>
    </row>
    <row r="281" spans="2:4" x14ac:dyDescent="0.25">
      <c r="B281" s="12">
        <v>43444</v>
      </c>
      <c r="C281" s="17">
        <v>125.68</v>
      </c>
      <c r="D281" s="127">
        <f t="shared" si="13"/>
        <v>-7.1169892412532576E-2</v>
      </c>
    </row>
    <row r="282" spans="2:4" x14ac:dyDescent="0.25">
      <c r="B282" s="12">
        <v>43437</v>
      </c>
      <c r="C282" s="17">
        <v>135.30999800000001</v>
      </c>
      <c r="D282" s="127">
        <f t="shared" si="13"/>
        <v>-7.84577621917526E-3</v>
      </c>
    </row>
    <row r="283" spans="2:4" x14ac:dyDescent="0.25">
      <c r="B283" s="12">
        <v>43430</v>
      </c>
      <c r="C283" s="17">
        <v>136.38000500000001</v>
      </c>
      <c r="D283" s="127">
        <f t="shared" si="13"/>
        <v>5.3859831423852089E-2</v>
      </c>
    </row>
    <row r="284" spans="2:4" x14ac:dyDescent="0.25">
      <c r="B284" s="12">
        <v>43423</v>
      </c>
      <c r="C284" s="17">
        <v>129.41000399999999</v>
      </c>
      <c r="D284" s="127">
        <f t="shared" si="13"/>
        <v>-3.5764866624289793E-2</v>
      </c>
    </row>
    <row r="285" spans="2:4" x14ac:dyDescent="0.25">
      <c r="B285" s="12">
        <v>43416</v>
      </c>
      <c r="C285" s="17">
        <v>134.21000699999999</v>
      </c>
      <c r="D285" s="127">
        <f t="shared" si="13"/>
        <v>-2.7886361406437299E-2</v>
      </c>
    </row>
    <row r="286" spans="2:4" x14ac:dyDescent="0.25">
      <c r="B286" s="12">
        <v>43409</v>
      </c>
      <c r="C286" s="17">
        <v>138.05999800000001</v>
      </c>
      <c r="D286" s="127">
        <f t="shared" si="13"/>
        <v>-6.69117898081939E-3</v>
      </c>
    </row>
    <row r="287" spans="2:4" x14ac:dyDescent="0.25">
      <c r="B287" s="12">
        <v>43402</v>
      </c>
      <c r="C287" s="17">
        <v>138.990005</v>
      </c>
      <c r="D287" s="127">
        <f t="shared" si="13"/>
        <v>-4.9576037692285357E-2</v>
      </c>
    </row>
    <row r="288" spans="2:4" x14ac:dyDescent="0.25">
      <c r="B288" s="12">
        <v>43395</v>
      </c>
      <c r="C288" s="17">
        <v>146.240005</v>
      </c>
      <c r="D288" s="127">
        <f t="shared" si="13"/>
        <v>-1.8062097135799871E-2</v>
      </c>
    </row>
    <row r="289" spans="2:4" x14ac:dyDescent="0.25">
      <c r="B289" s="12">
        <v>43388</v>
      </c>
      <c r="C289" s="17">
        <v>148.929993</v>
      </c>
      <c r="D289" s="127">
        <f t="shared" si="13"/>
        <v>-6.0319336856604955E-2</v>
      </c>
    </row>
    <row r="290" spans="2:4" x14ac:dyDescent="0.25">
      <c r="B290" s="12">
        <v>43381</v>
      </c>
      <c r="C290" s="17">
        <v>158.490005</v>
      </c>
      <c r="D290" s="127">
        <f t="shared" si="13"/>
        <v>-3.5831608594974917E-2</v>
      </c>
    </row>
    <row r="291" spans="2:4" x14ac:dyDescent="0.25">
      <c r="B291" s="12">
        <v>43374</v>
      </c>
      <c r="C291" s="17">
        <v>164.38000500000001</v>
      </c>
      <c r="D291" s="127">
        <f t="shared" si="13"/>
        <v>-9.0969401194830435E-2</v>
      </c>
    </row>
    <row r="292" spans="2:4" x14ac:dyDescent="0.25">
      <c r="B292" s="12">
        <v>43367</v>
      </c>
      <c r="C292" s="17">
        <v>180.83000200000001</v>
      </c>
      <c r="D292" s="127">
        <f t="shared" si="13"/>
        <v>3.3196193961919862E-2</v>
      </c>
    </row>
    <row r="293" spans="2:4" x14ac:dyDescent="0.25">
      <c r="B293" s="12">
        <v>43360</v>
      </c>
      <c r="C293" s="17">
        <v>175.020004</v>
      </c>
      <c r="D293" s="127">
        <f t="shared" si="13"/>
        <v>-3.1057968469856423E-2</v>
      </c>
    </row>
    <row r="294" spans="2:4" x14ac:dyDescent="0.25">
      <c r="B294" s="12">
        <v>43353</v>
      </c>
      <c r="C294" s="17">
        <v>180.63000500000001</v>
      </c>
      <c r="D294" s="127">
        <f t="shared" si="13"/>
        <v>1.5916771384981487E-2</v>
      </c>
    </row>
    <row r="295" spans="2:4" x14ac:dyDescent="0.25">
      <c r="B295" s="12">
        <v>43346</v>
      </c>
      <c r="C295" s="17">
        <v>177.800003</v>
      </c>
      <c r="D295" s="127">
        <f t="shared" si="13"/>
        <v>-6.1840442975085619E-2</v>
      </c>
    </row>
    <row r="296" spans="2:4" x14ac:dyDescent="0.25">
      <c r="B296" s="12">
        <v>43339</v>
      </c>
      <c r="C296" s="17">
        <v>189.520004</v>
      </c>
      <c r="D296" s="127">
        <f t="shared" si="13"/>
        <v>-1.4866415041417724E-2</v>
      </c>
    </row>
    <row r="297" spans="2:4" x14ac:dyDescent="0.25">
      <c r="B297" s="12">
        <v>43332</v>
      </c>
      <c r="C297" s="17">
        <v>192.38000500000001</v>
      </c>
      <c r="D297" s="127">
        <f t="shared" si="13"/>
        <v>2.1287944505174572E-2</v>
      </c>
    </row>
    <row r="298" spans="2:4" x14ac:dyDescent="0.25">
      <c r="B298" s="12">
        <v>43325</v>
      </c>
      <c r="C298" s="17">
        <v>188.36999499999999</v>
      </c>
      <c r="D298" s="127">
        <f t="shared" si="13"/>
        <v>-3.6496509430832269E-3</v>
      </c>
    </row>
    <row r="299" spans="2:4" x14ac:dyDescent="0.25">
      <c r="B299" s="12">
        <v>43318</v>
      </c>
      <c r="C299" s="17">
        <v>189.05999800000001</v>
      </c>
      <c r="D299" s="127">
        <f t="shared" si="13"/>
        <v>7.7264945868945833E-2</v>
      </c>
    </row>
    <row r="300" spans="2:4" x14ac:dyDescent="0.25">
      <c r="B300" s="12">
        <v>43311</v>
      </c>
      <c r="C300" s="17">
        <v>175.5</v>
      </c>
      <c r="D300" s="127">
        <f t="shared" si="13"/>
        <v>-5.7819314804975264E-2</v>
      </c>
    </row>
    <row r="301" spans="2:4" x14ac:dyDescent="0.25">
      <c r="B301" s="12">
        <v>43304</v>
      </c>
      <c r="C301" s="17">
        <v>186.270004</v>
      </c>
      <c r="D301" s="127">
        <f t="shared" si="13"/>
        <v>1.9038301511396183E-2</v>
      </c>
    </row>
    <row r="302" spans="2:4" x14ac:dyDescent="0.25">
      <c r="B302" s="12">
        <v>43297</v>
      </c>
      <c r="C302" s="17">
        <v>182.78999300000001</v>
      </c>
      <c r="D302" s="127">
        <f t="shared" si="13"/>
        <v>-2.360992380070781E-2</v>
      </c>
    </row>
    <row r="303" spans="2:4" x14ac:dyDescent="0.25">
      <c r="B303" s="12">
        <v>43290</v>
      </c>
      <c r="C303" s="17">
        <v>187.21000699999999</v>
      </c>
      <c r="D303" s="127">
        <f t="shared" si="13"/>
        <v>6.5509449041140311E-2</v>
      </c>
    </row>
    <row r="304" spans="2:4" x14ac:dyDescent="0.25">
      <c r="B304" s="12">
        <v>43283</v>
      </c>
      <c r="C304" s="17">
        <v>175.699997</v>
      </c>
      <c r="D304" s="127">
        <f t="shared" si="13"/>
        <v>4.4341368154381611E-2</v>
      </c>
    </row>
    <row r="305" spans="2:4" x14ac:dyDescent="0.25">
      <c r="B305" s="12">
        <v>43276</v>
      </c>
      <c r="C305" s="17">
        <v>168.240005</v>
      </c>
      <c r="D305" s="127">
        <f t="shared" si="13"/>
        <v>-7.0188995576555779E-2</v>
      </c>
    </row>
    <row r="306" spans="2:4" x14ac:dyDescent="0.25">
      <c r="B306" s="12">
        <v>43269</v>
      </c>
      <c r="C306" s="17">
        <v>180.94000199999999</v>
      </c>
      <c r="D306" s="127">
        <f t="shared" si="13"/>
        <v>3.3824693547601425E-2</v>
      </c>
    </row>
    <row r="307" spans="2:4" x14ac:dyDescent="0.25">
      <c r="B307" s="12">
        <v>43262</v>
      </c>
      <c r="C307" s="17">
        <v>175.020004</v>
      </c>
      <c r="D307" s="127">
        <f t="shared" si="13"/>
        <v>2.0643853992158956E-2</v>
      </c>
    </row>
    <row r="308" spans="2:4" x14ac:dyDescent="0.25">
      <c r="B308" s="12">
        <v>43255</v>
      </c>
      <c r="C308" s="17">
        <v>171.479996</v>
      </c>
      <c r="D308" s="127">
        <f t="shared" si="13"/>
        <v>7.6865050337068253E-2</v>
      </c>
    </row>
    <row r="309" spans="2:4" x14ac:dyDescent="0.25">
      <c r="B309" s="12">
        <v>43248</v>
      </c>
      <c r="C309" s="17">
        <v>159.240005</v>
      </c>
      <c r="D309" s="127">
        <f t="shared" si="13"/>
        <v>1.6858230516287431E-2</v>
      </c>
    </row>
    <row r="310" spans="2:4" x14ac:dyDescent="0.25">
      <c r="B310" s="12">
        <v>43241</v>
      </c>
      <c r="C310" s="17">
        <v>156.60000600000001</v>
      </c>
      <c r="D310" s="127">
        <f t="shared" si="13"/>
        <v>3.8461557590287354E-2</v>
      </c>
    </row>
    <row r="311" spans="2:4" x14ac:dyDescent="0.25">
      <c r="B311" s="12">
        <v>43234</v>
      </c>
      <c r="C311" s="17">
        <v>150.800003</v>
      </c>
      <c r="D311" s="127">
        <f t="shared" si="13"/>
        <v>-3.8081270955379942E-2</v>
      </c>
    </row>
    <row r="312" spans="2:4" x14ac:dyDescent="0.25">
      <c r="B312" s="12">
        <v>43227</v>
      </c>
      <c r="C312" s="17">
        <v>156.770004</v>
      </c>
      <c r="D312" s="127">
        <f t="shared" si="13"/>
        <v>1.6271289260705535E-2</v>
      </c>
    </row>
    <row r="313" spans="2:4" x14ac:dyDescent="0.25">
      <c r="B313" s="12">
        <v>43220</v>
      </c>
      <c r="C313" s="17">
        <v>154.259995</v>
      </c>
      <c r="D313" s="127">
        <f t="shared" si="13"/>
        <v>-3.575447645341856E-2</v>
      </c>
    </row>
    <row r="314" spans="2:4" x14ac:dyDescent="0.25">
      <c r="B314" s="12">
        <v>43213</v>
      </c>
      <c r="C314" s="17">
        <v>159.979996</v>
      </c>
      <c r="D314" s="127">
        <f t="shared" si="13"/>
        <v>9.6560367874289899E-3</v>
      </c>
    </row>
    <row r="315" spans="2:4" x14ac:dyDescent="0.25">
      <c r="B315" s="12">
        <v>43206</v>
      </c>
      <c r="C315" s="17">
        <v>158.449997</v>
      </c>
      <c r="D315" s="127">
        <f t="shared" si="13"/>
        <v>6.3422798657718049E-2</v>
      </c>
    </row>
    <row r="316" spans="2:4" x14ac:dyDescent="0.25">
      <c r="B316" s="12">
        <v>43199</v>
      </c>
      <c r="C316" s="17">
        <v>149</v>
      </c>
      <c r="D316" s="127">
        <f t="shared" si="13"/>
        <v>7.3012575351711906E-3</v>
      </c>
    </row>
    <row r="317" spans="2:4" x14ac:dyDescent="0.25">
      <c r="B317" s="12">
        <v>43192</v>
      </c>
      <c r="C317" s="17">
        <v>147.91999799999999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2024-04-23T15:08:04Z</dcterms:modified>
</cp:coreProperties>
</file>