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models\E-Com\"/>
    </mc:Choice>
  </mc:AlternateContent>
  <xr:revisionPtr revIDLastSave="0" documentId="13_ncr:1_{95343FA8-724E-41D8-9CC4-73FB430B23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Model!$B$5</definedName>
    <definedName name="_xlchart.v1.1" hidden="1">Model!$B$6</definedName>
    <definedName name="_xlchart.v1.2" hidden="1">Model!$L$2:$T$2</definedName>
    <definedName name="_xlchart.v1.3" hidden="1">Model!$L$5:$T$5</definedName>
    <definedName name="_xlchart.v1.4" hidden="1">Model!$L$6:$T$6</definedName>
    <definedName name="_xlchart.v1.5" hidden="1">Model!$B$21</definedName>
    <definedName name="_xlchart.v1.6" hidden="1">Model!$B$22</definedName>
    <definedName name="_xlchart.v1.7" hidden="1">Model!$L$21:$T$21</definedName>
    <definedName name="_xlchart.v1.8" hidden="1">Model!$L$22:$T$22</definedName>
    <definedName name="_xlchart.v1.9" hidden="1">Model!$L$2:$T$2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" i="2" l="1"/>
  <c r="C35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C11" i="1"/>
  <c r="C10" i="1"/>
  <c r="C9" i="1"/>
  <c r="C7" i="1"/>
  <c r="W25" i="2"/>
  <c r="V25" i="2"/>
  <c r="U25" i="2"/>
  <c r="W50" i="2"/>
  <c r="W53" i="2" s="1"/>
  <c r="V50" i="2"/>
  <c r="V53" i="2" s="1"/>
  <c r="U50" i="2"/>
  <c r="U53" i="2" s="1"/>
  <c r="W40" i="2"/>
  <c r="W46" i="2" s="1"/>
  <c r="V40" i="2"/>
  <c r="V46" i="2" s="1"/>
  <c r="U40" i="2"/>
  <c r="U46" i="2" s="1"/>
  <c r="W32" i="2"/>
  <c r="V32" i="2"/>
  <c r="U32" i="2"/>
  <c r="W26" i="2"/>
  <c r="W27" i="2"/>
  <c r="U28" i="2"/>
  <c r="W28" i="2"/>
  <c r="W24" i="2"/>
  <c r="S18" i="2"/>
  <c r="S16" i="2"/>
  <c r="S14" i="2"/>
  <c r="S13" i="2"/>
  <c r="S12" i="2"/>
  <c r="S11" i="2"/>
  <c r="S9" i="2"/>
  <c r="S8" i="2"/>
  <c r="S7" i="2"/>
  <c r="S4" i="2"/>
  <c r="S3" i="2"/>
  <c r="O18" i="2"/>
  <c r="O16" i="2"/>
  <c r="O14" i="2"/>
  <c r="O13" i="2"/>
  <c r="O12" i="2"/>
  <c r="O11" i="2"/>
  <c r="O9" i="2"/>
  <c r="O8" i="2"/>
  <c r="O7" i="2"/>
  <c r="O10" i="2" s="1"/>
  <c r="O4" i="2"/>
  <c r="O3" i="2"/>
  <c r="P49" i="2"/>
  <c r="Q49" i="2"/>
  <c r="R49" i="2"/>
  <c r="T32" i="2"/>
  <c r="I29" i="2"/>
  <c r="U26" i="2"/>
  <c r="T5" i="2"/>
  <c r="T27" i="2" s="1"/>
  <c r="R5" i="2"/>
  <c r="R27" i="2" s="1"/>
  <c r="Q5" i="2"/>
  <c r="Q27" i="2" s="1"/>
  <c r="P5" i="2"/>
  <c r="P28" i="2" s="1"/>
  <c r="N5" i="2"/>
  <c r="N28" i="2" s="1"/>
  <c r="M5" i="2"/>
  <c r="M28" i="2" s="1"/>
  <c r="L5" i="2"/>
  <c r="L28" i="2" s="1"/>
  <c r="D5" i="2"/>
  <c r="D27" i="2" s="1"/>
  <c r="E5" i="2"/>
  <c r="E28" i="2" s="1"/>
  <c r="F5" i="2"/>
  <c r="F28" i="2" s="1"/>
  <c r="G5" i="2"/>
  <c r="G28" i="2" s="1"/>
  <c r="C5" i="2"/>
  <c r="C27" i="2" s="1"/>
  <c r="S52" i="2"/>
  <c r="O52" i="2"/>
  <c r="S51" i="2"/>
  <c r="O51" i="2"/>
  <c r="S49" i="2"/>
  <c r="O49" i="2"/>
  <c r="S48" i="2"/>
  <c r="O48" i="2"/>
  <c r="S47" i="2"/>
  <c r="O47" i="2"/>
  <c r="S45" i="2"/>
  <c r="O45" i="2"/>
  <c r="S44" i="2"/>
  <c r="O44" i="2"/>
  <c r="S43" i="2"/>
  <c r="O43" i="2"/>
  <c r="S42" i="2"/>
  <c r="O42" i="2"/>
  <c r="S41" i="2"/>
  <c r="O41" i="2"/>
  <c r="S39" i="2"/>
  <c r="O39" i="2"/>
  <c r="S38" i="2"/>
  <c r="O38" i="2"/>
  <c r="S37" i="2"/>
  <c r="O37" i="2"/>
  <c r="S36" i="2"/>
  <c r="O36" i="2"/>
  <c r="S35" i="2"/>
  <c r="O35" i="2"/>
  <c r="S34" i="2"/>
  <c r="O34" i="2"/>
  <c r="O33" i="2"/>
  <c r="S33" i="2"/>
  <c r="S40" i="2" s="1"/>
  <c r="T50" i="2"/>
  <c r="T53" i="2" s="1"/>
  <c r="T40" i="2"/>
  <c r="T46" i="2" s="1"/>
  <c r="T26" i="2"/>
  <c r="F57" i="2"/>
  <c r="D49" i="2"/>
  <c r="E49" i="2"/>
  <c r="E57" i="2"/>
  <c r="F56" i="2"/>
  <c r="E56" i="2"/>
  <c r="G57" i="2"/>
  <c r="G56" i="2"/>
  <c r="L32" i="2"/>
  <c r="M32" i="2"/>
  <c r="N32" i="2"/>
  <c r="P32" i="2"/>
  <c r="Q32" i="2"/>
  <c r="R32" i="2"/>
  <c r="D32" i="2"/>
  <c r="E32" i="2"/>
  <c r="F32" i="2"/>
  <c r="G32" i="2"/>
  <c r="C3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L10" i="2"/>
  <c r="M10" i="2"/>
  <c r="N10" i="2"/>
  <c r="P10" i="2"/>
  <c r="Q10" i="2"/>
  <c r="R10" i="2"/>
  <c r="S10" i="2"/>
  <c r="T10" i="2"/>
  <c r="U10" i="2"/>
  <c r="U23" i="2" s="1"/>
  <c r="D10" i="2"/>
  <c r="E10" i="2"/>
  <c r="F10" i="2"/>
  <c r="G10" i="2"/>
  <c r="H10" i="2"/>
  <c r="H15" i="2" s="1"/>
  <c r="H17" i="2" s="1"/>
  <c r="I10" i="2"/>
  <c r="I15" i="2" s="1"/>
  <c r="I17" i="2" s="1"/>
  <c r="C10" i="2"/>
  <c r="V24" i="2" l="1"/>
  <c r="T25" i="2"/>
  <c r="V27" i="2"/>
  <c r="U27" i="2"/>
  <c r="S50" i="2"/>
  <c r="V26" i="2"/>
  <c r="T15" i="2"/>
  <c r="T17" i="2" s="1"/>
  <c r="T19" i="2" s="1"/>
  <c r="T21" i="2" s="1"/>
  <c r="W54" i="2"/>
  <c r="U54" i="2"/>
  <c r="V54" i="2"/>
  <c r="S5" i="2"/>
  <c r="S15" i="2" s="1"/>
  <c r="S17" i="2" s="1"/>
  <c r="S19" i="2" s="1"/>
  <c r="S28" i="2"/>
  <c r="S27" i="2"/>
  <c r="O5" i="2"/>
  <c r="O27" i="2" s="1"/>
  <c r="L27" i="2"/>
  <c r="L15" i="2"/>
  <c r="L17" i="2" s="1"/>
  <c r="L19" i="2" s="1"/>
  <c r="L21" i="2" s="1"/>
  <c r="Q28" i="2"/>
  <c r="T54" i="2"/>
  <c r="T28" i="2"/>
  <c r="D28" i="2"/>
  <c r="O28" i="2"/>
  <c r="R28" i="2"/>
  <c r="G23" i="2"/>
  <c r="C26" i="2"/>
  <c r="C28" i="2"/>
  <c r="S32" i="2"/>
  <c r="T23" i="2"/>
  <c r="S53" i="2"/>
  <c r="S46" i="2"/>
  <c r="O32" i="2"/>
  <c r="N27" i="2"/>
  <c r="N15" i="2"/>
  <c r="N17" i="2" s="1"/>
  <c r="N19" i="2" s="1"/>
  <c r="N21" i="2" s="1"/>
  <c r="U15" i="2"/>
  <c r="U17" i="2" s="1"/>
  <c r="U19" i="2" s="1"/>
  <c r="M15" i="2"/>
  <c r="M17" i="2" s="1"/>
  <c r="M19" i="2" s="1"/>
  <c r="M21" i="2" s="1"/>
  <c r="P15" i="2"/>
  <c r="P17" i="2" s="1"/>
  <c r="P19" i="2" s="1"/>
  <c r="P21" i="2" s="1"/>
  <c r="M27" i="2"/>
  <c r="P27" i="2"/>
  <c r="Q15" i="2"/>
  <c r="Q17" i="2" s="1"/>
  <c r="Q19" i="2" s="1"/>
  <c r="Q21" i="2" s="1"/>
  <c r="R15" i="2"/>
  <c r="R17" i="2" s="1"/>
  <c r="R19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S21" i="2" l="1"/>
  <c r="W29" i="2"/>
  <c r="U21" i="2"/>
  <c r="U29" i="2"/>
  <c r="U24" i="2"/>
  <c r="T24" i="2"/>
  <c r="R21" i="2"/>
  <c r="V29" i="2"/>
  <c r="O15" i="2"/>
  <c r="O17" i="2" s="1"/>
  <c r="O19" i="2" s="1"/>
  <c r="O21" i="2" s="1"/>
  <c r="S54" i="2"/>
  <c r="I27" i="5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5" i="2"/>
  <c r="C17" i="2" s="1"/>
  <c r="C19" i="2" s="1"/>
  <c r="D15" i="2"/>
  <c r="D17" i="2" s="1"/>
  <c r="D19" i="2" s="1"/>
  <c r="E15" i="2"/>
  <c r="E17" i="2" s="1"/>
  <c r="E19" i="2" s="1"/>
  <c r="F15" i="2"/>
  <c r="F17" i="2" s="1"/>
  <c r="F19" i="2" s="1"/>
  <c r="G15" i="2"/>
  <c r="G17" i="2" s="1"/>
  <c r="G19" i="2" s="1"/>
  <c r="L23" i="2"/>
  <c r="M23" i="2"/>
  <c r="N23" i="2"/>
  <c r="O23" i="2"/>
  <c r="P23" i="2"/>
  <c r="Q23" i="2"/>
  <c r="R23" i="2"/>
  <c r="S23" i="2"/>
  <c r="P25" i="2"/>
  <c r="Q25" i="2"/>
  <c r="R25" i="2"/>
  <c r="S25" i="2"/>
  <c r="L26" i="2"/>
  <c r="M26" i="2"/>
  <c r="N26" i="2"/>
  <c r="O26" i="2"/>
  <c r="P26" i="2"/>
  <c r="Q26" i="2"/>
  <c r="R26" i="2"/>
  <c r="S26" i="2"/>
  <c r="L40" i="2"/>
  <c r="L46" i="2" s="1"/>
  <c r="M40" i="2"/>
  <c r="M46" i="2" s="1"/>
  <c r="N40" i="2"/>
  <c r="N46" i="2" s="1"/>
  <c r="O40" i="2"/>
  <c r="O46" i="2" s="1"/>
  <c r="P40" i="2"/>
  <c r="P46" i="2" s="1"/>
  <c r="Q40" i="2"/>
  <c r="Q46" i="2" s="1"/>
  <c r="R40" i="2"/>
  <c r="R46" i="2" s="1"/>
  <c r="L50" i="2"/>
  <c r="L53" i="2" s="1"/>
  <c r="M50" i="2"/>
  <c r="M53" i="2" s="1"/>
  <c r="N50" i="2"/>
  <c r="N53" i="2" s="1"/>
  <c r="O50" i="2"/>
  <c r="O53" i="2" s="1"/>
  <c r="P50" i="2"/>
  <c r="P53" i="2" s="1"/>
  <c r="Q50" i="2"/>
  <c r="Q53" i="2" s="1"/>
  <c r="R50" i="2"/>
  <c r="R53" i="2" s="1"/>
  <c r="C40" i="2"/>
  <c r="C46" i="2" s="1"/>
  <c r="D40" i="2"/>
  <c r="D46" i="2" s="1"/>
  <c r="E40" i="2"/>
  <c r="E46" i="2" s="1"/>
  <c r="I24" i="2"/>
  <c r="H24" i="2"/>
  <c r="I25" i="2"/>
  <c r="P54" i="2" l="1"/>
  <c r="L54" i="2"/>
  <c r="O54" i="2"/>
  <c r="N54" i="2"/>
  <c r="R54" i="2"/>
  <c r="Q54" i="2"/>
  <c r="M54" i="2"/>
  <c r="K11" i="5"/>
  <c r="G26" i="2"/>
  <c r="G27" i="2"/>
  <c r="F27" i="2"/>
  <c r="E26" i="2"/>
  <c r="E27" i="2"/>
  <c r="D26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P24" i="2"/>
  <c r="T29" i="2"/>
  <c r="P29" i="2"/>
  <c r="L24" i="2"/>
  <c r="O24" i="2"/>
  <c r="S29" i="2"/>
  <c r="S24" i="2"/>
  <c r="R29" i="2"/>
  <c r="R24" i="2"/>
  <c r="Q24" i="2"/>
  <c r="Q29" i="2"/>
  <c r="N24" i="2"/>
  <c r="M24" i="2"/>
  <c r="C23" i="2"/>
  <c r="H25" i="2"/>
  <c r="F23" i="2"/>
  <c r="F26" i="2"/>
  <c r="E23" i="2"/>
  <c r="D23" i="2"/>
  <c r="G25" i="2"/>
  <c r="G50" i="2"/>
  <c r="G53" i="2" s="1"/>
  <c r="G40" i="2"/>
  <c r="G46" i="2" s="1"/>
  <c r="E25" i="2"/>
  <c r="F25" i="2"/>
  <c r="D25" i="2"/>
  <c r="D50" i="2"/>
  <c r="D53" i="2" s="1"/>
  <c r="D54" i="2" s="1"/>
  <c r="E50" i="2"/>
  <c r="F40" i="2"/>
  <c r="F46" i="2" s="1"/>
  <c r="G54" i="2" l="1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0" i="2"/>
  <c r="F53" i="2" s="1"/>
  <c r="F54" i="2" s="1"/>
  <c r="E53" i="2"/>
  <c r="E54" i="2" s="1"/>
  <c r="C50" i="2"/>
  <c r="C53" i="2" s="1"/>
  <c r="C54" i="2" s="1"/>
  <c r="C21" i="2" l="1"/>
  <c r="E21" i="2"/>
  <c r="D24" i="2"/>
  <c r="G21" i="2"/>
  <c r="G24" i="2"/>
  <c r="H29" i="2" l="1"/>
  <c r="C24" i="2"/>
  <c r="E24" i="2"/>
  <c r="F21" i="2"/>
  <c r="F29" i="2" s="1"/>
  <c r="D21" i="2"/>
  <c r="D29" i="2" s="1"/>
  <c r="F24" i="2"/>
  <c r="G29" i="2" l="1"/>
  <c r="E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<sst xmlns="http://schemas.openxmlformats.org/spreadsheetml/2006/main" count="169" uniqueCount="154">
  <si>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</si>
  <si>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</si>
  <si>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</si>
  <si>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</si>
  <si>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</si>
  <si>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</si>
  <si>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</si>
  <si>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</si>
  <si>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</si>
  <si>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</si>
  <si>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</si>
  <si>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</si>
  <si>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</si>
  <si>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</si>
  <si>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</si>
  <si>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</si>
  <si>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</si>
  <si>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</si>
  <si>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</si>
  <si>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</si>
  <si>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</si>
  <si>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</si>
  <si>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</si>
  <si>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</si>
  <si>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</si>
  <si>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</si>
  <si>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</si>
  <si>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</si>
  <si>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</si>
  <si>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</si>
  <si>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</si>
  <si>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</si>
  <si>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</si>
  <si>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</si>
  <si>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</si>
  <si>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</si>
  <si>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</si>
  <si>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</si>
  <si>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</si>
  <si>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</si>
  <si>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</si>
  <si>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</si>
  <si>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</si>
  <si>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</si>
  <si>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</si>
  <si>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</si>
  <si>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</si>
  <si>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</si>
  <si>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</si>
  <si>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</si>
  <si>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</si>
  <si>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</si>
  <si>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</si>
  <si>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</si>
  <si>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</si>
  <si>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</si>
  <si>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</si>
  <si>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</si>
  <si>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</si>
  <si>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</si>
  <si>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</si>
  <si>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</si>
  <si>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</si>
  <si>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</si>
  <si>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</si>
  <si>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</si>
  <si>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</si>
  <si>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</si>
  <si>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</si>
  <si>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</si>
  <si>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</si>
  <si>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Notes</t>
  </si>
  <si>
    <t>Prepaid Expense</t>
  </si>
  <si>
    <t>PP&amp;E</t>
  </si>
  <si>
    <t>Intangible Asset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</si>
  <si>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</si>
  <si>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</si>
  <si>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</si>
  <si>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</si>
  <si>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</si>
  <si>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</si>
  <si>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</si>
  <si>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</si>
  <si>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</si>
  <si>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</si>
  <si>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</si>
  <si>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</si>
  <si>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</si>
  <si>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</si>
  <si>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</si>
  <si>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</si>
  <si>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</si>
  <si>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</si>
  <si>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</si>
  <si>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</si>
  <si>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</si>
  <si>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</si>
  <si>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</si>
  <si>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</si>
  <si>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</si>
  <si>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</si>
  <si>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</si>
  <si>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</si>
  <si>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</si>
  <si>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</si>
  <si>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</si>
  <si>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</si>
  <si>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</si>
  <si>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</si>
  <si>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</si>
  <si>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</si>
  <si>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</si>
  <si>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</si>
  <si>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</si>
  <si>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</si>
  <si>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</si>
  <si>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</si>
  <si>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</si>
  <si>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</si>
  <si>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</si>
  <si>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</si>
  <si>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</si>
  <si>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</si>
  <si>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</si>
  <si>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</si>
  <si>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</si>
  <si>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</si>
  <si>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</si>
  <si>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</si>
  <si>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</si>
  <si>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Net Income before Tax</t>
  </si>
  <si>
    <t>Short-term investments</t>
  </si>
  <si>
    <t>Loans and ir, net of allow</t>
  </si>
  <si>
    <t>Fund receivable and customer accounts</t>
  </si>
  <si>
    <t>Long-term investments</t>
  </si>
  <si>
    <t>Other assets</t>
  </si>
  <si>
    <t>Funds payable</t>
  </si>
  <si>
    <t>Accrued Expense</t>
  </si>
  <si>
    <t>Long-term debt</t>
  </si>
  <si>
    <t>Transaction expense</t>
  </si>
  <si>
    <t>Transaction and creit losses</t>
  </si>
  <si>
    <t>Customer Support and ops</t>
  </si>
  <si>
    <t>Technology and Development</t>
  </si>
  <si>
    <t>Restructuring</t>
  </si>
  <si>
    <t>Other income net</t>
  </si>
  <si>
    <t>Technology and Dev / REV</t>
  </si>
  <si>
    <t>Debt y/y</t>
  </si>
  <si>
    <t>Cash y/y</t>
  </si>
  <si>
    <t>Transaction Revenues</t>
  </si>
  <si>
    <t>Revenues from other services</t>
  </si>
  <si>
    <t>EPS Growth</t>
  </si>
  <si>
    <t>Q324</t>
  </si>
  <si>
    <t>Q424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</si>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</sst>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5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9" fontId="5" fillId="0" borderId="0" xfId="1" applyFont="1" applyFill="1"/>
    <xf numFmtId="9" fontId="5" fillId="0" borderId="0" xfId="0" applyNumberFormat="1" applyFont="1"/>
    <xf numFmtId="10" fontId="2" fillId="0" borderId="0" xfId="1" applyNumberFormat="1" applyFont="1" applyBorder="1"/>
    <xf numFmtId="2" fontId="5" fillId="6" borderId="0" xfId="0" applyNumberFormat="1" applyFont="1" applyFill="1"/>
    <xf numFmtId="0" fontId="5" fillId="6" borderId="0" xfId="0" applyFont="1" applyFill="1"/>
    <xf numFmtId="2" fontId="0" fillId="0" borderId="2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2" fontId="2" fillId="0" borderId="0" xfId="0" applyNumberFormat="1" applyFont="1" applyBorder="1"/>
    <xf numFmtId="2" fontId="0" fillId="0" borderId="0" xfId="0" applyNumberFormat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3" fontId="5" fillId="0" borderId="2" xfId="0" applyNumberFormat="1" applyFont="1" applyBorder="1"/>
    <xf numFmtId="9" fontId="0" fillId="0" borderId="2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84C-4DAA-87DC-17FA6C7A8B4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Model!$L$2:$W$2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f>Model!$L$5:$W$5</c:f>
              <c:numCache>
                <c:formatCode>#,##0</c:formatCode>
                <c:ptCount val="12"/>
                <c:pt idx="0">
                  <c:v>6483</c:v>
                </c:pt>
                <c:pt idx="1">
                  <c:v>6806</c:v>
                </c:pt>
                <c:pt idx="2">
                  <c:v>6846</c:v>
                </c:pt>
                <c:pt idx="3">
                  <c:v>7383</c:v>
                </c:pt>
                <c:pt idx="4">
                  <c:v>7040</c:v>
                </c:pt>
                <c:pt idx="5">
                  <c:v>7287</c:v>
                </c:pt>
                <c:pt idx="6">
                  <c:v>7418</c:v>
                </c:pt>
                <c:pt idx="7">
                  <c:v>8026</c:v>
                </c:pt>
                <c:pt idx="8">
                  <c:v>7699</c:v>
                </c:pt>
                <c:pt idx="9">
                  <c:v>7885</c:v>
                </c:pt>
                <c:pt idx="10">
                  <c:v>7880</c:v>
                </c:pt>
                <c:pt idx="11" formatCode="General">
                  <c:v>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Model!$L$25:$W$25</c:f>
              <c:numCache>
                <c:formatCode>0%</c:formatCode>
                <c:ptCount val="12"/>
                <c:pt idx="4">
                  <c:v>8.5917013728212144E-2</c:v>
                </c:pt>
                <c:pt idx="5">
                  <c:v>7.0672935645019086E-2</c:v>
                </c:pt>
                <c:pt idx="6">
                  <c:v>8.3552439380660148E-2</c:v>
                </c:pt>
                <c:pt idx="7">
                  <c:v>8.7091968034674228E-2</c:v>
                </c:pt>
                <c:pt idx="8">
                  <c:v>9.3607954545454453E-2</c:v>
                </c:pt>
                <c:pt idx="9">
                  <c:v>8.2063949499108002E-2</c:v>
                </c:pt>
                <c:pt idx="10">
                  <c:v>6.228093825829073E-2</c:v>
                </c:pt>
                <c:pt idx="11">
                  <c:v>5.6566159980064867E-2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FC6-462D-A581-DD8D228DEC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Model!$C$5:$I$5</c:f>
              <c:numCache>
                <c:formatCode>#,##0</c:formatCode>
                <c:ptCount val="7"/>
                <c:pt idx="0">
                  <c:v>17772</c:v>
                </c:pt>
                <c:pt idx="1">
                  <c:v>21454</c:v>
                </c:pt>
                <c:pt idx="2">
                  <c:v>25371</c:v>
                </c:pt>
                <c:pt idx="3">
                  <c:v>27518</c:v>
                </c:pt>
                <c:pt idx="4">
                  <c:v>29771</c:v>
                </c:pt>
                <c:pt idx="5">
                  <c:v>31940</c:v>
                </c:pt>
                <c:pt idx="6">
                  <c:v>34410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Model!$C$25:$I$25</c:f>
              <c:numCache>
                <c:formatCode>0%</c:formatCode>
                <c:ptCount val="7"/>
                <c:pt idx="1">
                  <c:v>0.20717983344586988</c:v>
                </c:pt>
                <c:pt idx="2">
                  <c:v>0.18257667567819524</c:v>
                </c:pt>
                <c:pt idx="3">
                  <c:v>8.4624177210200546E-2</c:v>
                </c:pt>
                <c:pt idx="4">
                  <c:v>8.1873682680427384E-2</c:v>
                </c:pt>
                <c:pt idx="5">
                  <c:v>7.2856135165093594E-2</c:v>
                </c:pt>
                <c:pt idx="6">
                  <c:v>7.7332498434564911E-2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Model!$B$21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A6-4954-8732-861AA70562CD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Model!$L$2:$W$2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f>Model!$L$21:$W$21</c:f>
              <c:numCache>
                <c:formatCode>0.00</c:formatCode>
                <c:ptCount val="12"/>
                <c:pt idx="0">
                  <c:v>0.43430034129692835</c:v>
                </c:pt>
                <c:pt idx="1">
                  <c:v>-0.29447322970639034</c:v>
                </c:pt>
                <c:pt idx="2">
                  <c:v>1.1495246326707</c:v>
                </c:pt>
                <c:pt idx="3">
                  <c:v>0.79602420051858258</c:v>
                </c:pt>
                <c:pt idx="4">
                  <c:v>0.70105820105820105</c:v>
                </c:pt>
                <c:pt idx="5">
                  <c:v>0.92369838420107719</c:v>
                </c:pt>
                <c:pt idx="6">
                  <c:v>0.92896174863387981</c:v>
                </c:pt>
                <c:pt idx="7">
                  <c:v>1.2768670309653916</c:v>
                </c:pt>
                <c:pt idx="8">
                  <c:v>0.82835820895522383</c:v>
                </c:pt>
                <c:pt idx="9">
                  <c:v>1.0773638968481376</c:v>
                </c:pt>
                <c:pt idx="10" formatCode="General">
                  <c:v>1.06</c:v>
                </c:pt>
                <c:pt idx="11" formatCode="General">
                  <c:v>1.0900000000000001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Model!$L$23:$W$23</c:f>
              <c:numCache>
                <c:formatCode>0%</c:formatCode>
                <c:ptCount val="12"/>
                <c:pt idx="0">
                  <c:v>0.42619157797316054</c:v>
                </c:pt>
                <c:pt idx="1">
                  <c:v>0.40816926241551577</c:v>
                </c:pt>
                <c:pt idx="2">
                  <c:v>0.43558282208588961</c:v>
                </c:pt>
                <c:pt idx="3">
                  <c:v>0.42394690505214683</c:v>
                </c:pt>
                <c:pt idx="4">
                  <c:v>0.40156250000000004</c:v>
                </c:pt>
                <c:pt idx="5">
                  <c:v>0.39193083573487031</c:v>
                </c:pt>
                <c:pt idx="6">
                  <c:v>0.39026691830682125</c:v>
                </c:pt>
                <c:pt idx="7">
                  <c:v>0.39957637677547964</c:v>
                </c:pt>
                <c:pt idx="8">
                  <c:v>0.39057020392258734</c:v>
                </c:pt>
                <c:pt idx="9">
                  <c:v>0.40228281547241596</c:v>
                </c:pt>
                <c:pt idx="10">
                  <c:v>0.4</c:v>
                </c:pt>
                <c:pt idx="1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Model!$B$21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054-445C-B2CA-879F4F36A272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54-445C-B2CA-879F4F36A2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Model!$C$21:$I$21</c:f>
              <c:numCache>
                <c:formatCode>0.00</c:formatCode>
                <c:ptCount val="7"/>
                <c:pt idx="0">
                  <c:v>2.0698653198653201</c:v>
                </c:pt>
                <c:pt idx="1">
                  <c:v>3.5400168491996631</c:v>
                </c:pt>
                <c:pt idx="2">
                  <c:v>3.5151770657672849</c:v>
                </c:pt>
                <c:pt idx="3">
                  <c:v>2.0889464594127807</c:v>
                </c:pt>
                <c:pt idx="4">
                  <c:v>3.8355916892502258</c:v>
                </c:pt>
                <c:pt idx="5">
                  <c:v>4.43</c:v>
                </c:pt>
                <c:pt idx="6" formatCode="General">
                  <c:v>4.8499999999999996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0.71026434194762067</c:v>
                </c:pt>
                <c:pt idx="2">
                  <c:v>-7.0168545773995339E-3</c:v>
                </c:pt>
                <c:pt idx="3">
                  <c:v>-0.40573506815457949</c:v>
                </c:pt>
                <c:pt idx="4">
                  <c:v>0.83613690622230741</c:v>
                </c:pt>
                <c:pt idx="5">
                  <c:v>0.15497173810645304</c:v>
                </c:pt>
                <c:pt idx="6">
                  <c:v>9.4808126410835136E-2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Model!$L$2:$W$2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f>Model!$L$26:$W$26</c:f>
              <c:numCache>
                <c:formatCode>0%</c:formatCode>
                <c:ptCount val="12"/>
                <c:pt idx="0">
                  <c:v>9.1624248033317909E-2</c:v>
                </c:pt>
                <c:pt idx="1">
                  <c:v>8.7422862180429037E-2</c:v>
                </c:pt>
                <c:pt idx="2">
                  <c:v>7.9462459830557997E-2</c:v>
                </c:pt>
                <c:pt idx="3">
                  <c:v>7.0973858864960049E-2</c:v>
                </c:pt>
                <c:pt idx="4">
                  <c:v>6.1931818181818185E-2</c:v>
                </c:pt>
                <c:pt idx="5">
                  <c:v>6.3812268423219437E-2</c:v>
                </c:pt>
                <c:pt idx="6">
                  <c:v>5.9584793744944728E-2</c:v>
                </c:pt>
                <c:pt idx="7">
                  <c:v>5.8061300772489409E-2</c:v>
                </c:pt>
                <c:pt idx="8">
                  <c:v>5.4682426289128457E-2</c:v>
                </c:pt>
                <c:pt idx="9">
                  <c:v>5.6563094483195943E-2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Technology and Dev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Model!$L$2:$W$2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f>Model!$L$27:$W$27</c:f>
              <c:numCache>
                <c:formatCode>0%</c:formatCode>
                <c:ptCount val="12"/>
                <c:pt idx="0">
                  <c:v>0.12571340428813821</c:v>
                </c:pt>
                <c:pt idx="1">
                  <c:v>0.1197472818101675</c:v>
                </c:pt>
                <c:pt idx="2">
                  <c:v>0.11700262927256792</c:v>
                </c:pt>
                <c:pt idx="3">
                  <c:v>0.11133685493701748</c:v>
                </c:pt>
                <c:pt idx="4">
                  <c:v>0.10241477272727273</c:v>
                </c:pt>
                <c:pt idx="5">
                  <c:v>0.10196239879236997</c:v>
                </c:pt>
                <c:pt idx="6">
                  <c:v>9.9622539768131568E-2</c:v>
                </c:pt>
                <c:pt idx="7">
                  <c:v>9.5938200847246455E-2</c:v>
                </c:pt>
                <c:pt idx="8">
                  <c:v>9.6376152747110019E-2</c:v>
                </c:pt>
                <c:pt idx="9">
                  <c:v>9.105897273303741E-2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Model!$L$2:$W$2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f>Model!$L$28:$W$28</c:f>
              <c:numCache>
                <c:formatCode>0%</c:formatCode>
                <c:ptCount val="12"/>
                <c:pt idx="0">
                  <c:v>9.3629492518895574E-2</c:v>
                </c:pt>
                <c:pt idx="1">
                  <c:v>7.5521598589479877E-2</c:v>
                </c:pt>
                <c:pt idx="2">
                  <c:v>6.7630733274905055E-2</c:v>
                </c:pt>
                <c:pt idx="3">
                  <c:v>6.9754842205065698E-2</c:v>
                </c:pt>
                <c:pt idx="4">
                  <c:v>7.2017045454545459E-2</c:v>
                </c:pt>
                <c:pt idx="5">
                  <c:v>6.7380266227528476E-2</c:v>
                </c:pt>
                <c:pt idx="6">
                  <c:v>6.8347263413318954E-2</c:v>
                </c:pt>
                <c:pt idx="7">
                  <c:v>6.902566658360329E-2</c:v>
                </c:pt>
                <c:pt idx="8">
                  <c:v>6.0267567216521628E-2</c:v>
                </c:pt>
                <c:pt idx="9">
                  <c:v>7.2289156626506021E-2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Model!$C$26:$G$26</c:f>
              <c:numCache>
                <c:formatCode>0%</c:formatCode>
                <c:ptCount val="5"/>
                <c:pt idx="0">
                  <c:v>7.8831870357866304E-2</c:v>
                </c:pt>
                <c:pt idx="1">
                  <c:v>8.674373077281626E-2</c:v>
                </c:pt>
                <c:pt idx="2">
                  <c:v>9.6369871112687716E-2</c:v>
                </c:pt>
                <c:pt idx="3">
                  <c:v>8.2019042081546631E-2</c:v>
                </c:pt>
                <c:pt idx="4">
                  <c:v>6.0763830573376774E-2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Technology and Dev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Model!$C$27:$G$27</c:f>
              <c:numCache>
                <c:formatCode>0%</c:formatCode>
                <c:ptCount val="5"/>
                <c:pt idx="0">
                  <c:v>0.11731937879810939</c:v>
                </c:pt>
                <c:pt idx="1">
                  <c:v>0.12314719865759299</c:v>
                </c:pt>
                <c:pt idx="2">
                  <c:v>0.11974301367703283</c:v>
                </c:pt>
                <c:pt idx="3">
                  <c:v>0.1182135329602442</c:v>
                </c:pt>
                <c:pt idx="4">
                  <c:v>9.9862282086594339E-2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Model!$C$28:$G$28</c:f>
              <c:numCache>
                <c:formatCode>0%</c:formatCode>
                <c:ptCount val="5"/>
                <c:pt idx="0">
                  <c:v>9.6275039387801034E-2</c:v>
                </c:pt>
                <c:pt idx="1">
                  <c:v>9.6485503868742425E-2</c:v>
                </c:pt>
                <c:pt idx="2">
                  <c:v>8.3323479563280914E-2</c:v>
                </c:pt>
                <c:pt idx="3">
                  <c:v>7.6277345737335564E-2</c:v>
                </c:pt>
                <c:pt idx="4">
                  <c:v>6.9161264317624538E-2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workbookViewId="0">
      <selection activeCell="C36" sqref="C3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46</v>
      </c>
      <c r="F2" s="56" t="s">
        <v>47</v>
      </c>
      <c r="G2" s="25"/>
      <c r="H2" s="26" t="s">
        <v>54</v>
      </c>
      <c r="I2" s="26" t="s">
        <v>1</v>
      </c>
      <c r="J2" s="27" t="s">
        <v>47</v>
      </c>
      <c r="L2" s="30" t="s">
        <v>40</v>
      </c>
      <c r="M2" s="31" t="s">
        <v>56</v>
      </c>
      <c r="N2" s="32" t="s">
        <v>55</v>
      </c>
    </row>
    <row r="3" spans="2:14" x14ac:dyDescent="0.25">
      <c r="B3" s="5" t="s">
        <v>39</v>
      </c>
      <c r="C3" s="20">
        <v>45419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0.89722222222222225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>
        <v>73.16</v>
      </c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>
        <f>Model!U20</f>
        <v>1047</v>
      </c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76598.51999999999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>
        <f>Model!U33+Model!U34</f>
        <v>13616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Model!U52</f>
        <v>9727</v>
      </c>
      <c r="E10" s="5"/>
      <c r="F10" s="28"/>
      <c r="I10" s="10"/>
      <c r="J10" s="39"/>
      <c r="L10" s="5"/>
      <c r="N10" s="13"/>
    </row>
    <row r="11" spans="2:14" x14ac:dyDescent="0.25">
      <c r="B11" s="5" t="s">
        <v>34</v>
      </c>
      <c r="C11" s="15">
        <f>C9-C10</f>
        <v>3889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>
        <f>C8-C9+C10</f>
        <v>72709.51999999999</v>
      </c>
      <c r="E12" s="5"/>
      <c r="F12" s="28"/>
      <c r="J12" s="13"/>
      <c r="L12" s="5"/>
      <c r="N12" s="13"/>
    </row>
    <row r="13" spans="2:14" x14ac:dyDescent="0.25">
      <c r="B13" s="5" t="s">
        <v>45</v>
      </c>
      <c r="C13" s="36">
        <f>C6/Model!G21</f>
        <v>19.073980216674517</v>
      </c>
      <c r="E13" s="5"/>
      <c r="J13" s="13"/>
      <c r="L13" s="5"/>
      <c r="N13" s="13"/>
    </row>
    <row r="14" spans="2:14" x14ac:dyDescent="0.25">
      <c r="B14" s="5" t="s">
        <v>43</v>
      </c>
      <c r="C14" s="36">
        <f>C6/Model!H21</f>
        <v>16.514672686230249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44</v>
      </c>
      <c r="C15" s="36">
        <f>C6/Model!I21</f>
        <v>15.084536082474227</v>
      </c>
    </row>
    <row r="16" spans="2:14" x14ac:dyDescent="0.25">
      <c r="B16" s="5" t="s">
        <v>41</v>
      </c>
      <c r="C16" s="6">
        <f>Model!H21/Model!G21-1</f>
        <v>0.15497173810645304</v>
      </c>
    </row>
    <row r="17" spans="2:14" x14ac:dyDescent="0.25">
      <c r="B17" s="5" t="s">
        <v>42</v>
      </c>
      <c r="C17" s="6">
        <f>Model!I21/Model!H21-1</f>
        <v>9.4808126410835136E-2</v>
      </c>
      <c r="E17" s="33" t="s">
        <v>52</v>
      </c>
      <c r="L17" s="127"/>
      <c r="M17" s="128"/>
      <c r="N17" s="129"/>
    </row>
    <row r="18" spans="2:14" x14ac:dyDescent="0.25">
      <c r="B18" s="5" t="s">
        <v>67</v>
      </c>
      <c r="C18" s="45">
        <f>C14/(C16*100)</f>
        <v>1.0656570603141848</v>
      </c>
      <c r="L18" s="130"/>
      <c r="M18" s="131"/>
      <c r="N18" s="132"/>
    </row>
    <row r="19" spans="2:14" x14ac:dyDescent="0.25">
      <c r="B19" s="5" t="s">
        <v>68</v>
      </c>
      <c r="C19" s="45">
        <f>C15/(C17*100)</f>
        <v>1.591059401080021</v>
      </c>
      <c r="L19" s="130"/>
      <c r="M19" s="131"/>
      <c r="N19" s="132"/>
    </row>
    <row r="20" spans="2:14" x14ac:dyDescent="0.25">
      <c r="B20" s="5" t="s">
        <v>76</v>
      </c>
      <c r="C20" s="6">
        <f>Model!H6/Model!G5-1</f>
        <v>7.2856135165093594E-2</v>
      </c>
      <c r="L20" s="130"/>
      <c r="M20" s="131"/>
      <c r="N20" s="132"/>
    </row>
    <row r="21" spans="2:14" x14ac:dyDescent="0.25">
      <c r="B21" s="5" t="s">
        <v>77</v>
      </c>
      <c r="C21" s="6">
        <f>Model!I6/Model!H6-1</f>
        <v>7.7332498434564911E-2</v>
      </c>
      <c r="L21" s="130"/>
      <c r="M21" s="131"/>
      <c r="N21" s="132"/>
    </row>
    <row r="22" spans="2:14" x14ac:dyDescent="0.25">
      <c r="B22" s="5" t="s">
        <v>69</v>
      </c>
      <c r="C22" s="15">
        <f>Model!G15</f>
        <v>5028</v>
      </c>
      <c r="L22" s="130"/>
      <c r="M22" s="131"/>
      <c r="N22" s="132"/>
    </row>
    <row r="23" spans="2:14" x14ac:dyDescent="0.25">
      <c r="B23" s="5" t="s">
        <v>16</v>
      </c>
      <c r="C23" s="15">
        <f>Model!G15</f>
        <v>5028</v>
      </c>
      <c r="L23" s="130"/>
      <c r="M23" s="131"/>
      <c r="N23" s="132"/>
    </row>
    <row r="24" spans="2:14" x14ac:dyDescent="0.25">
      <c r="B24" s="5" t="s">
        <v>28</v>
      </c>
      <c r="C24" s="7">
        <f>Model!G23</f>
        <v>0.39585502670383932</v>
      </c>
      <c r="L24" s="130"/>
      <c r="M24" s="131"/>
      <c r="N24" s="132"/>
    </row>
    <row r="25" spans="2:14" x14ac:dyDescent="0.25">
      <c r="B25" s="5" t="s">
        <v>29</v>
      </c>
      <c r="C25" s="7">
        <f>Model!G24</f>
        <v>0.14262201471230393</v>
      </c>
      <c r="L25" s="130"/>
      <c r="M25" s="131"/>
      <c r="N25" s="132"/>
    </row>
    <row r="26" spans="2:14" x14ac:dyDescent="0.25">
      <c r="B26" s="5" t="s">
        <v>70</v>
      </c>
      <c r="C26" s="36">
        <f>C12/C23</f>
        <v>14.460922832140014</v>
      </c>
      <c r="L26" s="130"/>
      <c r="M26" s="131"/>
      <c r="N26" s="132"/>
    </row>
    <row r="27" spans="2:14" x14ac:dyDescent="0.25">
      <c r="B27" s="5" t="s">
        <v>78</v>
      </c>
      <c r="C27" s="116">
        <f>C10/Model!U54</f>
        <v>0.47168072931820387</v>
      </c>
      <c r="E27" t="s">
        <v>71</v>
      </c>
      <c r="L27" s="130"/>
      <c r="M27" s="131"/>
      <c r="N27" s="132"/>
    </row>
    <row r="28" spans="2:14" x14ac:dyDescent="0.25">
      <c r="B28" s="5" t="s">
        <v>79</v>
      </c>
      <c r="C28" s="36">
        <f>C22/Model!G16</f>
        <v>13.127937336814622</v>
      </c>
      <c r="L28" s="133"/>
      <c r="M28" s="134"/>
      <c r="N28" s="135"/>
    </row>
    <row r="29" spans="2:14" x14ac:dyDescent="0.25">
      <c r="B29" s="5" t="s">
        <v>80</v>
      </c>
      <c r="C29" s="36">
        <f>Model!U40/Model!U50</f>
        <v>1.2417328890028199</v>
      </c>
    </row>
    <row r="30" spans="2:14" x14ac:dyDescent="0.25">
      <c r="B30" s="5" t="s">
        <v>81</v>
      </c>
      <c r="C30" s="36">
        <f>(Model!U33+Model!U34+Model!U35)/Model!U47</f>
        <v>109.79699248120301</v>
      </c>
    </row>
    <row r="31" spans="2:14" x14ac:dyDescent="0.25">
      <c r="B31" s="5" t="s">
        <v>82</v>
      </c>
      <c r="C31" s="6">
        <f>(Model!U40-Model!U50)/Model!U46</f>
        <v>0.14591268329841936</v>
      </c>
    </row>
    <row r="32" spans="2:14" x14ac:dyDescent="0.25">
      <c r="B32" s="5" t="s">
        <v>83</v>
      </c>
      <c r="C32" s="36">
        <f>(Model!M32-Model!M42)/Main!C7</f>
        <v>0</v>
      </c>
    </row>
    <row r="33" spans="2:9" x14ac:dyDescent="0.25">
      <c r="B33" s="5" t="s">
        <v>84</v>
      </c>
      <c r="C33" s="36">
        <f>Model!G5/Model!G46</f>
        <v>0.36232748338728915</v>
      </c>
    </row>
    <row r="34" spans="2:9" x14ac:dyDescent="0.25">
      <c r="B34" s="5" t="s">
        <v>85</v>
      </c>
      <c r="C34" s="39">
        <f>Model!G19/Model!G46</f>
        <v>5.1675875666334005E-2</v>
      </c>
    </row>
    <row r="35" spans="2:9" x14ac:dyDescent="0.25">
      <c r="B35" s="5" t="s">
        <v>86</v>
      </c>
      <c r="C35" s="39">
        <f>Model!G19/Model!G54</f>
        <v>0.20170063179896441</v>
      </c>
    </row>
    <row r="36" spans="2:9" x14ac:dyDescent="0.25">
      <c r="B36" s="22" t="s">
        <v>87</v>
      </c>
      <c r="C36" s="23" t="s">
        <v>153</v>
      </c>
    </row>
    <row r="41" spans="2:9" x14ac:dyDescent="0.25">
      <c r="E41" s="52"/>
      <c r="F41" s="52"/>
      <c r="G41" s="55"/>
      <c r="H41" s="55"/>
      <c r="I41" s="55"/>
    </row>
    <row r="42" spans="2:9" x14ac:dyDescent="0.25">
      <c r="E42" s="52"/>
      <c r="F42" s="52"/>
      <c r="G42" s="55"/>
      <c r="H42" s="55"/>
      <c r="I42" s="55"/>
    </row>
    <row r="43" spans="2:9" x14ac:dyDescent="0.25">
      <c r="E43" s="52"/>
      <c r="F43" s="52"/>
      <c r="G43" s="55"/>
      <c r="H43" s="55"/>
      <c r="I43" s="55"/>
    </row>
    <row r="44" spans="2:9" x14ac:dyDescent="0.25">
      <c r="E44" s="52"/>
      <c r="F44" s="52"/>
      <c r="G44" s="55"/>
      <c r="H44" s="55"/>
      <c r="I44" s="55"/>
    </row>
    <row r="45" spans="2:9" x14ac:dyDescent="0.25">
      <c r="E45" s="52"/>
      <c r="F45" s="52"/>
      <c r="G45" s="55"/>
      <c r="H45" s="55"/>
      <c r="I45" s="55"/>
    </row>
    <row r="46" spans="2:9" x14ac:dyDescent="0.25">
      <c r="E46" s="52"/>
      <c r="F46" s="52"/>
      <c r="G46" s="55"/>
      <c r="H46" s="55"/>
      <c r="I46" s="55"/>
    </row>
    <row r="47" spans="2:9" x14ac:dyDescent="0.25">
      <c r="E47" s="52"/>
      <c r="F47" s="52"/>
      <c r="G47" s="55"/>
      <c r="H47" s="55"/>
      <c r="I47" s="55"/>
    </row>
    <row r="48" spans="2:9" x14ac:dyDescent="0.25">
      <c r="E48" s="52"/>
      <c r="F48" s="52"/>
      <c r="G48" s="55"/>
      <c r="H48" s="55"/>
      <c r="I48" s="55"/>
    </row>
    <row r="49" spans="5:9" x14ac:dyDescent="0.25">
      <c r="E49" s="52"/>
      <c r="F49" s="52"/>
      <c r="G49" s="55"/>
      <c r="H49" s="55"/>
      <c r="I49" s="55"/>
    </row>
    <row r="50" spans="5:9" x14ac:dyDescent="0.25">
      <c r="E50" s="52"/>
      <c r="F50" s="52"/>
      <c r="G50" s="55"/>
      <c r="H50" s="55"/>
      <c r="I50" s="55"/>
    </row>
    <row r="51" spans="5:9" x14ac:dyDescent="0.25">
      <c r="E51" s="52"/>
      <c r="F51" s="52"/>
      <c r="G51" s="55"/>
      <c r="H51" s="55"/>
      <c r="I51" s="55"/>
    </row>
    <row r="52" spans="5:9" x14ac:dyDescent="0.25">
      <c r="E52" s="53"/>
      <c r="F52" s="54"/>
      <c r="G52" s="54"/>
    </row>
    <row r="53" spans="5:9" x14ac:dyDescent="0.25">
      <c r="E53" s="53"/>
      <c r="F53" s="54"/>
      <c r="G53" s="54"/>
    </row>
    <row r="54" spans="5:9" x14ac:dyDescent="0.25">
      <c r="E54" s="53"/>
      <c r="F54" s="54"/>
      <c r="G54" s="54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W75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V24" sqref="V24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0" max="20" width="11.42578125" style="146"/>
    <col min="21" max="21" width="11.42578125" style="13"/>
  </cols>
  <sheetData>
    <row r="1" spans="1:23" x14ac:dyDescent="0.25">
      <c r="A1" s="8" t="s">
        <v>35</v>
      </c>
    </row>
    <row r="2" spans="1:23" x14ac:dyDescent="0.25">
      <c r="C2" t="s">
        <v>32</v>
      </c>
      <c r="D2" t="s">
        <v>15</v>
      </c>
      <c r="E2" t="s">
        <v>11</v>
      </c>
      <c r="F2" t="s">
        <v>12</v>
      </c>
      <c r="G2" s="13" t="s">
        <v>13</v>
      </c>
      <c r="H2" t="s">
        <v>31</v>
      </c>
      <c r="I2" t="s">
        <v>66</v>
      </c>
      <c r="L2" t="s">
        <v>10</v>
      </c>
      <c r="M2" t="s">
        <v>6</v>
      </c>
      <c r="N2" t="s">
        <v>7</v>
      </c>
      <c r="O2" t="s">
        <v>8</v>
      </c>
      <c r="P2" t="s">
        <v>9</v>
      </c>
      <c r="Q2" t="s">
        <v>33</v>
      </c>
      <c r="R2" t="s">
        <v>37</v>
      </c>
      <c r="S2" t="s">
        <v>38</v>
      </c>
      <c r="T2" s="146" t="s">
        <v>61</v>
      </c>
      <c r="U2" s="13" t="s">
        <v>65</v>
      </c>
      <c r="V2" t="s">
        <v>151</v>
      </c>
      <c r="W2" t="s">
        <v>152</v>
      </c>
    </row>
    <row r="3" spans="1:23" s="10" customFormat="1" x14ac:dyDescent="0.25">
      <c r="A3"/>
      <c r="B3" t="s">
        <v>148</v>
      </c>
      <c r="C3" s="10">
        <v>16099</v>
      </c>
      <c r="D3" s="10">
        <v>19918</v>
      </c>
      <c r="E3" s="10">
        <v>23402</v>
      </c>
      <c r="F3" s="10">
        <v>25206</v>
      </c>
      <c r="G3" s="15">
        <v>26857</v>
      </c>
      <c r="L3" s="10">
        <v>5998</v>
      </c>
      <c r="M3" s="10">
        <v>6272</v>
      </c>
      <c r="N3" s="10">
        <v>6234</v>
      </c>
      <c r="O3" s="10">
        <f>F3-N3-M3-L3</f>
        <v>6702</v>
      </c>
      <c r="P3" s="10">
        <v>6364</v>
      </c>
      <c r="Q3" s="10">
        <v>6556</v>
      </c>
      <c r="R3" s="10">
        <v>6654</v>
      </c>
      <c r="S3" s="10">
        <f>G3-R3-Q3-P3</f>
        <v>7283</v>
      </c>
      <c r="T3" s="147">
        <v>7034</v>
      </c>
      <c r="U3" s="15"/>
    </row>
    <row r="4" spans="1:23" s="10" customFormat="1" x14ac:dyDescent="0.25">
      <c r="A4"/>
      <c r="B4" t="s">
        <v>149</v>
      </c>
      <c r="C4" s="10">
        <v>1673</v>
      </c>
      <c r="D4" s="10">
        <v>1536</v>
      </c>
      <c r="E4" s="10">
        <v>1969</v>
      </c>
      <c r="F4" s="10">
        <v>2312</v>
      </c>
      <c r="G4" s="15">
        <v>2914</v>
      </c>
      <c r="L4" s="10">
        <v>485</v>
      </c>
      <c r="M4" s="10">
        <v>534</v>
      </c>
      <c r="N4" s="10">
        <v>612</v>
      </c>
      <c r="O4" s="10">
        <f>F4-N4-M4-L4</f>
        <v>681</v>
      </c>
      <c r="P4" s="10">
        <v>676</v>
      </c>
      <c r="Q4" s="10">
        <v>731</v>
      </c>
      <c r="R4" s="10">
        <v>764</v>
      </c>
      <c r="S4" s="10">
        <f>G4-R4-Q4-P4</f>
        <v>743</v>
      </c>
      <c r="T4" s="147">
        <v>665</v>
      </c>
      <c r="U4" s="15"/>
    </row>
    <row r="5" spans="1:23" s="1" customFormat="1" x14ac:dyDescent="0.25">
      <c r="B5" s="1" t="s">
        <v>14</v>
      </c>
      <c r="C5" s="11">
        <f>SUM(C3:C4)</f>
        <v>17772</v>
      </c>
      <c r="D5" s="11">
        <f t="shared" ref="D5:G5" si="0">SUM(D3:D4)</f>
        <v>21454</v>
      </c>
      <c r="E5" s="11">
        <f t="shared" si="0"/>
        <v>25371</v>
      </c>
      <c r="F5" s="11">
        <f t="shared" si="0"/>
        <v>27518</v>
      </c>
      <c r="G5" s="14">
        <f t="shared" si="0"/>
        <v>29771</v>
      </c>
      <c r="H5" s="41">
        <v>31940</v>
      </c>
      <c r="I5" s="41">
        <v>34410</v>
      </c>
      <c r="L5" s="11">
        <f t="shared" ref="L5" si="1">SUM(L3:L4)</f>
        <v>6483</v>
      </c>
      <c r="M5" s="11">
        <f t="shared" ref="M5" si="2">SUM(M3:M4)</f>
        <v>6806</v>
      </c>
      <c r="N5" s="11">
        <f t="shared" ref="N5" si="3">SUM(N3:N4)</f>
        <v>6846</v>
      </c>
      <c r="O5" s="11">
        <f t="shared" ref="O5" si="4">SUM(O3:O4)</f>
        <v>7383</v>
      </c>
      <c r="P5" s="11">
        <f t="shared" ref="P5" si="5">SUM(P3:P4)</f>
        <v>7040</v>
      </c>
      <c r="Q5" s="11">
        <f t="shared" ref="Q5" si="6">SUM(Q3:Q4)</f>
        <v>7287</v>
      </c>
      <c r="R5" s="11">
        <f t="shared" ref="R5" si="7">SUM(R3:R4)</f>
        <v>7418</v>
      </c>
      <c r="S5" s="11">
        <f t="shared" ref="S5" si="8">SUM(S3:S4)</f>
        <v>8026</v>
      </c>
      <c r="T5" s="148">
        <f t="shared" ref="T5" si="9">SUM(T3:T4)</f>
        <v>7699</v>
      </c>
      <c r="U5" s="14">
        <v>7885</v>
      </c>
      <c r="V5" s="41">
        <v>7880</v>
      </c>
      <c r="W5" s="9">
        <v>8480</v>
      </c>
    </row>
    <row r="6" spans="1:23" x14ac:dyDescent="0.25">
      <c r="B6" s="9" t="s">
        <v>63</v>
      </c>
      <c r="C6" s="10"/>
      <c r="D6" s="10"/>
      <c r="E6" s="10"/>
      <c r="F6" s="10"/>
      <c r="G6" s="15"/>
      <c r="H6" s="43">
        <v>31940</v>
      </c>
      <c r="I6" s="43">
        <v>34410</v>
      </c>
      <c r="L6" s="41"/>
      <c r="M6" s="41"/>
      <c r="N6" s="41"/>
      <c r="O6" s="41"/>
      <c r="P6" s="41"/>
      <c r="Q6" s="41"/>
      <c r="R6" s="41"/>
      <c r="S6" s="10"/>
      <c r="T6" s="147"/>
      <c r="U6" s="154">
        <v>7790</v>
      </c>
      <c r="V6">
        <v>7880</v>
      </c>
      <c r="W6">
        <v>8480</v>
      </c>
    </row>
    <row r="7" spans="1:23" x14ac:dyDescent="0.25">
      <c r="B7" t="s">
        <v>139</v>
      </c>
      <c r="C7" s="10">
        <v>6790</v>
      </c>
      <c r="D7" s="10">
        <v>7934</v>
      </c>
      <c r="E7" s="10">
        <v>10315</v>
      </c>
      <c r="F7" s="10">
        <v>12173</v>
      </c>
      <c r="G7" s="15">
        <v>14385</v>
      </c>
      <c r="H7" s="10"/>
      <c r="I7" s="10"/>
      <c r="L7" s="10">
        <v>2817</v>
      </c>
      <c r="M7" s="10">
        <v>3044</v>
      </c>
      <c r="N7" s="10">
        <v>2988</v>
      </c>
      <c r="O7" s="10">
        <f>F7-N7-M7-L7</f>
        <v>3324</v>
      </c>
      <c r="P7" s="10">
        <v>3283</v>
      </c>
      <c r="Q7" s="10">
        <v>3541</v>
      </c>
      <c r="R7" s="10">
        <v>3603</v>
      </c>
      <c r="S7" s="10">
        <f>G7-R7-Q7-P7</f>
        <v>3958</v>
      </c>
      <c r="T7" s="147">
        <v>3917</v>
      </c>
      <c r="U7" s="15">
        <v>3942</v>
      </c>
    </row>
    <row r="8" spans="1:23" x14ac:dyDescent="0.25">
      <c r="B8" t="s">
        <v>140</v>
      </c>
      <c r="C8" s="10">
        <v>1380</v>
      </c>
      <c r="D8" s="10">
        <v>1741</v>
      </c>
      <c r="E8" s="10">
        <v>1060</v>
      </c>
      <c r="F8" s="10">
        <v>1572</v>
      </c>
      <c r="G8" s="15">
        <v>1682</v>
      </c>
      <c r="H8" s="10"/>
      <c r="I8" s="10"/>
      <c r="L8" s="10">
        <v>369</v>
      </c>
      <c r="M8" s="10">
        <v>448</v>
      </c>
      <c r="N8" s="10">
        <v>367</v>
      </c>
      <c r="O8" s="10">
        <f>F8-N8-M8-L8</f>
        <v>388</v>
      </c>
      <c r="P8" s="10">
        <v>442</v>
      </c>
      <c r="Q8" s="10">
        <v>398</v>
      </c>
      <c r="R8" s="10">
        <v>446</v>
      </c>
      <c r="S8" s="10">
        <f>G8-R8-Q8-P8</f>
        <v>396</v>
      </c>
      <c r="T8" s="147">
        <v>321</v>
      </c>
      <c r="U8" s="15">
        <v>335</v>
      </c>
    </row>
    <row r="9" spans="1:23" x14ac:dyDescent="0.25">
      <c r="B9" t="s">
        <v>141</v>
      </c>
      <c r="C9" s="10">
        <v>1615</v>
      </c>
      <c r="D9" s="10">
        <v>1778</v>
      </c>
      <c r="E9" s="10">
        <v>2075</v>
      </c>
      <c r="F9" s="10">
        <v>2120</v>
      </c>
      <c r="G9" s="15">
        <v>1919</v>
      </c>
      <c r="H9" s="10"/>
      <c r="I9" s="10"/>
      <c r="L9" s="10">
        <v>534</v>
      </c>
      <c r="M9" s="10">
        <v>536</v>
      </c>
      <c r="N9" s="10">
        <v>509</v>
      </c>
      <c r="O9" s="10">
        <f>F9-N9-M9-L9</f>
        <v>541</v>
      </c>
      <c r="P9" s="10">
        <v>488</v>
      </c>
      <c r="Q9" s="10">
        <v>492</v>
      </c>
      <c r="R9" s="10">
        <v>474</v>
      </c>
      <c r="S9" s="10">
        <f>G9-R9-Q9-P9</f>
        <v>465</v>
      </c>
      <c r="T9" s="147">
        <v>454</v>
      </c>
      <c r="U9" s="15">
        <v>436</v>
      </c>
    </row>
    <row r="10" spans="1:23" s="1" customFormat="1" x14ac:dyDescent="0.25">
      <c r="B10" s="1" t="s">
        <v>57</v>
      </c>
      <c r="C10" s="11">
        <f>SUM(C7:C9)</f>
        <v>9785</v>
      </c>
      <c r="D10" s="11">
        <f t="shared" ref="D10:I10" si="10">SUM(D7:D9)</f>
        <v>11453</v>
      </c>
      <c r="E10" s="11">
        <f t="shared" si="10"/>
        <v>13450</v>
      </c>
      <c r="F10" s="11">
        <f t="shared" si="10"/>
        <v>15865</v>
      </c>
      <c r="G10" s="14">
        <f t="shared" si="10"/>
        <v>17986</v>
      </c>
      <c r="H10" s="11">
        <f t="shared" si="10"/>
        <v>0</v>
      </c>
      <c r="I10" s="11">
        <f t="shared" si="10"/>
        <v>0</v>
      </c>
      <c r="L10" s="11">
        <f t="shared" ref="L10" si="11">SUM(L7:L9)</f>
        <v>3720</v>
      </c>
      <c r="M10" s="11">
        <f t="shared" ref="M10" si="12">SUM(M7:M9)</f>
        <v>4028</v>
      </c>
      <c r="N10" s="11">
        <f t="shared" ref="N10" si="13">SUM(N7:N9)</f>
        <v>3864</v>
      </c>
      <c r="O10" s="11">
        <f t="shared" ref="O10" si="14">SUM(O7:O9)</f>
        <v>4253</v>
      </c>
      <c r="P10" s="11">
        <f t="shared" ref="P10" si="15">SUM(P7:P9)</f>
        <v>4213</v>
      </c>
      <c r="Q10" s="11">
        <f t="shared" ref="Q10" si="16">SUM(Q7:Q9)</f>
        <v>4431</v>
      </c>
      <c r="R10" s="11">
        <f t="shared" ref="R10" si="17">SUM(R7:R9)</f>
        <v>4523</v>
      </c>
      <c r="S10" s="11">
        <f t="shared" ref="S10" si="18">SUM(S7:S9)</f>
        <v>4819</v>
      </c>
      <c r="T10" s="148">
        <f t="shared" ref="T10" si="19">SUM(T7:T9)</f>
        <v>4692</v>
      </c>
      <c r="U10" s="14">
        <f t="shared" ref="U10" si="20">SUM(U7:U9)</f>
        <v>4713</v>
      </c>
    </row>
    <row r="11" spans="1:23" x14ac:dyDescent="0.25">
      <c r="B11" t="s">
        <v>58</v>
      </c>
      <c r="C11" s="10">
        <v>1401</v>
      </c>
      <c r="D11" s="10">
        <v>1861</v>
      </c>
      <c r="E11" s="10">
        <v>2445</v>
      </c>
      <c r="F11" s="10">
        <v>2257</v>
      </c>
      <c r="G11" s="15">
        <v>1809</v>
      </c>
      <c r="H11" s="41"/>
      <c r="I11" s="41"/>
      <c r="L11" s="10">
        <v>594</v>
      </c>
      <c r="M11" s="10">
        <v>595</v>
      </c>
      <c r="N11" s="10">
        <v>544</v>
      </c>
      <c r="O11" s="10">
        <f>F11-N11-M11-L11</f>
        <v>524</v>
      </c>
      <c r="P11" s="10">
        <v>436</v>
      </c>
      <c r="Q11" s="10">
        <v>465</v>
      </c>
      <c r="R11" s="10">
        <v>442</v>
      </c>
      <c r="S11" s="10">
        <f>G11-R11-Q11-P11</f>
        <v>466</v>
      </c>
      <c r="T11" s="146">
        <v>421</v>
      </c>
      <c r="U11" s="13">
        <v>446</v>
      </c>
    </row>
    <row r="12" spans="1:23" x14ac:dyDescent="0.25">
      <c r="B12" t="s">
        <v>142</v>
      </c>
      <c r="C12" s="10">
        <v>2085</v>
      </c>
      <c r="D12" s="10">
        <v>2642</v>
      </c>
      <c r="E12" s="10">
        <v>3038</v>
      </c>
      <c r="F12" s="10">
        <v>3253</v>
      </c>
      <c r="G12" s="15">
        <v>2973</v>
      </c>
      <c r="H12" s="41"/>
      <c r="I12" s="41"/>
      <c r="L12" s="10">
        <v>815</v>
      </c>
      <c r="M12" s="10">
        <v>815</v>
      </c>
      <c r="N12" s="10">
        <v>801</v>
      </c>
      <c r="O12" s="10">
        <f>F12-N12-M12-L12</f>
        <v>822</v>
      </c>
      <c r="P12" s="10">
        <v>721</v>
      </c>
      <c r="Q12" s="10">
        <v>743</v>
      </c>
      <c r="R12" s="10">
        <v>739</v>
      </c>
      <c r="S12" s="10">
        <f>G12-R12-Q12-P12</f>
        <v>770</v>
      </c>
      <c r="T12" s="146">
        <v>742</v>
      </c>
      <c r="U12" s="13">
        <v>718</v>
      </c>
    </row>
    <row r="13" spans="1:23" x14ac:dyDescent="0.25">
      <c r="B13" t="s">
        <v>129</v>
      </c>
      <c r="C13" s="10">
        <v>1711</v>
      </c>
      <c r="D13" s="10">
        <v>2070</v>
      </c>
      <c r="E13" s="10">
        <v>2114</v>
      </c>
      <c r="F13" s="10">
        <v>2099</v>
      </c>
      <c r="G13" s="15">
        <v>2059</v>
      </c>
      <c r="H13" s="10"/>
      <c r="I13" s="10"/>
      <c r="L13" s="10">
        <v>607</v>
      </c>
      <c r="M13" s="10">
        <v>514</v>
      </c>
      <c r="N13" s="10">
        <v>463</v>
      </c>
      <c r="O13" s="10">
        <f>F13-N13-M13-L13</f>
        <v>515</v>
      </c>
      <c r="P13" s="10">
        <v>507</v>
      </c>
      <c r="Q13" s="10">
        <v>491</v>
      </c>
      <c r="R13" s="10">
        <v>507</v>
      </c>
      <c r="S13" s="10">
        <f>G13-R13-Q13-P13</f>
        <v>554</v>
      </c>
      <c r="T13" s="146">
        <v>464</v>
      </c>
      <c r="U13" s="13">
        <v>570</v>
      </c>
    </row>
    <row r="14" spans="1:23" x14ac:dyDescent="0.25">
      <c r="B14" t="s">
        <v>143</v>
      </c>
      <c r="C14" s="10">
        <v>71</v>
      </c>
      <c r="D14" s="10">
        <v>139</v>
      </c>
      <c r="E14" s="10">
        <v>62</v>
      </c>
      <c r="F14" s="10">
        <v>207</v>
      </c>
      <c r="G14" s="15">
        <v>-84</v>
      </c>
      <c r="H14" s="41"/>
      <c r="I14" s="41"/>
      <c r="L14" s="10">
        <v>36</v>
      </c>
      <c r="M14" s="10">
        <v>90</v>
      </c>
      <c r="N14" s="10">
        <v>56</v>
      </c>
      <c r="O14" s="10">
        <f>F14-N14-M14-L14</f>
        <v>25</v>
      </c>
      <c r="P14" s="10">
        <v>164</v>
      </c>
      <c r="Q14" s="10">
        <v>24</v>
      </c>
      <c r="R14" s="10">
        <v>39</v>
      </c>
      <c r="S14" s="10">
        <f>G14-R14-Q14-P14</f>
        <v>-311</v>
      </c>
      <c r="T14" s="146">
        <v>212</v>
      </c>
      <c r="U14" s="13">
        <v>113</v>
      </c>
    </row>
    <row r="15" spans="1:23" s="1" customFormat="1" x14ac:dyDescent="0.25">
      <c r="B15" s="1" t="s">
        <v>20</v>
      </c>
      <c r="C15" s="11">
        <f>C5-SUM(C10:C14)</f>
        <v>2719</v>
      </c>
      <c r="D15" s="11">
        <f t="shared" ref="D15:I15" si="21">D5-SUM(D10:D14)</f>
        <v>3289</v>
      </c>
      <c r="E15" s="11">
        <f t="shared" si="21"/>
        <v>4262</v>
      </c>
      <c r="F15" s="11">
        <f t="shared" si="21"/>
        <v>3837</v>
      </c>
      <c r="G15" s="14">
        <f t="shared" si="21"/>
        <v>5028</v>
      </c>
      <c r="H15" s="11">
        <f t="shared" si="21"/>
        <v>31940</v>
      </c>
      <c r="I15" s="11">
        <f t="shared" si="21"/>
        <v>34410</v>
      </c>
      <c r="J15" s="11"/>
      <c r="K15" s="11"/>
      <c r="L15" s="11">
        <f t="shared" ref="L15" si="22">L5-SUM(L10:L14)</f>
        <v>711</v>
      </c>
      <c r="M15" s="11">
        <f t="shared" ref="M15" si="23">M5-SUM(M10:M14)</f>
        <v>764</v>
      </c>
      <c r="N15" s="11">
        <f t="shared" ref="N15" si="24">N5-SUM(N10:N14)</f>
        <v>1118</v>
      </c>
      <c r="O15" s="11">
        <f t="shared" ref="O15" si="25">O5-SUM(O10:O14)</f>
        <v>1244</v>
      </c>
      <c r="P15" s="11">
        <f t="shared" ref="P15" si="26">P5-SUM(P10:P14)</f>
        <v>999</v>
      </c>
      <c r="Q15" s="11">
        <f t="shared" ref="Q15" si="27">Q5-SUM(Q10:Q14)</f>
        <v>1133</v>
      </c>
      <c r="R15" s="11">
        <f t="shared" ref="R15" si="28">R5-SUM(R10:R14)</f>
        <v>1168</v>
      </c>
      <c r="S15" s="11">
        <f t="shared" ref="S15" si="29">S5-SUM(S10:S14)</f>
        <v>1728</v>
      </c>
      <c r="T15" s="148">
        <f t="shared" ref="T15" si="30">T5-SUM(T10:T14)</f>
        <v>1168</v>
      </c>
      <c r="U15" s="14">
        <f t="shared" ref="U15" si="31">U5-SUM(U10:U14)</f>
        <v>1325</v>
      </c>
    </row>
    <row r="16" spans="1:23" x14ac:dyDescent="0.25">
      <c r="B16" t="s">
        <v>144</v>
      </c>
      <c r="C16" s="10">
        <v>279</v>
      </c>
      <c r="D16" s="10">
        <v>1776</v>
      </c>
      <c r="E16" s="10">
        <v>-163</v>
      </c>
      <c r="F16" s="10">
        <v>-471</v>
      </c>
      <c r="G16" s="15">
        <v>383</v>
      </c>
      <c r="H16" s="41"/>
      <c r="I16" s="41"/>
      <c r="L16" s="10">
        <v>-82</v>
      </c>
      <c r="M16" s="10">
        <v>-715</v>
      </c>
      <c r="N16" s="10">
        <v>460</v>
      </c>
      <c r="O16" s="10">
        <f>F16-N16-M16-L16</f>
        <v>-134</v>
      </c>
      <c r="P16" s="10">
        <v>75</v>
      </c>
      <c r="Q16" s="10">
        <v>170</v>
      </c>
      <c r="R16" s="10">
        <v>73</v>
      </c>
      <c r="S16" s="10">
        <f>G16-R16-Q16-P16</f>
        <v>65</v>
      </c>
      <c r="T16" s="146">
        <v>41</v>
      </c>
      <c r="U16" s="13">
        <v>74</v>
      </c>
    </row>
    <row r="17" spans="2:23" s="1" customFormat="1" x14ac:dyDescent="0.25">
      <c r="B17" s="1" t="s">
        <v>130</v>
      </c>
      <c r="C17" s="11">
        <f t="shared" ref="C17:I17" si="32">C15+SUM(C16:C16)</f>
        <v>2998</v>
      </c>
      <c r="D17" s="11">
        <f t="shared" si="32"/>
        <v>5065</v>
      </c>
      <c r="E17" s="11">
        <f t="shared" si="32"/>
        <v>4099</v>
      </c>
      <c r="F17" s="11">
        <f t="shared" si="32"/>
        <v>3366</v>
      </c>
      <c r="G17" s="14">
        <f t="shared" si="32"/>
        <v>5411</v>
      </c>
      <c r="H17" s="11">
        <f t="shared" si="32"/>
        <v>31940</v>
      </c>
      <c r="I17" s="11">
        <f t="shared" si="32"/>
        <v>34410</v>
      </c>
      <c r="L17" s="11">
        <f t="shared" ref="L17:U17" si="33">L15+SUM(L16:L16)</f>
        <v>629</v>
      </c>
      <c r="M17" s="11">
        <f t="shared" si="33"/>
        <v>49</v>
      </c>
      <c r="N17" s="11">
        <f t="shared" si="33"/>
        <v>1578</v>
      </c>
      <c r="O17" s="11">
        <f t="shared" si="33"/>
        <v>1110</v>
      </c>
      <c r="P17" s="11">
        <f t="shared" si="33"/>
        <v>1074</v>
      </c>
      <c r="Q17" s="11">
        <f t="shared" si="33"/>
        <v>1303</v>
      </c>
      <c r="R17" s="11">
        <f t="shared" si="33"/>
        <v>1241</v>
      </c>
      <c r="S17" s="11">
        <f t="shared" si="33"/>
        <v>1793</v>
      </c>
      <c r="T17" s="148">
        <f t="shared" si="33"/>
        <v>1209</v>
      </c>
      <c r="U17" s="14">
        <f t="shared" si="33"/>
        <v>1399</v>
      </c>
    </row>
    <row r="18" spans="2:23" x14ac:dyDescent="0.25">
      <c r="B18" t="s">
        <v>17</v>
      </c>
      <c r="C18" s="10">
        <v>539</v>
      </c>
      <c r="D18" s="10">
        <v>863</v>
      </c>
      <c r="E18" s="10">
        <v>-70</v>
      </c>
      <c r="F18" s="10">
        <v>947</v>
      </c>
      <c r="G18" s="15">
        <v>1165</v>
      </c>
      <c r="H18" s="41"/>
      <c r="I18" s="41"/>
      <c r="L18" s="10">
        <v>120</v>
      </c>
      <c r="M18" s="10">
        <v>390</v>
      </c>
      <c r="N18" s="10">
        <v>248</v>
      </c>
      <c r="O18" s="10">
        <f>F18-N18-M18-L18</f>
        <v>189</v>
      </c>
      <c r="P18" s="10">
        <v>279</v>
      </c>
      <c r="Q18" s="10">
        <v>274</v>
      </c>
      <c r="R18" s="10">
        <v>221</v>
      </c>
      <c r="S18" s="10">
        <f>G18-R18-Q18-P18</f>
        <v>391</v>
      </c>
      <c r="T18" s="146">
        <v>321</v>
      </c>
      <c r="U18" s="13">
        <v>271</v>
      </c>
    </row>
    <row r="19" spans="2:23" s="1" customFormat="1" x14ac:dyDescent="0.25">
      <c r="B19" s="1" t="s">
        <v>18</v>
      </c>
      <c r="C19" s="11">
        <f>C17-SUM(C18:C18)</f>
        <v>2459</v>
      </c>
      <c r="D19" s="11">
        <f>D17-SUM(D18:D18)</f>
        <v>4202</v>
      </c>
      <c r="E19" s="11">
        <f>E17-SUM(E18:E18)</f>
        <v>4169</v>
      </c>
      <c r="F19" s="11">
        <f>F17-SUM(F18:F18)</f>
        <v>2419</v>
      </c>
      <c r="G19" s="14">
        <f>G17-SUM(G18:G18)</f>
        <v>4246</v>
      </c>
      <c r="H19" s="51"/>
      <c r="I19" s="51"/>
      <c r="L19" s="11">
        <f t="shared" ref="L19:U19" si="34">L17-SUM(L18:L18)</f>
        <v>509</v>
      </c>
      <c r="M19" s="11">
        <f t="shared" si="34"/>
        <v>-341</v>
      </c>
      <c r="N19" s="11">
        <f t="shared" si="34"/>
        <v>1330</v>
      </c>
      <c r="O19" s="11">
        <f t="shared" si="34"/>
        <v>921</v>
      </c>
      <c r="P19" s="11">
        <f t="shared" si="34"/>
        <v>795</v>
      </c>
      <c r="Q19" s="11">
        <f t="shared" si="34"/>
        <v>1029</v>
      </c>
      <c r="R19" s="11">
        <f t="shared" si="34"/>
        <v>1020</v>
      </c>
      <c r="S19" s="11">
        <f t="shared" si="34"/>
        <v>1402</v>
      </c>
      <c r="T19" s="148">
        <f t="shared" si="34"/>
        <v>888</v>
      </c>
      <c r="U19" s="14">
        <f t="shared" si="34"/>
        <v>1128</v>
      </c>
    </row>
    <row r="20" spans="2:23" x14ac:dyDescent="0.25">
      <c r="B20" t="s">
        <v>1</v>
      </c>
      <c r="C20" s="10">
        <v>1188</v>
      </c>
      <c r="D20" s="10">
        <v>1187</v>
      </c>
      <c r="E20" s="10">
        <v>1186</v>
      </c>
      <c r="F20" s="10">
        <v>1158</v>
      </c>
      <c r="G20" s="15">
        <v>1107</v>
      </c>
      <c r="H20" s="41"/>
      <c r="I20" s="41"/>
      <c r="L20" s="10">
        <v>1172</v>
      </c>
      <c r="M20" s="10">
        <v>1158</v>
      </c>
      <c r="N20" s="10">
        <v>1157</v>
      </c>
      <c r="O20" s="10">
        <v>1157</v>
      </c>
      <c r="P20" s="10">
        <v>1134</v>
      </c>
      <c r="Q20" s="10">
        <v>1114</v>
      </c>
      <c r="R20" s="10">
        <v>1098</v>
      </c>
      <c r="S20" s="10">
        <v>1098</v>
      </c>
      <c r="T20" s="147">
        <v>1072</v>
      </c>
      <c r="U20" s="15">
        <v>1047</v>
      </c>
    </row>
    <row r="21" spans="2:23" s="1" customFormat="1" x14ac:dyDescent="0.25">
      <c r="B21" s="1" t="s">
        <v>19</v>
      </c>
      <c r="C21" s="2">
        <f>C19/C20</f>
        <v>2.0698653198653201</v>
      </c>
      <c r="D21" s="2">
        <f>D19/D20</f>
        <v>3.5400168491996631</v>
      </c>
      <c r="E21" s="2">
        <f>E19/E20</f>
        <v>3.5151770657672849</v>
      </c>
      <c r="F21" s="2">
        <f>F19/F20</f>
        <v>2.0889464594127807</v>
      </c>
      <c r="G21" s="48">
        <f>G19/G20</f>
        <v>3.8355916892502258</v>
      </c>
      <c r="H21" s="49">
        <v>4.43</v>
      </c>
      <c r="I21" s="50">
        <v>4.8499999999999996</v>
      </c>
      <c r="L21" s="2">
        <f t="shared" ref="L21:U21" si="35">L19/L20</f>
        <v>0.43430034129692835</v>
      </c>
      <c r="M21" s="2">
        <f t="shared" si="35"/>
        <v>-0.29447322970639034</v>
      </c>
      <c r="N21" s="2">
        <f t="shared" si="35"/>
        <v>1.1495246326707</v>
      </c>
      <c r="O21" s="2">
        <f t="shared" si="35"/>
        <v>0.79602420051858258</v>
      </c>
      <c r="P21" s="2">
        <f t="shared" si="35"/>
        <v>0.70105820105820105</v>
      </c>
      <c r="Q21" s="2">
        <f t="shared" si="35"/>
        <v>0.92369838420107719</v>
      </c>
      <c r="R21" s="2">
        <f t="shared" si="35"/>
        <v>0.92896174863387981</v>
      </c>
      <c r="S21" s="2">
        <f t="shared" si="35"/>
        <v>1.2768670309653916</v>
      </c>
      <c r="T21" s="149">
        <f t="shared" si="35"/>
        <v>0.82835820895522383</v>
      </c>
      <c r="U21" s="35">
        <f t="shared" si="35"/>
        <v>1.0773638968481376</v>
      </c>
      <c r="V21">
        <v>1.06</v>
      </c>
      <c r="W21">
        <v>1.0900000000000001</v>
      </c>
    </row>
    <row r="22" spans="2:23" x14ac:dyDescent="0.25">
      <c r="B22" s="9" t="s">
        <v>62</v>
      </c>
      <c r="C22" s="18"/>
      <c r="D22" s="18"/>
      <c r="E22" s="18"/>
      <c r="F22" s="18"/>
      <c r="G22" s="45"/>
      <c r="H22" s="123">
        <v>4.43</v>
      </c>
      <c r="I22" s="124">
        <v>4.8499999999999996</v>
      </c>
      <c r="L22" s="44"/>
      <c r="M22" s="44"/>
      <c r="N22" s="44"/>
      <c r="O22" s="44"/>
      <c r="P22" s="44"/>
      <c r="Q22" s="44"/>
      <c r="R22" s="44"/>
      <c r="S22" s="126"/>
      <c r="T22" s="150"/>
      <c r="U22" s="125">
        <v>0.99</v>
      </c>
      <c r="V22">
        <v>1.06</v>
      </c>
      <c r="W22">
        <v>1.0900000000000001</v>
      </c>
    </row>
    <row r="23" spans="2:23" s="1" customFormat="1" x14ac:dyDescent="0.25">
      <c r="B23" t="s">
        <v>28</v>
      </c>
      <c r="C23" s="3">
        <f>1-C10/C5</f>
        <v>0.44941480981318926</v>
      </c>
      <c r="D23" s="3">
        <f>1-D10/D5</f>
        <v>0.46616015661415122</v>
      </c>
      <c r="E23" s="3">
        <f>1-E10/E5</f>
        <v>0.46986717117969334</v>
      </c>
      <c r="F23" s="3">
        <f>1-F10/F5</f>
        <v>0.42346827531070574</v>
      </c>
      <c r="G23" s="6">
        <f>1-G10/G5</f>
        <v>0.39585502670383932</v>
      </c>
      <c r="H23" s="120"/>
      <c r="I23" s="120"/>
      <c r="L23" s="3">
        <f t="shared" ref="L23:W23" si="36">1-L10/L5</f>
        <v>0.42619157797316054</v>
      </c>
      <c r="M23" s="3">
        <f t="shared" si="36"/>
        <v>0.40816926241551577</v>
      </c>
      <c r="N23" s="3">
        <f t="shared" si="36"/>
        <v>0.43558282208588961</v>
      </c>
      <c r="O23" s="3">
        <f t="shared" si="36"/>
        <v>0.42394690505214683</v>
      </c>
      <c r="P23" s="3">
        <f t="shared" si="36"/>
        <v>0.40156250000000004</v>
      </c>
      <c r="Q23" s="3">
        <f t="shared" si="36"/>
        <v>0.39193083573487031</v>
      </c>
      <c r="R23" s="3">
        <f t="shared" si="36"/>
        <v>0.39026691830682125</v>
      </c>
      <c r="S23" s="40">
        <f t="shared" si="36"/>
        <v>0.39957637677547964</v>
      </c>
      <c r="T23" s="40">
        <f t="shared" si="36"/>
        <v>0.39057020392258734</v>
      </c>
      <c r="U23" s="6">
        <f t="shared" si="36"/>
        <v>0.40228281547241596</v>
      </c>
      <c r="V23" s="40">
        <v>0.4</v>
      </c>
      <c r="W23" s="40">
        <v>0.4</v>
      </c>
    </row>
    <row r="24" spans="2:23" x14ac:dyDescent="0.25">
      <c r="B24" t="s">
        <v>29</v>
      </c>
      <c r="C24" s="4">
        <f>C19/C5</f>
        <v>0.13836371820841772</v>
      </c>
      <c r="D24" s="4">
        <f>D19/D5</f>
        <v>0.19586091171809453</v>
      </c>
      <c r="E24" s="4">
        <f>E19/E5</f>
        <v>0.16432146939419021</v>
      </c>
      <c r="F24" s="4">
        <f>F19/F5</f>
        <v>8.7906097826876958E-2</v>
      </c>
      <c r="G24" s="7">
        <f>G19/G5</f>
        <v>0.14262201471230393</v>
      </c>
      <c r="H24" s="121">
        <f>H19/H6</f>
        <v>0</v>
      </c>
      <c r="I24" s="121">
        <f>I19/I6</f>
        <v>0</v>
      </c>
      <c r="L24" s="4">
        <f t="shared" ref="L24:W24" si="37">L19/L5</f>
        <v>7.8513034089156261E-2</v>
      </c>
      <c r="M24" s="4">
        <f t="shared" si="37"/>
        <v>-5.0102850426094622E-2</v>
      </c>
      <c r="N24" s="4">
        <f t="shared" si="37"/>
        <v>0.19427402862985685</v>
      </c>
      <c r="O24" s="4">
        <f t="shared" si="37"/>
        <v>0.12474603819585535</v>
      </c>
      <c r="P24" s="4">
        <f t="shared" si="37"/>
        <v>0.11292613636363637</v>
      </c>
      <c r="Q24" s="4">
        <f t="shared" si="37"/>
        <v>0.14121037463976946</v>
      </c>
      <c r="R24" s="4">
        <f t="shared" si="37"/>
        <v>0.13750337018064168</v>
      </c>
      <c r="S24" s="4">
        <f t="shared" si="37"/>
        <v>0.17468228258160975</v>
      </c>
      <c r="T24" s="151">
        <f t="shared" si="37"/>
        <v>0.11533965450058449</v>
      </c>
      <c r="U24" s="7">
        <f t="shared" si="37"/>
        <v>0.14305643627140138</v>
      </c>
      <c r="V24" s="151">
        <f t="shared" si="37"/>
        <v>0</v>
      </c>
      <c r="W24" s="151">
        <f t="shared" si="37"/>
        <v>0</v>
      </c>
    </row>
    <row r="25" spans="2:23" x14ac:dyDescent="0.25">
      <c r="B25" t="s">
        <v>30</v>
      </c>
      <c r="C25" s="3"/>
      <c r="D25" s="3">
        <f>D5/C5-1</f>
        <v>0.20717983344586988</v>
      </c>
      <c r="E25" s="3">
        <f>E5/D5-1</f>
        <v>0.18257667567819524</v>
      </c>
      <c r="F25" s="40">
        <f>F5/E5-1</f>
        <v>8.4624177210200546E-2</v>
      </c>
      <c r="G25" s="6">
        <f>G5/F5-1</f>
        <v>8.1873682680427384E-2</v>
      </c>
      <c r="H25" s="117">
        <f>H6/G5-1</f>
        <v>7.2856135165093594E-2</v>
      </c>
      <c r="I25" s="117">
        <f>I6/H6-1</f>
        <v>7.7332498434564911E-2</v>
      </c>
      <c r="L25" s="4"/>
      <c r="M25" s="4"/>
      <c r="N25" s="4"/>
      <c r="O25" s="4"/>
      <c r="P25" s="4">
        <f t="shared" ref="P25:T25" si="38">P5/L5-1</f>
        <v>8.5917013728212144E-2</v>
      </c>
      <c r="Q25" s="4">
        <f t="shared" si="38"/>
        <v>7.0672935645019086E-2</v>
      </c>
      <c r="R25" s="4">
        <f t="shared" si="38"/>
        <v>8.3552439380660148E-2</v>
      </c>
      <c r="S25" s="4">
        <f t="shared" si="38"/>
        <v>8.7091968034674228E-2</v>
      </c>
      <c r="T25" s="151">
        <f t="shared" si="38"/>
        <v>9.3607954545454453E-2</v>
      </c>
      <c r="U25" s="155">
        <f>U5/Q5-1</f>
        <v>8.2063949499108002E-2</v>
      </c>
      <c r="V25" s="37">
        <f>V6/R5-1</f>
        <v>6.228093825829073E-2</v>
      </c>
      <c r="W25" s="37">
        <f>W6/S5-1</f>
        <v>5.6566159980064867E-2</v>
      </c>
    </row>
    <row r="26" spans="2:23" x14ac:dyDescent="0.25">
      <c r="B26" t="s">
        <v>64</v>
      </c>
      <c r="C26" s="4">
        <f>C11/C5</f>
        <v>7.8831870357866304E-2</v>
      </c>
      <c r="D26" s="4">
        <f>D11/D5</f>
        <v>8.674373077281626E-2</v>
      </c>
      <c r="E26" s="4">
        <f>E11/E5</f>
        <v>9.6369871112687716E-2</v>
      </c>
      <c r="F26" s="4">
        <f>F11/F5</f>
        <v>8.2019042081546631E-2</v>
      </c>
      <c r="G26" s="7">
        <f>G11/G5</f>
        <v>6.0763830573376774E-2</v>
      </c>
      <c r="H26" s="117"/>
      <c r="I26" s="117"/>
      <c r="L26" s="4">
        <f t="shared" ref="L26:T26" si="39">L11/L5</f>
        <v>9.1624248033317909E-2</v>
      </c>
      <c r="M26" s="4">
        <f t="shared" si="39"/>
        <v>8.7422862180429037E-2</v>
      </c>
      <c r="N26" s="4">
        <f t="shared" si="39"/>
        <v>7.9462459830557997E-2</v>
      </c>
      <c r="O26" s="4">
        <f t="shared" si="39"/>
        <v>7.0973858864960049E-2</v>
      </c>
      <c r="P26" s="4">
        <f t="shared" si="39"/>
        <v>6.1931818181818185E-2</v>
      </c>
      <c r="Q26" s="4">
        <f t="shared" si="39"/>
        <v>6.3812268423219437E-2</v>
      </c>
      <c r="R26" s="4">
        <f t="shared" si="39"/>
        <v>5.9584793744944728E-2</v>
      </c>
      <c r="S26" s="4">
        <f t="shared" si="39"/>
        <v>5.8061300772489409E-2</v>
      </c>
      <c r="T26" s="151">
        <f t="shared" si="39"/>
        <v>5.4682426289128457E-2</v>
      </c>
      <c r="U26" s="7">
        <f t="shared" ref="U26:W26" si="40">U11/U5</f>
        <v>5.6563094483195943E-2</v>
      </c>
      <c r="V26" s="151">
        <f t="shared" si="40"/>
        <v>0</v>
      </c>
      <c r="W26" s="151">
        <f t="shared" si="40"/>
        <v>0</v>
      </c>
    </row>
    <row r="27" spans="2:23" x14ac:dyDescent="0.25">
      <c r="B27" t="s">
        <v>145</v>
      </c>
      <c r="C27" s="4">
        <f>C12/C5</f>
        <v>0.11731937879810939</v>
      </c>
      <c r="D27" s="4">
        <f>D12/D5</f>
        <v>0.12314719865759299</v>
      </c>
      <c r="E27" s="4">
        <f>E12/E5</f>
        <v>0.11974301367703283</v>
      </c>
      <c r="F27" s="4">
        <f>F12/F5</f>
        <v>0.1182135329602442</v>
      </c>
      <c r="G27" s="7">
        <f>G12/G5</f>
        <v>9.9862282086594339E-2</v>
      </c>
      <c r="H27" s="117"/>
      <c r="I27" s="117"/>
      <c r="L27" s="4">
        <f t="shared" ref="L27:T27" si="41">L12/L5</f>
        <v>0.12571340428813821</v>
      </c>
      <c r="M27" s="4">
        <f t="shared" si="41"/>
        <v>0.1197472818101675</v>
      </c>
      <c r="N27" s="4">
        <f t="shared" si="41"/>
        <v>0.11700262927256792</v>
      </c>
      <c r="O27" s="4">
        <f t="shared" si="41"/>
        <v>0.11133685493701748</v>
      </c>
      <c r="P27" s="4">
        <f t="shared" si="41"/>
        <v>0.10241477272727273</v>
      </c>
      <c r="Q27" s="4">
        <f t="shared" si="41"/>
        <v>0.10196239879236997</v>
      </c>
      <c r="R27" s="4">
        <f t="shared" si="41"/>
        <v>9.9622539768131568E-2</v>
      </c>
      <c r="S27" s="4">
        <f t="shared" si="41"/>
        <v>9.5938200847246455E-2</v>
      </c>
      <c r="T27" s="151">
        <f t="shared" si="41"/>
        <v>9.6376152747110019E-2</v>
      </c>
      <c r="U27" s="7">
        <f t="shared" ref="U27:W27" si="42">U12/U5</f>
        <v>9.105897273303741E-2</v>
      </c>
      <c r="V27" s="151">
        <f t="shared" si="42"/>
        <v>0</v>
      </c>
      <c r="W27" s="151">
        <f t="shared" si="42"/>
        <v>0</v>
      </c>
    </row>
    <row r="28" spans="2:23" x14ac:dyDescent="0.25">
      <c r="B28" t="s">
        <v>128</v>
      </c>
      <c r="C28" s="4">
        <f>C13/C5</f>
        <v>9.6275039387801034E-2</v>
      </c>
      <c r="D28" s="4">
        <f>D13/D5</f>
        <v>9.6485503868742425E-2</v>
      </c>
      <c r="E28" s="4">
        <f t="shared" ref="E28:G28" si="43">E13/E5</f>
        <v>8.3323479563280914E-2</v>
      </c>
      <c r="F28" s="4">
        <f t="shared" si="43"/>
        <v>7.6277345737335564E-2</v>
      </c>
      <c r="G28" s="7">
        <f t="shared" si="43"/>
        <v>6.9161264317624538E-2</v>
      </c>
      <c r="H28" s="117"/>
      <c r="I28" s="117"/>
      <c r="L28" s="4">
        <f t="shared" ref="L28:T28" si="44">L13/L5</f>
        <v>9.3629492518895574E-2</v>
      </c>
      <c r="M28" s="4">
        <f t="shared" si="44"/>
        <v>7.5521598589479877E-2</v>
      </c>
      <c r="N28" s="4">
        <f t="shared" si="44"/>
        <v>6.7630733274905055E-2</v>
      </c>
      <c r="O28" s="4">
        <f t="shared" si="44"/>
        <v>6.9754842205065698E-2</v>
      </c>
      <c r="P28" s="4">
        <f t="shared" si="44"/>
        <v>7.2017045454545459E-2</v>
      </c>
      <c r="Q28" s="4">
        <f t="shared" si="44"/>
        <v>6.7380266227528476E-2</v>
      </c>
      <c r="R28" s="4">
        <f t="shared" si="44"/>
        <v>6.8347263413318954E-2</v>
      </c>
      <c r="S28" s="4">
        <f t="shared" si="44"/>
        <v>6.902566658360329E-2</v>
      </c>
      <c r="T28" s="151">
        <f t="shared" si="44"/>
        <v>6.0267567216521628E-2</v>
      </c>
      <c r="U28" s="7">
        <f t="shared" ref="U28:W28" si="45">U13/U5</f>
        <v>7.2289156626506021E-2</v>
      </c>
      <c r="V28" s="151">
        <f t="shared" si="45"/>
        <v>0</v>
      </c>
      <c r="W28" s="151">
        <f t="shared" si="45"/>
        <v>0</v>
      </c>
    </row>
    <row r="29" spans="2:23" x14ac:dyDescent="0.25">
      <c r="B29" t="s">
        <v>150</v>
      </c>
      <c r="C29" s="3"/>
      <c r="D29" s="3">
        <f>D21/C21-1</f>
        <v>0.71026434194762067</v>
      </c>
      <c r="E29" s="3">
        <f>E21/D21-1</f>
        <v>-7.0168545773995339E-3</v>
      </c>
      <c r="F29" s="3">
        <f>F21/E21-1</f>
        <v>-0.40573506815457949</v>
      </c>
      <c r="G29" s="6">
        <f>G21/F21-1</f>
        <v>0.83613690622230741</v>
      </c>
      <c r="H29" s="3">
        <f>H22/G21-1</f>
        <v>0.15497173810645304</v>
      </c>
      <c r="I29" s="3">
        <f>I22/H22-1</f>
        <v>9.4808126410835136E-2</v>
      </c>
      <c r="L29" s="4"/>
      <c r="M29" s="4"/>
      <c r="N29" s="4"/>
      <c r="O29" s="4"/>
      <c r="P29" s="4">
        <f t="shared" ref="P29:T29" si="46">P19/L19-1</f>
        <v>0.56188605108055012</v>
      </c>
      <c r="Q29" s="4">
        <f t="shared" si="46"/>
        <v>-4.0175953079178885</v>
      </c>
      <c r="R29" s="4">
        <f t="shared" si="46"/>
        <v>-0.23308270676691734</v>
      </c>
      <c r="S29" s="4">
        <f t="shared" si="46"/>
        <v>0.5222584147665581</v>
      </c>
      <c r="T29" s="151">
        <f t="shared" si="46"/>
        <v>0.11698113207547167</v>
      </c>
      <c r="U29" s="7">
        <f t="shared" ref="U29" si="47">U19/Q19-1</f>
        <v>9.6209912536443065E-2</v>
      </c>
      <c r="V29" s="151">
        <f t="shared" ref="V29" si="48">V19/R19-1</f>
        <v>-1</v>
      </c>
      <c r="W29" s="151">
        <f t="shared" ref="W29" si="49">W19/S19-1</f>
        <v>-1</v>
      </c>
    </row>
    <row r="32" spans="2:23" s="1" customFormat="1" x14ac:dyDescent="0.25">
      <c r="B32" s="1" t="s">
        <v>36</v>
      </c>
      <c r="C32" s="11">
        <f>C33+C34-C52</f>
        <v>0</v>
      </c>
      <c r="D32" s="11">
        <f t="shared" ref="D32:G32" si="50">D33+D34-D52</f>
        <v>4144</v>
      </c>
      <c r="E32" s="11">
        <f t="shared" si="50"/>
        <v>1451</v>
      </c>
      <c r="F32" s="11">
        <f t="shared" si="50"/>
        <v>451</v>
      </c>
      <c r="G32" s="14">
        <f t="shared" si="50"/>
        <v>4384</v>
      </c>
      <c r="L32" s="11">
        <f t="shared" ref="L32" si="51">L33+L34-L52</f>
        <v>0</v>
      </c>
      <c r="M32" s="11">
        <f t="shared" ref="M32" si="52">M33+M34-M52</f>
        <v>0</v>
      </c>
      <c r="N32" s="11">
        <f t="shared" ref="N32" si="53">N33+N34-N52</f>
        <v>0</v>
      </c>
      <c r="O32" s="11">
        <f t="shared" ref="O32" si="54">O33+O34-O52</f>
        <v>451</v>
      </c>
      <c r="P32" s="11">
        <f t="shared" ref="P32" si="55">P33+P34-P52</f>
        <v>179</v>
      </c>
      <c r="Q32" s="11">
        <f t="shared" ref="Q32" si="56">Q33+Q34-Q52</f>
        <v>-647</v>
      </c>
      <c r="R32" s="11">
        <f t="shared" ref="R32" si="57">R33+R34-R52</f>
        <v>907</v>
      </c>
      <c r="S32" s="11">
        <f t="shared" ref="S32" si="58">S33+S34-S52</f>
        <v>4384</v>
      </c>
      <c r="T32" s="148">
        <f>T33+T34-T52</f>
        <v>4635</v>
      </c>
      <c r="U32" s="14">
        <f t="shared" ref="U32:W32" si="59">U33+U34-U52</f>
        <v>3889</v>
      </c>
      <c r="V32" s="148">
        <f t="shared" si="59"/>
        <v>0</v>
      </c>
      <c r="W32" s="148">
        <f t="shared" si="59"/>
        <v>0</v>
      </c>
    </row>
    <row r="33" spans="2:23" x14ac:dyDescent="0.25">
      <c r="B33" t="s">
        <v>21</v>
      </c>
      <c r="C33" s="10"/>
      <c r="D33" s="10">
        <v>4794</v>
      </c>
      <c r="E33" s="10">
        <v>5197</v>
      </c>
      <c r="F33" s="10">
        <v>7776</v>
      </c>
      <c r="G33" s="15">
        <v>9081</v>
      </c>
      <c r="L33" s="10"/>
      <c r="M33" s="10"/>
      <c r="N33" s="10"/>
      <c r="O33" s="10">
        <f>F33</f>
        <v>7776</v>
      </c>
      <c r="P33" s="10">
        <v>7101</v>
      </c>
      <c r="Q33" s="10">
        <v>5504</v>
      </c>
      <c r="R33" s="10">
        <v>6816</v>
      </c>
      <c r="S33" s="10">
        <f>G33</f>
        <v>9081</v>
      </c>
      <c r="T33" s="147">
        <v>9693</v>
      </c>
      <c r="U33" s="15">
        <v>7701</v>
      </c>
      <c r="V33" s="147"/>
      <c r="W33" s="147"/>
    </row>
    <row r="34" spans="2:23" x14ac:dyDescent="0.25">
      <c r="B34" t="s">
        <v>131</v>
      </c>
      <c r="C34" s="10"/>
      <c r="D34" s="10">
        <v>8289</v>
      </c>
      <c r="E34" s="10">
        <v>4303</v>
      </c>
      <c r="F34" s="10">
        <v>3092</v>
      </c>
      <c r="G34" s="15">
        <v>4979</v>
      </c>
      <c r="L34" s="10"/>
      <c r="M34" s="10"/>
      <c r="N34" s="10"/>
      <c r="O34" s="10">
        <f>F34</f>
        <v>3092</v>
      </c>
      <c r="P34" s="10">
        <v>3559</v>
      </c>
      <c r="Q34" s="10">
        <v>4398</v>
      </c>
      <c r="R34" s="10">
        <v>4731</v>
      </c>
      <c r="S34" s="10">
        <f>G34</f>
        <v>4979</v>
      </c>
      <c r="T34" s="147">
        <v>4625</v>
      </c>
      <c r="U34" s="15">
        <v>5915</v>
      </c>
      <c r="V34" s="147"/>
      <c r="W34" s="147"/>
    </row>
    <row r="35" spans="2:23" x14ac:dyDescent="0.25">
      <c r="B35" t="s">
        <v>22</v>
      </c>
      <c r="C35" s="10"/>
      <c r="D35" s="10">
        <v>577</v>
      </c>
      <c r="E35" s="10">
        <v>800</v>
      </c>
      <c r="F35" s="10">
        <v>963</v>
      </c>
      <c r="G35" s="15">
        <v>1069</v>
      </c>
      <c r="L35" s="10"/>
      <c r="M35" s="10"/>
      <c r="N35" s="10"/>
      <c r="O35" s="10">
        <f>F35</f>
        <v>963</v>
      </c>
      <c r="P35" s="10">
        <v>967</v>
      </c>
      <c r="Q35" s="10">
        <v>928</v>
      </c>
      <c r="R35" s="10">
        <v>988</v>
      </c>
      <c r="S35" s="10">
        <f>G35</f>
        <v>1069</v>
      </c>
      <c r="T35" s="147">
        <v>1108</v>
      </c>
      <c r="U35" s="15">
        <v>987</v>
      </c>
      <c r="V35" s="147"/>
      <c r="W35" s="147"/>
    </row>
    <row r="36" spans="2:23" x14ac:dyDescent="0.25">
      <c r="B36" t="s">
        <v>132</v>
      </c>
      <c r="C36" s="10"/>
      <c r="D36" s="10"/>
      <c r="E36" s="10"/>
      <c r="F36" s="10"/>
      <c r="G36" s="15">
        <v>563</v>
      </c>
      <c r="L36" s="10"/>
      <c r="M36" s="10"/>
      <c r="N36" s="10"/>
      <c r="O36" s="10">
        <f>F36</f>
        <v>0</v>
      </c>
      <c r="P36" s="10"/>
      <c r="Q36" s="10">
        <v>1903</v>
      </c>
      <c r="R36" s="10">
        <v>2165</v>
      </c>
      <c r="S36" s="10">
        <f>G36</f>
        <v>563</v>
      </c>
      <c r="T36" s="147">
        <v>307</v>
      </c>
      <c r="U36" s="15">
        <v>369</v>
      </c>
      <c r="V36" s="147"/>
      <c r="W36" s="147"/>
    </row>
    <row r="37" spans="2:23" x14ac:dyDescent="0.25">
      <c r="B37" t="s">
        <v>132</v>
      </c>
      <c r="C37" s="10"/>
      <c r="D37" s="10">
        <v>2769</v>
      </c>
      <c r="E37" s="10">
        <v>4846</v>
      </c>
      <c r="F37" s="10">
        <v>7431</v>
      </c>
      <c r="G37" s="15">
        <v>5433</v>
      </c>
      <c r="L37" s="10"/>
      <c r="M37" s="10"/>
      <c r="N37" s="10"/>
      <c r="O37" s="10">
        <f>F37</f>
        <v>7431</v>
      </c>
      <c r="P37" s="10">
        <v>7495</v>
      </c>
      <c r="Q37" s="10">
        <v>5547</v>
      </c>
      <c r="R37" s="10">
        <v>5066</v>
      </c>
      <c r="S37" s="10">
        <f>G37</f>
        <v>5433</v>
      </c>
      <c r="T37" s="147">
        <v>5202</v>
      </c>
      <c r="U37" s="15">
        <v>5319</v>
      </c>
      <c r="V37" s="147"/>
      <c r="W37" s="147"/>
    </row>
    <row r="38" spans="2:23" x14ac:dyDescent="0.25">
      <c r="B38" t="s">
        <v>133</v>
      </c>
      <c r="C38" s="10"/>
      <c r="D38" s="10">
        <v>33418</v>
      </c>
      <c r="E38" s="10">
        <v>36141</v>
      </c>
      <c r="F38" s="10">
        <v>36264</v>
      </c>
      <c r="G38" s="15">
        <v>38935</v>
      </c>
      <c r="L38" s="10"/>
      <c r="M38" s="10"/>
      <c r="N38" s="10"/>
      <c r="O38" s="10">
        <f>F38</f>
        <v>36264</v>
      </c>
      <c r="P38" s="10">
        <v>35276</v>
      </c>
      <c r="Q38" s="10">
        <v>33643</v>
      </c>
      <c r="R38" s="10">
        <v>34641</v>
      </c>
      <c r="S38" s="10">
        <f>G38</f>
        <v>38935</v>
      </c>
      <c r="T38" s="147">
        <v>38353</v>
      </c>
      <c r="U38" s="15">
        <v>38727</v>
      </c>
      <c r="V38" s="147"/>
      <c r="W38" s="147"/>
    </row>
    <row r="39" spans="2:23" x14ac:dyDescent="0.25">
      <c r="B39" t="s">
        <v>72</v>
      </c>
      <c r="C39" s="10"/>
      <c r="D39" s="10">
        <v>1148</v>
      </c>
      <c r="E39" s="10">
        <v>1287</v>
      </c>
      <c r="F39" s="10">
        <v>1898</v>
      </c>
      <c r="G39" s="15">
        <v>2509</v>
      </c>
      <c r="L39" s="10"/>
      <c r="M39" s="10"/>
      <c r="N39" s="10"/>
      <c r="O39" s="10">
        <f>F39</f>
        <v>1898</v>
      </c>
      <c r="P39" s="10">
        <v>2162</v>
      </c>
      <c r="Q39" s="10">
        <v>2202</v>
      </c>
      <c r="R39" s="10">
        <v>2228</v>
      </c>
      <c r="S39" s="10">
        <f>G39</f>
        <v>2509</v>
      </c>
      <c r="T39" s="147">
        <v>4418</v>
      </c>
      <c r="U39" s="15">
        <v>3954</v>
      </c>
      <c r="V39" s="147"/>
      <c r="W39" s="147"/>
    </row>
    <row r="40" spans="2:23" s="1" customFormat="1" x14ac:dyDescent="0.25">
      <c r="B40" s="1" t="s">
        <v>59</v>
      </c>
      <c r="C40" s="11">
        <f t="shared" ref="C40:D40" si="60">SUM(C33:C39)</f>
        <v>0</v>
      </c>
      <c r="D40" s="11">
        <f t="shared" si="60"/>
        <v>50995</v>
      </c>
      <c r="E40" s="11">
        <f>SUM(E33:E39)</f>
        <v>52574</v>
      </c>
      <c r="F40" s="11">
        <f t="shared" ref="F40:G40" si="61">SUM(F33:F39)</f>
        <v>57424</v>
      </c>
      <c r="G40" s="14">
        <f t="shared" si="61"/>
        <v>62569</v>
      </c>
      <c r="L40" s="11">
        <f t="shared" ref="L40:T40" si="62">SUM(L33:L39)</f>
        <v>0</v>
      </c>
      <c r="M40" s="11">
        <f t="shared" si="62"/>
        <v>0</v>
      </c>
      <c r="N40" s="11">
        <f t="shared" si="62"/>
        <v>0</v>
      </c>
      <c r="O40" s="11">
        <f t="shared" si="62"/>
        <v>57424</v>
      </c>
      <c r="P40" s="11">
        <f t="shared" si="62"/>
        <v>56560</v>
      </c>
      <c r="Q40" s="11">
        <f t="shared" si="62"/>
        <v>54125</v>
      </c>
      <c r="R40" s="11">
        <f t="shared" si="62"/>
        <v>56635</v>
      </c>
      <c r="S40" s="11">
        <f t="shared" si="62"/>
        <v>62569</v>
      </c>
      <c r="T40" s="148">
        <f t="shared" si="62"/>
        <v>63706</v>
      </c>
      <c r="U40" s="14">
        <f t="shared" ref="U40:W40" si="63">SUM(U33:U39)</f>
        <v>62972</v>
      </c>
      <c r="V40" s="148">
        <f t="shared" si="63"/>
        <v>0</v>
      </c>
      <c r="W40" s="148">
        <f t="shared" si="63"/>
        <v>0</v>
      </c>
    </row>
    <row r="41" spans="2:23" x14ac:dyDescent="0.25">
      <c r="B41" t="s">
        <v>134</v>
      </c>
      <c r="C41" s="10"/>
      <c r="D41" s="10">
        <v>6089</v>
      </c>
      <c r="E41" s="10">
        <v>6797</v>
      </c>
      <c r="F41" s="10">
        <v>5018</v>
      </c>
      <c r="G41" s="15">
        <v>3273</v>
      </c>
      <c r="L41" s="10"/>
      <c r="M41" s="10"/>
      <c r="N41" s="10"/>
      <c r="O41" s="10">
        <f>F41</f>
        <v>5018</v>
      </c>
      <c r="P41" s="10">
        <v>4632</v>
      </c>
      <c r="Q41" s="10">
        <v>4543</v>
      </c>
      <c r="R41" s="10">
        <v>3855</v>
      </c>
      <c r="S41" s="10">
        <f>G41</f>
        <v>3273</v>
      </c>
      <c r="T41" s="147">
        <v>3409</v>
      </c>
      <c r="U41" s="15">
        <v>4653</v>
      </c>
      <c r="V41" s="147"/>
      <c r="W41" s="147"/>
    </row>
    <row r="42" spans="2:23" x14ac:dyDescent="0.25">
      <c r="B42" t="s">
        <v>73</v>
      </c>
      <c r="C42" s="10"/>
      <c r="D42" s="10">
        <v>1807</v>
      </c>
      <c r="E42" s="10">
        <v>1909</v>
      </c>
      <c r="F42" s="10">
        <v>1730</v>
      </c>
      <c r="G42" s="15">
        <v>1488</v>
      </c>
      <c r="L42" s="10"/>
      <c r="M42" s="10"/>
      <c r="N42" s="10"/>
      <c r="O42" s="10">
        <f>F42</f>
        <v>1730</v>
      </c>
      <c r="P42" s="10">
        <v>1633</v>
      </c>
      <c r="Q42" s="10">
        <v>1589</v>
      </c>
      <c r="R42" s="10">
        <v>1529</v>
      </c>
      <c r="S42" s="10">
        <f>G42</f>
        <v>1488</v>
      </c>
      <c r="T42" s="147">
        <v>1426</v>
      </c>
      <c r="U42" s="15">
        <v>1459</v>
      </c>
      <c r="V42" s="147"/>
      <c r="W42" s="147"/>
    </row>
    <row r="43" spans="2:23" x14ac:dyDescent="0.25">
      <c r="B43" t="s">
        <v>23</v>
      </c>
      <c r="C43" s="10"/>
      <c r="D43" s="10">
        <v>9135</v>
      </c>
      <c r="E43" s="10">
        <v>11454</v>
      </c>
      <c r="F43" s="10">
        <v>11209</v>
      </c>
      <c r="G43" s="15">
        <v>11026</v>
      </c>
      <c r="L43" s="10"/>
      <c r="M43" s="10"/>
      <c r="N43" s="10"/>
      <c r="O43" s="10">
        <f>F43</f>
        <v>11209</v>
      </c>
      <c r="P43" s="10">
        <v>11195</v>
      </c>
      <c r="Q43" s="10">
        <v>11067</v>
      </c>
      <c r="R43" s="10">
        <v>10935</v>
      </c>
      <c r="S43" s="10">
        <f>G43</f>
        <v>11026</v>
      </c>
      <c r="T43" s="147">
        <v>10916</v>
      </c>
      <c r="U43" s="15">
        <v>10816</v>
      </c>
      <c r="V43" s="147"/>
      <c r="W43" s="147"/>
    </row>
    <row r="44" spans="2:23" x14ac:dyDescent="0.25">
      <c r="B44" t="s">
        <v>74</v>
      </c>
      <c r="C44" s="10"/>
      <c r="D44" s="10">
        <v>1048</v>
      </c>
      <c r="E44" s="10">
        <v>1332</v>
      </c>
      <c r="F44" s="10">
        <v>788</v>
      </c>
      <c r="G44" s="15">
        <v>537</v>
      </c>
      <c r="L44" s="10"/>
      <c r="M44" s="10"/>
      <c r="N44" s="10"/>
      <c r="O44" s="10">
        <f>F44</f>
        <v>788</v>
      </c>
      <c r="P44" s="10">
        <v>730</v>
      </c>
      <c r="Q44" s="10">
        <v>640</v>
      </c>
      <c r="R44" s="10">
        <v>564</v>
      </c>
      <c r="S44" s="10">
        <f>G44</f>
        <v>537</v>
      </c>
      <c r="T44" s="147">
        <v>465</v>
      </c>
      <c r="U44" s="15">
        <v>403</v>
      </c>
      <c r="V44" s="147"/>
      <c r="W44" s="147"/>
    </row>
    <row r="45" spans="2:23" s="1" customFormat="1" x14ac:dyDescent="0.25">
      <c r="B45" t="s">
        <v>135</v>
      </c>
      <c r="C45" s="10"/>
      <c r="D45" s="10">
        <v>1305</v>
      </c>
      <c r="E45" s="10">
        <v>1737</v>
      </c>
      <c r="F45" s="10">
        <v>2455</v>
      </c>
      <c r="G45" s="15">
        <v>3273</v>
      </c>
      <c r="L45" s="10"/>
      <c r="M45" s="10"/>
      <c r="N45" s="10"/>
      <c r="O45" s="10">
        <f>F45</f>
        <v>2455</v>
      </c>
      <c r="P45" s="10">
        <v>2436</v>
      </c>
      <c r="Q45" s="10">
        <v>2615</v>
      </c>
      <c r="R45" s="10">
        <v>2922</v>
      </c>
      <c r="S45" s="10">
        <f>G45</f>
        <v>3273</v>
      </c>
      <c r="T45" s="147">
        <v>3425</v>
      </c>
      <c r="U45" s="15">
        <v>3713</v>
      </c>
      <c r="V45" s="147"/>
      <c r="W45" s="147"/>
    </row>
    <row r="46" spans="2:23" x14ac:dyDescent="0.25">
      <c r="B46" s="1" t="s">
        <v>25</v>
      </c>
      <c r="C46" s="11">
        <f>SUM(C40:C45)</f>
        <v>0</v>
      </c>
      <c r="D46" s="11">
        <f>SUM(D40:D45)</f>
        <v>70379</v>
      </c>
      <c r="E46" s="11">
        <f>SUM(E40:E45)</f>
        <v>75803</v>
      </c>
      <c r="F46" s="11">
        <f>SUM(F40:F45)</f>
        <v>78624</v>
      </c>
      <c r="G46" s="14">
        <f>SUM(G40:G45)</f>
        <v>82166</v>
      </c>
      <c r="L46" s="11">
        <f t="shared" ref="L46:R46" si="64">SUM(L40:L45)</f>
        <v>0</v>
      </c>
      <c r="M46" s="11">
        <f t="shared" si="64"/>
        <v>0</v>
      </c>
      <c r="N46" s="11">
        <f t="shared" si="64"/>
        <v>0</v>
      </c>
      <c r="O46" s="11">
        <f t="shared" si="64"/>
        <v>78624</v>
      </c>
      <c r="P46" s="11">
        <f t="shared" si="64"/>
        <v>77186</v>
      </c>
      <c r="Q46" s="11">
        <f t="shared" si="64"/>
        <v>74579</v>
      </c>
      <c r="R46" s="11">
        <f t="shared" si="64"/>
        <v>76440</v>
      </c>
      <c r="S46" s="11">
        <f t="shared" ref="S46:T46" si="65">SUM(S40:S45)</f>
        <v>82166</v>
      </c>
      <c r="T46" s="148">
        <f t="shared" si="65"/>
        <v>83347</v>
      </c>
      <c r="U46" s="14">
        <f t="shared" ref="U46:W46" si="66">SUM(U40:U45)</f>
        <v>84016</v>
      </c>
      <c r="V46" s="148">
        <f t="shared" si="66"/>
        <v>0</v>
      </c>
      <c r="W46" s="148">
        <f t="shared" si="66"/>
        <v>0</v>
      </c>
    </row>
    <row r="47" spans="2:23" x14ac:dyDescent="0.25">
      <c r="B47" t="s">
        <v>27</v>
      </c>
      <c r="C47" s="10"/>
      <c r="D47" s="10">
        <v>252</v>
      </c>
      <c r="E47" s="10">
        <v>197</v>
      </c>
      <c r="F47" s="10">
        <v>126</v>
      </c>
      <c r="G47" s="15">
        <v>139</v>
      </c>
      <c r="L47" s="10"/>
      <c r="M47" s="10"/>
      <c r="N47" s="10"/>
      <c r="O47" s="10">
        <f>F47</f>
        <v>126</v>
      </c>
      <c r="P47" s="10">
        <v>142</v>
      </c>
      <c r="Q47" s="10">
        <v>137</v>
      </c>
      <c r="R47" s="10">
        <v>131</v>
      </c>
      <c r="S47" s="10">
        <f>G47</f>
        <v>139</v>
      </c>
      <c r="T47" s="147">
        <v>108</v>
      </c>
      <c r="U47" s="15">
        <v>133</v>
      </c>
      <c r="V47" s="147"/>
      <c r="W47" s="147"/>
    </row>
    <row r="48" spans="2:23" x14ac:dyDescent="0.25">
      <c r="B48" t="s">
        <v>136</v>
      </c>
      <c r="C48" s="10"/>
      <c r="D48" s="10">
        <v>35418</v>
      </c>
      <c r="E48" s="10">
        <v>38841</v>
      </c>
      <c r="F48" s="10">
        <v>40014</v>
      </c>
      <c r="G48" s="15">
        <v>41935</v>
      </c>
      <c r="L48" s="10"/>
      <c r="M48" s="10"/>
      <c r="N48" s="10"/>
      <c r="O48" s="10">
        <f>F48</f>
        <v>40014</v>
      </c>
      <c r="P48" s="10">
        <v>39026</v>
      </c>
      <c r="Q48" s="10">
        <v>37393</v>
      </c>
      <c r="R48" s="10">
        <v>38641</v>
      </c>
      <c r="S48" s="10">
        <f>G48</f>
        <v>41935</v>
      </c>
      <c r="T48" s="147">
        <v>41353</v>
      </c>
      <c r="U48" s="15">
        <v>41727</v>
      </c>
      <c r="V48" s="147"/>
      <c r="W48" s="147"/>
    </row>
    <row r="49" spans="2:23" x14ac:dyDescent="0.25">
      <c r="B49" t="s">
        <v>137</v>
      </c>
      <c r="C49" s="10"/>
      <c r="D49" s="10">
        <f>2648+129</f>
        <v>2777</v>
      </c>
      <c r="E49" s="10">
        <f>3755+236</f>
        <v>3991</v>
      </c>
      <c r="F49" s="10">
        <v>4868</v>
      </c>
      <c r="G49" s="15">
        <v>6392</v>
      </c>
      <c r="L49" s="10"/>
      <c r="M49" s="10"/>
      <c r="N49" s="10"/>
      <c r="O49" s="10">
        <f>F49</f>
        <v>4868</v>
      </c>
      <c r="P49" s="10">
        <f>4164+577</f>
        <v>4741</v>
      </c>
      <c r="Q49" s="10">
        <f>3433+791</f>
        <v>4224</v>
      </c>
      <c r="R49" s="10">
        <f>3533+1137</f>
        <v>4670</v>
      </c>
      <c r="S49" s="10">
        <f>G49</f>
        <v>6392</v>
      </c>
      <c r="T49" s="147">
        <v>8385</v>
      </c>
      <c r="U49" s="15">
        <v>8853</v>
      </c>
      <c r="V49" s="147"/>
      <c r="W49" s="147"/>
    </row>
    <row r="50" spans="2:23" s="1" customFormat="1" x14ac:dyDescent="0.25">
      <c r="B50" s="1" t="s">
        <v>60</v>
      </c>
      <c r="C50" s="11">
        <f>SUM(C47:C49)</f>
        <v>0</v>
      </c>
      <c r="D50" s="11">
        <f>SUM(D47:D49)</f>
        <v>38447</v>
      </c>
      <c r="E50" s="11">
        <f>SUM(E47:E49)</f>
        <v>43029</v>
      </c>
      <c r="F50" s="11">
        <f>SUM(F47:F49)</f>
        <v>45008</v>
      </c>
      <c r="G50" s="14">
        <f>SUM(G47:G49)</f>
        <v>48466</v>
      </c>
      <c r="L50" s="11">
        <f t="shared" ref="L50:R50" si="67">SUM(L47:L49)</f>
        <v>0</v>
      </c>
      <c r="M50" s="11">
        <f t="shared" si="67"/>
        <v>0</v>
      </c>
      <c r="N50" s="11">
        <f t="shared" si="67"/>
        <v>0</v>
      </c>
      <c r="O50" s="11">
        <f t="shared" si="67"/>
        <v>45008</v>
      </c>
      <c r="P50" s="11">
        <f t="shared" si="67"/>
        <v>43909</v>
      </c>
      <c r="Q50" s="11">
        <f t="shared" si="67"/>
        <v>41754</v>
      </c>
      <c r="R50" s="11">
        <f t="shared" si="67"/>
        <v>43442</v>
      </c>
      <c r="S50" s="11">
        <f t="shared" ref="S50:T50" si="68">SUM(S47:S49)</f>
        <v>48466</v>
      </c>
      <c r="T50" s="148">
        <f t="shared" si="68"/>
        <v>49846</v>
      </c>
      <c r="U50" s="14">
        <f t="shared" ref="U50:W50" si="69">SUM(U47:U49)</f>
        <v>50713</v>
      </c>
      <c r="V50" s="148">
        <f t="shared" si="69"/>
        <v>0</v>
      </c>
      <c r="W50" s="148">
        <f t="shared" si="69"/>
        <v>0</v>
      </c>
    </row>
    <row r="51" spans="2:23" x14ac:dyDescent="0.25">
      <c r="B51" t="s">
        <v>24</v>
      </c>
      <c r="C51" s="10"/>
      <c r="D51" s="10">
        <v>2930</v>
      </c>
      <c r="E51" s="10">
        <v>2998</v>
      </c>
      <c r="F51" s="10">
        <v>2925</v>
      </c>
      <c r="G51" s="15">
        <v>2973</v>
      </c>
      <c r="L51" s="10"/>
      <c r="M51" s="10"/>
      <c r="N51" s="10"/>
      <c r="O51" s="10">
        <f>F51</f>
        <v>2925</v>
      </c>
      <c r="P51" s="10">
        <v>2938</v>
      </c>
      <c r="Q51" s="10">
        <v>2615</v>
      </c>
      <c r="R51" s="10">
        <v>2618</v>
      </c>
      <c r="S51" s="10">
        <f>G51</f>
        <v>2973</v>
      </c>
      <c r="T51" s="147">
        <v>3116</v>
      </c>
      <c r="U51" s="15">
        <v>2954</v>
      </c>
      <c r="V51" s="147"/>
      <c r="W51" s="147"/>
    </row>
    <row r="52" spans="2:23" x14ac:dyDescent="0.25">
      <c r="B52" t="s">
        <v>138</v>
      </c>
      <c r="C52" s="10"/>
      <c r="D52" s="10">
        <v>8939</v>
      </c>
      <c r="E52" s="10">
        <v>8049</v>
      </c>
      <c r="F52" s="10">
        <v>10417</v>
      </c>
      <c r="G52" s="15">
        <v>9676</v>
      </c>
      <c r="L52" s="10"/>
      <c r="M52" s="10"/>
      <c r="N52" s="10"/>
      <c r="O52" s="10">
        <f>F52</f>
        <v>10417</v>
      </c>
      <c r="P52" s="10">
        <v>10481</v>
      </c>
      <c r="Q52" s="10">
        <v>10549</v>
      </c>
      <c r="R52" s="10">
        <v>10640</v>
      </c>
      <c r="S52" s="10">
        <f>G52</f>
        <v>9676</v>
      </c>
      <c r="T52" s="147">
        <v>9683</v>
      </c>
      <c r="U52" s="15">
        <v>9727</v>
      </c>
      <c r="V52" s="147"/>
      <c r="W52" s="147"/>
    </row>
    <row r="53" spans="2:23" x14ac:dyDescent="0.25">
      <c r="B53" s="1" t="s">
        <v>26</v>
      </c>
      <c r="C53" s="11">
        <f>SUM(C50:C52)</f>
        <v>0</v>
      </c>
      <c r="D53" s="11">
        <f>SUM(D50:D52)</f>
        <v>50316</v>
      </c>
      <c r="E53" s="11">
        <f>SUM(E50:E52)</f>
        <v>54076</v>
      </c>
      <c r="F53" s="11">
        <f>SUM(F50:F52)</f>
        <v>58350</v>
      </c>
      <c r="G53" s="14">
        <f>SUM(G50:G52)</f>
        <v>61115</v>
      </c>
      <c r="L53" s="11">
        <f t="shared" ref="L53:R53" si="70">SUM(L50:L52)</f>
        <v>0</v>
      </c>
      <c r="M53" s="11">
        <f t="shared" si="70"/>
        <v>0</v>
      </c>
      <c r="N53" s="11">
        <f t="shared" si="70"/>
        <v>0</v>
      </c>
      <c r="O53" s="11">
        <f t="shared" si="70"/>
        <v>58350</v>
      </c>
      <c r="P53" s="11">
        <f t="shared" si="70"/>
        <v>57328</v>
      </c>
      <c r="Q53" s="11">
        <f t="shared" si="70"/>
        <v>54918</v>
      </c>
      <c r="R53" s="11">
        <f t="shared" si="70"/>
        <v>56700</v>
      </c>
      <c r="S53" s="11">
        <f t="shared" ref="S53:T53" si="71">SUM(S50:S52)</f>
        <v>61115</v>
      </c>
      <c r="T53" s="148">
        <f t="shared" si="71"/>
        <v>62645</v>
      </c>
      <c r="U53" s="14">
        <f t="shared" ref="U53:W53" si="72">SUM(U50:U52)</f>
        <v>63394</v>
      </c>
      <c r="V53" s="148">
        <f t="shared" si="72"/>
        <v>0</v>
      </c>
      <c r="W53" s="148">
        <f t="shared" si="72"/>
        <v>0</v>
      </c>
    </row>
    <row r="54" spans="2:23" x14ac:dyDescent="0.25">
      <c r="B54" t="s">
        <v>75</v>
      </c>
      <c r="C54" s="10">
        <f>C46-C53</f>
        <v>0</v>
      </c>
      <c r="D54" s="10">
        <f>D46-D53</f>
        <v>20063</v>
      </c>
      <c r="E54" s="10">
        <f>E46-E53</f>
        <v>21727</v>
      </c>
      <c r="F54" s="10">
        <f>F46-F53</f>
        <v>20274</v>
      </c>
      <c r="G54" s="15">
        <f>G46-G53</f>
        <v>21051</v>
      </c>
      <c r="L54" s="10">
        <f t="shared" ref="L54:R54" si="73">L46-L53</f>
        <v>0</v>
      </c>
      <c r="M54" s="10">
        <f t="shared" si="73"/>
        <v>0</v>
      </c>
      <c r="N54" s="10">
        <f t="shared" si="73"/>
        <v>0</v>
      </c>
      <c r="O54" s="10">
        <f t="shared" si="73"/>
        <v>20274</v>
      </c>
      <c r="P54" s="10">
        <f t="shared" si="73"/>
        <v>19858</v>
      </c>
      <c r="Q54" s="10">
        <f t="shared" si="73"/>
        <v>19661</v>
      </c>
      <c r="R54" s="10">
        <f t="shared" si="73"/>
        <v>19740</v>
      </c>
      <c r="S54" s="10">
        <f t="shared" ref="S54:T54" si="74">S46-S53</f>
        <v>21051</v>
      </c>
      <c r="T54" s="147">
        <f t="shared" si="74"/>
        <v>20702</v>
      </c>
      <c r="U54" s="15">
        <f t="shared" ref="U54:W54" si="75">U46-U53</f>
        <v>20622</v>
      </c>
      <c r="V54" s="147">
        <f t="shared" si="75"/>
        <v>0</v>
      </c>
      <c r="W54" s="147">
        <f t="shared" si="75"/>
        <v>0</v>
      </c>
    </row>
    <row r="56" spans="2:23" s="1" customFormat="1" x14ac:dyDescent="0.25">
      <c r="B56" s="1" t="s">
        <v>146</v>
      </c>
      <c r="C56" s="46"/>
      <c r="D56" s="46"/>
      <c r="E56" s="122">
        <f t="shared" ref="E56:F56" si="76">E52/D52-1</f>
        <v>-9.9563709587202176E-2</v>
      </c>
      <c r="F56" s="122">
        <f t="shared" si="76"/>
        <v>0.29419803702323266</v>
      </c>
      <c r="G56" s="47">
        <f>G52/F52-1</f>
        <v>-7.1133723720840925E-2</v>
      </c>
      <c r="T56" s="152"/>
      <c r="U56" s="16"/>
    </row>
    <row r="57" spans="2:23" s="1" customFormat="1" x14ac:dyDescent="0.25">
      <c r="B57" s="1" t="s">
        <v>147</v>
      </c>
      <c r="E57" s="122">
        <f t="shared" ref="E57" si="77">(E33+E34+E41)/(D33+D34+D41)-1</f>
        <v>-0.14995827248070104</v>
      </c>
      <c r="F57" s="122">
        <f>(F33+F34+F41)/(E33+E34+E41)-1</f>
        <v>-2.5219365527397675E-2</v>
      </c>
      <c r="G57" s="47">
        <f>(G33+G34+G41)/(F33+F34+F41)-1</f>
        <v>9.1086491250157442E-2</v>
      </c>
      <c r="T57" s="152"/>
      <c r="U57" s="16"/>
    </row>
    <row r="74" spans="7:21" s="9" customFormat="1" x14ac:dyDescent="0.25">
      <c r="G74" s="42"/>
      <c r="T74" s="153"/>
      <c r="U74" s="42"/>
    </row>
    <row r="75" spans="7:21" s="1" customFormat="1" x14ac:dyDescent="0.25">
      <c r="G75" s="16"/>
      <c r="T75" s="152"/>
      <c r="U75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31" workbookViewId="0">
      <selection activeCell="V51" sqref="V51"/>
    </sheetView>
  </sheetViews>
  <sheetFormatPr defaultRowHeight="15" x14ac:dyDescent="0.25"/>
  <sheetData>
    <row r="1" spans="1:1" x14ac:dyDescent="0.25">
      <c r="A1" s="8" t="s">
        <v>35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35</v>
      </c>
      <c r="B1" t="s">
        <v>48</v>
      </c>
      <c r="C1" s="17" t="s">
        <v>49</v>
      </c>
    </row>
    <row r="2" spans="1:13" x14ac:dyDescent="0.25">
      <c r="B2" s="12"/>
      <c r="C2" s="18"/>
      <c r="E2" t="s">
        <v>48</v>
      </c>
      <c r="F2" t="s">
        <v>50</v>
      </c>
      <c r="M2" t="s">
        <v>51</v>
      </c>
    </row>
    <row r="3" spans="1:13" x14ac:dyDescent="0.25">
      <c r="B3" s="12"/>
      <c r="C3" s="18"/>
      <c r="E3" s="12">
        <v>45328</v>
      </c>
      <c r="F3" t="s">
        <v>53</v>
      </c>
      <c r="M3" s="12"/>
    </row>
    <row r="4" spans="1:13" x14ac:dyDescent="0.25">
      <c r="B4" s="12"/>
      <c r="C4" s="18"/>
      <c r="E4" s="12">
        <v>45302</v>
      </c>
      <c r="F4" t="s">
        <v>53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35</v>
      </c>
      <c r="B1" s="1" t="s">
        <v>48</v>
      </c>
      <c r="C1" s="1" t="s">
        <v>0</v>
      </c>
      <c r="D1" s="1" t="s">
        <v>88</v>
      </c>
      <c r="H1" s="136" t="s">
        <v>89</v>
      </c>
      <c r="I1" s="137"/>
      <c r="J1" s="137"/>
      <c r="K1" s="137"/>
      <c r="L1" s="137"/>
      <c r="M1" s="138"/>
    </row>
    <row r="2" spans="1:13" ht="15.75" thickBot="1" x14ac:dyDescent="0.3">
      <c r="D2" t="e">
        <f>C2/C3-1</f>
        <v>#DIV/0!</v>
      </c>
      <c r="H2" s="57"/>
      <c r="I2" s="58"/>
      <c r="J2" s="58"/>
      <c r="K2" s="58"/>
      <c r="L2" s="58"/>
      <c r="M2" s="59"/>
    </row>
    <row r="3" spans="1:13" ht="15.75" thickBot="1" x14ac:dyDescent="0.3">
      <c r="D3" t="e">
        <f t="shared" ref="D3:D66" si="0">C3/C4-1</f>
        <v>#DIV/0!</v>
      </c>
      <c r="H3" s="60" t="s">
        <v>90</v>
      </c>
      <c r="I3" s="61" t="s">
        <v>91</v>
      </c>
      <c r="J3" s="62" t="s">
        <v>92</v>
      </c>
      <c r="K3" s="63" t="s">
        <v>93</v>
      </c>
      <c r="L3" s="63" t="s">
        <v>94</v>
      </c>
      <c r="M3" s="64" t="s">
        <v>95</v>
      </c>
    </row>
    <row r="4" spans="1:13" x14ac:dyDescent="0.25">
      <c r="D4" t="e">
        <f t="shared" si="0"/>
        <v>#DIV/0!</v>
      </c>
      <c r="H4" s="65" t="e">
        <f>$I$19-3*$I$23</f>
        <v>#DIV/0!</v>
      </c>
      <c r="I4" s="66" t="e">
        <f>H4</f>
        <v>#DIV/0!</v>
      </c>
      <c r="J4" s="67">
        <f>COUNTIF(D:D,"&lt;="&amp;H4)</f>
        <v>67</v>
      </c>
      <c r="K4" s="67" t="e">
        <f>"Less than "&amp;TEXT(H4,"0,00%")</f>
        <v>#DIV/0!</v>
      </c>
      <c r="L4" s="68" t="e">
        <f>J4/$I$31</f>
        <v>#DIV/0!</v>
      </c>
      <c r="M4" s="69" t="e">
        <f>L4</f>
        <v>#DIV/0!</v>
      </c>
    </row>
    <row r="5" spans="1:13" x14ac:dyDescent="0.25">
      <c r="D5" t="e">
        <f t="shared" si="0"/>
        <v>#DIV/0!</v>
      </c>
      <c r="H5" s="70" t="e">
        <f>$I$19-2.4*$I$23</f>
        <v>#DIV/0!</v>
      </c>
      <c r="I5" s="71" t="e">
        <f>H5</f>
        <v>#DIV/0!</v>
      </c>
      <c r="J5" s="72">
        <f>COUNTIFS(D:D,"&lt;="&amp;H5,D:D,"&gt;"&amp;H4)</f>
        <v>67</v>
      </c>
      <c r="K5" s="73" t="e">
        <f t="shared" ref="K5:K14" si="1">TEXT(H4,"0,00%")&amp;" to "&amp;TEXT(H5,"0,00%")</f>
        <v>#DIV/0!</v>
      </c>
      <c r="L5" s="74" t="e">
        <f>J5/$I$31</f>
        <v>#DIV/0!</v>
      </c>
      <c r="M5" s="75" t="e">
        <f>M4+L5</f>
        <v>#DIV/0!</v>
      </c>
    </row>
    <row r="6" spans="1:13" x14ac:dyDescent="0.25">
      <c r="D6" t="e">
        <f t="shared" si="0"/>
        <v>#DIV/0!</v>
      </c>
      <c r="H6" s="70" t="e">
        <f>$I$19-1.8*$I$23</f>
        <v>#DIV/0!</v>
      </c>
      <c r="I6" s="71" t="e">
        <f t="shared" ref="I6:I14" si="2">H6</f>
        <v>#DIV/0!</v>
      </c>
      <c r="J6" s="72">
        <f t="shared" ref="J6:J14" si="3">COUNTIFS(D:D,"&lt;="&amp;H6,D:D,"&gt;"&amp;H5)</f>
        <v>67</v>
      </c>
      <c r="K6" s="73" t="e">
        <f t="shared" si="1"/>
        <v>#DIV/0!</v>
      </c>
      <c r="L6" s="74" t="e">
        <f t="shared" ref="L6:L15" si="4">J6/$I$31</f>
        <v>#DIV/0!</v>
      </c>
      <c r="M6" s="75" t="e">
        <f t="shared" ref="M6:M15" si="5">M5+L6</f>
        <v>#DIV/0!</v>
      </c>
    </row>
    <row r="7" spans="1:13" x14ac:dyDescent="0.25">
      <c r="D7" t="e">
        <f t="shared" si="0"/>
        <v>#DIV/0!</v>
      </c>
      <c r="H7" s="70" t="e">
        <f>$I$19-1.2*$I$23</f>
        <v>#DIV/0!</v>
      </c>
      <c r="I7" s="71" t="e">
        <f t="shared" si="2"/>
        <v>#DIV/0!</v>
      </c>
      <c r="J7" s="72">
        <f t="shared" si="3"/>
        <v>67</v>
      </c>
      <c r="K7" s="73" t="e">
        <f t="shared" si="1"/>
        <v>#DIV/0!</v>
      </c>
      <c r="L7" s="74" t="e">
        <f t="shared" si="4"/>
        <v>#DIV/0!</v>
      </c>
      <c r="M7" s="75" t="e">
        <f t="shared" si="5"/>
        <v>#DIV/0!</v>
      </c>
    </row>
    <row r="8" spans="1:13" x14ac:dyDescent="0.25">
      <c r="D8" t="e">
        <f t="shared" si="0"/>
        <v>#DIV/0!</v>
      </c>
      <c r="H8" s="70" t="e">
        <f>$I$19-0.6*$I$23</f>
        <v>#DIV/0!</v>
      </c>
      <c r="I8" s="71" t="e">
        <f t="shared" si="2"/>
        <v>#DIV/0!</v>
      </c>
      <c r="J8" s="72">
        <f t="shared" si="3"/>
        <v>67</v>
      </c>
      <c r="K8" s="73" t="e">
        <f t="shared" si="1"/>
        <v>#DIV/0!</v>
      </c>
      <c r="L8" s="74" t="e">
        <f t="shared" si="4"/>
        <v>#DIV/0!</v>
      </c>
      <c r="M8" s="75" t="e">
        <f t="shared" si="5"/>
        <v>#DIV/0!</v>
      </c>
    </row>
    <row r="9" spans="1:13" x14ac:dyDescent="0.25">
      <c r="D9" t="e">
        <f t="shared" si="0"/>
        <v>#DIV/0!</v>
      </c>
      <c r="H9" s="70" t="e">
        <f>$I$19</f>
        <v>#DIV/0!</v>
      </c>
      <c r="I9" s="71" t="e">
        <f t="shared" si="2"/>
        <v>#DIV/0!</v>
      </c>
      <c r="J9" s="72">
        <f t="shared" si="3"/>
        <v>67</v>
      </c>
      <c r="K9" s="73" t="e">
        <f t="shared" si="1"/>
        <v>#DIV/0!</v>
      </c>
      <c r="L9" s="74" t="e">
        <f t="shared" si="4"/>
        <v>#DIV/0!</v>
      </c>
      <c r="M9" s="75" t="e">
        <f t="shared" si="5"/>
        <v>#DIV/0!</v>
      </c>
    </row>
    <row r="10" spans="1:13" x14ac:dyDescent="0.25">
      <c r="D10" t="e">
        <f t="shared" si="0"/>
        <v>#DIV/0!</v>
      </c>
      <c r="H10" s="70" t="e">
        <f>$I$19+0.6*$I$23</f>
        <v>#DIV/0!</v>
      </c>
      <c r="I10" s="71" t="e">
        <f t="shared" si="2"/>
        <v>#DIV/0!</v>
      </c>
      <c r="J10" s="72">
        <f t="shared" si="3"/>
        <v>67</v>
      </c>
      <c r="K10" s="73" t="e">
        <f t="shared" si="1"/>
        <v>#DIV/0!</v>
      </c>
      <c r="L10" s="74" t="e">
        <f t="shared" si="4"/>
        <v>#DIV/0!</v>
      </c>
      <c r="M10" s="75" t="e">
        <f t="shared" si="5"/>
        <v>#DIV/0!</v>
      </c>
    </row>
    <row r="11" spans="1:13" x14ac:dyDescent="0.25">
      <c r="D11" t="e">
        <f t="shared" si="0"/>
        <v>#DIV/0!</v>
      </c>
      <c r="H11" s="70" t="e">
        <f>$I$19+1.2*$I$23</f>
        <v>#DIV/0!</v>
      </c>
      <c r="I11" s="71" t="e">
        <f t="shared" si="2"/>
        <v>#DIV/0!</v>
      </c>
      <c r="J11" s="72">
        <f t="shared" si="3"/>
        <v>67</v>
      </c>
      <c r="K11" s="73" t="e">
        <f t="shared" si="1"/>
        <v>#DIV/0!</v>
      </c>
      <c r="L11" s="74" t="e">
        <f t="shared" si="4"/>
        <v>#DIV/0!</v>
      </c>
      <c r="M11" s="75" t="e">
        <f t="shared" si="5"/>
        <v>#DIV/0!</v>
      </c>
    </row>
    <row r="12" spans="1:13" x14ac:dyDescent="0.25">
      <c r="D12" t="e">
        <f t="shared" si="0"/>
        <v>#DIV/0!</v>
      </c>
      <c r="H12" s="70" t="e">
        <f>$I$19+1.8*$I$23</f>
        <v>#DIV/0!</v>
      </c>
      <c r="I12" s="71" t="e">
        <f t="shared" si="2"/>
        <v>#DIV/0!</v>
      </c>
      <c r="J12" s="72">
        <f t="shared" si="3"/>
        <v>67</v>
      </c>
      <c r="K12" s="73" t="e">
        <f t="shared" si="1"/>
        <v>#DIV/0!</v>
      </c>
      <c r="L12" s="74" t="e">
        <f t="shared" si="4"/>
        <v>#DIV/0!</v>
      </c>
      <c r="M12" s="75" t="e">
        <f t="shared" si="5"/>
        <v>#DIV/0!</v>
      </c>
    </row>
    <row r="13" spans="1:13" x14ac:dyDescent="0.25">
      <c r="D13" t="e">
        <f t="shared" si="0"/>
        <v>#DIV/0!</v>
      </c>
      <c r="H13" s="70" t="e">
        <f>$I$19+2.4*$I$23</f>
        <v>#DIV/0!</v>
      </c>
      <c r="I13" s="71" t="e">
        <f t="shared" si="2"/>
        <v>#DIV/0!</v>
      </c>
      <c r="J13" s="72">
        <f t="shared" si="3"/>
        <v>67</v>
      </c>
      <c r="K13" s="73" t="e">
        <f t="shared" si="1"/>
        <v>#DIV/0!</v>
      </c>
      <c r="L13" s="74" t="e">
        <f t="shared" si="4"/>
        <v>#DIV/0!</v>
      </c>
      <c r="M13" s="75" t="e">
        <f t="shared" si="5"/>
        <v>#DIV/0!</v>
      </c>
    </row>
    <row r="14" spans="1:13" x14ac:dyDescent="0.25">
      <c r="D14" t="e">
        <f t="shared" si="0"/>
        <v>#DIV/0!</v>
      </c>
      <c r="H14" s="70" t="e">
        <f>$I$19+3*$I$23</f>
        <v>#DIV/0!</v>
      </c>
      <c r="I14" s="71" t="e">
        <f t="shared" si="2"/>
        <v>#DIV/0!</v>
      </c>
      <c r="J14" s="72">
        <f t="shared" si="3"/>
        <v>67</v>
      </c>
      <c r="K14" s="73" t="e">
        <f t="shared" si="1"/>
        <v>#DIV/0!</v>
      </c>
      <c r="L14" s="74" t="e">
        <f t="shared" si="4"/>
        <v>#DIV/0!</v>
      </c>
      <c r="M14" s="75" t="e">
        <f t="shared" si="5"/>
        <v>#DIV/0!</v>
      </c>
    </row>
    <row r="15" spans="1:13" ht="15.75" thickBot="1" x14ac:dyDescent="0.3">
      <c r="D15" t="e">
        <f t="shared" si="0"/>
        <v>#DIV/0!</v>
      </c>
      <c r="H15" s="76"/>
      <c r="I15" s="77" t="s">
        <v>96</v>
      </c>
      <c r="J15" s="77">
        <f>COUNTIF(D:D,"&gt;"&amp;H14)</f>
        <v>67</v>
      </c>
      <c r="K15" s="77" t="e">
        <f>"Greater than "&amp;TEXT(H14,"0,00%")</f>
        <v>#DIV/0!</v>
      </c>
      <c r="L15" s="78" t="e">
        <f t="shared" si="4"/>
        <v>#DIV/0!</v>
      </c>
      <c r="M15" s="78" t="e">
        <f t="shared" si="5"/>
        <v>#DIV/0!</v>
      </c>
    </row>
    <row r="16" spans="1:13" ht="15.75" thickBot="1" x14ac:dyDescent="0.3">
      <c r="D16" t="e">
        <f t="shared" si="0"/>
        <v>#DIV/0!</v>
      </c>
      <c r="H16" s="79"/>
      <c r="M16" s="80"/>
    </row>
    <row r="17" spans="4:13" x14ac:dyDescent="0.25">
      <c r="D17" t="e">
        <f t="shared" si="0"/>
        <v>#DIV/0!</v>
      </c>
      <c r="H17" s="139" t="s">
        <v>127</v>
      </c>
      <c r="I17" s="140"/>
      <c r="M17" s="80"/>
    </row>
    <row r="18" spans="4:13" x14ac:dyDescent="0.25">
      <c r="D18" t="e">
        <f t="shared" si="0"/>
        <v>#DIV/0!</v>
      </c>
      <c r="H18" s="141"/>
      <c r="I18" s="142"/>
      <c r="M18" s="80"/>
    </row>
    <row r="19" spans="4:13" x14ac:dyDescent="0.25">
      <c r="D19" t="e">
        <f t="shared" si="0"/>
        <v>#DIV/0!</v>
      </c>
      <c r="H19" s="81" t="s">
        <v>97</v>
      </c>
      <c r="I19" s="118" t="e">
        <f>AVERAGE(D:D)</f>
        <v>#DIV/0!</v>
      </c>
      <c r="M19" s="80"/>
    </row>
    <row r="20" spans="4:13" x14ac:dyDescent="0.25">
      <c r="D20" t="e">
        <f t="shared" si="0"/>
        <v>#DIV/0!</v>
      </c>
      <c r="H20" s="81" t="s">
        <v>98</v>
      </c>
      <c r="I20" s="118" t="e">
        <f>_xlfn.STDEV.S(D:D)/SQRT(COUNT(D:D))</f>
        <v>#DIV/0!</v>
      </c>
      <c r="M20" s="80"/>
    </row>
    <row r="21" spans="4:13" x14ac:dyDescent="0.25">
      <c r="D21" t="e">
        <f t="shared" si="0"/>
        <v>#DIV/0!</v>
      </c>
      <c r="H21" s="81" t="s">
        <v>99</v>
      </c>
      <c r="I21" s="118" t="e">
        <f>MEDIAN(D:D)</f>
        <v>#DIV/0!</v>
      </c>
      <c r="M21" s="80"/>
    </row>
    <row r="22" spans="4:13" x14ac:dyDescent="0.25">
      <c r="D22" t="e">
        <f t="shared" si="0"/>
        <v>#DIV/0!</v>
      </c>
      <c r="H22" s="81" t="s">
        <v>100</v>
      </c>
      <c r="I22" s="118" t="e">
        <f>MODE(D:D)</f>
        <v>#DIV/0!</v>
      </c>
      <c r="M22" s="80"/>
    </row>
    <row r="23" spans="4:13" x14ac:dyDescent="0.25">
      <c r="D23" t="e">
        <f t="shared" si="0"/>
        <v>#DIV/0!</v>
      </c>
      <c r="H23" s="81" t="s">
        <v>101</v>
      </c>
      <c r="I23" s="118" t="e">
        <f>_xlfn.STDEV.S(D:D)</f>
        <v>#DIV/0!</v>
      </c>
      <c r="M23" s="80"/>
    </row>
    <row r="24" spans="4:13" x14ac:dyDescent="0.25">
      <c r="D24" t="e">
        <f t="shared" si="0"/>
        <v>#DIV/0!</v>
      </c>
      <c r="H24" s="81" t="s">
        <v>102</v>
      </c>
      <c r="I24" s="118" t="e">
        <f>_xlfn.VAR.S(D:D)</f>
        <v>#DIV/0!</v>
      </c>
      <c r="M24" s="80"/>
    </row>
    <row r="25" spans="4:13" x14ac:dyDescent="0.25">
      <c r="D25" t="e">
        <f t="shared" si="0"/>
        <v>#DIV/0!</v>
      </c>
      <c r="H25" s="81" t="s">
        <v>103</v>
      </c>
      <c r="I25" s="119" t="e">
        <f>KURT(D:D)</f>
        <v>#DIV/0!</v>
      </c>
      <c r="M25" s="80"/>
    </row>
    <row r="26" spans="4:13" x14ac:dyDescent="0.25">
      <c r="D26" t="e">
        <f t="shared" si="0"/>
        <v>#DIV/0!</v>
      </c>
      <c r="H26" s="81" t="s">
        <v>104</v>
      </c>
      <c r="I26" s="119" t="e">
        <f>SKEW(D:D)</f>
        <v>#DIV/0!</v>
      </c>
      <c r="M26" s="80"/>
    </row>
    <row r="27" spans="4:13" x14ac:dyDescent="0.25">
      <c r="D27" t="e">
        <f t="shared" si="0"/>
        <v>#DIV/0!</v>
      </c>
      <c r="H27" s="81" t="s">
        <v>93</v>
      </c>
      <c r="I27" s="118" t="e">
        <f>I29-I28</f>
        <v>#DIV/0!</v>
      </c>
      <c r="M27" s="80"/>
    </row>
    <row r="28" spans="4:13" x14ac:dyDescent="0.25">
      <c r="D28" t="e">
        <f t="shared" si="0"/>
        <v>#DIV/0!</v>
      </c>
      <c r="H28" s="81" t="s">
        <v>105</v>
      </c>
      <c r="I28" s="118" t="e">
        <f>MIN(D:D)</f>
        <v>#DIV/0!</v>
      </c>
      <c r="M28" s="80"/>
    </row>
    <row r="29" spans="4:13" x14ac:dyDescent="0.25">
      <c r="D29" t="e">
        <f t="shared" si="0"/>
        <v>#DIV/0!</v>
      </c>
      <c r="H29" s="81" t="s">
        <v>106</v>
      </c>
      <c r="I29" s="118" t="e">
        <f>MAX(D:D)</f>
        <v>#DIV/0!</v>
      </c>
      <c r="M29" s="80"/>
    </row>
    <row r="30" spans="4:13" x14ac:dyDescent="0.25">
      <c r="D30" t="e">
        <f t="shared" si="0"/>
        <v>#DIV/0!</v>
      </c>
      <c r="H30" s="81" t="s">
        <v>107</v>
      </c>
      <c r="I30" s="119" t="e">
        <f>SUM(D:D)</f>
        <v>#DIV/0!</v>
      </c>
      <c r="M30" s="80"/>
    </row>
    <row r="31" spans="4:13" ht="15.75" thickBot="1" x14ac:dyDescent="0.3">
      <c r="D31" t="e">
        <f t="shared" si="0"/>
        <v>#DIV/0!</v>
      </c>
      <c r="H31" s="82" t="s">
        <v>108</v>
      </c>
      <c r="I31" s="59">
        <f>COUNT(D:D)</f>
        <v>0</v>
      </c>
      <c r="M31" s="80"/>
    </row>
    <row r="32" spans="4:13" ht="15.75" thickBot="1" x14ac:dyDescent="0.3">
      <c r="D32" t="e">
        <f t="shared" si="0"/>
        <v>#DIV/0!</v>
      </c>
      <c r="H32" s="84"/>
      <c r="M32" s="80"/>
    </row>
    <row r="33" spans="4:13" x14ac:dyDescent="0.25">
      <c r="D33" t="e">
        <f t="shared" si="0"/>
        <v>#DIV/0!</v>
      </c>
      <c r="H33" s="85"/>
      <c r="I33" s="86" t="s">
        <v>109</v>
      </c>
      <c r="J33" s="86" t="s">
        <v>108</v>
      </c>
      <c r="K33" s="86" t="s">
        <v>110</v>
      </c>
      <c r="L33" s="87" t="s">
        <v>111</v>
      </c>
      <c r="M33" s="80"/>
    </row>
    <row r="34" spans="4:13" x14ac:dyDescent="0.25">
      <c r="D34" t="e">
        <f t="shared" si="0"/>
        <v>#DIV/0!</v>
      </c>
      <c r="H34" s="88" t="s">
        <v>112</v>
      </c>
      <c r="I34" s="74" t="e">
        <f>AVERAGEIF(D:D,"&gt;0")</f>
        <v>#DIV/0!</v>
      </c>
      <c r="J34" s="72">
        <f>COUNTIF(D:D,"&gt;0")</f>
        <v>0</v>
      </c>
      <c r="K34" s="74" t="e">
        <f>J34/$I$31</f>
        <v>#DIV/0!</v>
      </c>
      <c r="L34" s="75" t="e">
        <f>K34*I34</f>
        <v>#DIV/0!</v>
      </c>
      <c r="M34" s="80"/>
    </row>
    <row r="35" spans="4:13" x14ac:dyDescent="0.25">
      <c r="D35" t="e">
        <f t="shared" si="0"/>
        <v>#DIV/0!</v>
      </c>
      <c r="H35" s="88" t="s">
        <v>113</v>
      </c>
      <c r="I35" s="74" t="e">
        <f>AVERAGEIF(D:D,"&lt;0")</f>
        <v>#DIV/0!</v>
      </c>
      <c r="J35" s="72">
        <f>COUNTIF(D:D,"&lt;0")</f>
        <v>0</v>
      </c>
      <c r="K35" s="74" t="e">
        <f>J35/$I$31</f>
        <v>#DIV/0!</v>
      </c>
      <c r="L35" s="75" t="e">
        <f t="shared" ref="L35:L36" si="6">K35*I35</f>
        <v>#DIV/0!</v>
      </c>
      <c r="M35" s="80"/>
    </row>
    <row r="36" spans="4:13" ht="15.75" thickBot="1" x14ac:dyDescent="0.3">
      <c r="D36" t="e">
        <f t="shared" si="0"/>
        <v>#DIV/0!</v>
      </c>
      <c r="H36" s="89" t="s">
        <v>114</v>
      </c>
      <c r="I36" s="77">
        <v>0</v>
      </c>
      <c r="J36" s="77">
        <f>COUNTIF(D:D,"0")</f>
        <v>0</v>
      </c>
      <c r="K36" s="90" t="e">
        <f>J36/$I$31</f>
        <v>#DIV/0!</v>
      </c>
      <c r="L36" s="78" t="e">
        <f t="shared" si="6"/>
        <v>#DIV/0!</v>
      </c>
      <c r="M36" s="80"/>
    </row>
    <row r="37" spans="4:13" ht="15.75" thickBot="1" x14ac:dyDescent="0.3">
      <c r="D37" t="e">
        <f t="shared" si="0"/>
        <v>#DIV/0!</v>
      </c>
      <c r="H37" s="84"/>
      <c r="I37" s="91"/>
      <c r="J37" s="91"/>
      <c r="K37" s="91"/>
      <c r="L37" s="91"/>
      <c r="M37" s="80"/>
    </row>
    <row r="38" spans="4:13" x14ac:dyDescent="0.25">
      <c r="D38" t="e">
        <f t="shared" si="0"/>
        <v>#DIV/0!</v>
      </c>
      <c r="H38" s="65" t="s">
        <v>115</v>
      </c>
      <c r="I38" s="86" t="s">
        <v>116</v>
      </c>
      <c r="J38" s="86" t="s">
        <v>117</v>
      </c>
      <c r="K38" s="86" t="s">
        <v>118</v>
      </c>
      <c r="L38" s="86" t="s">
        <v>119</v>
      </c>
      <c r="M38" s="87" t="s">
        <v>120</v>
      </c>
    </row>
    <row r="39" spans="4:13" x14ac:dyDescent="0.25">
      <c r="D39" t="e">
        <f t="shared" si="0"/>
        <v>#DIV/0!</v>
      </c>
      <c r="H39" s="92">
        <v>1</v>
      </c>
      <c r="I39" s="74" t="e">
        <f>$I$19+($H39*$I$23)</f>
        <v>#DIV/0!</v>
      </c>
      <c r="J39" s="74" t="e">
        <f>$I$19-($H39*$I$23)</f>
        <v>#DIV/0!</v>
      </c>
      <c r="K39" s="72">
        <f>COUNTIFS(D:D,"&lt;"&amp;I39,D:D,"&gt;"&amp;J39)</f>
        <v>67</v>
      </c>
      <c r="L39" s="74" t="e">
        <f>K39/$I$31</f>
        <v>#DIV/0!</v>
      </c>
      <c r="M39" s="75">
        <v>0.68269999999999997</v>
      </c>
    </row>
    <row r="40" spans="4:13" x14ac:dyDescent="0.25">
      <c r="D40" t="e">
        <f t="shared" si="0"/>
        <v>#DIV/0!</v>
      </c>
      <c r="H40" s="92">
        <v>2</v>
      </c>
      <c r="I40" s="74" t="e">
        <f>$I$19+($H40*$I$23)</f>
        <v>#DIV/0!</v>
      </c>
      <c r="J40" s="74" t="e">
        <f>$I$19-($H40*$I$23)</f>
        <v>#DIV/0!</v>
      </c>
      <c r="K40" s="72">
        <f>COUNTIFS(D:D,"&lt;"&amp;I40,D:D,"&gt;"&amp;J40)</f>
        <v>67</v>
      </c>
      <c r="L40" s="74" t="e">
        <f>K40/$I$31</f>
        <v>#DIV/0!</v>
      </c>
      <c r="M40" s="75">
        <v>0.95450000000000002</v>
      </c>
    </row>
    <row r="41" spans="4:13" x14ac:dyDescent="0.25">
      <c r="D41" t="e">
        <f t="shared" si="0"/>
        <v>#DIV/0!</v>
      </c>
      <c r="H41" s="92">
        <v>3</v>
      </c>
      <c r="I41" s="74" t="e">
        <f>$I$19+($H41*$I$23)</f>
        <v>#DIV/0!</v>
      </c>
      <c r="J41" s="74" t="e">
        <f>$I$19-($H41*$I$23)</f>
        <v>#DIV/0!</v>
      </c>
      <c r="K41" s="72">
        <f>COUNTIFS(D:D,"&lt;"&amp;I41,D:D,"&gt;"&amp;J41)</f>
        <v>67</v>
      </c>
      <c r="L41" s="74" t="e">
        <f>K41/$I$31</f>
        <v>#DIV/0!</v>
      </c>
      <c r="M41" s="93">
        <v>0.99729999999999996</v>
      </c>
    </row>
    <row r="42" spans="4:13" ht="15.75" thickBot="1" x14ac:dyDescent="0.3">
      <c r="D42" t="e">
        <f t="shared" si="0"/>
        <v>#DIV/0!</v>
      </c>
      <c r="H42" s="70"/>
      <c r="M42" s="93"/>
    </row>
    <row r="43" spans="4:13" ht="15.75" thickBot="1" x14ac:dyDescent="0.3">
      <c r="D43" t="e">
        <f t="shared" si="0"/>
        <v>#DIV/0!</v>
      </c>
      <c r="H43" s="143" t="s">
        <v>121</v>
      </c>
      <c r="I43" s="144"/>
      <c r="J43" s="144"/>
      <c r="K43" s="144"/>
      <c r="L43" s="144"/>
      <c r="M43" s="145"/>
    </row>
    <row r="44" spans="4:13" x14ac:dyDescent="0.25">
      <c r="D44" t="e">
        <f t="shared" si="0"/>
        <v>#DIV/0!</v>
      </c>
      <c r="H44" s="94">
        <v>0.01</v>
      </c>
      <c r="I44" s="95" t="e">
        <f t="shared" ref="I44:I58" si="7">_xlfn.PERCENTILE.INC(D:D,H44)</f>
        <v>#DIV/0!</v>
      </c>
      <c r="J44" s="96">
        <v>0.2</v>
      </c>
      <c r="K44" s="95" t="e">
        <f t="shared" ref="K44:K56" si="8">_xlfn.PERCENTILE.INC(D:D,J44)</f>
        <v>#DIV/0!</v>
      </c>
      <c r="L44" s="96">
        <v>0.85</v>
      </c>
      <c r="M44" s="97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98">
        <v>0.02</v>
      </c>
      <c r="I45" s="99" t="e">
        <f t="shared" si="7"/>
        <v>#DIV/0!</v>
      </c>
      <c r="J45" s="100">
        <v>0.25</v>
      </c>
      <c r="K45" s="99" t="e">
        <f t="shared" si="8"/>
        <v>#DIV/0!</v>
      </c>
      <c r="L45" s="100">
        <v>0.86</v>
      </c>
      <c r="M45" s="101" t="e">
        <f t="shared" si="9"/>
        <v>#DIV/0!</v>
      </c>
    </row>
    <row r="46" spans="4:13" x14ac:dyDescent="0.25">
      <c r="D46" t="e">
        <f t="shared" si="0"/>
        <v>#DIV/0!</v>
      </c>
      <c r="H46" s="98">
        <v>0.03</v>
      </c>
      <c r="I46" s="99" t="e">
        <f t="shared" si="7"/>
        <v>#DIV/0!</v>
      </c>
      <c r="J46" s="100">
        <v>0.3</v>
      </c>
      <c r="K46" s="99" t="e">
        <f t="shared" si="8"/>
        <v>#DIV/0!</v>
      </c>
      <c r="L46" s="100">
        <v>0.87</v>
      </c>
      <c r="M46" s="101" t="e">
        <f t="shared" si="9"/>
        <v>#DIV/0!</v>
      </c>
    </row>
    <row r="47" spans="4:13" x14ac:dyDescent="0.25">
      <c r="D47" t="e">
        <f t="shared" si="0"/>
        <v>#DIV/0!</v>
      </c>
      <c r="H47" s="98">
        <v>0.04</v>
      </c>
      <c r="I47" s="99" t="e">
        <f t="shared" si="7"/>
        <v>#DIV/0!</v>
      </c>
      <c r="J47" s="100">
        <v>0.35</v>
      </c>
      <c r="K47" s="99" t="e">
        <f t="shared" si="8"/>
        <v>#DIV/0!</v>
      </c>
      <c r="L47" s="100">
        <v>0.88</v>
      </c>
      <c r="M47" s="101" t="e">
        <f t="shared" si="9"/>
        <v>#DIV/0!</v>
      </c>
    </row>
    <row r="48" spans="4:13" x14ac:dyDescent="0.25">
      <c r="D48" t="e">
        <f t="shared" si="0"/>
        <v>#DIV/0!</v>
      </c>
      <c r="H48" s="98">
        <v>0.05</v>
      </c>
      <c r="I48" s="99" t="e">
        <f t="shared" si="7"/>
        <v>#DIV/0!</v>
      </c>
      <c r="J48" s="100">
        <v>0.4</v>
      </c>
      <c r="K48" s="99" t="e">
        <f t="shared" si="8"/>
        <v>#DIV/0!</v>
      </c>
      <c r="L48" s="100">
        <v>0.89</v>
      </c>
      <c r="M48" s="101" t="e">
        <f t="shared" si="9"/>
        <v>#DIV/0!</v>
      </c>
    </row>
    <row r="49" spans="4:13" x14ac:dyDescent="0.25">
      <c r="D49" t="e">
        <f t="shared" si="0"/>
        <v>#DIV/0!</v>
      </c>
      <c r="H49" s="98">
        <v>0.06</v>
      </c>
      <c r="I49" s="99" t="e">
        <f t="shared" si="7"/>
        <v>#DIV/0!</v>
      </c>
      <c r="J49" s="100">
        <v>0.45</v>
      </c>
      <c r="K49" s="99" t="e">
        <f t="shared" si="8"/>
        <v>#DIV/0!</v>
      </c>
      <c r="L49" s="100">
        <v>0.9</v>
      </c>
      <c r="M49" s="101" t="e">
        <f t="shared" si="9"/>
        <v>#DIV/0!</v>
      </c>
    </row>
    <row r="50" spans="4:13" x14ac:dyDescent="0.25">
      <c r="D50" t="e">
        <f t="shared" si="0"/>
        <v>#DIV/0!</v>
      </c>
      <c r="H50" s="98">
        <v>7.0000000000000007E-2</v>
      </c>
      <c r="I50" s="99" t="e">
        <f t="shared" si="7"/>
        <v>#DIV/0!</v>
      </c>
      <c r="J50" s="100">
        <v>0.5</v>
      </c>
      <c r="K50" s="99" t="e">
        <f t="shared" si="8"/>
        <v>#DIV/0!</v>
      </c>
      <c r="L50" s="100">
        <v>0.91</v>
      </c>
      <c r="M50" s="101" t="e">
        <f t="shared" si="9"/>
        <v>#DIV/0!</v>
      </c>
    </row>
    <row r="51" spans="4:13" x14ac:dyDescent="0.25">
      <c r="D51" t="e">
        <f t="shared" si="0"/>
        <v>#DIV/0!</v>
      </c>
      <c r="H51" s="98">
        <v>0.08</v>
      </c>
      <c r="I51" s="99" t="e">
        <f t="shared" si="7"/>
        <v>#DIV/0!</v>
      </c>
      <c r="J51" s="100">
        <v>0.55000000000000004</v>
      </c>
      <c r="K51" s="99" t="e">
        <f t="shared" si="8"/>
        <v>#DIV/0!</v>
      </c>
      <c r="L51" s="100">
        <v>0.92</v>
      </c>
      <c r="M51" s="101" t="e">
        <f t="shared" si="9"/>
        <v>#DIV/0!</v>
      </c>
    </row>
    <row r="52" spans="4:13" x14ac:dyDescent="0.25">
      <c r="D52" t="e">
        <f t="shared" si="0"/>
        <v>#DIV/0!</v>
      </c>
      <c r="H52" s="98">
        <v>0.09</v>
      </c>
      <c r="I52" s="99" t="e">
        <f t="shared" si="7"/>
        <v>#DIV/0!</v>
      </c>
      <c r="J52" s="100">
        <v>0.6</v>
      </c>
      <c r="K52" s="99" t="e">
        <f t="shared" si="8"/>
        <v>#DIV/0!</v>
      </c>
      <c r="L52" s="100">
        <v>0.93</v>
      </c>
      <c r="M52" s="101" t="e">
        <f t="shared" si="9"/>
        <v>#DIV/0!</v>
      </c>
    </row>
    <row r="53" spans="4:13" x14ac:dyDescent="0.25">
      <c r="D53" t="e">
        <f t="shared" si="0"/>
        <v>#DIV/0!</v>
      </c>
      <c r="H53" s="98">
        <v>0.1</v>
      </c>
      <c r="I53" s="99" t="e">
        <f t="shared" si="7"/>
        <v>#DIV/0!</v>
      </c>
      <c r="J53" s="100">
        <v>0.65</v>
      </c>
      <c r="K53" s="99" t="e">
        <f t="shared" si="8"/>
        <v>#DIV/0!</v>
      </c>
      <c r="L53" s="100">
        <v>0.94</v>
      </c>
      <c r="M53" s="101" t="e">
        <f t="shared" si="9"/>
        <v>#DIV/0!</v>
      </c>
    </row>
    <row r="54" spans="4:13" x14ac:dyDescent="0.25">
      <c r="D54" t="e">
        <f t="shared" si="0"/>
        <v>#DIV/0!</v>
      </c>
      <c r="H54" s="98">
        <v>0.11</v>
      </c>
      <c r="I54" s="99" t="e">
        <f t="shared" si="7"/>
        <v>#DIV/0!</v>
      </c>
      <c r="J54" s="100">
        <v>0.7</v>
      </c>
      <c r="K54" s="99" t="e">
        <f t="shared" si="8"/>
        <v>#DIV/0!</v>
      </c>
      <c r="L54" s="100">
        <v>0.95</v>
      </c>
      <c r="M54" s="101" t="e">
        <f t="shared" si="9"/>
        <v>#DIV/0!</v>
      </c>
    </row>
    <row r="55" spans="4:13" x14ac:dyDescent="0.25">
      <c r="D55" t="e">
        <f t="shared" si="0"/>
        <v>#DIV/0!</v>
      </c>
      <c r="H55" s="98">
        <v>0.12</v>
      </c>
      <c r="I55" s="99" t="e">
        <f t="shared" si="7"/>
        <v>#DIV/0!</v>
      </c>
      <c r="J55" s="100">
        <v>0.75</v>
      </c>
      <c r="K55" s="99" t="e">
        <f t="shared" si="8"/>
        <v>#DIV/0!</v>
      </c>
      <c r="L55" s="100">
        <v>0.96</v>
      </c>
      <c r="M55" s="101" t="e">
        <f t="shared" si="9"/>
        <v>#DIV/0!</v>
      </c>
    </row>
    <row r="56" spans="4:13" x14ac:dyDescent="0.25">
      <c r="D56" t="e">
        <f t="shared" si="0"/>
        <v>#DIV/0!</v>
      </c>
      <c r="H56" s="98">
        <v>0.13</v>
      </c>
      <c r="I56" s="99" t="e">
        <f t="shared" si="7"/>
        <v>#DIV/0!</v>
      </c>
      <c r="J56" s="100">
        <v>0.8</v>
      </c>
      <c r="K56" s="99" t="e">
        <f t="shared" si="8"/>
        <v>#DIV/0!</v>
      </c>
      <c r="L56" s="100">
        <v>0.97</v>
      </c>
      <c r="M56" s="101" t="e">
        <f t="shared" si="9"/>
        <v>#DIV/0!</v>
      </c>
    </row>
    <row r="57" spans="4:13" x14ac:dyDescent="0.25">
      <c r="D57" t="e">
        <f t="shared" si="0"/>
        <v>#DIV/0!</v>
      </c>
      <c r="H57" s="98">
        <v>0.14000000000000001</v>
      </c>
      <c r="I57" s="99" t="e">
        <f t="shared" si="7"/>
        <v>#DIV/0!</v>
      </c>
      <c r="J57" s="100"/>
      <c r="K57" s="99"/>
      <c r="L57" s="100">
        <v>0.98</v>
      </c>
      <c r="M57" s="101" t="e">
        <f t="shared" si="9"/>
        <v>#DIV/0!</v>
      </c>
    </row>
    <row r="58" spans="4:13" ht="15.75" thickBot="1" x14ac:dyDescent="0.3">
      <c r="D58" t="e">
        <f t="shared" si="0"/>
        <v>#DIV/0!</v>
      </c>
      <c r="H58" s="102">
        <v>0.15</v>
      </c>
      <c r="I58" s="103" t="e">
        <f t="shared" si="7"/>
        <v>#DIV/0!</v>
      </c>
      <c r="J58" s="104"/>
      <c r="K58" s="83"/>
      <c r="L58" s="105">
        <v>0.99</v>
      </c>
      <c r="M58" s="106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07" t="s">
        <v>122</v>
      </c>
      <c r="I60" s="108"/>
    </row>
    <row r="61" spans="4:13" ht="15.75" thickBot="1" x14ac:dyDescent="0.3">
      <c r="D61" t="e">
        <f t="shared" si="0"/>
        <v>#DIV/0!</v>
      </c>
      <c r="H61" s="109" t="s">
        <v>123</v>
      </c>
      <c r="I61" s="110"/>
    </row>
    <row r="62" spans="4:13" ht="15.75" thickBot="1" x14ac:dyDescent="0.3">
      <c r="D62" t="e">
        <f t="shared" si="0"/>
        <v>#DIV/0!</v>
      </c>
      <c r="H62" s="111"/>
    </row>
    <row r="63" spans="4:13" x14ac:dyDescent="0.25">
      <c r="D63" t="e">
        <f t="shared" si="0"/>
        <v>#DIV/0!</v>
      </c>
      <c r="H63" s="107" t="s">
        <v>124</v>
      </c>
      <c r="I63" s="112"/>
    </row>
    <row r="64" spans="4:13" x14ac:dyDescent="0.25">
      <c r="D64" t="e">
        <f t="shared" si="0"/>
        <v>#DIV/0!</v>
      </c>
      <c r="H64" s="113" t="s">
        <v>125</v>
      </c>
      <c r="I64" s="114">
        <f>I63*(1-I60)</f>
        <v>0</v>
      </c>
    </row>
    <row r="65" spans="4:9" ht="15.75" thickBot="1" x14ac:dyDescent="0.3">
      <c r="D65" t="e">
        <f t="shared" si="0"/>
        <v>#DIV/0!</v>
      </c>
      <c r="H65" s="109" t="s">
        <v>126</v>
      </c>
      <c r="I65" s="115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2024-08-30T13:22:39Z</dcterms:modified>
</cp:coreProperties>
</file>