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imon\Documents\models\Business - Technology Services\"/>
    </mc:Choice>
  </mc:AlternateContent>
  <xr:revisionPtr revIDLastSave="0" documentId="13_ncr:1_{EE184165-E782-48B3-B6C6-8BECD4914A64}" xr6:coauthVersionLast="47" xr6:coauthVersionMax="47" xr10:uidLastSave="{00000000-0000-0000-0000-000000000000}"/>
  <bookViews>
    <workbookView xWindow="-120" yWindow="-120" windowWidth="29040" windowHeight="15720" tabRatio="645"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Model!$B$3</definedName>
    <definedName name="_xlchart.v1.1" hidden="1">Model!$B$4</definedName>
    <definedName name="_xlchart.v1.2" hidden="1">Model!$J$2:$V$2</definedName>
    <definedName name="_xlchart.v1.3" hidden="1">Model!$J$3:$V$3</definedName>
    <definedName name="_xlchart.v1.4" hidden="1">Model!$J$4:$V$4</definedName>
    <definedName name="_xlchart.v1.5" hidden="1">Model!$B$18</definedName>
    <definedName name="_xlchart.v1.6" hidden="1">Model!$B$19</definedName>
    <definedName name="_xlchart.v1.7" hidden="1">Model!$J$18:$V$18</definedName>
    <definedName name="_xlchart.v1.8" hidden="1">Model!$J$19:$V$19</definedName>
    <definedName name="_xlchart.v1.9" hidden="1">Model!$J$2:$V$2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 r="C34" i="1"/>
  <c r="C33" i="1"/>
  <c r="C31" i="1"/>
  <c r="C30" i="1"/>
  <c r="C29" i="1"/>
  <c r="C28" i="1"/>
  <c r="F21" i="2"/>
  <c r="C25" i="1" s="1"/>
  <c r="C24" i="1"/>
  <c r="C22" i="1"/>
  <c r="C23" i="1"/>
  <c r="C21" i="1"/>
  <c r="C20" i="1"/>
  <c r="C17" i="1"/>
  <c r="C15" i="1"/>
  <c r="C14" i="1"/>
  <c r="C13" i="1"/>
  <c r="C9" i="1"/>
  <c r="C7" i="1"/>
  <c r="C32" i="1" s="1"/>
  <c r="H16" i="2"/>
  <c r="G16" i="2"/>
  <c r="O23" i="2"/>
  <c r="P23" i="2"/>
  <c r="Q23" i="2"/>
  <c r="R23" i="2"/>
  <c r="S23" i="2"/>
  <c r="T23" i="2"/>
  <c r="U23" i="2"/>
  <c r="O24" i="2"/>
  <c r="P24" i="2"/>
  <c r="Q24" i="2"/>
  <c r="R24" i="2"/>
  <c r="S24" i="2"/>
  <c r="T24" i="2"/>
  <c r="U24" i="2"/>
  <c r="O25" i="2"/>
  <c r="P25" i="2"/>
  <c r="Q25" i="2"/>
  <c r="R25" i="2"/>
  <c r="S25" i="2"/>
  <c r="T25" i="2"/>
  <c r="U25" i="2"/>
  <c r="N25" i="2"/>
  <c r="N24" i="2"/>
  <c r="N23" i="2"/>
  <c r="Q17" i="2"/>
  <c r="Q15" i="2"/>
  <c r="Q14" i="2"/>
  <c r="Q12" i="2"/>
  <c r="Q10" i="2"/>
  <c r="Q9" i="2"/>
  <c r="Q8" i="2"/>
  <c r="Q7" i="2"/>
  <c r="Q6" i="2"/>
  <c r="Q5" i="2"/>
  <c r="Q3" i="2"/>
  <c r="U17" i="2"/>
  <c r="U15" i="2"/>
  <c r="U14" i="2"/>
  <c r="U12" i="2"/>
  <c r="U10" i="2"/>
  <c r="U9" i="2"/>
  <c r="U8" i="2"/>
  <c r="U7" i="2"/>
  <c r="U6" i="2"/>
  <c r="U5" i="2"/>
  <c r="U3" i="2"/>
  <c r="R15" i="2"/>
  <c r="Q54" i="2"/>
  <c r="Q53" i="2"/>
  <c r="Q52" i="2"/>
  <c r="Q50" i="2"/>
  <c r="Q49" i="2"/>
  <c r="Q48" i="2"/>
  <c r="Q47" i="2"/>
  <c r="Q46" i="2"/>
  <c r="Q44" i="2"/>
  <c r="Q43" i="2"/>
  <c r="Q42" i="2"/>
  <c r="Q41" i="2"/>
  <c r="Q40" i="2"/>
  <c r="Q39" i="2"/>
  <c r="Q38" i="2"/>
  <c r="Q36" i="2"/>
  <c r="Q35" i="2"/>
  <c r="Q34" i="2"/>
  <c r="Q33" i="2"/>
  <c r="Q32" i="2"/>
  <c r="Q30" i="2" s="1"/>
  <c r="Q31" i="2"/>
  <c r="S15" i="2"/>
  <c r="P15" i="2"/>
  <c r="M18" i="2"/>
  <c r="L18" i="2"/>
  <c r="K18" i="2"/>
  <c r="T18" i="2"/>
  <c r="T15" i="2"/>
  <c r="K30" i="2"/>
  <c r="L30" i="2"/>
  <c r="M30" i="2"/>
  <c r="N30" i="2"/>
  <c r="O30" i="2"/>
  <c r="P30" i="2"/>
  <c r="R30" i="2"/>
  <c r="S30" i="2"/>
  <c r="T30" i="2"/>
  <c r="U30" i="2"/>
  <c r="V30" i="2"/>
  <c r="W30" i="2"/>
  <c r="J30" i="2"/>
  <c r="U54" i="2"/>
  <c r="U53" i="2"/>
  <c r="U52" i="2"/>
  <c r="U50" i="2"/>
  <c r="U49" i="2"/>
  <c r="U48" i="2"/>
  <c r="U47" i="2"/>
  <c r="U46" i="2"/>
  <c r="U44" i="2"/>
  <c r="U43" i="2"/>
  <c r="U42" i="2"/>
  <c r="U41" i="2"/>
  <c r="U40" i="2"/>
  <c r="U39" i="2"/>
  <c r="U38" i="2"/>
  <c r="U36" i="2"/>
  <c r="U35" i="2"/>
  <c r="U34" i="2"/>
  <c r="U33" i="2"/>
  <c r="U32" i="2"/>
  <c r="U31" i="2"/>
  <c r="H26" i="2"/>
  <c r="G26" i="2"/>
  <c r="H22" i="2"/>
  <c r="F30" i="2"/>
  <c r="D30" i="2"/>
  <c r="C30" i="2"/>
  <c r="E30" i="2"/>
  <c r="F51" i="2"/>
  <c r="F55" i="2" s="1"/>
  <c r="F37" i="2"/>
  <c r="F45" i="2" s="1"/>
  <c r="G22" i="2"/>
  <c r="F22" i="2"/>
  <c r="E15" i="2"/>
  <c r="F15" i="2"/>
  <c r="E23" i="2"/>
  <c r="E25" i="2"/>
  <c r="D25" i="2"/>
  <c r="C25" i="2"/>
  <c r="E24" i="2"/>
  <c r="D24" i="2"/>
  <c r="C24" i="2"/>
  <c r="D23" i="2"/>
  <c r="C23" i="2"/>
  <c r="F25" i="2"/>
  <c r="F24" i="2"/>
  <c r="F23" i="2"/>
  <c r="F20" i="2"/>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F56" i="2"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T11" i="2"/>
  <c r="T13" i="2" s="1"/>
  <c r="T16" i="2" s="1"/>
  <c r="W11" i="2"/>
  <c r="W13" i="2" s="1"/>
  <c r="W16" i="2" s="1"/>
  <c r="K11" i="2"/>
  <c r="K13" i="2" s="1"/>
  <c r="K16" i="2" s="1"/>
  <c r="L11" i="2"/>
  <c r="L13" i="2" s="1"/>
  <c r="L16" i="2" s="1"/>
  <c r="M11" i="2"/>
  <c r="M13" i="2" s="1"/>
  <c r="M16" i="2" s="1"/>
  <c r="N11" i="2"/>
  <c r="N13" i="2" s="1"/>
  <c r="N16" i="2" s="1"/>
  <c r="N18" i="2" s="1"/>
  <c r="O11" i="2"/>
  <c r="O13" i="2" s="1"/>
  <c r="O16" i="2" s="1"/>
  <c r="O18" i="2" s="1"/>
  <c r="P11" i="2"/>
  <c r="P13" i="2" s="1"/>
  <c r="P16" i="2" s="1"/>
  <c r="P18" i="2" s="1"/>
  <c r="Q11" i="2"/>
  <c r="Q13" i="2" s="1"/>
  <c r="Q16" i="2" s="1"/>
  <c r="Q18" i="2" s="1"/>
  <c r="R11" i="2"/>
  <c r="R13" i="2" s="1"/>
  <c r="R16" i="2" s="1"/>
  <c r="R18" i="2" s="1"/>
  <c r="S11" i="2"/>
  <c r="S13" i="2" s="1"/>
  <c r="S16" i="2" s="1"/>
  <c r="S18" i="2" s="1"/>
  <c r="U11" i="2"/>
  <c r="U13" i="2" s="1"/>
  <c r="U16" i="2" s="1"/>
  <c r="U18" i="2" s="1"/>
  <c r="V11" i="2"/>
  <c r="V13" i="2" s="1"/>
  <c r="V16" i="2" s="1"/>
  <c r="J11" i="2"/>
  <c r="J13" i="2" s="1"/>
  <c r="J16" i="2" s="1"/>
  <c r="F11" i="2"/>
  <c r="F13" i="2" s="1"/>
  <c r="F16" i="2" s="1"/>
  <c r="F18" i="2" s="1"/>
  <c r="G11" i="2"/>
  <c r="G13" i="2" s="1"/>
  <c r="C8" i="1" l="1"/>
  <c r="I31" i="5"/>
  <c r="I30" i="5"/>
  <c r="I29" i="5"/>
  <c r="I28" i="5"/>
  <c r="I26" i="5"/>
  <c r="I25" i="5"/>
  <c r="I24" i="5"/>
  <c r="I23" i="5"/>
  <c r="I22" i="5"/>
  <c r="I21" i="5"/>
  <c r="I20" i="5"/>
  <c r="I19" i="5"/>
  <c r="I65" i="5"/>
  <c r="I64" i="5"/>
  <c r="I27" i="5" l="1"/>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1" i="2"/>
  <c r="C13" i="2" s="1"/>
  <c r="C16" i="2" s="1"/>
  <c r="D11" i="2"/>
  <c r="D13" i="2" s="1"/>
  <c r="D16" i="2" s="1"/>
  <c r="E11" i="2"/>
  <c r="E13" i="2" s="1"/>
  <c r="E16" i="2" s="1"/>
  <c r="N20" i="2"/>
  <c r="O20" i="2"/>
  <c r="P20" i="2"/>
  <c r="Q20" i="2"/>
  <c r="R20" i="2"/>
  <c r="S20" i="2"/>
  <c r="T20" i="2"/>
  <c r="U20" i="2"/>
  <c r="R22" i="2"/>
  <c r="S22" i="2"/>
  <c r="T22" i="2"/>
  <c r="U22" i="2"/>
  <c r="V22" i="2"/>
  <c r="W22" i="2"/>
  <c r="J37" i="2"/>
  <c r="J45" i="2" s="1"/>
  <c r="K37" i="2"/>
  <c r="K45" i="2" s="1"/>
  <c r="L37" i="2"/>
  <c r="L45" i="2" s="1"/>
  <c r="M37" i="2"/>
  <c r="M45" i="2" s="1"/>
  <c r="N37" i="2"/>
  <c r="N45" i="2" s="1"/>
  <c r="O37" i="2"/>
  <c r="O45" i="2" s="1"/>
  <c r="P37" i="2"/>
  <c r="P45" i="2" s="1"/>
  <c r="Q37" i="2"/>
  <c r="Q45" i="2" s="1"/>
  <c r="R37" i="2"/>
  <c r="R45" i="2" s="1"/>
  <c r="S37" i="2"/>
  <c r="S45" i="2" s="1"/>
  <c r="T37" i="2"/>
  <c r="T45" i="2" s="1"/>
  <c r="U37" i="2"/>
  <c r="U45" i="2" s="1"/>
  <c r="J51" i="2"/>
  <c r="J55" i="2" s="1"/>
  <c r="K51" i="2"/>
  <c r="K55" i="2" s="1"/>
  <c r="L51" i="2"/>
  <c r="L55" i="2" s="1"/>
  <c r="M51" i="2"/>
  <c r="M55" i="2" s="1"/>
  <c r="N51" i="2"/>
  <c r="N55" i="2" s="1"/>
  <c r="O51" i="2"/>
  <c r="O55" i="2" s="1"/>
  <c r="P51" i="2"/>
  <c r="P55" i="2" s="1"/>
  <c r="Q51" i="2"/>
  <c r="Q55" i="2" s="1"/>
  <c r="R51" i="2"/>
  <c r="R55" i="2" s="1"/>
  <c r="S51" i="2"/>
  <c r="S55" i="2" s="1"/>
  <c r="T51" i="2"/>
  <c r="T55" i="2" s="1"/>
  <c r="U51" i="2"/>
  <c r="U55" i="2" s="1"/>
  <c r="C37" i="2"/>
  <c r="C45" i="2" s="1"/>
  <c r="G21" i="2"/>
  <c r="R56" i="2" l="1"/>
  <c r="S56" i="2"/>
  <c r="K56" i="2"/>
  <c r="J56" i="2"/>
  <c r="Q56" i="2"/>
  <c r="U56" i="2"/>
  <c r="M56" i="2"/>
  <c r="T56" i="2"/>
  <c r="L56" i="2"/>
  <c r="P56" i="2"/>
  <c r="O56" i="2"/>
  <c r="N56" i="2"/>
  <c r="K11" i="5"/>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R21" i="2"/>
  <c r="V26" i="2"/>
  <c r="R26" i="2"/>
  <c r="N21" i="2"/>
  <c r="Q21" i="2"/>
  <c r="U26" i="2"/>
  <c r="U21" i="2"/>
  <c r="T26" i="2"/>
  <c r="T21" i="2"/>
  <c r="S21" i="2"/>
  <c r="S26" i="2"/>
  <c r="P21" i="2"/>
  <c r="O21" i="2"/>
  <c r="D20" i="2"/>
  <c r="C20" i="2"/>
  <c r="E20" i="2"/>
  <c r="E22" i="2"/>
  <c r="E51" i="2"/>
  <c r="E55" i="2" s="1"/>
  <c r="E37" i="2"/>
  <c r="E45" i="2" s="1"/>
  <c r="D22" i="2"/>
  <c r="C51" i="2"/>
  <c r="D37" i="2"/>
  <c r="D45" i="2" s="1"/>
  <c r="E56" i="2" l="1"/>
  <c r="C19" i="1"/>
  <c r="M5" i="5"/>
  <c r="M6" i="5" s="1"/>
  <c r="M7" i="5" s="1"/>
  <c r="M8" i="5" s="1"/>
  <c r="M9" i="5" s="1"/>
  <c r="M10" i="5" s="1"/>
  <c r="M11" i="5" s="1"/>
  <c r="M12" i="5" s="1"/>
  <c r="M13" i="5" s="1"/>
  <c r="M14" i="5" s="1"/>
  <c r="M15" i="5" s="1"/>
  <c r="D51" i="2"/>
  <c r="D55" i="2" s="1"/>
  <c r="D56" i="2" s="1"/>
  <c r="C55" i="2"/>
  <c r="C56" i="2" s="1"/>
  <c r="C18" i="1" l="1"/>
  <c r="C18" i="2"/>
  <c r="E26" i="2"/>
  <c r="E18" i="2"/>
  <c r="F26" i="2" s="1"/>
  <c r="E21" i="2"/>
  <c r="C21" i="2" l="1"/>
  <c r="D26" i="2"/>
  <c r="D18" i="2"/>
  <c r="D21"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<sst xmlns="http://schemas.openxmlformats.org/spreadsheetml/2006/main" count="228" uniqueCount="200">
  <si>
    <t>Price</t>
  </si>
  <si>
    <t>Shares</t>
  </si>
  <si>
    <t>MC</t>
  </si>
  <si>
    <t>CASH</t>
  </si>
  <si>
    <t>DEBT</t>
  </si>
  <si>
    <t>EV</t>
  </si>
  <si>
    <t>Q222</t>
  </si>
  <si>
    <t>Q322</t>
  </si>
  <si>
    <t>Q422</t>
  </si>
  <si>
    <t>Q123</t>
  </si>
  <si>
    <t>Q122</t>
  </si>
  <si>
    <t>FY21</t>
  </si>
  <si>
    <t>FY22</t>
  </si>
  <si>
    <t>FY23</t>
  </si>
  <si>
    <t>Revenue</t>
  </si>
  <si>
    <t>EBITDA</t>
  </si>
  <si>
    <t>Income Tax</t>
  </si>
  <si>
    <t>Net Income</t>
  </si>
  <si>
    <t>EPS</t>
  </si>
  <si>
    <t>Operational Income</t>
  </si>
  <si>
    <t>Cash</t>
  </si>
  <si>
    <t>AR</t>
  </si>
  <si>
    <t>Other</t>
  </si>
  <si>
    <t>Total Assets</t>
  </si>
  <si>
    <t>Total Liablities</t>
  </si>
  <si>
    <t>AP</t>
  </si>
  <si>
    <t>Gross Margin</t>
  </si>
  <si>
    <t>Net Margin</t>
  </si>
  <si>
    <t>Revenue y/y</t>
  </si>
  <si>
    <t>FY24</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</si>
  <si>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</si>
  <si>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</si>
  <si>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</si>
  <si>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</si>
  <si>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</si>
  <si>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</si>
  <si>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</si>
  <si>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</si>
  <si>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</si>
  <si>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</si>
  <si>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</si>
  <si>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</si>
  <si>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</si>
  <si>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</si>
  <si>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</si>
  <si>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</si>
  <si>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</si>
  <si>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</si>
  <si>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</si>
  <si>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</si>
  <si>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</si>
  <si>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</si>
  <si>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</si>
  <si>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</si>
  <si>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</si>
  <si>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</si>
  <si>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</si>
  <si>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</si>
  <si>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Operating Lease</t>
  </si>
  <si>
    <t>Q124</t>
  </si>
  <si>
    <t>EPS exp.</t>
  </si>
  <si>
    <t>Rev. Exp.</t>
  </si>
  <si>
    <t>Q224</t>
  </si>
  <si>
    <t>FY25</t>
  </si>
  <si>
    <t>PEG1</t>
  </si>
  <si>
    <t>PEG2</t>
  </si>
  <si>
    <t>EBIT</t>
  </si>
  <si>
    <t>EV/EBITDA</t>
  </si>
  <si>
    <t>R&amp;D</t>
  </si>
  <si>
    <t>Notes</t>
  </si>
  <si>
    <t>Prepaid Expense</t>
  </si>
  <si>
    <t>Restricted cash</t>
  </si>
  <si>
    <t>PP&amp;E</t>
  </si>
  <si>
    <t>Equity</t>
  </si>
  <si>
    <t>Inventories</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</si>
  <si>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</si>
  <si>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</si>
  <si>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</si>
  <si>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</si>
  <si>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</si>
  <si>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</si>
  <si>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</si>
  <si>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</si>
  <si>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</si>
  <si>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</si>
  <si>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</si>
  <si>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</si>
  <si>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</si>
  <si>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</si>
  <si>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</si>
  <si>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</si>
  <si>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</si>
  <si>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</si>
  <si>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</si>
  <si>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</si>
  <si>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</si>
  <si>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</si>
  <si>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</si>
  <si>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</si>
  <si>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</si>
  <si>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</si>
  <si>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</si>
  <si>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</si>
  <si>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</si>
  <si>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</si>
  <si>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</si>
  <si>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</si>
  <si>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</si>
  <si>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</si>
  <si>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</si>
  <si>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</si>
  <si>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</si>
  <si>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</si>
  <si>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</si>
  <si>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</si>
  <si>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</si>
  <si>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</si>
  <si>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</si>
  <si>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</si>
  <si>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</si>
  <si>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</si>
  <si>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</si>
  <si>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</si>
  <si>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</si>
  <si>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</si>
  <si>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</si>
  <si>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</si>
  <si>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</si>
  <si>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R&amp;D / REV</t>
  </si>
  <si>
    <t>G&amp;A / REV</t>
  </si>
  <si>
    <t>G&amp;A</t>
  </si>
  <si>
    <t>IOT</t>
  </si>
  <si>
    <t>Mr. Sanjit Biswas</t>
  </si>
  <si>
    <t>Co-Founder, CEO &amp; Chairman</t>
  </si>
  <si>
    <t>Mr. John Bicket</t>
  </si>
  <si>
    <t>Co-Founder, Executive VP, CTO &amp; Director</t>
  </si>
  <si>
    <t>Mr. Dominic Phillips</t>
  </si>
  <si>
    <t>Executive VP &amp; CFO</t>
  </si>
  <si>
    <t>Mr. Adam Eltoukhy</t>
  </si>
  <si>
    <t>Executive VP, Chief Legal Officer &amp; Corporate Secretary</t>
  </si>
  <si>
    <t>Mr. J. Andrew Munk</t>
  </si>
  <si>
    <t>Chief Accounting Officer &amp; Principal Accounting Officer</t>
  </si>
  <si>
    <t>Mr. Stephen Franchetti</t>
  </si>
  <si>
    <t>Chief Information Officer</t>
  </si>
  <si>
    <t>Mr. Mike Chang</t>
  </si>
  <si>
    <t>Vice President of Corporate Development &amp; Investor Relations</t>
  </si>
  <si>
    <t>Mr. Steve Pickle</t>
  </si>
  <si>
    <t>Chief People Officer</t>
  </si>
  <si>
    <t>Mr. Kiren Sekar</t>
  </si>
  <si>
    <t>Executive VP &amp; Chief Product Officer</t>
  </si>
  <si>
    <t>Mr. Benjamin Calderon</t>
  </si>
  <si>
    <t>Executive VP and CTO of Hardware &amp; Operations</t>
  </si>
  <si>
    <t>Samsara Inc. provides solutions that connects physical operations data to its connected operations cloud in the United States and internationally. The company's Connected Operations Cloud includes Data Platform, which ingests, aggregates, and enriches data from its IoT devices and has embedded capabilities for AI, workflows and analytics, alerts, API connections, and data security and privacy. Its applications include video-based safety that enables customers to build a safety program and protect their teams with AI-enabled video; vehicle telematics which provides visibility into real-time vehicle location and diagnostics with GPS tracking, routing and dispatch, fuel efficiency management, electric vehicle usage and charge planning, preventative maintenance, and insights to manage fuel and energy costs; and mobile apps and workflows that improves productivity for frontline workers and enables regulatory compliance for workers to see upcoming jobs, capture electronic documents, perform maintenance inspections, maintain compliance logs, and message with back-office administration.</t>
  </si>
  <si>
    <t>General Catalyst Group Management, LLC</t>
  </si>
  <si>
    <t>14.39%</t>
  </si>
  <si>
    <t>Baillie Gifford and Company</t>
  </si>
  <si>
    <t>10.66%</t>
  </si>
  <si>
    <t>Morgan Stanley</t>
  </si>
  <si>
    <t>7.73%</t>
  </si>
  <si>
    <t>Vanguard Group Inc</t>
  </si>
  <si>
    <t>7.26%</t>
  </si>
  <si>
    <t>Price (T.Rowe) Associates Inc</t>
  </si>
  <si>
    <t>7.06%</t>
  </si>
  <si>
    <t>FMR, LLC</t>
  </si>
  <si>
    <t>4.00%</t>
  </si>
  <si>
    <t>Blackrock Inc.</t>
  </si>
  <si>
    <t>2.17%</t>
  </si>
  <si>
    <t>Ah Capital Management, L.L.C.</t>
  </si>
  <si>
    <t>1.90%</t>
  </si>
  <si>
    <t>Invesco Ltd.</t>
  </si>
  <si>
    <t>1.83%</t>
  </si>
  <si>
    <t>1832 Asset Management L.P.</t>
  </si>
  <si>
    <t>1.80%</t>
  </si>
  <si>
    <t>PHILLIPS DOMINIC CPA</t>
  </si>
  <si>
    <t>CAIMI LARA L</t>
  </si>
  <si>
    <t>CHADWICK JONATHAN C</t>
  </si>
  <si>
    <t>ELTOUKHY ADAM</t>
  </si>
  <si>
    <t>MUNK JAMES ANDREW</t>
  </si>
  <si>
    <t>ARR</t>
  </si>
  <si>
    <t>100k+ ARR Customers</t>
  </si>
  <si>
    <t>Net New ARR $M</t>
  </si>
  <si>
    <t>Q324</t>
  </si>
  <si>
    <t>Q424</t>
  </si>
  <si>
    <t>Q125</t>
  </si>
  <si>
    <t>FY26</t>
  </si>
  <si>
    <t>S&amp;M</t>
  </si>
  <si>
    <t>Lease</t>
  </si>
  <si>
    <t>Legal</t>
  </si>
  <si>
    <t>Interest net</t>
  </si>
  <si>
    <t>Foreign currency + investments</t>
  </si>
  <si>
    <t>S&amp;M / REV</t>
  </si>
  <si>
    <t>Short-term investments</t>
  </si>
  <si>
    <t>Connected device cost</t>
  </si>
  <si>
    <t>Long-term investments</t>
  </si>
  <si>
    <t>Operating lease</t>
  </si>
  <si>
    <t>Deferred commissions</t>
  </si>
  <si>
    <t>Accrued Expense</t>
  </si>
  <si>
    <t>Accrued Compensation</t>
  </si>
  <si>
    <t>Deferred revenue</t>
  </si>
  <si>
    <t>Q225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</si>
</sst>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9" fillId="8" borderId="9" applyNumberFormat="0" applyAlignment="0" applyProtection="0"/>
  </cellStyleXfs>
  <cellXfs count="164">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0" fontId="6" fillId="6" borderId="0" xfId="0" applyFont="1" applyFill="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9" fontId="5" fillId="0" borderId="0" xfId="1" applyFont="1" applyBorder="1"/>
    <xf numFmtId="3" fontId="6" fillId="6" borderId="0" xfId="0" applyNumberFormat="1" applyFont="1" applyFill="1"/>
    <xf numFmtId="0" fontId="0" fillId="3" borderId="7" xfId="0" applyFill="1" applyBorder="1" applyAlignment="1">
      <alignment horizontal="right"/>
    </xf>
    <xf numFmtId="0" fontId="11" fillId="10" borderId="13" xfId="0" applyFont="1" applyFill="1" applyBorder="1"/>
    <xf numFmtId="0" fontId="11" fillId="10" borderId="14" xfId="0" applyFont="1" applyFill="1" applyBorder="1"/>
    <xf numFmtId="0" fontId="11" fillId="10" borderId="15" xfId="0" applyFont="1" applyFill="1" applyBorder="1"/>
    <xf numFmtId="0" fontId="11" fillId="10" borderId="16" xfId="0" applyFont="1" applyFill="1" applyBorder="1"/>
    <xf numFmtId="0" fontId="12" fillId="10" borderId="17" xfId="0" applyFont="1" applyFill="1" applyBorder="1" applyAlignment="1">
      <alignment horizontal="center"/>
    </xf>
    <xf numFmtId="0" fontId="12" fillId="10" borderId="18" xfId="0" applyFont="1" applyFill="1" applyBorder="1" applyAlignment="1">
      <alignment horizontal="center"/>
    </xf>
    <xf numFmtId="0" fontId="11" fillId="10" borderId="19" xfId="0" applyFont="1" applyFill="1" applyBorder="1"/>
    <xf numFmtId="0" fontId="11" fillId="10" borderId="20" xfId="0" applyFont="1" applyFill="1" applyBorder="1"/>
    <xf numFmtId="166" fontId="11" fillId="10" borderId="21" xfId="0" applyNumberFormat="1" applyFont="1" applyFill="1" applyBorder="1"/>
    <xf numFmtId="166" fontId="11" fillId="10" borderId="22" xfId="0" applyNumberFormat="1" applyFont="1" applyFill="1" applyBorder="1"/>
    <xf numFmtId="0" fontId="11" fillId="10" borderId="22" xfId="0" applyFont="1" applyFill="1" applyBorder="1"/>
    <xf numFmtId="10" fontId="11" fillId="10" borderId="22" xfId="0" applyNumberFormat="1" applyFont="1" applyFill="1" applyBorder="1"/>
    <xf numFmtId="10" fontId="11" fillId="10" borderId="23" xfId="0" applyNumberFormat="1" applyFont="1" applyFill="1" applyBorder="1"/>
    <xf numFmtId="166" fontId="11" fillId="10" borderId="24" xfId="0" applyNumberFormat="1" applyFont="1" applyFill="1" applyBorder="1"/>
    <xf numFmtId="166" fontId="11" fillId="10" borderId="25" xfId="0" applyNumberFormat="1" applyFont="1" applyFill="1" applyBorder="1"/>
    <xf numFmtId="0" fontId="11" fillId="10" borderId="25" xfId="0" applyFont="1" applyFill="1" applyBorder="1"/>
    <xf numFmtId="0" fontId="11" fillId="10" borderId="25" xfId="0" quotePrefix="1" applyFont="1" applyFill="1" applyBorder="1"/>
    <xf numFmtId="10" fontId="11" fillId="10" borderId="25" xfId="0" applyNumberFormat="1" applyFont="1" applyFill="1" applyBorder="1"/>
    <xf numFmtId="10" fontId="11" fillId="10" borderId="26" xfId="0" applyNumberFormat="1" applyFont="1" applyFill="1" applyBorder="1"/>
    <xf numFmtId="0" fontId="11" fillId="10" borderId="27" xfId="0" applyFont="1" applyFill="1" applyBorder="1"/>
    <xf numFmtId="0" fontId="11" fillId="10" borderId="28" xfId="0" applyFont="1" applyFill="1" applyBorder="1"/>
    <xf numFmtId="10" fontId="11" fillId="10" borderId="29" xfId="0" applyNumberFormat="1" applyFont="1" applyFill="1" applyBorder="1"/>
    <xf numFmtId="166" fontId="11" fillId="10" borderId="30" xfId="0" applyNumberFormat="1" applyFont="1" applyFill="1" applyBorder="1"/>
    <xf numFmtId="0" fontId="11" fillId="10" borderId="31" xfId="0" applyFont="1" applyFill="1" applyBorder="1"/>
    <xf numFmtId="166" fontId="11" fillId="10" borderId="34" xfId="0" applyNumberFormat="1" applyFont="1" applyFill="1" applyBorder="1"/>
    <xf numFmtId="166" fontId="11" fillId="10" borderId="13" xfId="0" applyNumberFormat="1" applyFont="1" applyFill="1" applyBorder="1"/>
    <xf numFmtId="0" fontId="0" fillId="10" borderId="35" xfId="0" applyFill="1" applyBorder="1"/>
    <xf numFmtId="166" fontId="11" fillId="10" borderId="36" xfId="0" applyNumberFormat="1" applyFont="1" applyFill="1" applyBorder="1"/>
    <xf numFmtId="166" fontId="11" fillId="10" borderId="37" xfId="0" applyNumberFormat="1" applyFont="1" applyFill="1" applyBorder="1"/>
    <xf numFmtId="0" fontId="13" fillId="10" borderId="22" xfId="0" applyFont="1" applyFill="1" applyBorder="1"/>
    <xf numFmtId="0" fontId="13" fillId="10" borderId="23" xfId="0" applyFont="1" applyFill="1" applyBorder="1"/>
    <xf numFmtId="166" fontId="13" fillId="10" borderId="24" xfId="0" applyNumberFormat="1" applyFont="1" applyFill="1" applyBorder="1"/>
    <xf numFmtId="166" fontId="13" fillId="10" borderId="30" xfId="0" applyNumberFormat="1" applyFont="1" applyFill="1" applyBorder="1"/>
    <xf numFmtId="10" fontId="11" fillId="10" borderId="28" xfId="0" applyNumberFormat="1" applyFont="1" applyFill="1" applyBorder="1"/>
    <xf numFmtId="0" fontId="11" fillId="10" borderId="0" xfId="0" applyFont="1" applyFill="1"/>
    <xf numFmtId="1" fontId="11" fillId="10" borderId="24" xfId="0" applyNumberFormat="1" applyFont="1" applyFill="1" applyBorder="1"/>
    <xf numFmtId="10" fontId="11" fillId="10" borderId="38" xfId="0" applyNumberFormat="1" applyFont="1" applyFill="1" applyBorder="1"/>
    <xf numFmtId="9" fontId="13" fillId="10" borderId="39" xfId="0" applyNumberFormat="1" applyFont="1" applyFill="1" applyBorder="1"/>
    <xf numFmtId="10" fontId="0" fillId="10" borderId="41" xfId="0" applyNumberFormat="1" applyFill="1" applyBorder="1" applyAlignment="1">
      <alignment horizontal="centerContinuous"/>
    </xf>
    <xf numFmtId="9" fontId="13" fillId="10" borderId="42" xfId="0" applyNumberFormat="1" applyFont="1" applyFill="1" applyBorder="1"/>
    <xf numFmtId="10" fontId="0" fillId="10" borderId="40" xfId="0" applyNumberFormat="1" applyFill="1" applyBorder="1" applyAlignment="1">
      <alignment horizontal="centerContinuous"/>
    </xf>
    <xf numFmtId="9" fontId="13" fillId="10" borderId="34" xfId="0" applyNumberFormat="1" applyFont="1" applyFill="1" applyBorder="1"/>
    <xf numFmtId="10" fontId="0" fillId="10" borderId="2" xfId="0" applyNumberFormat="1" applyFill="1" applyBorder="1" applyAlignment="1">
      <alignment horizontal="centerContinuous"/>
    </xf>
    <xf numFmtId="9" fontId="13" fillId="10" borderId="1" xfId="0" applyNumberFormat="1" applyFont="1" applyFill="1" applyBorder="1"/>
    <xf numFmtId="10" fontId="0" fillId="10" borderId="31" xfId="0" applyNumberFormat="1" applyFill="1" applyBorder="1" applyAlignment="1">
      <alignment horizontal="centerContinuous"/>
    </xf>
    <xf numFmtId="9" fontId="13" fillId="10" borderId="13" xfId="0" applyNumberFormat="1" applyFont="1" applyFill="1" applyBorder="1"/>
    <xf numFmtId="10" fontId="0" fillId="10" borderId="35" xfId="0" applyNumberFormat="1" applyFill="1" applyBorder="1" applyAlignment="1">
      <alignment horizontal="centerContinuous"/>
    </xf>
    <xf numFmtId="0" fontId="11" fillId="10" borderId="43" xfId="0" applyFont="1" applyFill="1" applyBorder="1"/>
    <xf numFmtId="9" fontId="13" fillId="10" borderId="43" xfId="0" applyNumberFormat="1" applyFont="1" applyFill="1" applyBorder="1"/>
    <xf numFmtId="10" fontId="0" fillId="10" borderId="15" xfId="0" applyNumberFormat="1" applyFill="1" applyBorder="1" applyAlignment="1">
      <alignment horizontal="centerContinuous"/>
    </xf>
    <xf numFmtId="0" fontId="13" fillId="0" borderId="21" xfId="0" applyFont="1" applyBorder="1"/>
    <xf numFmtId="9" fontId="9" fillId="8" borderId="23" xfId="3" applyNumberFormat="1" applyBorder="1"/>
    <xf numFmtId="0" fontId="13" fillId="0" borderId="27" xfId="0" applyFont="1" applyBorder="1"/>
    <xf numFmtId="9" fontId="9" fillId="8" borderId="29" xfId="3" applyNumberFormat="1" applyBorder="1"/>
    <xf numFmtId="0" fontId="11" fillId="0" borderId="0" xfId="0" applyFont="1"/>
    <xf numFmtId="2" fontId="9" fillId="8" borderId="23" xfId="3" applyNumberFormat="1" applyBorder="1"/>
    <xf numFmtId="0" fontId="13"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1" fillId="10" borderId="31" xfId="0" applyNumberFormat="1" applyFont="1" applyFill="1" applyBorder="1"/>
    <xf numFmtId="2" fontId="11" fillId="10" borderId="31" xfId="0" applyNumberFormat="1" applyFont="1" applyFill="1" applyBorder="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0" fillId="9" borderId="10" xfId="0" applyFont="1" applyFill="1" applyBorder="1" applyAlignment="1">
      <alignment horizontal="center"/>
    </xf>
    <xf numFmtId="0" fontId="10" fillId="9" borderId="11" xfId="0" applyFont="1" applyFill="1" applyBorder="1" applyAlignment="1">
      <alignment horizontal="center"/>
    </xf>
    <xf numFmtId="0" fontId="10" fillId="9" borderId="12" xfId="0" applyFont="1" applyFill="1" applyBorder="1" applyAlignment="1">
      <alignment horizontal="center"/>
    </xf>
    <xf numFmtId="166" fontId="11" fillId="10" borderId="32" xfId="0" applyNumberFormat="1" applyFont="1" applyFill="1" applyBorder="1" applyAlignment="1">
      <alignment horizontal="center"/>
    </xf>
    <xf numFmtId="166" fontId="11" fillId="10" borderId="44" xfId="0" applyNumberFormat="1" applyFont="1" applyFill="1" applyBorder="1" applyAlignment="1">
      <alignment horizontal="center"/>
    </xf>
    <xf numFmtId="166" fontId="11" fillId="10" borderId="33" xfId="0" applyNumberFormat="1" applyFont="1" applyFill="1" applyBorder="1" applyAlignment="1">
      <alignment horizontal="center"/>
    </xf>
    <xf numFmtId="166" fontId="11" fillId="10"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10" fontId="0" fillId="0" borderId="0" xfId="1" applyNumberFormat="1" applyFont="1"/>
    <xf numFmtId="0" fontId="0" fillId="0" borderId="0" xfId="0" applyFont="1"/>
    <xf numFmtId="3" fontId="0" fillId="0" borderId="0" xfId="0" applyNumberFormat="1" applyFont="1"/>
    <xf numFmtId="3" fontId="0" fillId="0" borderId="2" xfId="0" applyNumberFormat="1" applyFont="1" applyBorder="1"/>
    <xf numFmtId="0" fontId="0" fillId="0" borderId="0" xfId="0" applyBorder="1"/>
    <xf numFmtId="3" fontId="0" fillId="0" borderId="0" xfId="0" applyNumberFormat="1" applyFont="1" applyBorder="1"/>
    <xf numFmtId="3" fontId="0" fillId="0" borderId="0" xfId="0" applyNumberFormat="1" applyBorder="1"/>
    <xf numFmtId="3" fontId="2" fillId="0" borderId="0" xfId="0" applyNumberFormat="1" applyFont="1" applyBorder="1"/>
    <xf numFmtId="2" fontId="2" fillId="0" borderId="0" xfId="0" applyNumberFormat="1" applyFont="1" applyBorder="1"/>
    <xf numFmtId="9" fontId="0" fillId="0" borderId="0" xfId="0" applyNumberFormat="1" applyBorder="1"/>
    <xf numFmtId="10" fontId="2" fillId="0" borderId="0" xfId="1" applyNumberFormat="1" applyFont="1" applyBorder="1"/>
    <xf numFmtId="0" fontId="5" fillId="0" borderId="0" xfId="0" applyFont="1" applyBorder="1"/>
    <xf numFmtId="0" fontId="2" fillId="0" borderId="0" xfId="0" applyFont="1" applyBorder="1"/>
    <xf numFmtId="3" fontId="5" fillId="0" borderId="0" xfId="0" applyNumberFormat="1" applyFont="1" applyBorder="1"/>
    <xf numFmtId="3" fontId="5" fillId="0" borderId="2" xfId="0" applyNumberFormat="1" applyFont="1" applyBorder="1"/>
    <xf numFmtId="9" fontId="5" fillId="0" borderId="2" xfId="1" applyFont="1" applyFill="1" applyBorder="1"/>
    <xf numFmtId="9" fontId="5" fillId="0" borderId="2" xfId="1" applyFont="1" applyBorder="1"/>
    <xf numFmtId="14" fontId="0" fillId="0" borderId="0" xfId="0" applyNumberFormat="1" applyBorder="1"/>
    <xf numFmtId="3" fontId="5" fillId="0" borderId="2" xfId="0" applyNumberFormat="1" applyFont="1" applyFill="1" applyBorder="1"/>
    <xf numFmtId="0" fontId="0" fillId="6" borderId="0" xfId="0" applyFill="1"/>
    <xf numFmtId="9" fontId="5" fillId="0" borderId="2" xfId="0" applyNumberFormat="1" applyFont="1" applyFill="1" applyBorder="1"/>
    <xf numFmtId="9" fontId="5" fillId="0" borderId="0" xfId="0" applyNumberFormat="1" applyFont="1" applyFill="1"/>
    <xf numFmtId="2" fontId="2" fillId="0" borderId="0" xfId="0" applyNumberFormat="1" applyFont="1" applyFill="1" applyBorder="1"/>
    <xf numFmtId="2" fontId="6" fillId="0" borderId="2" xfId="0" applyNumberFormat="1" applyFont="1" applyFill="1" applyBorder="1"/>
    <xf numFmtId="0" fontId="2" fillId="6" borderId="0" xfId="0" applyFont="1" applyFill="1"/>
    <xf numFmtId="9" fontId="5" fillId="0" borderId="0" xfId="1" applyFont="1" applyFill="1"/>
    <xf numFmtId="2" fontId="2" fillId="0" borderId="2" xfId="0" applyNumberFormat="1" applyFont="1" applyFill="1" applyBorder="1"/>
    <xf numFmtId="0" fontId="6" fillId="0" borderId="0" xfId="0" applyFont="1" applyFill="1"/>
    <xf numFmtId="3" fontId="0" fillId="6" borderId="0" xfId="0" applyNumberFormat="1" applyFill="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c:v>
                </c:pt>
              </c:strCache>
            </c:strRef>
          </c:tx>
          <c:spPr>
            <a:solidFill>
              <a:schemeClr val="accent2"/>
            </a:solidFill>
            <a:ln>
              <a:noFill/>
            </a:ln>
            <a:effectLst/>
          </c:spPr>
          <c:invertIfNegative val="0"/>
          <c:dPt>
            <c:idx val="7"/>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8"/>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Pt>
            <c:idx val="9"/>
            <c:invertIfNegative val="0"/>
            <c:bubble3D val="0"/>
            <c:spPr>
              <a:solidFill>
                <a:schemeClr val="bg1">
                  <a:lumMod val="85000"/>
                </a:schemeClr>
              </a:solidFill>
              <a:ln>
                <a:noFill/>
              </a:ln>
              <a:effectLst/>
            </c:spPr>
            <c:extLst>
              <c:ext xmlns:c16="http://schemas.microsoft.com/office/drawing/2014/chart" uri="{C3380CC4-5D6E-409C-BE32-E72D297353CC}">
                <c16:uniqueId val="{00000004-E786-4A62-AD79-75E2F16A735C}"/>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Model!$J$2:$W$2</c15:sqref>
                  </c15:fullRef>
                </c:ext>
              </c:extLst>
              <c:f>Model!$N$2:$W$2</c:f>
              <c:strCache>
                <c:ptCount val="10"/>
                <c:pt idx="0">
                  <c:v>Q123</c:v>
                </c:pt>
                <c:pt idx="1">
                  <c:v>Q223</c:v>
                </c:pt>
                <c:pt idx="2">
                  <c:v>Q323</c:v>
                </c:pt>
                <c:pt idx="3">
                  <c:v>Q423</c:v>
                </c:pt>
                <c:pt idx="4">
                  <c:v>Q124</c:v>
                </c:pt>
                <c:pt idx="5">
                  <c:v>Q224</c:v>
                </c:pt>
                <c:pt idx="6">
                  <c:v>Q324</c:v>
                </c:pt>
                <c:pt idx="7">
                  <c:v>Q424</c:v>
                </c:pt>
                <c:pt idx="8">
                  <c:v>Q125</c:v>
                </c:pt>
                <c:pt idx="9">
                  <c:v>Q225</c:v>
                </c:pt>
              </c:strCache>
            </c:strRef>
          </c:cat>
          <c:val>
            <c:numRef>
              <c:extLst>
                <c:ext xmlns:c15="http://schemas.microsoft.com/office/drawing/2012/chart" uri="{02D57815-91ED-43cb-92C2-25804820EDAC}">
                  <c15:fullRef>
                    <c15:sqref>Model!$J$3:$W$3</c15:sqref>
                  </c15:fullRef>
                </c:ext>
              </c:extLst>
              <c:f>Model!$N$3:$W$3</c:f>
              <c:numCache>
                <c:formatCode>#,##0</c:formatCode>
                <c:ptCount val="10"/>
                <c:pt idx="0">
                  <c:v>142.64500000000001</c:v>
                </c:pt>
                <c:pt idx="1">
                  <c:v>153.523</c:v>
                </c:pt>
                <c:pt idx="2">
                  <c:v>169.8</c:v>
                </c:pt>
                <c:pt idx="3">
                  <c:v>186.57699999999997</c:v>
                </c:pt>
                <c:pt idx="4">
                  <c:v>204.32</c:v>
                </c:pt>
                <c:pt idx="5">
                  <c:v>219.25700000000001</c:v>
                </c:pt>
                <c:pt idx="6">
                  <c:v>237.53399999999999</c:v>
                </c:pt>
                <c:pt idx="7">
                  <c:v>276.274</c:v>
                </c:pt>
                <c:pt idx="8">
                  <c:v>272.43</c:v>
                </c:pt>
                <c:pt idx="9">
                  <c:v>287.25</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Model!$B$22</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500%</c:v>
              </c:pt>
              <c:pt idx="1">
                <c:v>600%</c:v>
              </c:pt>
              <c:pt idx="2">
                <c:v>700%</c:v>
              </c:pt>
              <c:pt idx="3">
                <c:v>800%</c:v>
              </c:pt>
              <c:pt idx="4">
                <c:v>900%</c:v>
              </c:pt>
              <c:pt idx="5">
                <c:v>1000%</c:v>
              </c:pt>
              <c:pt idx="6">
                <c:v>1100%</c:v>
              </c:pt>
              <c:pt idx="7">
                <c:v>1200%</c:v>
              </c:pt>
              <c:pt idx="8">
                <c:v>1300%</c:v>
              </c:pt>
              <c:pt idx="9">
                <c:v>1400%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Model!$J$22:$W$22</c15:sqref>
                  </c15:fullRef>
                </c:ext>
              </c:extLst>
              <c:f>Model!$N$22:$W$22</c:f>
              <c:numCache>
                <c:formatCode>0%</c:formatCode>
                <c:ptCount val="10"/>
                <c:pt idx="4">
                  <c:v>0.4323670650916609</c:v>
                </c:pt>
                <c:pt idx="5">
                  <c:v>0.42817037186610474</c:v>
                </c:pt>
                <c:pt idx="6">
                  <c:v>0.39890459363957587</c:v>
                </c:pt>
                <c:pt idx="7">
                  <c:v>0.48075057482969519</c:v>
                </c:pt>
                <c:pt idx="8">
                  <c:v>0.33334964761158981</c:v>
                </c:pt>
                <c:pt idx="9">
                  <c:v>0.3101064048126172</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c:v>
                </c:pt>
              </c:strCache>
            </c:strRef>
          </c:tx>
          <c:spPr>
            <a:solidFill>
              <a:schemeClr val="accent2"/>
            </a:solidFill>
            <a:ln>
              <a:noFill/>
            </a:ln>
            <a:effectLst/>
          </c:spPr>
          <c:invertIfNegative val="0"/>
          <c:dPt>
            <c:idx val="2"/>
            <c:invertIfNegative val="0"/>
            <c:bubble3D val="0"/>
            <c:spPr>
              <a:solidFill>
                <a:schemeClr val="accent2"/>
              </a:solidFill>
              <a:ln>
                <a:noFill/>
              </a:ln>
              <a:effectLst/>
            </c:spPr>
          </c:dPt>
          <c:dPt>
            <c:idx val="3"/>
            <c:invertIfNegative val="0"/>
            <c:bubble3D val="0"/>
            <c:spPr>
              <a:solidFill>
                <a:schemeClr val="accent2"/>
              </a:solidFill>
              <a:ln>
                <a:noFill/>
              </a:ln>
              <a:effectLst/>
            </c:spPr>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1">
                  <a:lumMod val="85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FY21</c:v>
                </c:pt>
                <c:pt idx="1">
                  <c:v>FY22</c:v>
                </c:pt>
                <c:pt idx="2">
                  <c:v>FY23</c:v>
                </c:pt>
                <c:pt idx="3">
                  <c:v>FY24</c:v>
                </c:pt>
                <c:pt idx="4">
                  <c:v>FY25</c:v>
                </c:pt>
                <c:pt idx="5">
                  <c:v>FY26</c:v>
                </c:pt>
              </c:strCache>
            </c:strRef>
          </c:cat>
          <c:val>
            <c:numRef>
              <c:f>Model!$C$3:$H$3</c:f>
              <c:numCache>
                <c:formatCode>#,##0</c:formatCode>
                <c:ptCount val="6"/>
                <c:pt idx="0">
                  <c:v>249.905</c:v>
                </c:pt>
                <c:pt idx="1">
                  <c:v>428.34500000000003</c:v>
                </c:pt>
                <c:pt idx="2">
                  <c:v>652.54499999999996</c:v>
                </c:pt>
                <c:pt idx="3">
                  <c:v>937.38499999999999</c:v>
                </c:pt>
                <c:pt idx="4">
                  <c:v>1200</c:v>
                </c:pt>
                <c:pt idx="5" formatCode="General">
                  <c:v>1500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Model!$B$22</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Model!$C$22:$H$22</c:f>
              <c:numCache>
                <c:formatCode>0%</c:formatCode>
                <c:ptCount val="6"/>
                <c:pt idx="1">
                  <c:v>0.71403133190612444</c:v>
                </c:pt>
                <c:pt idx="2">
                  <c:v>0.52340986821370605</c:v>
                </c:pt>
                <c:pt idx="3">
                  <c:v>0.43650629458504775</c:v>
                </c:pt>
                <c:pt idx="4">
                  <c:v>0.28015703259599856</c:v>
                </c:pt>
                <c:pt idx="5">
                  <c:v>0.25</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Model!$B$16</c:f>
              <c:strCache>
                <c:ptCount val="1"/>
                <c:pt idx="0">
                  <c:v>Net Income</c:v>
                </c:pt>
              </c:strCache>
            </c:strRef>
          </c:tx>
          <c:spPr>
            <a:solidFill>
              <a:schemeClr val="accent1"/>
            </a:solidFill>
            <a:ln>
              <a:noFill/>
            </a:ln>
            <a:effectLst/>
          </c:spPr>
          <c:invertIfNegative val="0"/>
          <c:dPt>
            <c:idx val="7"/>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8"/>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Pt>
            <c:idx val="9"/>
            <c:invertIfNegative val="0"/>
            <c:bubble3D val="0"/>
            <c:spPr>
              <a:solidFill>
                <a:schemeClr val="bg1">
                  <a:lumMod val="85000"/>
                </a:schemeClr>
              </a:solidFill>
              <a:ln>
                <a:noFill/>
              </a:ln>
              <a:effectLst/>
            </c:spPr>
            <c:extLst>
              <c:ext xmlns:c16="http://schemas.microsoft.com/office/drawing/2014/chart" uri="{C3380CC4-5D6E-409C-BE32-E72D297353CC}">
                <c16:uniqueId val="{00000004-4927-4CB9-86A9-46A08C2472AF}"/>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Model!$J$2:$W$2</c15:sqref>
                  </c15:fullRef>
                </c:ext>
              </c:extLst>
              <c:f>Model!$N$2:$W$2</c:f>
              <c:strCache>
                <c:ptCount val="10"/>
                <c:pt idx="0">
                  <c:v>Q123</c:v>
                </c:pt>
                <c:pt idx="1">
                  <c:v>Q223</c:v>
                </c:pt>
                <c:pt idx="2">
                  <c:v>Q323</c:v>
                </c:pt>
                <c:pt idx="3">
                  <c:v>Q423</c:v>
                </c:pt>
                <c:pt idx="4">
                  <c:v>Q124</c:v>
                </c:pt>
                <c:pt idx="5">
                  <c:v>Q224</c:v>
                </c:pt>
                <c:pt idx="6">
                  <c:v>Q324</c:v>
                </c:pt>
                <c:pt idx="7">
                  <c:v>Q424</c:v>
                </c:pt>
                <c:pt idx="8">
                  <c:v>Q125</c:v>
                </c:pt>
                <c:pt idx="9">
                  <c:v>Q225</c:v>
                </c:pt>
              </c:strCache>
            </c:strRef>
          </c:cat>
          <c:val>
            <c:numRef>
              <c:extLst>
                <c:ext xmlns:c15="http://schemas.microsoft.com/office/drawing/2012/chart" uri="{02D57815-91ED-43cb-92C2-25804820EDAC}">
                  <c15:fullRef>
                    <c15:sqref>Model!$J$16:$W$16</c15:sqref>
                  </c15:fullRef>
                </c:ext>
              </c:extLst>
              <c:f>Model!$N$16:$W$16</c:f>
              <c:numCache>
                <c:formatCode>#,##0</c:formatCode>
                <c:ptCount val="10"/>
                <c:pt idx="0">
                  <c:v>-70.810000000000016</c:v>
                </c:pt>
                <c:pt idx="1">
                  <c:v>-64.358000000000018</c:v>
                </c:pt>
                <c:pt idx="2">
                  <c:v>-59.543999999999997</c:v>
                </c:pt>
                <c:pt idx="3">
                  <c:v>-52.15400000000011</c:v>
                </c:pt>
                <c:pt idx="4">
                  <c:v>-68.810000000000016</c:v>
                </c:pt>
                <c:pt idx="5">
                  <c:v>-59.362999999999964</c:v>
                </c:pt>
                <c:pt idx="6">
                  <c:v>-45.968999999999994</c:v>
                </c:pt>
                <c:pt idx="7">
                  <c:v>-114.85200000000012</c:v>
                </c:pt>
                <c:pt idx="8">
                  <c:v>272.43</c:v>
                </c:pt>
                <c:pt idx="9">
                  <c:v>287.25</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Model!$B$20</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500%</c:v>
              </c:pt>
              <c:pt idx="1">
                <c:v>600%</c:v>
              </c:pt>
              <c:pt idx="2">
                <c:v>700%</c:v>
              </c:pt>
              <c:pt idx="3">
                <c:v>800%</c:v>
              </c:pt>
              <c:pt idx="4">
                <c:v>900%</c:v>
              </c:pt>
              <c:pt idx="5">
                <c:v>1000%</c:v>
              </c:pt>
              <c:pt idx="6">
                <c:v>1100%</c:v>
              </c:pt>
              <c:pt idx="7">
                <c:v>1200%</c:v>
              </c:pt>
              <c:pt idx="8">
                <c:v>1300%</c:v>
              </c:pt>
              <c:pt idx="9">
                <c:v>1400%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Model!$J$20:$W$20</c15:sqref>
                  </c15:fullRef>
                </c:ext>
              </c:extLst>
              <c:f>Model!$N$20:$W$20</c:f>
              <c:numCache>
                <c:formatCode>0%</c:formatCode>
                <c:ptCount val="10"/>
                <c:pt idx="0">
                  <c:v>0.72226155841424511</c:v>
                </c:pt>
                <c:pt idx="1">
                  <c:v>0.71172397621203332</c:v>
                </c:pt>
                <c:pt idx="2">
                  <c:v>0.72171378091872795</c:v>
                </c:pt>
                <c:pt idx="3">
                  <c:v>0.7238244799734157</c:v>
                </c:pt>
                <c:pt idx="4">
                  <c:v>0.71829972592012525</c:v>
                </c:pt>
                <c:pt idx="5">
                  <c:v>0.73152054438398773</c:v>
                </c:pt>
                <c:pt idx="6">
                  <c:v>0.74073185312418433</c:v>
                </c:pt>
                <c:pt idx="7">
                  <c:v>0.75016107197926696</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Model!$B$16</c:f>
              <c:strCache>
                <c:ptCount val="1"/>
                <c:pt idx="0">
                  <c:v>Net Income</c:v>
                </c:pt>
              </c:strCache>
            </c:strRef>
          </c:tx>
          <c:spPr>
            <a:solidFill>
              <a:schemeClr val="accent1"/>
            </a:solidFill>
            <a:ln>
              <a:noFill/>
            </a:ln>
            <a:effectLst/>
          </c:spPr>
          <c:invertIfNegative val="0"/>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1-65E1-4BD5-8AAB-7B9775C35213}"/>
              </c:ext>
            </c:extLst>
          </c:dPt>
          <c:dPt>
            <c:idx val="5"/>
            <c:invertIfNegative val="0"/>
            <c:bubble3D val="0"/>
            <c:spPr>
              <a:solidFill>
                <a:schemeClr val="bg1">
                  <a:lumMod val="85000"/>
                </a:schemeClr>
              </a:solidFill>
              <a:ln>
                <a:noFill/>
              </a:ln>
              <a:effectLst/>
            </c:spPr>
            <c:extLst>
              <c:ext xmlns:c16="http://schemas.microsoft.com/office/drawing/2014/chart" uri="{C3380CC4-5D6E-409C-BE32-E72D297353CC}">
                <c16:uniqueId val="{00000000-65E1-4BD5-8AAB-7B9775C35213}"/>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FY21</c:v>
                </c:pt>
                <c:pt idx="1">
                  <c:v>FY22</c:v>
                </c:pt>
                <c:pt idx="2">
                  <c:v>FY23</c:v>
                </c:pt>
                <c:pt idx="3">
                  <c:v>FY24</c:v>
                </c:pt>
                <c:pt idx="4">
                  <c:v>FY25</c:v>
                </c:pt>
                <c:pt idx="5">
                  <c:v>FY26</c:v>
                </c:pt>
              </c:strCache>
            </c:strRef>
          </c:cat>
          <c:val>
            <c:numRef>
              <c:f>Model!$C$16:$H$16</c:f>
              <c:numCache>
                <c:formatCode>#,##0</c:formatCode>
                <c:ptCount val="6"/>
                <c:pt idx="0">
                  <c:v>-210.208</c:v>
                </c:pt>
                <c:pt idx="1">
                  <c:v>-354.92799999999994</c:v>
                </c:pt>
                <c:pt idx="2">
                  <c:v>-246.86600000000016</c:v>
                </c:pt>
                <c:pt idx="3">
                  <c:v>-288.99399999999997</c:v>
                </c:pt>
                <c:pt idx="4">
                  <c:v>64.185420120000003</c:v>
                </c:pt>
                <c:pt idx="5">
                  <c:v>117.67327022000001</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Model!$B$26</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Model!$C$26:$H$26</c:f>
              <c:numCache>
                <c:formatCode>0%</c:formatCode>
                <c:ptCount val="6"/>
                <c:pt idx="1">
                  <c:v>0.6884609529608765</c:v>
                </c:pt>
                <c:pt idx="2">
                  <c:v>-0.30446174998872955</c:v>
                </c:pt>
                <c:pt idx="3">
                  <c:v>0.12556709620390638</c:v>
                </c:pt>
                <c:pt idx="4">
                  <c:v>-1.2220994903700424</c:v>
                </c:pt>
                <c:pt idx="5">
                  <c:v>0.83333333333333348</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Model!$B$23</c:f>
              <c:strCache>
                <c:ptCount val="1"/>
                <c:pt idx="0">
                  <c:v>R&amp;D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Model!$J$2:$W$2</c15:sqref>
                  </c15:fullRef>
                </c:ext>
              </c:extLst>
              <c:f>Model!$N$2:$W$2</c:f>
              <c:strCache>
                <c:ptCount val="10"/>
                <c:pt idx="0">
                  <c:v>Q123</c:v>
                </c:pt>
                <c:pt idx="1">
                  <c:v>Q223</c:v>
                </c:pt>
                <c:pt idx="2">
                  <c:v>Q323</c:v>
                </c:pt>
                <c:pt idx="3">
                  <c:v>Q423</c:v>
                </c:pt>
                <c:pt idx="4">
                  <c:v>Q124</c:v>
                </c:pt>
                <c:pt idx="5">
                  <c:v>Q224</c:v>
                </c:pt>
                <c:pt idx="6">
                  <c:v>Q324</c:v>
                </c:pt>
                <c:pt idx="7">
                  <c:v>Q424</c:v>
                </c:pt>
                <c:pt idx="8">
                  <c:v>Q125</c:v>
                </c:pt>
                <c:pt idx="9">
                  <c:v>Q225</c:v>
                </c:pt>
              </c:strCache>
            </c:strRef>
          </c:cat>
          <c:val>
            <c:numRef>
              <c:extLst>
                <c:ext xmlns:c15="http://schemas.microsoft.com/office/drawing/2012/chart" uri="{02D57815-91ED-43cb-92C2-25804820EDAC}">
                  <c15:fullRef>
                    <c15:sqref>Model!$J$23:$W$23</c15:sqref>
                  </c15:fullRef>
                </c:ext>
              </c:extLst>
              <c:f>Model!$N$23:$W$23</c:f>
              <c:numCache>
                <c:formatCode>0%</c:formatCode>
                <c:ptCount val="10"/>
                <c:pt idx="0">
                  <c:v>0.2873216726839356</c:v>
                </c:pt>
                <c:pt idx="1">
                  <c:v>0.27257805019443343</c:v>
                </c:pt>
                <c:pt idx="2">
                  <c:v>0.29428739693757361</c:v>
                </c:pt>
                <c:pt idx="3">
                  <c:v>0.29265665114135186</c:v>
                </c:pt>
                <c:pt idx="4">
                  <c:v>0.29544831636648394</c:v>
                </c:pt>
                <c:pt idx="5">
                  <c:v>0.29175351300072516</c:v>
                </c:pt>
                <c:pt idx="6">
                  <c:v>0.25604755529734691</c:v>
                </c:pt>
                <c:pt idx="7">
                  <c:v>0.26577238538552317</c:v>
                </c:pt>
              </c:numCache>
            </c:numRef>
          </c:val>
          <c:smooth val="0"/>
          <c:extLst>
            <c:ext xmlns:c16="http://schemas.microsoft.com/office/drawing/2014/chart" uri="{C3380CC4-5D6E-409C-BE32-E72D297353CC}">
              <c16:uniqueId val="{00000001-35FE-4BEB-944F-3D772460C6A2}"/>
            </c:ext>
          </c:extLst>
        </c:ser>
        <c:ser>
          <c:idx val="0"/>
          <c:order val="1"/>
          <c:tx>
            <c:strRef>
              <c:f>Model!$B$24</c:f>
              <c:strCache>
                <c:ptCount val="1"/>
                <c:pt idx="0">
                  <c:v>S&amp;M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Model!$J$2:$W$2</c15:sqref>
                  </c15:fullRef>
                </c:ext>
              </c:extLst>
              <c:f>Model!$N$2:$W$2</c:f>
              <c:strCache>
                <c:ptCount val="10"/>
                <c:pt idx="0">
                  <c:v>Q123</c:v>
                </c:pt>
                <c:pt idx="1">
                  <c:v>Q223</c:v>
                </c:pt>
                <c:pt idx="2">
                  <c:v>Q323</c:v>
                </c:pt>
                <c:pt idx="3">
                  <c:v>Q423</c:v>
                </c:pt>
                <c:pt idx="4">
                  <c:v>Q124</c:v>
                </c:pt>
                <c:pt idx="5">
                  <c:v>Q224</c:v>
                </c:pt>
                <c:pt idx="6">
                  <c:v>Q324</c:v>
                </c:pt>
                <c:pt idx="7">
                  <c:v>Q424</c:v>
                </c:pt>
                <c:pt idx="8">
                  <c:v>Q125</c:v>
                </c:pt>
                <c:pt idx="9">
                  <c:v>Q225</c:v>
                </c:pt>
              </c:strCache>
            </c:strRef>
          </c:cat>
          <c:val>
            <c:numRef>
              <c:extLst>
                <c:ext xmlns:c15="http://schemas.microsoft.com/office/drawing/2012/chart" uri="{02D57815-91ED-43cb-92C2-25804820EDAC}">
                  <c15:fullRef>
                    <c15:sqref>Model!$J$24:$W$24</c15:sqref>
                  </c15:fullRef>
                </c:ext>
              </c:extLst>
              <c:f>Model!$N$24:$W$24</c:f>
              <c:numCache>
                <c:formatCode>0%</c:formatCode>
                <c:ptCount val="10"/>
                <c:pt idx="0">
                  <c:v>0.61305338427564926</c:v>
                </c:pt>
                <c:pt idx="1">
                  <c:v>0.59822958123538494</c:v>
                </c:pt>
                <c:pt idx="2">
                  <c:v>0.55392226148409884</c:v>
                </c:pt>
                <c:pt idx="3">
                  <c:v>0.51855802162110043</c:v>
                </c:pt>
                <c:pt idx="4">
                  <c:v>0.5821994909945184</c:v>
                </c:pt>
                <c:pt idx="5">
                  <c:v>0.53776162220590451</c:v>
                </c:pt>
                <c:pt idx="6">
                  <c:v>0.49163488174324521</c:v>
                </c:pt>
                <c:pt idx="7">
                  <c:v>0.48142785785126369</c:v>
                </c:pt>
              </c:numCache>
            </c:numRef>
          </c:val>
          <c:smooth val="0"/>
          <c:extLst>
            <c:ext xmlns:c16="http://schemas.microsoft.com/office/drawing/2014/chart" uri="{C3380CC4-5D6E-409C-BE32-E72D297353CC}">
              <c16:uniqueId val="{00000000-1CAA-4791-8C2B-1B9112E1C867}"/>
            </c:ext>
          </c:extLst>
        </c:ser>
        <c:ser>
          <c:idx val="2"/>
          <c:order val="2"/>
          <c:tx>
            <c:strRef>
              <c:f>Model!$B$25</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Model!$J$2:$W$2</c15:sqref>
                  </c15:fullRef>
                </c:ext>
              </c:extLst>
              <c:f>Model!$N$2:$W$2</c:f>
              <c:strCache>
                <c:ptCount val="10"/>
                <c:pt idx="0">
                  <c:v>Q123</c:v>
                </c:pt>
                <c:pt idx="1">
                  <c:v>Q223</c:v>
                </c:pt>
                <c:pt idx="2">
                  <c:v>Q323</c:v>
                </c:pt>
                <c:pt idx="3">
                  <c:v>Q423</c:v>
                </c:pt>
                <c:pt idx="4">
                  <c:v>Q124</c:v>
                </c:pt>
                <c:pt idx="5">
                  <c:v>Q224</c:v>
                </c:pt>
                <c:pt idx="6">
                  <c:v>Q324</c:v>
                </c:pt>
                <c:pt idx="7">
                  <c:v>Q424</c:v>
                </c:pt>
                <c:pt idx="8">
                  <c:v>Q125</c:v>
                </c:pt>
                <c:pt idx="9">
                  <c:v>Q225</c:v>
                </c:pt>
              </c:strCache>
            </c:strRef>
          </c:cat>
          <c:val>
            <c:numRef>
              <c:extLst>
                <c:ext xmlns:c15="http://schemas.microsoft.com/office/drawing/2012/chart" uri="{02D57815-91ED-43cb-92C2-25804820EDAC}">
                  <c15:fullRef>
                    <c15:sqref>Model!$J$25:$W$25</c15:sqref>
                  </c15:fullRef>
                </c:ext>
              </c:extLst>
              <c:f>Model!$N$25:$W$25</c:f>
              <c:numCache>
                <c:formatCode>0%</c:formatCode>
                <c:ptCount val="10"/>
                <c:pt idx="0">
                  <c:v>0.30664937432086642</c:v>
                </c:pt>
                <c:pt idx="1">
                  <c:v>0.26939937338379266</c:v>
                </c:pt>
                <c:pt idx="2">
                  <c:v>0.24733215547703177</c:v>
                </c:pt>
                <c:pt idx="3">
                  <c:v>0.23414997561328574</c:v>
                </c:pt>
                <c:pt idx="4">
                  <c:v>0.21175606891151136</c:v>
                </c:pt>
                <c:pt idx="5">
                  <c:v>0.22014348458658103</c:v>
                </c:pt>
                <c:pt idx="6">
                  <c:v>0.20356664730101795</c:v>
                </c:pt>
                <c:pt idx="7">
                  <c:v>0.19963876441503733</c:v>
                </c:pt>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Model!$B$23</c:f>
              <c:strCache>
                <c:ptCount val="1"/>
                <c:pt idx="0">
                  <c:v>R&amp;D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FY21</c:v>
                </c:pt>
                <c:pt idx="1">
                  <c:v>FY22</c:v>
                </c:pt>
                <c:pt idx="2">
                  <c:v>FY23</c:v>
                </c:pt>
                <c:pt idx="3">
                  <c:v>FY24</c:v>
                </c:pt>
                <c:pt idx="4">
                  <c:v>FY25</c:v>
                </c:pt>
                <c:pt idx="5">
                  <c:v>FY26</c:v>
                </c:pt>
              </c:strCache>
            </c:strRef>
          </c:cat>
          <c:val>
            <c:numRef>
              <c:f>Model!$C$23:$H$23</c:f>
              <c:numCache>
                <c:formatCode>0%</c:formatCode>
                <c:ptCount val="6"/>
                <c:pt idx="0">
                  <c:v>0.39910365939056841</c:v>
                </c:pt>
                <c:pt idx="1">
                  <c:v>0.47887800721381124</c:v>
                </c:pt>
                <c:pt idx="2">
                  <c:v>0.28719092169888671</c:v>
                </c:pt>
                <c:pt idx="3">
                  <c:v>0.27585357137142158</c:v>
                </c:pt>
              </c:numCache>
            </c:numRef>
          </c:val>
          <c:smooth val="0"/>
          <c:extLst>
            <c:ext xmlns:c16="http://schemas.microsoft.com/office/drawing/2014/chart" uri="{C3380CC4-5D6E-409C-BE32-E72D297353CC}">
              <c16:uniqueId val="{00000000-E79C-46D7-BBD0-0EABFCB1E143}"/>
            </c:ext>
          </c:extLst>
        </c:ser>
        <c:ser>
          <c:idx val="0"/>
          <c:order val="1"/>
          <c:tx>
            <c:strRef>
              <c:f>Model!$B$24</c:f>
              <c:strCache>
                <c:ptCount val="1"/>
                <c:pt idx="0">
                  <c:v>S&amp;M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FY21</c:v>
                </c:pt>
                <c:pt idx="1">
                  <c:v>FY22</c:v>
                </c:pt>
                <c:pt idx="2">
                  <c:v>FY23</c:v>
                </c:pt>
                <c:pt idx="3">
                  <c:v>FY24</c:v>
                </c:pt>
                <c:pt idx="4">
                  <c:v>FY25</c:v>
                </c:pt>
                <c:pt idx="5">
                  <c:v>FY26</c:v>
                </c:pt>
              </c:strCache>
            </c:strRef>
          </c:cat>
          <c:val>
            <c:numRef>
              <c:f>Model!$C$24:$H$24</c:f>
              <c:numCache>
                <c:formatCode>0%</c:formatCode>
                <c:ptCount val="6"/>
                <c:pt idx="0">
                  <c:v>0.80935555511094215</c:v>
                </c:pt>
                <c:pt idx="1">
                  <c:v>0.67984685242036202</c:v>
                </c:pt>
                <c:pt idx="2">
                  <c:v>0.56716088545617549</c:v>
                </c:pt>
                <c:pt idx="3">
                  <c:v>0.51915594979650836</c:v>
                </c:pt>
              </c:numCache>
            </c:numRef>
          </c:val>
          <c:smooth val="0"/>
          <c:extLst>
            <c:ext xmlns:c16="http://schemas.microsoft.com/office/drawing/2014/chart" uri="{C3380CC4-5D6E-409C-BE32-E72D297353CC}">
              <c16:uniqueId val="{00000001-E79C-46D7-BBD0-0EABFCB1E143}"/>
            </c:ext>
          </c:extLst>
        </c:ser>
        <c:ser>
          <c:idx val="2"/>
          <c:order val="2"/>
          <c:tx>
            <c:strRef>
              <c:f>Model!$B$25</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FY21</c:v>
                </c:pt>
                <c:pt idx="1">
                  <c:v>FY22</c:v>
                </c:pt>
                <c:pt idx="2">
                  <c:v>FY23</c:v>
                </c:pt>
                <c:pt idx="3">
                  <c:v>FY24</c:v>
                </c:pt>
                <c:pt idx="4">
                  <c:v>FY25</c:v>
                </c:pt>
                <c:pt idx="5">
                  <c:v>FY26</c:v>
                </c:pt>
              </c:strCache>
            </c:strRef>
          </c:cat>
          <c:val>
            <c:numRef>
              <c:f>Model!$C$25:$H$25</c:f>
              <c:numCache>
                <c:formatCode>0%</c:formatCode>
                <c:ptCount val="6"/>
                <c:pt idx="0">
                  <c:v>0.30100638242532163</c:v>
                </c:pt>
                <c:pt idx="1">
                  <c:v>0.37316415506192435</c:v>
                </c:pt>
                <c:pt idx="2">
                  <c:v>0.26172141384885333</c:v>
                </c:pt>
                <c:pt idx="3">
                  <c:v>0.20807139009051778</c:v>
                </c:pt>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45411</c:v>
                </c:pt>
                <c:pt idx="1">
                  <c:v>45404</c:v>
                </c:pt>
                <c:pt idx="2">
                  <c:v>45397</c:v>
                </c:pt>
                <c:pt idx="3">
                  <c:v>45390</c:v>
                </c:pt>
                <c:pt idx="4">
                  <c:v>45383</c:v>
                </c:pt>
                <c:pt idx="5">
                  <c:v>45376</c:v>
                </c:pt>
                <c:pt idx="6">
                  <c:v>45369</c:v>
                </c:pt>
                <c:pt idx="7">
                  <c:v>45362</c:v>
                </c:pt>
                <c:pt idx="8">
                  <c:v>45355</c:v>
                </c:pt>
                <c:pt idx="9">
                  <c:v>45348</c:v>
                </c:pt>
                <c:pt idx="10">
                  <c:v>45341</c:v>
                </c:pt>
                <c:pt idx="11">
                  <c:v>45334</c:v>
                </c:pt>
                <c:pt idx="12">
                  <c:v>45327</c:v>
                </c:pt>
                <c:pt idx="13">
                  <c:v>45320</c:v>
                </c:pt>
                <c:pt idx="14">
                  <c:v>45313</c:v>
                </c:pt>
                <c:pt idx="15">
                  <c:v>45306</c:v>
                </c:pt>
                <c:pt idx="16">
                  <c:v>45299</c:v>
                </c:pt>
                <c:pt idx="17">
                  <c:v>45292</c:v>
                </c:pt>
                <c:pt idx="18">
                  <c:v>45285</c:v>
                </c:pt>
                <c:pt idx="19">
                  <c:v>45278</c:v>
                </c:pt>
                <c:pt idx="20">
                  <c:v>45271</c:v>
                </c:pt>
                <c:pt idx="21">
                  <c:v>45264</c:v>
                </c:pt>
                <c:pt idx="22">
                  <c:v>45257</c:v>
                </c:pt>
                <c:pt idx="23">
                  <c:v>45250</c:v>
                </c:pt>
                <c:pt idx="24">
                  <c:v>45243</c:v>
                </c:pt>
                <c:pt idx="25">
                  <c:v>45236</c:v>
                </c:pt>
                <c:pt idx="26">
                  <c:v>45229</c:v>
                </c:pt>
                <c:pt idx="27">
                  <c:v>45222</c:v>
                </c:pt>
                <c:pt idx="28">
                  <c:v>45215</c:v>
                </c:pt>
                <c:pt idx="29">
                  <c:v>45208</c:v>
                </c:pt>
                <c:pt idx="30">
                  <c:v>45201</c:v>
                </c:pt>
                <c:pt idx="31">
                  <c:v>45194</c:v>
                </c:pt>
                <c:pt idx="32">
                  <c:v>45187</c:v>
                </c:pt>
                <c:pt idx="33">
                  <c:v>45180</c:v>
                </c:pt>
                <c:pt idx="34">
                  <c:v>45173</c:v>
                </c:pt>
                <c:pt idx="35">
                  <c:v>45166</c:v>
                </c:pt>
                <c:pt idx="36">
                  <c:v>45159</c:v>
                </c:pt>
                <c:pt idx="37">
                  <c:v>45152</c:v>
                </c:pt>
                <c:pt idx="38">
                  <c:v>45145</c:v>
                </c:pt>
                <c:pt idx="39">
                  <c:v>45138</c:v>
                </c:pt>
                <c:pt idx="40">
                  <c:v>45131</c:v>
                </c:pt>
                <c:pt idx="41">
                  <c:v>45124</c:v>
                </c:pt>
                <c:pt idx="42">
                  <c:v>45117</c:v>
                </c:pt>
                <c:pt idx="43">
                  <c:v>45110</c:v>
                </c:pt>
                <c:pt idx="44">
                  <c:v>45103</c:v>
                </c:pt>
                <c:pt idx="45">
                  <c:v>45096</c:v>
                </c:pt>
                <c:pt idx="46">
                  <c:v>45089</c:v>
                </c:pt>
                <c:pt idx="47">
                  <c:v>45082</c:v>
                </c:pt>
                <c:pt idx="48">
                  <c:v>45075</c:v>
                </c:pt>
                <c:pt idx="49">
                  <c:v>45068</c:v>
                </c:pt>
                <c:pt idx="50">
                  <c:v>45061</c:v>
                </c:pt>
                <c:pt idx="51">
                  <c:v>45054</c:v>
                </c:pt>
                <c:pt idx="52">
                  <c:v>45047</c:v>
                </c:pt>
                <c:pt idx="53">
                  <c:v>45040</c:v>
                </c:pt>
                <c:pt idx="54">
                  <c:v>45033</c:v>
                </c:pt>
                <c:pt idx="55">
                  <c:v>45026</c:v>
                </c:pt>
                <c:pt idx="56">
                  <c:v>45019</c:v>
                </c:pt>
                <c:pt idx="57">
                  <c:v>45012</c:v>
                </c:pt>
                <c:pt idx="58">
                  <c:v>45005</c:v>
                </c:pt>
                <c:pt idx="59">
                  <c:v>44998</c:v>
                </c:pt>
                <c:pt idx="60">
                  <c:v>44991</c:v>
                </c:pt>
                <c:pt idx="61">
                  <c:v>44984</c:v>
                </c:pt>
                <c:pt idx="62">
                  <c:v>44977</c:v>
                </c:pt>
                <c:pt idx="63">
                  <c:v>44970</c:v>
                </c:pt>
                <c:pt idx="64">
                  <c:v>44963</c:v>
                </c:pt>
                <c:pt idx="65">
                  <c:v>44956</c:v>
                </c:pt>
                <c:pt idx="66">
                  <c:v>44949</c:v>
                </c:pt>
                <c:pt idx="67">
                  <c:v>44942</c:v>
                </c:pt>
                <c:pt idx="68">
                  <c:v>44935</c:v>
                </c:pt>
                <c:pt idx="69">
                  <c:v>44928</c:v>
                </c:pt>
                <c:pt idx="70">
                  <c:v>44921</c:v>
                </c:pt>
                <c:pt idx="71">
                  <c:v>44914</c:v>
                </c:pt>
                <c:pt idx="72">
                  <c:v>44907</c:v>
                </c:pt>
                <c:pt idx="73">
                  <c:v>44900</c:v>
                </c:pt>
                <c:pt idx="74">
                  <c:v>44893</c:v>
                </c:pt>
                <c:pt idx="75">
                  <c:v>44886</c:v>
                </c:pt>
                <c:pt idx="76">
                  <c:v>44879</c:v>
                </c:pt>
                <c:pt idx="77">
                  <c:v>44872</c:v>
                </c:pt>
                <c:pt idx="78">
                  <c:v>44865</c:v>
                </c:pt>
                <c:pt idx="79">
                  <c:v>44858</c:v>
                </c:pt>
                <c:pt idx="80">
                  <c:v>44851</c:v>
                </c:pt>
                <c:pt idx="81">
                  <c:v>44844</c:v>
                </c:pt>
                <c:pt idx="82">
                  <c:v>44837</c:v>
                </c:pt>
                <c:pt idx="83">
                  <c:v>44830</c:v>
                </c:pt>
                <c:pt idx="84">
                  <c:v>44823</c:v>
                </c:pt>
                <c:pt idx="85">
                  <c:v>44816</c:v>
                </c:pt>
                <c:pt idx="86">
                  <c:v>44809</c:v>
                </c:pt>
                <c:pt idx="87">
                  <c:v>44802</c:v>
                </c:pt>
                <c:pt idx="88">
                  <c:v>44795</c:v>
                </c:pt>
                <c:pt idx="89">
                  <c:v>44788</c:v>
                </c:pt>
                <c:pt idx="90">
                  <c:v>44781</c:v>
                </c:pt>
                <c:pt idx="91">
                  <c:v>44774</c:v>
                </c:pt>
                <c:pt idx="92">
                  <c:v>44767</c:v>
                </c:pt>
                <c:pt idx="93">
                  <c:v>44760</c:v>
                </c:pt>
                <c:pt idx="94">
                  <c:v>44753</c:v>
                </c:pt>
                <c:pt idx="95">
                  <c:v>44746</c:v>
                </c:pt>
                <c:pt idx="96">
                  <c:v>44739</c:v>
                </c:pt>
                <c:pt idx="97">
                  <c:v>44732</c:v>
                </c:pt>
                <c:pt idx="98">
                  <c:v>44725</c:v>
                </c:pt>
                <c:pt idx="99">
                  <c:v>44718</c:v>
                </c:pt>
                <c:pt idx="100">
                  <c:v>44711</c:v>
                </c:pt>
                <c:pt idx="101">
                  <c:v>44704</c:v>
                </c:pt>
                <c:pt idx="102">
                  <c:v>44697</c:v>
                </c:pt>
                <c:pt idx="103">
                  <c:v>44690</c:v>
                </c:pt>
                <c:pt idx="104">
                  <c:v>44683</c:v>
                </c:pt>
                <c:pt idx="105">
                  <c:v>44676</c:v>
                </c:pt>
                <c:pt idx="106">
                  <c:v>44669</c:v>
                </c:pt>
                <c:pt idx="107">
                  <c:v>44662</c:v>
                </c:pt>
                <c:pt idx="108">
                  <c:v>44655</c:v>
                </c:pt>
                <c:pt idx="109">
                  <c:v>44648</c:v>
                </c:pt>
                <c:pt idx="110">
                  <c:v>44641</c:v>
                </c:pt>
                <c:pt idx="111">
                  <c:v>44634</c:v>
                </c:pt>
                <c:pt idx="112">
                  <c:v>44627</c:v>
                </c:pt>
                <c:pt idx="113">
                  <c:v>44620</c:v>
                </c:pt>
                <c:pt idx="114">
                  <c:v>44613</c:v>
                </c:pt>
                <c:pt idx="115">
                  <c:v>44606</c:v>
                </c:pt>
                <c:pt idx="116">
                  <c:v>44599</c:v>
                </c:pt>
                <c:pt idx="117">
                  <c:v>44592</c:v>
                </c:pt>
                <c:pt idx="118">
                  <c:v>44585</c:v>
                </c:pt>
                <c:pt idx="119">
                  <c:v>44578</c:v>
                </c:pt>
                <c:pt idx="120">
                  <c:v>44571</c:v>
                </c:pt>
                <c:pt idx="121">
                  <c:v>44564</c:v>
                </c:pt>
                <c:pt idx="122">
                  <c:v>44557</c:v>
                </c:pt>
                <c:pt idx="123">
                  <c:v>44550</c:v>
                </c:pt>
                <c:pt idx="124">
                  <c:v>44543</c:v>
                </c:pt>
              </c:numCache>
            </c:numRef>
          </c:cat>
          <c:val>
            <c:numRef>
              <c:f>Catalysts!$C$2:$C$10000</c:f>
              <c:numCache>
                <c:formatCode>0.00</c:formatCode>
                <c:ptCount val="9999"/>
                <c:pt idx="0">
                  <c:v>34.93</c:v>
                </c:pt>
                <c:pt idx="1">
                  <c:v>35.990001999999997</c:v>
                </c:pt>
                <c:pt idx="2">
                  <c:v>30.15</c:v>
                </c:pt>
                <c:pt idx="3">
                  <c:v>31.879999000000002</c:v>
                </c:pt>
                <c:pt idx="4">
                  <c:v>33.889999000000003</c:v>
                </c:pt>
                <c:pt idx="5">
                  <c:v>37.790000999999997</c:v>
                </c:pt>
                <c:pt idx="6">
                  <c:v>37.099997999999999</c:v>
                </c:pt>
                <c:pt idx="7">
                  <c:v>35.759998000000003</c:v>
                </c:pt>
                <c:pt idx="8">
                  <c:v>39.159999999999997</c:v>
                </c:pt>
                <c:pt idx="9">
                  <c:v>34.990001999999997</c:v>
                </c:pt>
                <c:pt idx="10">
                  <c:v>33.310001</c:v>
                </c:pt>
                <c:pt idx="11">
                  <c:v>34.439999</c:v>
                </c:pt>
                <c:pt idx="12">
                  <c:v>35.470001000000003</c:v>
                </c:pt>
                <c:pt idx="13">
                  <c:v>32.509998000000003</c:v>
                </c:pt>
                <c:pt idx="14">
                  <c:v>30.85</c:v>
                </c:pt>
                <c:pt idx="15">
                  <c:v>32.259998000000003</c:v>
                </c:pt>
                <c:pt idx="16">
                  <c:v>33.169998</c:v>
                </c:pt>
                <c:pt idx="17">
                  <c:v>30.5</c:v>
                </c:pt>
                <c:pt idx="18">
                  <c:v>33.380001</c:v>
                </c:pt>
                <c:pt idx="19">
                  <c:v>34.009998000000003</c:v>
                </c:pt>
                <c:pt idx="20">
                  <c:v>33.990001999999997</c:v>
                </c:pt>
                <c:pt idx="21">
                  <c:v>33.669998</c:v>
                </c:pt>
                <c:pt idx="22">
                  <c:v>34.590000000000003</c:v>
                </c:pt>
                <c:pt idx="23">
                  <c:v>27.27</c:v>
                </c:pt>
                <c:pt idx="24">
                  <c:v>26.879999000000002</c:v>
                </c:pt>
                <c:pt idx="25">
                  <c:v>24</c:v>
                </c:pt>
                <c:pt idx="26">
                  <c:v>25.030000999999999</c:v>
                </c:pt>
                <c:pt idx="27">
                  <c:v>22.209999</c:v>
                </c:pt>
                <c:pt idx="28">
                  <c:v>22.82</c:v>
                </c:pt>
                <c:pt idx="29">
                  <c:v>23.459999</c:v>
                </c:pt>
                <c:pt idx="30">
                  <c:v>25.700001</c:v>
                </c:pt>
                <c:pt idx="31">
                  <c:v>25.209999</c:v>
                </c:pt>
                <c:pt idx="32">
                  <c:v>23.129999000000002</c:v>
                </c:pt>
                <c:pt idx="33">
                  <c:v>28.139999</c:v>
                </c:pt>
                <c:pt idx="34">
                  <c:v>30.57</c:v>
                </c:pt>
                <c:pt idx="35">
                  <c:v>30.93</c:v>
                </c:pt>
                <c:pt idx="36">
                  <c:v>25.26</c:v>
                </c:pt>
                <c:pt idx="37">
                  <c:v>24.01</c:v>
                </c:pt>
                <c:pt idx="38">
                  <c:v>23.75</c:v>
                </c:pt>
                <c:pt idx="39">
                  <c:v>25.860001</c:v>
                </c:pt>
                <c:pt idx="40">
                  <c:v>27.709999</c:v>
                </c:pt>
                <c:pt idx="41">
                  <c:v>27.08</c:v>
                </c:pt>
                <c:pt idx="42">
                  <c:v>26.950001</c:v>
                </c:pt>
                <c:pt idx="43">
                  <c:v>26.26</c:v>
                </c:pt>
                <c:pt idx="44">
                  <c:v>27.709999</c:v>
                </c:pt>
                <c:pt idx="45">
                  <c:v>26.110001</c:v>
                </c:pt>
                <c:pt idx="46">
                  <c:v>28.9</c:v>
                </c:pt>
                <c:pt idx="47">
                  <c:v>28.98</c:v>
                </c:pt>
                <c:pt idx="48">
                  <c:v>24.309999000000001</c:v>
                </c:pt>
                <c:pt idx="49">
                  <c:v>19.059999000000001</c:v>
                </c:pt>
                <c:pt idx="50">
                  <c:v>20.190000999999999</c:v>
                </c:pt>
                <c:pt idx="51">
                  <c:v>18.969999000000001</c:v>
                </c:pt>
                <c:pt idx="52">
                  <c:v>18.030000999999999</c:v>
                </c:pt>
                <c:pt idx="53">
                  <c:v>18.049999</c:v>
                </c:pt>
                <c:pt idx="54">
                  <c:v>22.16</c:v>
                </c:pt>
                <c:pt idx="55">
                  <c:v>19.920000000000002</c:v>
                </c:pt>
                <c:pt idx="56">
                  <c:v>19</c:v>
                </c:pt>
                <c:pt idx="57">
                  <c:v>19.719999000000001</c:v>
                </c:pt>
                <c:pt idx="58">
                  <c:v>18.129999000000002</c:v>
                </c:pt>
                <c:pt idx="59">
                  <c:v>19.02</c:v>
                </c:pt>
                <c:pt idx="60">
                  <c:v>19.360001</c:v>
                </c:pt>
                <c:pt idx="61">
                  <c:v>19.48</c:v>
                </c:pt>
                <c:pt idx="62">
                  <c:v>16.040001</c:v>
                </c:pt>
                <c:pt idx="63">
                  <c:v>15.84</c:v>
                </c:pt>
                <c:pt idx="64">
                  <c:v>15.16</c:v>
                </c:pt>
                <c:pt idx="65">
                  <c:v>14.71</c:v>
                </c:pt>
                <c:pt idx="66">
                  <c:v>13.76</c:v>
                </c:pt>
                <c:pt idx="67">
                  <c:v>12.51</c:v>
                </c:pt>
                <c:pt idx="68">
                  <c:v>12.01</c:v>
                </c:pt>
                <c:pt idx="69">
                  <c:v>11.2</c:v>
                </c:pt>
                <c:pt idx="70">
                  <c:v>12.43</c:v>
                </c:pt>
                <c:pt idx="71">
                  <c:v>12.27</c:v>
                </c:pt>
                <c:pt idx="72">
                  <c:v>12.77</c:v>
                </c:pt>
                <c:pt idx="73">
                  <c:v>13.05</c:v>
                </c:pt>
                <c:pt idx="74">
                  <c:v>11.9</c:v>
                </c:pt>
                <c:pt idx="75">
                  <c:v>9.9600000000000009</c:v>
                </c:pt>
                <c:pt idx="76">
                  <c:v>9.35</c:v>
                </c:pt>
                <c:pt idx="77">
                  <c:v>10.1</c:v>
                </c:pt>
                <c:pt idx="78">
                  <c:v>9.67</c:v>
                </c:pt>
                <c:pt idx="79">
                  <c:v>12.39</c:v>
                </c:pt>
                <c:pt idx="80">
                  <c:v>11.49</c:v>
                </c:pt>
                <c:pt idx="81">
                  <c:v>11</c:v>
                </c:pt>
                <c:pt idx="82">
                  <c:v>13.11</c:v>
                </c:pt>
                <c:pt idx="83">
                  <c:v>12.07</c:v>
                </c:pt>
                <c:pt idx="84">
                  <c:v>11.66</c:v>
                </c:pt>
                <c:pt idx="85">
                  <c:v>12.63</c:v>
                </c:pt>
                <c:pt idx="86">
                  <c:v>13.05</c:v>
                </c:pt>
                <c:pt idx="87">
                  <c:v>12.79</c:v>
                </c:pt>
                <c:pt idx="88">
                  <c:v>15.35</c:v>
                </c:pt>
                <c:pt idx="89">
                  <c:v>15.93</c:v>
                </c:pt>
                <c:pt idx="90">
                  <c:v>16.540001</c:v>
                </c:pt>
                <c:pt idx="91">
                  <c:v>16.170000000000002</c:v>
                </c:pt>
                <c:pt idx="92">
                  <c:v>14.46</c:v>
                </c:pt>
                <c:pt idx="93">
                  <c:v>14.22</c:v>
                </c:pt>
                <c:pt idx="94">
                  <c:v>14.19</c:v>
                </c:pt>
                <c:pt idx="95">
                  <c:v>14.55</c:v>
                </c:pt>
                <c:pt idx="96">
                  <c:v>12.39</c:v>
                </c:pt>
                <c:pt idx="97">
                  <c:v>12.51</c:v>
                </c:pt>
                <c:pt idx="98">
                  <c:v>11.35</c:v>
                </c:pt>
                <c:pt idx="99">
                  <c:v>10.97</c:v>
                </c:pt>
                <c:pt idx="100">
                  <c:v>11.55</c:v>
                </c:pt>
                <c:pt idx="101">
                  <c:v>11.5</c:v>
                </c:pt>
                <c:pt idx="102">
                  <c:v>10.69</c:v>
                </c:pt>
                <c:pt idx="103">
                  <c:v>11.19</c:v>
                </c:pt>
                <c:pt idx="104">
                  <c:v>11.05</c:v>
                </c:pt>
                <c:pt idx="105">
                  <c:v>12.34</c:v>
                </c:pt>
                <c:pt idx="106">
                  <c:v>13.14</c:v>
                </c:pt>
                <c:pt idx="107">
                  <c:v>13.31</c:v>
                </c:pt>
                <c:pt idx="108">
                  <c:v>13.44</c:v>
                </c:pt>
                <c:pt idx="109">
                  <c:v>16.299999</c:v>
                </c:pt>
                <c:pt idx="110">
                  <c:v>17.469999000000001</c:v>
                </c:pt>
                <c:pt idx="111">
                  <c:v>16.809999000000001</c:v>
                </c:pt>
                <c:pt idx="112">
                  <c:v>15.15</c:v>
                </c:pt>
                <c:pt idx="113">
                  <c:v>15.52</c:v>
                </c:pt>
                <c:pt idx="114">
                  <c:v>17.010000000000002</c:v>
                </c:pt>
                <c:pt idx="115">
                  <c:v>17.110001</c:v>
                </c:pt>
                <c:pt idx="116">
                  <c:v>20.93</c:v>
                </c:pt>
                <c:pt idx="117">
                  <c:v>20.559999000000001</c:v>
                </c:pt>
                <c:pt idx="118">
                  <c:v>16.66</c:v>
                </c:pt>
                <c:pt idx="119">
                  <c:v>19.399999999999999</c:v>
                </c:pt>
                <c:pt idx="120">
                  <c:v>22.91</c:v>
                </c:pt>
                <c:pt idx="121">
                  <c:v>23.219999000000001</c:v>
                </c:pt>
                <c:pt idx="122">
                  <c:v>28.110001</c:v>
                </c:pt>
                <c:pt idx="123">
                  <c:v>27.610001</c:v>
                </c:pt>
                <c:pt idx="124">
                  <c:v>22.32</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-28,31%</c:v>
                </c:pt>
                <c:pt idx="1">
                  <c:v>-28,31% to -22,48%</c:v>
                </c:pt>
                <c:pt idx="2">
                  <c:v>-22,48% to -16,66%</c:v>
                </c:pt>
                <c:pt idx="3">
                  <c:v>-16,66% to -10,83%</c:v>
                </c:pt>
                <c:pt idx="4">
                  <c:v>-10,83% to -5,00%</c:v>
                </c:pt>
                <c:pt idx="5">
                  <c:v>-5,00% to 0,82%</c:v>
                </c:pt>
                <c:pt idx="6">
                  <c:v>0,82% to 6,65%</c:v>
                </c:pt>
                <c:pt idx="7">
                  <c:v>6,65% to 12,47%</c:v>
                </c:pt>
                <c:pt idx="8">
                  <c:v>12,47% to 18,30%</c:v>
                </c:pt>
                <c:pt idx="9">
                  <c:v>18,30% to 24,13%</c:v>
                </c:pt>
                <c:pt idx="10">
                  <c:v>24,13% to 29,95%</c:v>
                </c:pt>
                <c:pt idx="11">
                  <c:v>Greater than 29,95%</c:v>
                </c:pt>
              </c:strCache>
            </c:strRef>
          </c:cat>
          <c:val>
            <c:numRef>
              <c:f>DoR!$J$4:$J$15</c:f>
              <c:numCache>
                <c:formatCode>General</c:formatCode>
                <c:ptCount val="12"/>
                <c:pt idx="0">
                  <c:v>0</c:v>
                </c:pt>
                <c:pt idx="1">
                  <c:v>0</c:v>
                </c:pt>
                <c:pt idx="2">
                  <c:v>7</c:v>
                </c:pt>
                <c:pt idx="3">
                  <c:v>3</c:v>
                </c:pt>
                <c:pt idx="4">
                  <c:v>20</c:v>
                </c:pt>
                <c:pt idx="5">
                  <c:v>34</c:v>
                </c:pt>
                <c:pt idx="6">
                  <c:v>32</c:v>
                </c:pt>
                <c:pt idx="7">
                  <c:v>17</c:v>
                </c:pt>
                <c:pt idx="8">
                  <c:v>2</c:v>
                </c:pt>
                <c:pt idx="9">
                  <c:v>7</c:v>
                </c:pt>
                <c:pt idx="10">
                  <c:v>2</c:v>
                </c:pt>
                <c:pt idx="11">
                  <c:v>0</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tabSelected="1" workbookViewId="0">
      <selection activeCell="F21" sqref="F21"/>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131</v>
      </c>
      <c r="C2" s="19"/>
      <c r="E2" s="24" t="s">
        <v>44</v>
      </c>
      <c r="F2" s="52" t="s">
        <v>45</v>
      </c>
      <c r="G2" s="25"/>
      <c r="H2" s="26" t="s">
        <v>52</v>
      </c>
      <c r="I2" s="26" t="s">
        <v>1</v>
      </c>
      <c r="J2" s="27" t="s">
        <v>45</v>
      </c>
      <c r="L2" s="30" t="s">
        <v>38</v>
      </c>
      <c r="M2" s="31" t="s">
        <v>54</v>
      </c>
      <c r="N2" s="32" t="s">
        <v>53</v>
      </c>
    </row>
    <row r="3" spans="2:14" x14ac:dyDescent="0.25">
      <c r="B3" s="5" t="s">
        <v>37</v>
      </c>
      <c r="C3" s="20">
        <v>45413</v>
      </c>
      <c r="E3" s="5" t="s">
        <v>153</v>
      </c>
      <c r="F3" s="28" t="s">
        <v>154</v>
      </c>
      <c r="H3" t="s">
        <v>174</v>
      </c>
      <c r="I3" s="10">
        <v>1196990</v>
      </c>
      <c r="J3" s="39"/>
      <c r="L3" s="5" t="s">
        <v>132</v>
      </c>
      <c r="M3" t="s">
        <v>133</v>
      </c>
      <c r="N3" s="38"/>
    </row>
    <row r="4" spans="2:14" x14ac:dyDescent="0.25">
      <c r="B4" s="5"/>
      <c r="C4" s="21">
        <v>0.71527777777777779</v>
      </c>
      <c r="E4" s="5" t="s">
        <v>155</v>
      </c>
      <c r="F4" s="28" t="s">
        <v>156</v>
      </c>
      <c r="H4" t="s">
        <v>175</v>
      </c>
      <c r="I4" s="10">
        <v>436013</v>
      </c>
      <c r="J4" s="39"/>
      <c r="L4" s="5" t="s">
        <v>134</v>
      </c>
      <c r="M4" t="s">
        <v>135</v>
      </c>
      <c r="N4" s="13"/>
    </row>
    <row r="5" spans="2:14" x14ac:dyDescent="0.25">
      <c r="B5" s="5"/>
      <c r="C5" s="13"/>
      <c r="E5" s="5" t="s">
        <v>157</v>
      </c>
      <c r="F5" s="28" t="s">
        <v>158</v>
      </c>
      <c r="H5" t="s">
        <v>176</v>
      </c>
      <c r="I5" s="10">
        <v>740305</v>
      </c>
      <c r="J5" s="39"/>
      <c r="L5" s="5" t="s">
        <v>136</v>
      </c>
      <c r="M5" t="s">
        <v>137</v>
      </c>
      <c r="N5" s="13"/>
    </row>
    <row r="6" spans="2:14" x14ac:dyDescent="0.25">
      <c r="B6" s="5" t="s">
        <v>0</v>
      </c>
      <c r="C6" s="13">
        <v>34.61</v>
      </c>
      <c r="E6" s="5" t="s">
        <v>159</v>
      </c>
      <c r="F6" s="28" t="s">
        <v>160</v>
      </c>
      <c r="H6" t="s">
        <v>177</v>
      </c>
      <c r="I6" s="10">
        <v>303126</v>
      </c>
      <c r="J6" s="39"/>
      <c r="L6" s="5" t="s">
        <v>138</v>
      </c>
      <c r="M6" t="s">
        <v>139</v>
      </c>
      <c r="N6" s="13"/>
    </row>
    <row r="7" spans="2:14" x14ac:dyDescent="0.25">
      <c r="B7" s="5" t="s">
        <v>1</v>
      </c>
      <c r="C7" s="15">
        <f>Model!F17</f>
        <v>534.87850100000003</v>
      </c>
      <c r="E7" s="5" t="s">
        <v>161</v>
      </c>
      <c r="F7" s="28" t="s">
        <v>162</v>
      </c>
      <c r="H7" t="s">
        <v>173</v>
      </c>
      <c r="I7" s="10">
        <v>2241170</v>
      </c>
      <c r="J7" s="39"/>
      <c r="L7" s="5" t="s">
        <v>140</v>
      </c>
      <c r="M7" t="s">
        <v>141</v>
      </c>
      <c r="N7" s="13"/>
    </row>
    <row r="8" spans="2:14" x14ac:dyDescent="0.25">
      <c r="B8" s="5" t="s">
        <v>2</v>
      </c>
      <c r="C8" s="15">
        <f>C6*C7</f>
        <v>18512.14491961</v>
      </c>
      <c r="E8" s="5" t="s">
        <v>163</v>
      </c>
      <c r="F8" s="28" t="s">
        <v>164</v>
      </c>
      <c r="I8" s="10"/>
      <c r="J8" s="39"/>
      <c r="L8" s="5" t="s">
        <v>142</v>
      </c>
      <c r="M8" t="s">
        <v>143</v>
      </c>
      <c r="N8" s="13"/>
    </row>
    <row r="9" spans="2:14" x14ac:dyDescent="0.25">
      <c r="B9" s="5" t="s">
        <v>3</v>
      </c>
      <c r="C9" s="15">
        <f>Model!F31+Model!F32</f>
        <v>547.66200000000003</v>
      </c>
      <c r="E9" s="5" t="s">
        <v>165</v>
      </c>
      <c r="F9" s="28" t="s">
        <v>166</v>
      </c>
      <c r="I9" s="10"/>
      <c r="J9" s="39"/>
      <c r="L9" s="5" t="s">
        <v>144</v>
      </c>
      <c r="M9" t="s">
        <v>145</v>
      </c>
      <c r="N9" s="13"/>
    </row>
    <row r="10" spans="2:14" x14ac:dyDescent="0.25">
      <c r="B10" s="5" t="s">
        <v>4</v>
      </c>
      <c r="C10" s="15"/>
      <c r="E10" s="5" t="s">
        <v>167</v>
      </c>
      <c r="F10" s="28" t="s">
        <v>168</v>
      </c>
      <c r="I10" s="10"/>
      <c r="J10" s="39"/>
      <c r="L10" s="5" t="s">
        <v>146</v>
      </c>
      <c r="M10" t="s">
        <v>147</v>
      </c>
      <c r="N10" s="13"/>
    </row>
    <row r="11" spans="2:14" x14ac:dyDescent="0.25">
      <c r="B11" s="5" t="s">
        <v>32</v>
      </c>
      <c r="C11" s="15">
        <f>C9-C10</f>
        <v>547.66200000000003</v>
      </c>
      <c r="E11" s="5" t="s">
        <v>169</v>
      </c>
      <c r="F11" s="28" t="s">
        <v>170</v>
      </c>
      <c r="I11" s="10"/>
      <c r="J11" s="39"/>
      <c r="L11" s="5" t="s">
        <v>148</v>
      </c>
      <c r="M11" t="s">
        <v>149</v>
      </c>
      <c r="N11" s="13"/>
    </row>
    <row r="12" spans="2:14" x14ac:dyDescent="0.25">
      <c r="B12" s="5" t="s">
        <v>5</v>
      </c>
      <c r="C12" s="15">
        <f>C8-C9+C10</f>
        <v>17964.48291961</v>
      </c>
      <c r="E12" s="5" t="s">
        <v>171</v>
      </c>
      <c r="F12" s="28" t="s">
        <v>172</v>
      </c>
      <c r="J12" s="13"/>
      <c r="L12" s="5" t="s">
        <v>150</v>
      </c>
      <c r="M12" t="s">
        <v>151</v>
      </c>
      <c r="N12" s="13"/>
    </row>
    <row r="13" spans="2:14" x14ac:dyDescent="0.25">
      <c r="B13" s="5" t="s">
        <v>43</v>
      </c>
      <c r="C13" s="36">
        <f>C6/Model!F18</f>
        <v>-64.057194680893048</v>
      </c>
      <c r="E13" s="5"/>
      <c r="J13" s="13"/>
      <c r="L13" s="5"/>
      <c r="N13" s="13"/>
    </row>
    <row r="14" spans="2:14" x14ac:dyDescent="0.25">
      <c r="B14" s="5" t="s">
        <v>41</v>
      </c>
      <c r="C14" s="36">
        <f>C6/Model!G19</f>
        <v>288.41666666666669</v>
      </c>
      <c r="E14" s="22"/>
      <c r="F14" s="29"/>
      <c r="G14" s="29"/>
      <c r="H14" s="29"/>
      <c r="I14" s="29"/>
      <c r="J14" s="23"/>
      <c r="L14" s="22"/>
      <c r="M14" s="29"/>
      <c r="N14" s="23"/>
    </row>
    <row r="15" spans="2:14" x14ac:dyDescent="0.25">
      <c r="B15" s="5" t="s">
        <v>42</v>
      </c>
      <c r="C15" s="36">
        <f>C6/Model!H19</f>
        <v>157.31818181818181</v>
      </c>
    </row>
    <row r="16" spans="2:14" x14ac:dyDescent="0.25">
      <c r="B16" s="5" t="s">
        <v>39</v>
      </c>
      <c r="C16" s="6">
        <v>1</v>
      </c>
    </row>
    <row r="17" spans="2:14" x14ac:dyDescent="0.25">
      <c r="B17" s="5" t="s">
        <v>40</v>
      </c>
      <c r="C17" s="6">
        <f>Model!H19/Model!G19-1</f>
        <v>0.83333333333333348</v>
      </c>
      <c r="E17" s="33" t="s">
        <v>50</v>
      </c>
      <c r="L17" s="116" t="s">
        <v>152</v>
      </c>
      <c r="M17" s="117"/>
      <c r="N17" s="118"/>
    </row>
    <row r="18" spans="2:14" x14ac:dyDescent="0.25">
      <c r="B18" s="5" t="s">
        <v>64</v>
      </c>
      <c r="C18" s="48">
        <f>C14/(C16*100)</f>
        <v>2.8841666666666668</v>
      </c>
      <c r="L18" s="119"/>
      <c r="M18" s="120"/>
      <c r="N18" s="121"/>
    </row>
    <row r="19" spans="2:14" x14ac:dyDescent="0.25">
      <c r="B19" s="5" t="s">
        <v>65</v>
      </c>
      <c r="C19" s="48">
        <f>C15/(C17*100)</f>
        <v>1.8878181818181816</v>
      </c>
      <c r="L19" s="119"/>
      <c r="M19" s="120"/>
      <c r="N19" s="121"/>
    </row>
    <row r="20" spans="2:14" x14ac:dyDescent="0.25">
      <c r="B20" s="5" t="s">
        <v>76</v>
      </c>
      <c r="C20" s="6">
        <f>Model!G4/Model!F3-1</f>
        <v>0.28015703259599856</v>
      </c>
      <c r="L20" s="119"/>
      <c r="M20" s="120"/>
      <c r="N20" s="121"/>
    </row>
    <row r="21" spans="2:14" x14ac:dyDescent="0.25">
      <c r="B21" s="5" t="s">
        <v>77</v>
      </c>
      <c r="C21" s="6">
        <f>Model!H4/Model!G4-1</f>
        <v>0.25</v>
      </c>
      <c r="L21" s="119"/>
      <c r="M21" s="120"/>
      <c r="N21" s="121"/>
    </row>
    <row r="22" spans="2:14" x14ac:dyDescent="0.25">
      <c r="B22" s="5" t="s">
        <v>66</v>
      </c>
      <c r="C22" s="15">
        <f>Model!F13</f>
        <v>-283.38299999999998</v>
      </c>
      <c r="L22" s="119"/>
      <c r="M22" s="120"/>
      <c r="N22" s="121"/>
    </row>
    <row r="23" spans="2:14" x14ac:dyDescent="0.25">
      <c r="B23" s="5" t="s">
        <v>15</v>
      </c>
      <c r="C23" s="15">
        <f>Model!F11</f>
        <v>-323.34699999999998</v>
      </c>
      <c r="L23" s="119"/>
      <c r="M23" s="120"/>
      <c r="N23" s="121"/>
    </row>
    <row r="24" spans="2:14" x14ac:dyDescent="0.25">
      <c r="B24" s="5" t="s">
        <v>26</v>
      </c>
      <c r="C24" s="7">
        <f>Model!F20</f>
        <v>0.73646687326978777</v>
      </c>
      <c r="L24" s="119"/>
      <c r="M24" s="120"/>
      <c r="N24" s="121"/>
    </row>
    <row r="25" spans="2:14" x14ac:dyDescent="0.25">
      <c r="B25" s="5" t="s">
        <v>27</v>
      </c>
      <c r="C25" s="7">
        <f>Model!F21</f>
        <v>-0.30829808456503993</v>
      </c>
      <c r="L25" s="119"/>
      <c r="M25" s="120"/>
      <c r="N25" s="121"/>
    </row>
    <row r="26" spans="2:14" x14ac:dyDescent="0.25">
      <c r="B26" s="5" t="s">
        <v>67</v>
      </c>
      <c r="C26" s="36">
        <f>C12/C23</f>
        <v>-55.557908128450244</v>
      </c>
      <c r="L26" s="119"/>
      <c r="M26" s="120"/>
      <c r="N26" s="121"/>
    </row>
    <row r="27" spans="2:14" x14ac:dyDescent="0.25">
      <c r="B27" s="5" t="s">
        <v>78</v>
      </c>
      <c r="C27" s="112">
        <v>0</v>
      </c>
      <c r="E27" t="s">
        <v>69</v>
      </c>
      <c r="L27" s="119"/>
      <c r="M27" s="120"/>
      <c r="N27" s="121"/>
    </row>
    <row r="28" spans="2:14" x14ac:dyDescent="0.25">
      <c r="B28" s="5" t="s">
        <v>79</v>
      </c>
      <c r="C28" s="36">
        <f>Model!F11/Model!F12</f>
        <v>-8.0909568611750569</v>
      </c>
      <c r="L28" s="122"/>
      <c r="M28" s="123"/>
      <c r="N28" s="124"/>
    </row>
    <row r="29" spans="2:14" x14ac:dyDescent="0.25">
      <c r="B29" s="5" t="s">
        <v>80</v>
      </c>
      <c r="C29" s="36">
        <f>Model!F37/Model!F51</f>
        <v>1.498705678792057</v>
      </c>
    </row>
    <row r="30" spans="2:14" x14ac:dyDescent="0.25">
      <c r="B30" s="5" t="s">
        <v>81</v>
      </c>
      <c r="C30" s="36">
        <f>(Model!F31+Model!F32+Model!F33)/Model!F46</f>
        <v>15.330070655344526</v>
      </c>
    </row>
    <row r="31" spans="2:14" x14ac:dyDescent="0.25">
      <c r="B31" s="5" t="s">
        <v>82</v>
      </c>
      <c r="C31" s="6">
        <f>(Model!F37-Model!F51)/Model!F45</f>
        <v>0.17012586138819324</v>
      </c>
    </row>
    <row r="32" spans="2:14" x14ac:dyDescent="0.25">
      <c r="B32" s="5" t="s">
        <v>83</v>
      </c>
      <c r="C32" s="36">
        <f>(Model!F45-Model!F55)/Main!C7</f>
        <v>1.7109436970995395</v>
      </c>
    </row>
    <row r="33" spans="2:3" x14ac:dyDescent="0.25">
      <c r="B33" s="5" t="s">
        <v>84</v>
      </c>
      <c r="C33" s="36">
        <f>Model!F3/Model!F45</f>
        <v>0.5403278102654705</v>
      </c>
    </row>
    <row r="34" spans="2:3" x14ac:dyDescent="0.25">
      <c r="B34" s="5" t="s">
        <v>85</v>
      </c>
      <c r="C34" s="39">
        <f>Model!F16/Model!F45</f>
        <v>-0.16658202894206686</v>
      </c>
    </row>
    <row r="35" spans="2:3" x14ac:dyDescent="0.25">
      <c r="B35" s="5" t="s">
        <v>86</v>
      </c>
      <c r="C35" s="39">
        <f>Model!F16/Model!F56</f>
        <v>-0.31578970373065751</v>
      </c>
    </row>
    <row r="36" spans="2:3" x14ac:dyDescent="0.25">
      <c r="B36" s="22" t="s">
        <v>87</v>
      </c>
      <c r="C36" s="23"/>
    </row>
  </sheetData>
  <mergeCells count="1">
    <mergeCell ref="L17:N2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W77"/>
  <sheetViews>
    <sheetView zoomScaleNormal="100" workbookViewId="0">
      <pane xSplit="2" ySplit="2" topLeftCell="C30" activePane="bottomRight" state="frozen"/>
      <selection pane="topRight" activeCell="B1" sqref="B1"/>
      <selection pane="bottomLeft" activeCell="A3" sqref="A3"/>
      <selection pane="bottomRight" activeCell="F22" sqref="F22"/>
    </sheetView>
  </sheetViews>
  <sheetFormatPr defaultColWidth="11.42578125" defaultRowHeight="15" x14ac:dyDescent="0.25"/>
  <cols>
    <col min="1" max="1" width="4.7109375" customWidth="1"/>
    <col min="2" max="2" width="27.28515625" customWidth="1"/>
    <col min="5" max="5" width="11.42578125" style="139"/>
    <col min="6" max="6" width="11.42578125" style="13"/>
    <col min="21" max="21" width="11.42578125" style="13"/>
  </cols>
  <sheetData>
    <row r="1" spans="1:23" x14ac:dyDescent="0.25">
      <c r="A1" s="8" t="s">
        <v>33</v>
      </c>
      <c r="D1" s="12">
        <v>44592</v>
      </c>
      <c r="E1" s="152">
        <v>44957</v>
      </c>
      <c r="F1" s="20">
        <v>45322</v>
      </c>
      <c r="N1" s="12">
        <v>44651</v>
      </c>
      <c r="O1" s="12">
        <v>44742</v>
      </c>
      <c r="P1" s="12">
        <v>44865</v>
      </c>
      <c r="Q1" s="12">
        <v>44957</v>
      </c>
      <c r="R1" s="12">
        <v>45016</v>
      </c>
      <c r="S1" s="12">
        <v>45107</v>
      </c>
      <c r="T1" s="12">
        <v>45230</v>
      </c>
      <c r="U1" s="20">
        <v>45322</v>
      </c>
    </row>
    <row r="2" spans="1:23" x14ac:dyDescent="0.25">
      <c r="C2" t="s">
        <v>11</v>
      </c>
      <c r="D2" t="s">
        <v>12</v>
      </c>
      <c r="E2" s="139" t="s">
        <v>13</v>
      </c>
      <c r="F2" s="13" t="s">
        <v>29</v>
      </c>
      <c r="G2" t="s">
        <v>63</v>
      </c>
      <c r="H2" t="s">
        <v>184</v>
      </c>
      <c r="J2" t="s">
        <v>10</v>
      </c>
      <c r="K2" t="s">
        <v>6</v>
      </c>
      <c r="L2" t="s">
        <v>7</v>
      </c>
      <c r="M2" t="s">
        <v>8</v>
      </c>
      <c r="N2" t="s">
        <v>9</v>
      </c>
      <c r="O2" t="s">
        <v>31</v>
      </c>
      <c r="P2" t="s">
        <v>35</v>
      </c>
      <c r="Q2" t="s">
        <v>36</v>
      </c>
      <c r="R2" t="s">
        <v>59</v>
      </c>
      <c r="S2" t="s">
        <v>62</v>
      </c>
      <c r="T2" t="s">
        <v>181</v>
      </c>
      <c r="U2" s="13" t="s">
        <v>182</v>
      </c>
      <c r="V2" t="s">
        <v>183</v>
      </c>
      <c r="W2" t="s">
        <v>199</v>
      </c>
    </row>
    <row r="3" spans="1:23" s="136" customFormat="1" x14ac:dyDescent="0.25">
      <c r="B3" s="136" t="s">
        <v>14</v>
      </c>
      <c r="C3" s="137">
        <v>249.905</v>
      </c>
      <c r="D3" s="137">
        <v>428.34500000000003</v>
      </c>
      <c r="E3" s="140">
        <v>652.54499999999996</v>
      </c>
      <c r="F3" s="138">
        <v>937.38499999999999</v>
      </c>
      <c r="G3" s="137">
        <v>1200</v>
      </c>
      <c r="H3" s="136">
        <v>1500</v>
      </c>
      <c r="J3" s="137"/>
      <c r="K3" s="137"/>
      <c r="L3" s="137"/>
      <c r="M3" s="137"/>
      <c r="N3" s="137">
        <v>142.64500000000001</v>
      </c>
      <c r="O3" s="137">
        <v>153.523</v>
      </c>
      <c r="P3" s="137">
        <v>169.8</v>
      </c>
      <c r="Q3" s="140">
        <f>E3-P3-O3-N3</f>
        <v>186.57699999999997</v>
      </c>
      <c r="R3" s="137">
        <v>204.32</v>
      </c>
      <c r="S3" s="137">
        <v>219.25700000000001</v>
      </c>
      <c r="T3" s="137">
        <v>237.53399999999999</v>
      </c>
      <c r="U3" s="138">
        <f>F3-T3-S3-R3</f>
        <v>276.274</v>
      </c>
      <c r="V3" s="137">
        <v>272.43</v>
      </c>
      <c r="W3" s="41">
        <v>287.25</v>
      </c>
    </row>
    <row r="4" spans="1:23" x14ac:dyDescent="0.25">
      <c r="B4" s="9" t="s">
        <v>61</v>
      </c>
      <c r="C4" s="10"/>
      <c r="D4" s="10"/>
      <c r="E4" s="141"/>
      <c r="F4" s="153"/>
      <c r="G4" s="43">
        <v>1200</v>
      </c>
      <c r="H4" s="154">
        <v>1500</v>
      </c>
      <c r="J4" s="41"/>
      <c r="K4" s="41"/>
      <c r="L4" s="41"/>
      <c r="M4" s="41"/>
      <c r="N4" s="41"/>
      <c r="O4" s="41"/>
      <c r="P4" s="41"/>
      <c r="Q4" s="41"/>
      <c r="R4" s="41"/>
      <c r="S4" s="41"/>
      <c r="T4" s="41"/>
      <c r="U4" s="15"/>
      <c r="V4" s="163">
        <v>272.43</v>
      </c>
      <c r="W4" s="43">
        <v>287.25</v>
      </c>
    </row>
    <row r="5" spans="1:23" s="136" customFormat="1" x14ac:dyDescent="0.25">
      <c r="B5" s="136" t="s">
        <v>55</v>
      </c>
      <c r="C5" s="137">
        <v>75.393000000000001</v>
      </c>
      <c r="D5" s="137">
        <v>124.48399999999999</v>
      </c>
      <c r="E5" s="140">
        <v>182.65600000000001</v>
      </c>
      <c r="F5" s="138">
        <v>247.03200000000001</v>
      </c>
      <c r="G5" s="137"/>
      <c r="J5" s="137"/>
      <c r="K5" s="137"/>
      <c r="L5" s="137"/>
      <c r="M5" s="137"/>
      <c r="N5" s="137">
        <v>39.618000000000002</v>
      </c>
      <c r="O5" s="137">
        <v>44.256999999999998</v>
      </c>
      <c r="P5" s="137">
        <v>47.253</v>
      </c>
      <c r="Q5" s="140">
        <f t="shared" ref="Q5:Q10" si="0">E5-P5-O5-N5</f>
        <v>51.528000000000013</v>
      </c>
      <c r="R5" s="137">
        <v>57.557000000000002</v>
      </c>
      <c r="S5" s="137">
        <v>58.866</v>
      </c>
      <c r="T5" s="137">
        <v>61.585000000000001</v>
      </c>
      <c r="U5" s="138">
        <f t="shared" ref="U5:U10" si="1">F5-T5-S5-R5</f>
        <v>69.024000000000001</v>
      </c>
      <c r="V5" s="137"/>
      <c r="W5" s="137"/>
    </row>
    <row r="6" spans="1:23" s="136" customFormat="1" x14ac:dyDescent="0.25">
      <c r="B6" s="136" t="s">
        <v>68</v>
      </c>
      <c r="C6" s="137">
        <v>99.738</v>
      </c>
      <c r="D6" s="137">
        <v>205.125</v>
      </c>
      <c r="E6" s="140">
        <v>187.405</v>
      </c>
      <c r="F6" s="138">
        <v>258.58100000000002</v>
      </c>
      <c r="G6" s="137"/>
      <c r="J6" s="137"/>
      <c r="K6" s="137"/>
      <c r="L6" s="137"/>
      <c r="M6" s="137"/>
      <c r="N6" s="137">
        <v>40.984999999999999</v>
      </c>
      <c r="O6" s="137">
        <v>41.847000000000001</v>
      </c>
      <c r="P6" s="137">
        <v>49.97</v>
      </c>
      <c r="Q6" s="140">
        <f t="shared" si="0"/>
        <v>54.602999999999994</v>
      </c>
      <c r="R6" s="137">
        <v>60.366</v>
      </c>
      <c r="S6" s="137">
        <v>63.969000000000001</v>
      </c>
      <c r="T6" s="137">
        <v>60.82</v>
      </c>
      <c r="U6" s="138">
        <f t="shared" si="1"/>
        <v>73.42600000000003</v>
      </c>
    </row>
    <row r="7" spans="1:23" x14ac:dyDescent="0.25">
      <c r="B7" t="s">
        <v>185</v>
      </c>
      <c r="C7" s="10">
        <v>202.262</v>
      </c>
      <c r="D7" s="10">
        <v>291.209</v>
      </c>
      <c r="E7" s="141">
        <v>370.09800000000001</v>
      </c>
      <c r="F7" s="149">
        <v>486.649</v>
      </c>
      <c r="G7" s="41"/>
      <c r="J7" s="10"/>
      <c r="K7" s="10"/>
      <c r="L7" s="10"/>
      <c r="M7" s="10"/>
      <c r="N7" s="10">
        <v>87.448999999999998</v>
      </c>
      <c r="O7" s="10">
        <v>91.841999999999999</v>
      </c>
      <c r="P7" s="10">
        <v>94.055999999999997</v>
      </c>
      <c r="Q7" s="140">
        <f t="shared" si="0"/>
        <v>96.751000000000047</v>
      </c>
      <c r="R7" s="10">
        <v>118.955</v>
      </c>
      <c r="S7" s="10">
        <v>117.908</v>
      </c>
      <c r="T7" s="10">
        <v>116.78</v>
      </c>
      <c r="U7" s="138">
        <f t="shared" si="1"/>
        <v>133.00600000000003</v>
      </c>
    </row>
    <row r="8" spans="1:23" x14ac:dyDescent="0.25">
      <c r="B8" t="s">
        <v>130</v>
      </c>
      <c r="C8" s="10">
        <v>75.222999999999999</v>
      </c>
      <c r="D8" s="10">
        <v>159.84299999999999</v>
      </c>
      <c r="E8" s="141">
        <v>170.785</v>
      </c>
      <c r="F8" s="15">
        <v>195.04300000000001</v>
      </c>
      <c r="G8" s="10"/>
      <c r="J8" s="10"/>
      <c r="K8" s="10"/>
      <c r="L8" s="10"/>
      <c r="M8" s="10"/>
      <c r="N8" s="10">
        <v>43.741999999999997</v>
      </c>
      <c r="O8" s="10">
        <v>41.359000000000002</v>
      </c>
      <c r="P8" s="10">
        <v>41.997</v>
      </c>
      <c r="Q8" s="140">
        <f t="shared" si="0"/>
        <v>43.687000000000005</v>
      </c>
      <c r="R8" s="10">
        <v>43.265999999999998</v>
      </c>
      <c r="S8" s="10">
        <v>48.268000000000001</v>
      </c>
      <c r="T8" s="10">
        <v>48.353999999999999</v>
      </c>
      <c r="U8" s="138">
        <f t="shared" si="1"/>
        <v>55.155000000000022</v>
      </c>
    </row>
    <row r="9" spans="1:23" x14ac:dyDescent="0.25">
      <c r="B9" t="s">
        <v>186</v>
      </c>
      <c r="C9" s="10"/>
      <c r="D9" s="10">
        <v>1.532</v>
      </c>
      <c r="E9" s="141">
        <v>1.056</v>
      </c>
      <c r="F9" s="15">
        <v>4.7619999999999996</v>
      </c>
      <c r="G9" s="10"/>
      <c r="J9" s="10"/>
      <c r="K9" s="10"/>
      <c r="L9" s="10"/>
      <c r="M9" s="10"/>
      <c r="N9" s="10">
        <v>1.056</v>
      </c>
      <c r="O9" s="10"/>
      <c r="P9" s="10"/>
      <c r="Q9" s="140">
        <f t="shared" si="0"/>
        <v>0</v>
      </c>
      <c r="R9" s="10"/>
      <c r="S9" s="10"/>
      <c r="T9" s="10">
        <v>4.7619999999999996</v>
      </c>
      <c r="U9" s="138">
        <f t="shared" si="1"/>
        <v>0</v>
      </c>
    </row>
    <row r="10" spans="1:23" x14ac:dyDescent="0.25">
      <c r="B10" t="s">
        <v>187</v>
      </c>
      <c r="C10" s="10">
        <v>6.7679999999999998</v>
      </c>
      <c r="D10" s="10"/>
      <c r="E10" s="141"/>
      <c r="F10" s="149">
        <v>68.665000000000006</v>
      </c>
      <c r="G10" s="41"/>
      <c r="J10" s="10"/>
      <c r="K10" s="10"/>
      <c r="L10" s="10"/>
      <c r="M10" s="10"/>
      <c r="N10" s="10"/>
      <c r="O10" s="10"/>
      <c r="P10" s="10"/>
      <c r="Q10" s="140">
        <f t="shared" si="0"/>
        <v>0</v>
      </c>
      <c r="R10" s="10"/>
      <c r="S10" s="10"/>
      <c r="T10" s="10"/>
      <c r="U10" s="138">
        <f t="shared" si="1"/>
        <v>68.665000000000006</v>
      </c>
    </row>
    <row r="11" spans="1:23" s="1" customFormat="1" x14ac:dyDescent="0.25">
      <c r="B11" s="1" t="s">
        <v>19</v>
      </c>
      <c r="C11" s="11">
        <f>C3-SUM(C5:C10)</f>
        <v>-209.47900000000001</v>
      </c>
      <c r="D11" s="11">
        <f>D3-SUM(D5:D10)</f>
        <v>-353.84799999999996</v>
      </c>
      <c r="E11" s="142">
        <f>E3-SUM(E5:E10)</f>
        <v>-259.45500000000015</v>
      </c>
      <c r="F11" s="14">
        <f>F3-SUM(F5:F10)</f>
        <v>-323.34699999999998</v>
      </c>
      <c r="G11" s="11">
        <f>G3-SUM(G5:G10)</f>
        <v>1200</v>
      </c>
      <c r="H11" s="11"/>
      <c r="I11" s="11"/>
      <c r="J11" s="11">
        <f>J3-SUM(J5:J10)</f>
        <v>0</v>
      </c>
      <c r="K11" s="11">
        <f>K3-SUM(K5:K10)</f>
        <v>0</v>
      </c>
      <c r="L11" s="11">
        <f>L3-SUM(L5:L10)</f>
        <v>0</v>
      </c>
      <c r="M11" s="11">
        <f>M3-SUM(M5:M10)</f>
        <v>0</v>
      </c>
      <c r="N11" s="11">
        <f>N3-SUM(N5:N10)</f>
        <v>-70.205000000000013</v>
      </c>
      <c r="O11" s="11">
        <f>O3-SUM(O5:O10)</f>
        <v>-65.782000000000011</v>
      </c>
      <c r="P11" s="11">
        <f>P3-SUM(P5:P10)</f>
        <v>-63.475999999999999</v>
      </c>
      <c r="Q11" s="11">
        <f>Q3-SUM(Q5:Q10)</f>
        <v>-59.992000000000104</v>
      </c>
      <c r="R11" s="11">
        <f>R3-SUM(R5:R10)</f>
        <v>-75.824000000000012</v>
      </c>
      <c r="S11" s="11">
        <f>S3-SUM(S5:S10)</f>
        <v>-69.753999999999962</v>
      </c>
      <c r="T11" s="11">
        <f>T3-SUM(T5:T10)</f>
        <v>-54.766999999999996</v>
      </c>
      <c r="U11" s="14">
        <f>U3-SUM(U5:U10)</f>
        <v>-123.00200000000012</v>
      </c>
      <c r="V11" s="11">
        <f>V3-SUM(V5:V10)</f>
        <v>272.43</v>
      </c>
      <c r="W11" s="11">
        <f>W3-SUM(W5:W10)</f>
        <v>287.25</v>
      </c>
    </row>
    <row r="12" spans="1:23" x14ac:dyDescent="0.25">
      <c r="B12" t="s">
        <v>188</v>
      </c>
      <c r="C12" s="10">
        <v>-0.64200000000000002</v>
      </c>
      <c r="D12" s="10">
        <v>-2E-3</v>
      </c>
      <c r="E12" s="141">
        <v>15.62</v>
      </c>
      <c r="F12" s="149">
        <v>39.963999999999999</v>
      </c>
      <c r="G12" s="41"/>
      <c r="J12" s="10"/>
      <c r="K12" s="10"/>
      <c r="L12" s="10"/>
      <c r="M12" s="10"/>
      <c r="N12" s="10">
        <v>-0.06</v>
      </c>
      <c r="O12" s="10">
        <v>1.5409999999999999</v>
      </c>
      <c r="P12" s="10">
        <v>5.6130000000000004</v>
      </c>
      <c r="Q12" s="140">
        <f>E12-P12-O12-N12</f>
        <v>8.525999999999998</v>
      </c>
      <c r="R12" s="10">
        <v>8.8949999999999996</v>
      </c>
      <c r="S12" s="10">
        <v>10.220000000000001</v>
      </c>
      <c r="T12" s="10">
        <v>9.3780000000000001</v>
      </c>
      <c r="U12" s="138">
        <f>F12-T12-S12-R12</f>
        <v>11.471</v>
      </c>
    </row>
    <row r="13" spans="1:23" s="1" customFormat="1" x14ac:dyDescent="0.25">
      <c r="B13" s="1" t="s">
        <v>15</v>
      </c>
      <c r="C13" s="11">
        <f>C11+SUM(C12:C12)</f>
        <v>-210.12100000000001</v>
      </c>
      <c r="D13" s="11">
        <f>D11+SUM(D12:D12)</f>
        <v>-353.84999999999997</v>
      </c>
      <c r="E13" s="142">
        <f>E11+SUM(E12:E12)</f>
        <v>-243.83500000000015</v>
      </c>
      <c r="F13" s="14">
        <f>F11+SUM(F12:F12)</f>
        <v>-283.38299999999998</v>
      </c>
      <c r="G13" s="11">
        <f>G11+SUM(G12:G12)</f>
        <v>1200</v>
      </c>
      <c r="J13" s="11">
        <f>J11+SUM(J12:J12)</f>
        <v>0</v>
      </c>
      <c r="K13" s="11">
        <f>K11+SUM(K12:K12)</f>
        <v>0</v>
      </c>
      <c r="L13" s="11">
        <f>L11+SUM(L12:L12)</f>
        <v>0</v>
      </c>
      <c r="M13" s="11">
        <f>M11+SUM(M12:M12)</f>
        <v>0</v>
      </c>
      <c r="N13" s="11">
        <f>N11+SUM(N12:N12)</f>
        <v>-70.265000000000015</v>
      </c>
      <c r="O13" s="11">
        <f>O11+SUM(O12:O12)</f>
        <v>-64.241000000000014</v>
      </c>
      <c r="P13" s="11">
        <f>P11+SUM(P12:P12)</f>
        <v>-57.863</v>
      </c>
      <c r="Q13" s="11">
        <f>Q11+SUM(Q12:Q12)</f>
        <v>-51.466000000000108</v>
      </c>
      <c r="R13" s="11">
        <f>R11+SUM(R12:R12)</f>
        <v>-66.929000000000016</v>
      </c>
      <c r="S13" s="11">
        <f>S11+SUM(S12:S12)</f>
        <v>-59.533999999999963</v>
      </c>
      <c r="T13" s="11">
        <f>T11+SUM(T12:T12)</f>
        <v>-45.388999999999996</v>
      </c>
      <c r="U13" s="14">
        <f>U11+SUM(U12:U12)</f>
        <v>-111.53100000000012</v>
      </c>
      <c r="V13" s="11">
        <f>V11+SUM(V12:V12)</f>
        <v>272.43</v>
      </c>
      <c r="W13" s="11">
        <f>W11+SUM(W12:W12)</f>
        <v>287.25</v>
      </c>
    </row>
    <row r="14" spans="1:23" x14ac:dyDescent="0.25">
      <c r="B14" t="s">
        <v>16</v>
      </c>
      <c r="C14" s="10">
        <v>8.6999999999999994E-2</v>
      </c>
      <c r="D14" s="10">
        <v>1.1739999999999999</v>
      </c>
      <c r="E14" s="141">
        <v>3.5870000000000002</v>
      </c>
      <c r="F14" s="149">
        <v>3.343</v>
      </c>
      <c r="G14" s="41"/>
      <c r="J14" s="10"/>
      <c r="K14" s="10"/>
      <c r="L14" s="10"/>
      <c r="M14" s="10"/>
      <c r="N14" s="10">
        <v>0.72299999999999998</v>
      </c>
      <c r="O14" s="10">
        <v>0.04</v>
      </c>
      <c r="P14" s="10">
        <v>0.69199999999999995</v>
      </c>
      <c r="Q14" s="140">
        <f t="shared" ref="Q14:Q15" si="2">E14-P14-O14-N14</f>
        <v>2.1320000000000006</v>
      </c>
      <c r="R14" s="10">
        <v>0.92700000000000005</v>
      </c>
      <c r="S14" s="10">
        <v>0.434</v>
      </c>
      <c r="T14" s="10">
        <v>0.14199999999999999</v>
      </c>
      <c r="U14" s="138">
        <f>F14-T14-S14-R14</f>
        <v>1.8399999999999999</v>
      </c>
    </row>
    <row r="15" spans="1:23" x14ac:dyDescent="0.25">
      <c r="B15" t="s">
        <v>189</v>
      </c>
      <c r="C15" s="10"/>
      <c r="D15" s="10">
        <v>-9.6000000000000002E-2</v>
      </c>
      <c r="E15" s="141">
        <f>0.509-1.065</f>
        <v>-0.55599999999999994</v>
      </c>
      <c r="F15" s="149">
        <f>0.838+1.43</f>
        <v>2.2679999999999998</v>
      </c>
      <c r="G15" s="41"/>
      <c r="J15" s="10"/>
      <c r="K15" s="10"/>
      <c r="L15" s="10"/>
      <c r="M15" s="10"/>
      <c r="N15" s="10">
        <v>-0.17799999999999999</v>
      </c>
      <c r="O15" s="10">
        <v>7.6999999999999999E-2</v>
      </c>
      <c r="P15" s="10">
        <f>-0.315+1.304</f>
        <v>0.9890000000000001</v>
      </c>
      <c r="Q15" s="140">
        <f t="shared" si="2"/>
        <v>-1.444</v>
      </c>
      <c r="R15" s="10">
        <f>0.913+0.041</f>
        <v>0.95400000000000007</v>
      </c>
      <c r="S15" s="10">
        <f>-2.009+1.404</f>
        <v>-0.60499999999999998</v>
      </c>
      <c r="T15" s="10">
        <f>0.82-0.382</f>
        <v>0.43799999999999994</v>
      </c>
      <c r="U15" s="138">
        <f>F15-T15-S15-R15</f>
        <v>1.4809999999999994</v>
      </c>
    </row>
    <row r="16" spans="1:23" s="1" customFormat="1" x14ac:dyDescent="0.25">
      <c r="B16" s="1" t="s">
        <v>17</v>
      </c>
      <c r="C16" s="11">
        <f t="shared" ref="C16:F16" si="3">C13-SUM(C14:C15)</f>
        <v>-210.208</v>
      </c>
      <c r="D16" s="11">
        <f t="shared" si="3"/>
        <v>-354.92799999999994</v>
      </c>
      <c r="E16" s="142">
        <f t="shared" si="3"/>
        <v>-246.86600000000016</v>
      </c>
      <c r="F16" s="14">
        <f t="shared" si="3"/>
        <v>-288.99399999999997</v>
      </c>
      <c r="G16" s="51">
        <f>G19*G17</f>
        <v>64.185420120000003</v>
      </c>
      <c r="H16" s="51">
        <f>H19*H17</f>
        <v>117.67327022000001</v>
      </c>
      <c r="J16" s="11">
        <f t="shared" ref="J16" si="4">J13-SUM(J14:J15)</f>
        <v>0</v>
      </c>
      <c r="K16" s="11">
        <f t="shared" ref="K16" si="5">K13-SUM(K14:K15)</f>
        <v>0</v>
      </c>
      <c r="L16" s="11">
        <f t="shared" ref="L16" si="6">L13-SUM(L14:L15)</f>
        <v>0</v>
      </c>
      <c r="M16" s="11">
        <f t="shared" ref="M16" si="7">M13-SUM(M14:M15)</f>
        <v>0</v>
      </c>
      <c r="N16" s="11">
        <f t="shared" ref="N16" si="8">N13-SUM(N14:N15)</f>
        <v>-70.810000000000016</v>
      </c>
      <c r="O16" s="11">
        <f t="shared" ref="O16" si="9">O13-SUM(O14:O15)</f>
        <v>-64.358000000000018</v>
      </c>
      <c r="P16" s="11">
        <f t="shared" ref="P16" si="10">P13-SUM(P14:P15)</f>
        <v>-59.543999999999997</v>
      </c>
      <c r="Q16" s="11">
        <f t="shared" ref="Q16" si="11">Q13-SUM(Q14:Q15)</f>
        <v>-52.15400000000011</v>
      </c>
      <c r="R16" s="11">
        <f t="shared" ref="R16" si="12">R13-SUM(R14:R15)</f>
        <v>-68.810000000000016</v>
      </c>
      <c r="S16" s="11">
        <f t="shared" ref="S16" si="13">S13-SUM(S14:S15)</f>
        <v>-59.362999999999964</v>
      </c>
      <c r="T16" s="11">
        <f t="shared" ref="T16" si="14">T13-SUM(T14:T15)</f>
        <v>-45.968999999999994</v>
      </c>
      <c r="U16" s="14">
        <f t="shared" ref="U16" si="15">U13-SUM(U14:U15)</f>
        <v>-114.85200000000012</v>
      </c>
      <c r="V16" s="11">
        <f t="shared" ref="V16" si="16">V13-SUM(V14:V15)</f>
        <v>272.43</v>
      </c>
      <c r="W16" s="11">
        <f t="shared" ref="W16" si="17">W13-SUM(W14:W15)</f>
        <v>287.25</v>
      </c>
    </row>
    <row r="17" spans="2:23" x14ac:dyDescent="0.25">
      <c r="B17" t="s">
        <v>1</v>
      </c>
      <c r="C17" s="10">
        <v>239.28169600000001</v>
      </c>
      <c r="D17" s="10">
        <v>277.54347100000001</v>
      </c>
      <c r="E17" s="141">
        <v>514.27922999999998</v>
      </c>
      <c r="F17" s="149">
        <v>534.87850100000003</v>
      </c>
      <c r="G17" s="148">
        <v>534.87850100000003</v>
      </c>
      <c r="H17" s="148">
        <v>534.87850100000003</v>
      </c>
      <c r="J17" s="10"/>
      <c r="K17" s="10"/>
      <c r="L17" s="10"/>
      <c r="M17" s="10"/>
      <c r="N17" s="10">
        <v>507.29598199999998</v>
      </c>
      <c r="O17" s="10">
        <v>529.07754</v>
      </c>
      <c r="P17" s="10">
        <v>516.55125799999996</v>
      </c>
      <c r="Q17" s="140">
        <f>E17</f>
        <v>514.27922999999998</v>
      </c>
      <c r="R17" s="10">
        <v>526.40339800000004</v>
      </c>
      <c r="S17" s="10">
        <v>531.75168299999996</v>
      </c>
      <c r="T17" s="10">
        <v>537.46489199999996</v>
      </c>
      <c r="U17" s="138">
        <f>F17</f>
        <v>534.87850100000003</v>
      </c>
      <c r="V17" s="10"/>
      <c r="W17" s="10"/>
    </row>
    <row r="18" spans="2:23" s="1" customFormat="1" x14ac:dyDescent="0.25">
      <c r="B18" s="1" t="s">
        <v>18</v>
      </c>
      <c r="C18" s="2">
        <f>C16/C17</f>
        <v>-0.87849594646804907</v>
      </c>
      <c r="D18" s="2">
        <f>D16/D17</f>
        <v>-1.278819489866508</v>
      </c>
      <c r="E18" s="157">
        <f>E16/E17</f>
        <v>-0.48002327451567539</v>
      </c>
      <c r="F18" s="161">
        <f>F16/F17</f>
        <v>-0.54029840320689937</v>
      </c>
      <c r="G18" s="162"/>
      <c r="J18" s="2"/>
      <c r="K18" s="2" t="e">
        <f t="shared" ref="K18:S18" si="18">K16/K17</f>
        <v>#DIV/0!</v>
      </c>
      <c r="L18" s="2" t="e">
        <f t="shared" si="18"/>
        <v>#DIV/0!</v>
      </c>
      <c r="M18" s="2" t="e">
        <f t="shared" si="18"/>
        <v>#DIV/0!</v>
      </c>
      <c r="N18" s="2">
        <f t="shared" si="18"/>
        <v>-0.13958320687034342</v>
      </c>
      <c r="O18" s="2">
        <f t="shared" si="18"/>
        <v>-0.12164190526779878</v>
      </c>
      <c r="P18" s="2">
        <f t="shared" si="18"/>
        <v>-0.11527220015017367</v>
      </c>
      <c r="Q18" s="2">
        <f t="shared" si="18"/>
        <v>-0.10141183418976518</v>
      </c>
      <c r="R18" s="2">
        <f t="shared" si="18"/>
        <v>-0.13071724130473794</v>
      </c>
      <c r="S18" s="2">
        <f t="shared" si="18"/>
        <v>-0.11163669415222137</v>
      </c>
      <c r="T18" s="2">
        <f>T16/T17</f>
        <v>-8.5529307465909782E-2</v>
      </c>
      <c r="U18" s="35">
        <f>U16/U17</f>
        <v>-0.21472539985300346</v>
      </c>
      <c r="V18" s="46"/>
      <c r="W18" s="46"/>
    </row>
    <row r="19" spans="2:23" s="1" customFormat="1" x14ac:dyDescent="0.25">
      <c r="B19" s="9" t="s">
        <v>60</v>
      </c>
      <c r="C19" s="2"/>
      <c r="D19" s="2"/>
      <c r="E19" s="143"/>
      <c r="F19" s="158"/>
      <c r="G19" s="44">
        <v>0.12</v>
      </c>
      <c r="H19" s="159">
        <v>0.22</v>
      </c>
      <c r="J19" s="47"/>
      <c r="K19" s="47"/>
      <c r="L19" s="47"/>
      <c r="M19" s="47"/>
      <c r="N19" s="47"/>
      <c r="O19" s="47"/>
      <c r="P19" s="47"/>
      <c r="Q19" s="47"/>
      <c r="R19" s="47"/>
      <c r="S19" s="47"/>
      <c r="T19" s="47"/>
      <c r="U19" s="45"/>
      <c r="V19" s="46">
        <v>0.01</v>
      </c>
      <c r="W19" s="46">
        <v>0.01</v>
      </c>
    </row>
    <row r="20" spans="2:23" s="1" customFormat="1" x14ac:dyDescent="0.25">
      <c r="B20" t="s">
        <v>26</v>
      </c>
      <c r="C20" s="3">
        <f>1-C5/C3</f>
        <v>0.69831335907644898</v>
      </c>
      <c r="D20" s="3">
        <f>1-D5/D3</f>
        <v>0.70938379110296612</v>
      </c>
      <c r="E20" s="40">
        <f>1-E5/E3</f>
        <v>0.72008673731313544</v>
      </c>
      <c r="F20" s="6">
        <f>1-F5/F3</f>
        <v>0.73646687326978777</v>
      </c>
      <c r="G20" s="160"/>
      <c r="J20" s="3"/>
      <c r="K20" s="3"/>
      <c r="L20" s="3"/>
      <c r="M20" s="3"/>
      <c r="N20" s="3">
        <f>1-N5/N3</f>
        <v>0.72226155841424511</v>
      </c>
      <c r="O20" s="3">
        <f>1-O5/O3</f>
        <v>0.71172397621203332</v>
      </c>
      <c r="P20" s="3">
        <f>1-P5/P3</f>
        <v>0.72171378091872795</v>
      </c>
      <c r="Q20" s="3">
        <f>1-Q5/Q3</f>
        <v>0.7238244799734157</v>
      </c>
      <c r="R20" s="3">
        <f>1-R5/R3</f>
        <v>0.71829972592012525</v>
      </c>
      <c r="S20" s="3">
        <f>1-S5/S3</f>
        <v>0.73152054438398773</v>
      </c>
      <c r="T20" s="3">
        <f>1-T5/T3</f>
        <v>0.74073185312418433</v>
      </c>
      <c r="U20" s="6">
        <f>1-U5/U3</f>
        <v>0.75016107197926696</v>
      </c>
    </row>
    <row r="21" spans="2:23" x14ac:dyDescent="0.25">
      <c r="B21" t="s">
        <v>27</v>
      </c>
      <c r="C21" s="4">
        <f>C16/C3</f>
        <v>-0.8411516376222965</v>
      </c>
      <c r="D21" s="4">
        <f>D16/D3</f>
        <v>-0.82860311197749459</v>
      </c>
      <c r="E21" s="144">
        <f>E16/E3</f>
        <v>-0.37831260679340151</v>
      </c>
      <c r="F21" s="155">
        <f>F16/F3</f>
        <v>-0.30829808456503993</v>
      </c>
      <c r="G21" s="156">
        <f>G16/G4</f>
        <v>5.3487850100000005E-2</v>
      </c>
      <c r="J21" s="4"/>
      <c r="K21" s="4"/>
      <c r="L21" s="4"/>
      <c r="M21" s="4"/>
      <c r="N21" s="4">
        <f>N16/N3</f>
        <v>-0.4964071646394897</v>
      </c>
      <c r="O21" s="4">
        <f>O16/O3</f>
        <v>-0.41920754544921623</v>
      </c>
      <c r="P21" s="4">
        <f>P16/P3</f>
        <v>-0.35067137809187277</v>
      </c>
      <c r="Q21" s="4">
        <f>Q16/Q3</f>
        <v>-0.27953070314133105</v>
      </c>
      <c r="R21" s="4">
        <f>R16/R3</f>
        <v>-0.33677564604541904</v>
      </c>
      <c r="S21" s="4">
        <f>S16/S3</f>
        <v>-0.27074620194566179</v>
      </c>
      <c r="T21" s="4">
        <f>T16/T3</f>
        <v>-0.19352597943873295</v>
      </c>
      <c r="U21" s="7">
        <f>U16/U3</f>
        <v>-0.4157177295004239</v>
      </c>
    </row>
    <row r="22" spans="2:23" x14ac:dyDescent="0.25">
      <c r="B22" t="s">
        <v>28</v>
      </c>
      <c r="C22" s="3"/>
      <c r="D22" s="40">
        <f>D3/C3-1</f>
        <v>0.71403133190612444</v>
      </c>
      <c r="E22" s="40">
        <f>E3/D3-1</f>
        <v>0.52340986821370605</v>
      </c>
      <c r="F22" s="150">
        <f>F3/E3-1</f>
        <v>0.43650629458504775</v>
      </c>
      <c r="G22" s="113">
        <f>G4/F3-1</f>
        <v>0.28015703259599856</v>
      </c>
      <c r="H22" s="113">
        <f>H4/G4-1</f>
        <v>0.25</v>
      </c>
      <c r="J22" s="4"/>
      <c r="K22" s="4"/>
      <c r="L22" s="4"/>
      <c r="M22" s="4"/>
      <c r="N22" s="4"/>
      <c r="O22" s="4"/>
      <c r="P22" s="4"/>
      <c r="Q22" s="4"/>
      <c r="R22" s="4">
        <f>R3/N3-1</f>
        <v>0.4323670650916609</v>
      </c>
      <c r="S22" s="4">
        <f>S3/O3-1</f>
        <v>0.42817037186610474</v>
      </c>
      <c r="T22" s="4">
        <f>T3/P3-1</f>
        <v>0.39890459363957587</v>
      </c>
      <c r="U22" s="7">
        <f>U3/Q3-1</f>
        <v>0.48075057482969519</v>
      </c>
      <c r="V22" s="37">
        <f>V4/R3-1</f>
        <v>0.33334964761158981</v>
      </c>
      <c r="W22" s="37">
        <f>W4/S3-1</f>
        <v>0.3101064048126172</v>
      </c>
    </row>
    <row r="23" spans="2:23" x14ac:dyDescent="0.25">
      <c r="B23" t="s">
        <v>128</v>
      </c>
      <c r="C23" s="113">
        <f t="shared" ref="C23:D23" si="19">C6/C$3</f>
        <v>0.39910365939056841</v>
      </c>
      <c r="D23" s="113">
        <f t="shared" si="19"/>
        <v>0.47887800721381124</v>
      </c>
      <c r="E23" s="113">
        <f>E6/E$3</f>
        <v>0.28719092169888671</v>
      </c>
      <c r="F23" s="150">
        <f>F6/F$3</f>
        <v>0.27585357137142158</v>
      </c>
      <c r="G23" s="113"/>
      <c r="J23" s="4"/>
      <c r="K23" s="4"/>
      <c r="L23" s="4"/>
      <c r="M23" s="4"/>
      <c r="N23" s="113">
        <f t="shared" ref="N23:U23" si="20">N6/N$3</f>
        <v>0.2873216726839356</v>
      </c>
      <c r="O23" s="113">
        <f t="shared" si="20"/>
        <v>0.27257805019443343</v>
      </c>
      <c r="P23" s="113">
        <f t="shared" si="20"/>
        <v>0.29428739693757361</v>
      </c>
      <c r="Q23" s="113">
        <f t="shared" si="20"/>
        <v>0.29265665114135186</v>
      </c>
      <c r="R23" s="113">
        <f t="shared" si="20"/>
        <v>0.29544831636648394</v>
      </c>
      <c r="S23" s="113">
        <f t="shared" si="20"/>
        <v>0.29175351300072516</v>
      </c>
      <c r="T23" s="113">
        <f t="shared" si="20"/>
        <v>0.25604755529734691</v>
      </c>
      <c r="U23" s="150">
        <f t="shared" si="20"/>
        <v>0.26577238538552317</v>
      </c>
      <c r="V23" s="4"/>
    </row>
    <row r="24" spans="2:23" x14ac:dyDescent="0.25">
      <c r="B24" t="s">
        <v>190</v>
      </c>
      <c r="C24" s="113">
        <f t="shared" ref="C24:E24" si="21">C7/C$3</f>
        <v>0.80935555511094215</v>
      </c>
      <c r="D24" s="113">
        <f t="shared" si="21"/>
        <v>0.67984685242036202</v>
      </c>
      <c r="E24" s="113">
        <f t="shared" si="21"/>
        <v>0.56716088545617549</v>
      </c>
      <c r="F24" s="150">
        <f>F7/F$3</f>
        <v>0.51915594979650836</v>
      </c>
      <c r="G24" s="113"/>
      <c r="J24" s="4"/>
      <c r="K24" s="4"/>
      <c r="L24" s="4"/>
      <c r="M24" s="4"/>
      <c r="N24" s="113">
        <f t="shared" ref="N24:U24" si="22">N7/N$3</f>
        <v>0.61305338427564926</v>
      </c>
      <c r="O24" s="113">
        <f t="shared" si="22"/>
        <v>0.59822958123538494</v>
      </c>
      <c r="P24" s="113">
        <f t="shared" si="22"/>
        <v>0.55392226148409884</v>
      </c>
      <c r="Q24" s="113">
        <f t="shared" si="22"/>
        <v>0.51855802162110043</v>
      </c>
      <c r="R24" s="113">
        <f t="shared" si="22"/>
        <v>0.5821994909945184</v>
      </c>
      <c r="S24" s="113">
        <f t="shared" si="22"/>
        <v>0.53776162220590451</v>
      </c>
      <c r="T24" s="113">
        <f t="shared" si="22"/>
        <v>0.49163488174324521</v>
      </c>
      <c r="U24" s="150">
        <f t="shared" si="22"/>
        <v>0.48142785785126369</v>
      </c>
      <c r="V24" s="4"/>
    </row>
    <row r="25" spans="2:23" x14ac:dyDescent="0.25">
      <c r="B25" t="s">
        <v>129</v>
      </c>
      <c r="C25" s="113">
        <f t="shared" ref="C25:E25" si="23">C8/C$3</f>
        <v>0.30100638242532163</v>
      </c>
      <c r="D25" s="113">
        <f t="shared" si="23"/>
        <v>0.37316415506192435</v>
      </c>
      <c r="E25" s="113">
        <f t="shared" si="23"/>
        <v>0.26172141384885333</v>
      </c>
      <c r="F25" s="150">
        <f>F8/F$3</f>
        <v>0.20807139009051778</v>
      </c>
      <c r="G25" s="113"/>
      <c r="J25" s="4"/>
      <c r="K25" s="4"/>
      <c r="L25" s="4"/>
      <c r="M25" s="4"/>
      <c r="N25" s="113">
        <f t="shared" ref="N25:U25" si="24">N8/N$3</f>
        <v>0.30664937432086642</v>
      </c>
      <c r="O25" s="113">
        <f t="shared" si="24"/>
        <v>0.26939937338379266</v>
      </c>
      <c r="P25" s="113">
        <f t="shared" si="24"/>
        <v>0.24733215547703177</v>
      </c>
      <c r="Q25" s="113">
        <f t="shared" si="24"/>
        <v>0.23414997561328574</v>
      </c>
      <c r="R25" s="113">
        <f t="shared" si="24"/>
        <v>0.21175606891151136</v>
      </c>
      <c r="S25" s="113">
        <f t="shared" si="24"/>
        <v>0.22014348458658103</v>
      </c>
      <c r="T25" s="113">
        <f t="shared" si="24"/>
        <v>0.20356664730101795</v>
      </c>
      <c r="U25" s="150">
        <f t="shared" si="24"/>
        <v>0.19963876441503733</v>
      </c>
      <c r="V25" s="4"/>
    </row>
    <row r="26" spans="2:23" x14ac:dyDescent="0.25">
      <c r="B26" t="s">
        <v>30</v>
      </c>
      <c r="C26" s="3"/>
      <c r="D26" s="40">
        <f>D16/C16-1</f>
        <v>0.6884609529608765</v>
      </c>
      <c r="E26" s="40">
        <f>E16/D16-1</f>
        <v>-0.30446174998872955</v>
      </c>
      <c r="F26" s="151">
        <f>F18/E18-1</f>
        <v>0.12556709620390638</v>
      </c>
      <c r="G26" s="50">
        <f>G19/F18-1</f>
        <v>-1.2220994903700424</v>
      </c>
      <c r="H26" s="50">
        <f>H19/G19-1</f>
        <v>0.83333333333333348</v>
      </c>
      <c r="J26" s="4"/>
      <c r="K26" s="4"/>
      <c r="L26" s="4"/>
      <c r="M26" s="4"/>
      <c r="N26" s="4"/>
      <c r="O26" s="4"/>
      <c r="P26" s="4"/>
      <c r="Q26" s="4"/>
      <c r="R26" s="4">
        <f>R16/N16-1</f>
        <v>-2.8244598220590333E-2</v>
      </c>
      <c r="S26" s="4">
        <f>S16/O16-1</f>
        <v>-7.7612728798285402E-2</v>
      </c>
      <c r="T26" s="4">
        <f>T16/P16-1</f>
        <v>-0.22798266827891989</v>
      </c>
      <c r="U26" s="7">
        <f>U16/Q16-1</f>
        <v>1.2021704950722834</v>
      </c>
      <c r="V26" s="4">
        <f>V16/R16-1</f>
        <v>-4.9591629123673879</v>
      </c>
    </row>
    <row r="27" spans="2:23" x14ac:dyDescent="0.25">
      <c r="C27" s="3"/>
      <c r="D27" s="40"/>
      <c r="E27" s="40"/>
      <c r="F27" s="151"/>
      <c r="G27" s="50"/>
      <c r="J27" s="4"/>
      <c r="K27" s="4"/>
      <c r="L27" s="4"/>
      <c r="M27" s="4"/>
      <c r="N27" s="4"/>
      <c r="O27" s="4"/>
      <c r="P27" s="4"/>
      <c r="Q27" s="4"/>
      <c r="R27" s="4"/>
      <c r="S27" s="4"/>
      <c r="T27" s="4"/>
      <c r="U27" s="7"/>
      <c r="V27" s="4"/>
    </row>
    <row r="30" spans="2:23" s="1" customFormat="1" x14ac:dyDescent="0.25">
      <c r="B30" s="1" t="s">
        <v>34</v>
      </c>
      <c r="C30" s="142">
        <f t="shared" ref="C30:D30" si="25">C31+C32</f>
        <v>0</v>
      </c>
      <c r="D30" s="142">
        <f t="shared" si="25"/>
        <v>921.21799999999996</v>
      </c>
      <c r="E30" s="142">
        <f>E31+E32</f>
        <v>689.86199999999997</v>
      </c>
      <c r="F30" s="14">
        <f>F31+F32</f>
        <v>547.66200000000003</v>
      </c>
      <c r="J30" s="142">
        <f>J31+J32</f>
        <v>0</v>
      </c>
      <c r="K30" s="142">
        <f t="shared" ref="K30:W30" si="26">K31+K32</f>
        <v>0</v>
      </c>
      <c r="L30" s="142">
        <f t="shared" si="26"/>
        <v>0</v>
      </c>
      <c r="M30" s="142">
        <f t="shared" si="26"/>
        <v>0</v>
      </c>
      <c r="N30" s="142">
        <f t="shared" si="26"/>
        <v>0</v>
      </c>
      <c r="O30" s="142">
        <f t="shared" si="26"/>
        <v>0</v>
      </c>
      <c r="P30" s="142">
        <f t="shared" si="26"/>
        <v>0</v>
      </c>
      <c r="Q30" s="142">
        <f t="shared" si="26"/>
        <v>689.86199999999997</v>
      </c>
      <c r="R30" s="142">
        <f t="shared" si="26"/>
        <v>725.98300000000006</v>
      </c>
      <c r="S30" s="142">
        <f t="shared" si="26"/>
        <v>724.81299999999999</v>
      </c>
      <c r="T30" s="142">
        <f t="shared" si="26"/>
        <v>659.75800000000004</v>
      </c>
      <c r="U30" s="14">
        <f t="shared" si="26"/>
        <v>547.66200000000003</v>
      </c>
      <c r="V30" s="142">
        <f t="shared" si="26"/>
        <v>0</v>
      </c>
      <c r="W30" s="142">
        <f t="shared" si="26"/>
        <v>0</v>
      </c>
    </row>
    <row r="31" spans="2:23" x14ac:dyDescent="0.25">
      <c r="B31" t="s">
        <v>20</v>
      </c>
      <c r="C31" s="10"/>
      <c r="D31" s="10">
        <v>921.21799999999996</v>
      </c>
      <c r="E31" s="141">
        <v>200.67</v>
      </c>
      <c r="F31" s="15">
        <v>135.536</v>
      </c>
      <c r="J31" s="10"/>
      <c r="K31" s="10"/>
      <c r="L31" s="10"/>
      <c r="M31" s="10"/>
      <c r="N31" s="10"/>
      <c r="O31" s="10"/>
      <c r="P31" s="10"/>
      <c r="Q31" s="10">
        <f>E31</f>
        <v>200.67</v>
      </c>
      <c r="R31" s="10">
        <v>192.05199999999999</v>
      </c>
      <c r="S31" s="10">
        <v>196.03700000000001</v>
      </c>
      <c r="T31" s="137">
        <v>208.09899999999999</v>
      </c>
      <c r="U31" s="15">
        <f>F31</f>
        <v>135.536</v>
      </c>
    </row>
    <row r="32" spans="2:23" x14ac:dyDescent="0.25">
      <c r="B32" t="s">
        <v>191</v>
      </c>
      <c r="C32" s="10"/>
      <c r="D32" s="10"/>
      <c r="E32" s="141">
        <v>489.19200000000001</v>
      </c>
      <c r="F32" s="15">
        <v>412.12599999999998</v>
      </c>
      <c r="J32" s="10"/>
      <c r="K32" s="10"/>
      <c r="L32" s="10"/>
      <c r="M32" s="10"/>
      <c r="N32" s="10"/>
      <c r="O32" s="10"/>
      <c r="P32" s="10"/>
      <c r="Q32" s="10">
        <f t="shared" ref="Q32:Q36" si="27">E32</f>
        <v>489.19200000000001</v>
      </c>
      <c r="R32" s="10">
        <v>533.93100000000004</v>
      </c>
      <c r="S32" s="10">
        <v>528.77599999999995</v>
      </c>
      <c r="T32" s="10">
        <v>451.65899999999999</v>
      </c>
      <c r="U32" s="15">
        <f t="shared" ref="U32:U36" si="28">F32</f>
        <v>412.12599999999998</v>
      </c>
    </row>
    <row r="33" spans="2:21" x14ac:dyDescent="0.25">
      <c r="B33" t="s">
        <v>21</v>
      </c>
      <c r="C33" s="10"/>
      <c r="D33" s="10">
        <v>81.986999999999995</v>
      </c>
      <c r="E33" s="141">
        <v>122.867</v>
      </c>
      <c r="F33" s="15">
        <v>161.82900000000001</v>
      </c>
      <c r="J33" s="10"/>
      <c r="K33" s="10"/>
      <c r="L33" s="10"/>
      <c r="M33" s="10"/>
      <c r="N33" s="10"/>
      <c r="O33" s="10"/>
      <c r="P33" s="10"/>
      <c r="Q33" s="10">
        <f t="shared" si="27"/>
        <v>122.867</v>
      </c>
      <c r="R33" s="10">
        <v>102.56399999999999</v>
      </c>
      <c r="S33" s="10">
        <v>115.422</v>
      </c>
      <c r="T33" s="10">
        <v>115.199</v>
      </c>
      <c r="U33" s="15">
        <f t="shared" si="28"/>
        <v>161.82900000000001</v>
      </c>
    </row>
    <row r="34" spans="2:21" x14ac:dyDescent="0.25">
      <c r="B34" t="s">
        <v>74</v>
      </c>
      <c r="C34" s="10"/>
      <c r="D34" s="10">
        <v>33.067</v>
      </c>
      <c r="E34" s="141">
        <v>40.570999999999998</v>
      </c>
      <c r="F34" s="15">
        <v>22.238</v>
      </c>
      <c r="J34" s="10"/>
      <c r="K34" s="10"/>
      <c r="L34" s="10"/>
      <c r="M34" s="10"/>
      <c r="N34" s="10"/>
      <c r="O34" s="10"/>
      <c r="P34" s="10"/>
      <c r="Q34" s="10">
        <f t="shared" si="27"/>
        <v>40.570999999999998</v>
      </c>
      <c r="R34" s="10">
        <v>32.402999999999999</v>
      </c>
      <c r="S34" s="10">
        <v>21.766999999999999</v>
      </c>
      <c r="T34" s="10">
        <v>27.103000000000002</v>
      </c>
      <c r="U34" s="15">
        <f t="shared" si="28"/>
        <v>22.238</v>
      </c>
    </row>
    <row r="35" spans="2:21" x14ac:dyDescent="0.25">
      <c r="B35" t="s">
        <v>192</v>
      </c>
      <c r="C35" s="10"/>
      <c r="D35" s="10">
        <v>52.518999999999998</v>
      </c>
      <c r="E35" s="141">
        <v>82.046000000000006</v>
      </c>
      <c r="F35" s="15">
        <v>104.008</v>
      </c>
      <c r="J35" s="10"/>
      <c r="K35" s="10"/>
      <c r="L35" s="10"/>
      <c r="M35" s="10"/>
      <c r="N35" s="10"/>
      <c r="O35" s="10"/>
      <c r="P35" s="10"/>
      <c r="Q35" s="10">
        <f t="shared" si="27"/>
        <v>82.046000000000006</v>
      </c>
      <c r="R35" s="10">
        <v>86.277000000000001</v>
      </c>
      <c r="S35" s="10">
        <v>94.061000000000007</v>
      </c>
      <c r="T35" s="10">
        <v>99.23</v>
      </c>
      <c r="U35" s="15">
        <f t="shared" si="28"/>
        <v>104.008</v>
      </c>
    </row>
    <row r="36" spans="2:21" x14ac:dyDescent="0.25">
      <c r="B36" t="s">
        <v>70</v>
      </c>
      <c r="C36" s="10"/>
      <c r="D36" s="10">
        <v>11.375999999999999</v>
      </c>
      <c r="E36" s="141">
        <v>22.189</v>
      </c>
      <c r="F36" s="15">
        <v>51.220999999999997</v>
      </c>
      <c r="J36" s="10"/>
      <c r="K36" s="10"/>
      <c r="L36" s="10"/>
      <c r="M36" s="10"/>
      <c r="N36" s="10"/>
      <c r="O36" s="10"/>
      <c r="P36" s="10"/>
      <c r="Q36" s="10">
        <f t="shared" si="27"/>
        <v>22.189</v>
      </c>
      <c r="R36" s="10">
        <v>23.324000000000002</v>
      </c>
      <c r="S36" s="10">
        <v>21.902000000000001</v>
      </c>
      <c r="T36" s="10">
        <v>39.593000000000004</v>
      </c>
      <c r="U36" s="15">
        <f t="shared" si="28"/>
        <v>51.220999999999997</v>
      </c>
    </row>
    <row r="37" spans="2:21" s="1" customFormat="1" x14ac:dyDescent="0.25">
      <c r="B37" s="1" t="s">
        <v>56</v>
      </c>
      <c r="C37" s="11">
        <f>SUM(C31:C36)</f>
        <v>0</v>
      </c>
      <c r="D37" s="11">
        <f t="shared" ref="D37:E37" si="29">SUM(D31:D36)</f>
        <v>1100.1669999999999</v>
      </c>
      <c r="E37" s="142">
        <f t="shared" si="29"/>
        <v>957.53499999999997</v>
      </c>
      <c r="F37" s="14">
        <f t="shared" ref="F37" si="30">SUM(F31:F36)</f>
        <v>886.95800000000008</v>
      </c>
      <c r="J37" s="11">
        <f t="shared" ref="J37:U37" si="31">SUM(J31:J36)</f>
        <v>0</v>
      </c>
      <c r="K37" s="11">
        <f t="shared" si="31"/>
        <v>0</v>
      </c>
      <c r="L37" s="11">
        <f t="shared" si="31"/>
        <v>0</v>
      </c>
      <c r="M37" s="11">
        <f t="shared" si="31"/>
        <v>0</v>
      </c>
      <c r="N37" s="11">
        <f t="shared" si="31"/>
        <v>0</v>
      </c>
      <c r="O37" s="11">
        <f t="shared" si="31"/>
        <v>0</v>
      </c>
      <c r="P37" s="11">
        <f t="shared" si="31"/>
        <v>0</v>
      </c>
      <c r="Q37" s="11">
        <f t="shared" si="31"/>
        <v>957.53499999999997</v>
      </c>
      <c r="R37" s="11">
        <f t="shared" si="31"/>
        <v>970.55100000000004</v>
      </c>
      <c r="S37" s="11">
        <f t="shared" si="31"/>
        <v>977.96500000000015</v>
      </c>
      <c r="T37" s="11">
        <f t="shared" si="31"/>
        <v>940.88299999999992</v>
      </c>
      <c r="U37" s="14">
        <f t="shared" si="31"/>
        <v>886.95800000000008</v>
      </c>
    </row>
    <row r="38" spans="2:21" x14ac:dyDescent="0.25">
      <c r="B38" t="s">
        <v>71</v>
      </c>
      <c r="C38" s="10"/>
      <c r="D38" s="10">
        <v>23.091999999999999</v>
      </c>
      <c r="E38" s="141">
        <v>23.096</v>
      </c>
      <c r="F38" s="15">
        <v>19.202000000000002</v>
      </c>
      <c r="J38" s="10"/>
      <c r="K38" s="10"/>
      <c r="L38" s="10"/>
      <c r="M38" s="10"/>
      <c r="N38" s="10"/>
      <c r="O38" s="10"/>
      <c r="P38" s="10"/>
      <c r="Q38" s="10">
        <f t="shared" ref="Q38:Q44" si="32">E38</f>
        <v>23.096</v>
      </c>
      <c r="R38" s="10">
        <v>24.295999999999999</v>
      </c>
      <c r="S38" s="10">
        <v>24.085999999999999</v>
      </c>
      <c r="T38" s="10">
        <v>21.683</v>
      </c>
      <c r="U38" s="15">
        <f t="shared" ref="U38:U44" si="33">F38</f>
        <v>19.202000000000002</v>
      </c>
    </row>
    <row r="39" spans="2:21" x14ac:dyDescent="0.25">
      <c r="B39" t="s">
        <v>193</v>
      </c>
      <c r="C39" s="10"/>
      <c r="D39" s="10"/>
      <c r="E39" s="141">
        <v>113.101</v>
      </c>
      <c r="F39" s="15">
        <v>276.166</v>
      </c>
      <c r="J39" s="10"/>
      <c r="K39" s="10"/>
      <c r="L39" s="10"/>
      <c r="M39" s="10"/>
      <c r="N39" s="10"/>
      <c r="O39" s="10"/>
      <c r="P39" s="10"/>
      <c r="Q39" s="10">
        <f t="shared" si="32"/>
        <v>113.101</v>
      </c>
      <c r="R39" s="10">
        <v>87.77</v>
      </c>
      <c r="S39" s="10">
        <v>109.723</v>
      </c>
      <c r="T39" s="10">
        <v>189.41399999999999</v>
      </c>
      <c r="U39" s="15">
        <f t="shared" si="33"/>
        <v>276.166</v>
      </c>
    </row>
    <row r="40" spans="2:21" x14ac:dyDescent="0.25">
      <c r="B40" t="s">
        <v>72</v>
      </c>
      <c r="C40" s="10"/>
      <c r="D40" s="10">
        <v>35.771999999999998</v>
      </c>
      <c r="E40" s="141">
        <v>59.277999999999999</v>
      </c>
      <c r="F40" s="15">
        <v>54.969000000000001</v>
      </c>
      <c r="J40" s="10"/>
      <c r="K40" s="10"/>
      <c r="L40" s="10"/>
      <c r="M40" s="10"/>
      <c r="N40" s="10"/>
      <c r="O40" s="10"/>
      <c r="P40" s="10"/>
      <c r="Q40" s="10">
        <f t="shared" si="32"/>
        <v>59.277999999999999</v>
      </c>
      <c r="R40" s="10">
        <v>58.695</v>
      </c>
      <c r="S40" s="10">
        <v>58.405000000000001</v>
      </c>
      <c r="T40" s="10">
        <v>56.634999999999998</v>
      </c>
      <c r="U40" s="15">
        <f t="shared" si="33"/>
        <v>54.969000000000001</v>
      </c>
    </row>
    <row r="41" spans="2:21" x14ac:dyDescent="0.25">
      <c r="B41" t="s">
        <v>194</v>
      </c>
      <c r="C41" s="10"/>
      <c r="D41" s="10">
        <v>134.42699999999999</v>
      </c>
      <c r="E41" s="141">
        <v>112.624</v>
      </c>
      <c r="F41" s="15">
        <v>81.974000000000004</v>
      </c>
      <c r="J41" s="10"/>
      <c r="K41" s="10"/>
      <c r="L41" s="10"/>
      <c r="M41" s="10"/>
      <c r="N41" s="10"/>
      <c r="O41" s="10"/>
      <c r="P41" s="10"/>
      <c r="Q41" s="10">
        <f t="shared" si="32"/>
        <v>112.624</v>
      </c>
      <c r="R41" s="10">
        <v>97.4</v>
      </c>
      <c r="S41" s="10">
        <v>92.683000000000007</v>
      </c>
      <c r="T41" s="10">
        <v>85.491</v>
      </c>
      <c r="U41" s="15">
        <f t="shared" si="33"/>
        <v>81.974000000000004</v>
      </c>
    </row>
    <row r="42" spans="2:21" s="1" customFormat="1" x14ac:dyDescent="0.25">
      <c r="B42" t="s">
        <v>192</v>
      </c>
      <c r="C42" s="10"/>
      <c r="D42" s="10">
        <v>141.292</v>
      </c>
      <c r="E42" s="141">
        <v>194.852</v>
      </c>
      <c r="F42" s="15">
        <v>230.78200000000001</v>
      </c>
      <c r="J42" s="10"/>
      <c r="K42" s="10"/>
      <c r="L42" s="10"/>
      <c r="M42" s="10"/>
      <c r="N42" s="10"/>
      <c r="O42" s="10"/>
      <c r="P42" s="10"/>
      <c r="Q42" s="10">
        <f t="shared" si="32"/>
        <v>194.852</v>
      </c>
      <c r="R42" s="10">
        <v>200.327</v>
      </c>
      <c r="S42" s="10">
        <v>210.5</v>
      </c>
      <c r="T42" s="10">
        <v>214.66499999999999</v>
      </c>
      <c r="U42" s="15">
        <f t="shared" si="33"/>
        <v>230.78200000000001</v>
      </c>
    </row>
    <row r="43" spans="2:21" s="1" customFormat="1" x14ac:dyDescent="0.25">
      <c r="B43" t="s">
        <v>195</v>
      </c>
      <c r="C43" s="10"/>
      <c r="D43" s="10">
        <v>117.75700000000001</v>
      </c>
      <c r="E43" s="141">
        <v>140.166</v>
      </c>
      <c r="F43" s="15">
        <v>177.56200000000001</v>
      </c>
      <c r="J43" s="10"/>
      <c r="K43" s="10"/>
      <c r="L43" s="10"/>
      <c r="M43" s="10"/>
      <c r="N43" s="10"/>
      <c r="O43" s="10"/>
      <c r="P43" s="10"/>
      <c r="Q43" s="10">
        <f t="shared" si="32"/>
        <v>140.166</v>
      </c>
      <c r="R43" s="10">
        <v>143.684</v>
      </c>
      <c r="S43" s="10">
        <v>153.244</v>
      </c>
      <c r="T43" s="10">
        <v>161.46299999999999</v>
      </c>
      <c r="U43" s="15">
        <f t="shared" si="33"/>
        <v>177.56200000000001</v>
      </c>
    </row>
    <row r="44" spans="2:21" s="1" customFormat="1" x14ac:dyDescent="0.25">
      <c r="B44" t="s">
        <v>22</v>
      </c>
      <c r="C44" s="10"/>
      <c r="D44" s="10">
        <v>14.422000000000001</v>
      </c>
      <c r="E44" s="141">
        <v>16.356000000000002</v>
      </c>
      <c r="F44" s="15">
        <v>7.2320000000000002</v>
      </c>
      <c r="J44" s="10"/>
      <c r="K44" s="10"/>
      <c r="L44" s="10"/>
      <c r="M44" s="10"/>
      <c r="N44" s="10"/>
      <c r="O44" s="10"/>
      <c r="P44" s="10"/>
      <c r="Q44" s="10">
        <f t="shared" si="32"/>
        <v>16.356000000000002</v>
      </c>
      <c r="R44" s="10">
        <v>15.823</v>
      </c>
      <c r="S44" s="10">
        <v>16.036000000000001</v>
      </c>
      <c r="T44" s="10">
        <v>16.14</v>
      </c>
      <c r="U44" s="15">
        <f t="shared" si="33"/>
        <v>7.2320000000000002</v>
      </c>
    </row>
    <row r="45" spans="2:21" x14ac:dyDescent="0.25">
      <c r="B45" s="1" t="s">
        <v>23</v>
      </c>
      <c r="C45" s="11">
        <f>SUM(C37:C44)</f>
        <v>0</v>
      </c>
      <c r="D45" s="11">
        <f>SUM(D37:D44)</f>
        <v>1566.9289999999999</v>
      </c>
      <c r="E45" s="142">
        <f>SUM(E37:E44)</f>
        <v>1617.008</v>
      </c>
      <c r="F45" s="14">
        <f>SUM(F37:F44)</f>
        <v>1734.8449999999998</v>
      </c>
      <c r="J45" s="11">
        <f t="shared" ref="J45:U45" si="34">SUM(J37:J44)</f>
        <v>0</v>
      </c>
      <c r="K45" s="11">
        <f t="shared" si="34"/>
        <v>0</v>
      </c>
      <c r="L45" s="11">
        <f t="shared" si="34"/>
        <v>0</v>
      </c>
      <c r="M45" s="11">
        <f t="shared" si="34"/>
        <v>0</v>
      </c>
      <c r="N45" s="11">
        <f t="shared" si="34"/>
        <v>0</v>
      </c>
      <c r="O45" s="11">
        <f t="shared" si="34"/>
        <v>0</v>
      </c>
      <c r="P45" s="11">
        <f t="shared" si="34"/>
        <v>0</v>
      </c>
      <c r="Q45" s="11">
        <f t="shared" si="34"/>
        <v>1617.008</v>
      </c>
      <c r="R45" s="11">
        <f t="shared" si="34"/>
        <v>1598.5460000000003</v>
      </c>
      <c r="S45" s="11">
        <f t="shared" si="34"/>
        <v>1642.6420000000001</v>
      </c>
      <c r="T45" s="11">
        <f t="shared" si="34"/>
        <v>1686.374</v>
      </c>
      <c r="U45" s="14">
        <f t="shared" si="34"/>
        <v>1734.8449999999998</v>
      </c>
    </row>
    <row r="46" spans="2:21" x14ac:dyDescent="0.25">
      <c r="B46" t="s">
        <v>25</v>
      </c>
      <c r="C46" s="10"/>
      <c r="D46" s="10">
        <v>54.704999999999998</v>
      </c>
      <c r="E46" s="141">
        <v>30.143999999999998</v>
      </c>
      <c r="F46" s="15">
        <v>46.280999999999999</v>
      </c>
      <c r="J46" s="10"/>
      <c r="K46" s="10"/>
      <c r="L46" s="10"/>
      <c r="M46" s="10"/>
      <c r="N46" s="10"/>
      <c r="O46" s="10"/>
      <c r="P46" s="10"/>
      <c r="Q46" s="10">
        <f t="shared" ref="Q46:Q50" si="35">E46</f>
        <v>30.143999999999998</v>
      </c>
      <c r="R46" s="10">
        <v>29.239000000000001</v>
      </c>
      <c r="S46" s="10">
        <v>34.674999999999997</v>
      </c>
      <c r="T46" s="10">
        <v>38.262999999999998</v>
      </c>
      <c r="U46" s="15">
        <f t="shared" ref="U46:U50" si="36">F46</f>
        <v>46.280999999999999</v>
      </c>
    </row>
    <row r="47" spans="2:21" x14ac:dyDescent="0.25">
      <c r="B47" t="s">
        <v>196</v>
      </c>
      <c r="C47" s="10"/>
      <c r="D47" s="10">
        <v>31.835000000000001</v>
      </c>
      <c r="E47" s="141">
        <v>53.823999999999998</v>
      </c>
      <c r="F47" s="15">
        <v>61.436999999999998</v>
      </c>
      <c r="J47" s="10"/>
      <c r="K47" s="10"/>
      <c r="L47" s="10"/>
      <c r="M47" s="10"/>
      <c r="N47" s="10"/>
      <c r="O47" s="10"/>
      <c r="P47" s="10"/>
      <c r="Q47" s="10">
        <f t="shared" si="35"/>
        <v>53.823999999999998</v>
      </c>
      <c r="R47" s="10">
        <v>55.718000000000004</v>
      </c>
      <c r="S47" s="10">
        <v>49.508000000000003</v>
      </c>
      <c r="T47" s="10">
        <v>51.93</v>
      </c>
      <c r="U47" s="15">
        <f t="shared" si="36"/>
        <v>61.436999999999998</v>
      </c>
    </row>
    <row r="48" spans="2:21" x14ac:dyDescent="0.25">
      <c r="B48" t="s">
        <v>197</v>
      </c>
      <c r="C48" s="10"/>
      <c r="D48" s="10">
        <v>27.106999999999999</v>
      </c>
      <c r="E48" s="141">
        <v>36.03</v>
      </c>
      <c r="F48" s="15">
        <v>37.067999999999998</v>
      </c>
      <c r="J48" s="10"/>
      <c r="K48" s="10"/>
      <c r="L48" s="10"/>
      <c r="M48" s="10"/>
      <c r="N48" s="10"/>
      <c r="O48" s="10"/>
      <c r="P48" s="10"/>
      <c r="Q48" s="10">
        <f t="shared" si="35"/>
        <v>36.03</v>
      </c>
      <c r="R48" s="10">
        <v>26.597999999999999</v>
      </c>
      <c r="S48" s="10">
        <v>29.869</v>
      </c>
      <c r="T48" s="10">
        <v>28.36</v>
      </c>
      <c r="U48" s="15">
        <f t="shared" si="36"/>
        <v>37.067999999999998</v>
      </c>
    </row>
    <row r="49" spans="2:23" x14ac:dyDescent="0.25">
      <c r="B49" t="s">
        <v>198</v>
      </c>
      <c r="C49" s="10"/>
      <c r="D49" s="10">
        <v>203.185</v>
      </c>
      <c r="E49" s="141">
        <v>300.113</v>
      </c>
      <c r="F49" s="15">
        <v>426.36900000000003</v>
      </c>
      <c r="J49" s="10"/>
      <c r="K49" s="10"/>
      <c r="L49" s="10"/>
      <c r="M49" s="10"/>
      <c r="N49" s="10"/>
      <c r="O49" s="10"/>
      <c r="P49" s="10"/>
      <c r="Q49" s="10">
        <f t="shared" si="35"/>
        <v>300.113</v>
      </c>
      <c r="R49" s="10">
        <v>319.14100000000002</v>
      </c>
      <c r="S49" s="10">
        <v>348.82</v>
      </c>
      <c r="T49" s="10">
        <v>367.40100000000001</v>
      </c>
      <c r="U49" s="15">
        <f t="shared" si="36"/>
        <v>426.36900000000003</v>
      </c>
    </row>
    <row r="50" spans="2:23" x14ac:dyDescent="0.25">
      <c r="B50" t="s">
        <v>194</v>
      </c>
      <c r="C50" s="10"/>
      <c r="D50" s="10">
        <v>21.446999999999999</v>
      </c>
      <c r="E50" s="141">
        <v>22.047000000000001</v>
      </c>
      <c r="F50" s="15">
        <v>20.661000000000001</v>
      </c>
      <c r="J50" s="10"/>
      <c r="K50" s="10"/>
      <c r="L50" s="10"/>
      <c r="M50" s="10"/>
      <c r="N50" s="10"/>
      <c r="O50" s="10"/>
      <c r="P50" s="10"/>
      <c r="Q50" s="10">
        <f t="shared" si="35"/>
        <v>22.047000000000001</v>
      </c>
      <c r="R50" s="10">
        <v>10.169</v>
      </c>
      <c r="S50" s="10">
        <v>16.469000000000001</v>
      </c>
      <c r="T50" s="10">
        <v>20.529</v>
      </c>
      <c r="U50" s="15">
        <f t="shared" si="36"/>
        <v>20.661000000000001</v>
      </c>
    </row>
    <row r="51" spans="2:23" s="1" customFormat="1" x14ac:dyDescent="0.25">
      <c r="B51" s="1" t="s">
        <v>57</v>
      </c>
      <c r="C51" s="11">
        <f>SUM(C46:C50)</f>
        <v>0</v>
      </c>
      <c r="D51" s="11">
        <f>SUM(D46:D50)</f>
        <v>338.279</v>
      </c>
      <c r="E51" s="142">
        <f>SUM(E46:E50)</f>
        <v>442.15800000000002</v>
      </c>
      <c r="F51" s="14">
        <f>SUM(F46:F50)</f>
        <v>591.81600000000003</v>
      </c>
      <c r="J51" s="11">
        <f t="shared" ref="J51:U51" si="37">SUM(J46:J50)</f>
        <v>0</v>
      </c>
      <c r="K51" s="11">
        <f t="shared" si="37"/>
        <v>0</v>
      </c>
      <c r="L51" s="11">
        <f t="shared" si="37"/>
        <v>0</v>
      </c>
      <c r="M51" s="11">
        <f t="shared" si="37"/>
        <v>0</v>
      </c>
      <c r="N51" s="11">
        <f t="shared" si="37"/>
        <v>0</v>
      </c>
      <c r="O51" s="11">
        <f t="shared" si="37"/>
        <v>0</v>
      </c>
      <c r="P51" s="11">
        <f t="shared" si="37"/>
        <v>0</v>
      </c>
      <c r="Q51" s="11">
        <f t="shared" si="37"/>
        <v>442.15800000000002</v>
      </c>
      <c r="R51" s="11">
        <f t="shared" si="37"/>
        <v>440.86500000000001</v>
      </c>
      <c r="S51" s="11">
        <f t="shared" si="37"/>
        <v>479.34099999999995</v>
      </c>
      <c r="T51" s="11">
        <f t="shared" si="37"/>
        <v>506.483</v>
      </c>
      <c r="U51" s="14">
        <f t="shared" si="37"/>
        <v>591.81600000000003</v>
      </c>
      <c r="V51" s="11"/>
      <c r="W51" s="11"/>
    </row>
    <row r="52" spans="2:23" x14ac:dyDescent="0.25">
      <c r="B52" t="s">
        <v>198</v>
      </c>
      <c r="C52" s="10"/>
      <c r="D52" s="10">
        <v>110.501</v>
      </c>
      <c r="E52" s="141">
        <v>126.452</v>
      </c>
      <c r="F52" s="15">
        <v>139.11699999999999</v>
      </c>
      <c r="J52" s="10"/>
      <c r="K52" s="10"/>
      <c r="L52" s="10"/>
      <c r="M52" s="10"/>
      <c r="N52" s="10"/>
      <c r="O52" s="10"/>
      <c r="P52" s="10"/>
      <c r="Q52" s="10">
        <f t="shared" ref="Q52:Q54" si="38">E52</f>
        <v>126.452</v>
      </c>
      <c r="R52" s="10">
        <v>130.80199999999999</v>
      </c>
      <c r="S52" s="10">
        <v>128.21700000000001</v>
      </c>
      <c r="T52" s="10">
        <v>136.32</v>
      </c>
      <c r="U52" s="15">
        <f t="shared" ref="U52:U54" si="39">F52</f>
        <v>139.11699999999999</v>
      </c>
    </row>
    <row r="53" spans="2:23" x14ac:dyDescent="0.25">
      <c r="B53" t="s">
        <v>58</v>
      </c>
      <c r="C53" s="10"/>
      <c r="D53" s="10">
        <v>123.51300000000001</v>
      </c>
      <c r="E53" s="141">
        <v>100.873</v>
      </c>
      <c r="F53" s="15">
        <v>78.83</v>
      </c>
      <c r="J53" s="10"/>
      <c r="K53" s="10"/>
      <c r="L53" s="10"/>
      <c r="M53" s="10"/>
      <c r="N53" s="10"/>
      <c r="O53" s="10"/>
      <c r="P53" s="10"/>
      <c r="Q53" s="10">
        <f t="shared" si="38"/>
        <v>100.873</v>
      </c>
      <c r="R53" s="10">
        <v>95.209000000000003</v>
      </c>
      <c r="S53" s="10">
        <v>89.424000000000007</v>
      </c>
      <c r="T53" s="10">
        <v>83.341999999999999</v>
      </c>
      <c r="U53" s="15">
        <f t="shared" si="39"/>
        <v>78.83</v>
      </c>
    </row>
    <row r="54" spans="2:23" x14ac:dyDescent="0.25">
      <c r="B54" t="s">
        <v>22</v>
      </c>
      <c r="C54" s="10"/>
      <c r="D54" s="10">
        <v>6.6890000000000001</v>
      </c>
      <c r="E54" s="141">
        <v>9.5060000000000002</v>
      </c>
      <c r="F54" s="15">
        <v>9.9350000000000005</v>
      </c>
      <c r="J54" s="10"/>
      <c r="K54" s="10"/>
      <c r="L54" s="10"/>
      <c r="M54" s="10"/>
      <c r="N54" s="10"/>
      <c r="O54" s="10"/>
      <c r="P54" s="10"/>
      <c r="Q54" s="10">
        <f t="shared" si="38"/>
        <v>9.5060000000000002</v>
      </c>
      <c r="R54" s="10">
        <v>9.0749999999999993</v>
      </c>
      <c r="S54" s="10">
        <v>9.2829999999999995</v>
      </c>
      <c r="T54" s="10">
        <v>9.298</v>
      </c>
      <c r="U54" s="15">
        <f t="shared" si="39"/>
        <v>9.9350000000000005</v>
      </c>
    </row>
    <row r="55" spans="2:23" x14ac:dyDescent="0.25">
      <c r="B55" s="1" t="s">
        <v>24</v>
      </c>
      <c r="C55" s="11">
        <f>SUM(C51:C54)</f>
        <v>0</v>
      </c>
      <c r="D55" s="11">
        <f>SUM(D51:D54)</f>
        <v>578.98199999999997</v>
      </c>
      <c r="E55" s="142">
        <f>SUM(E51:E54)</f>
        <v>678.98900000000003</v>
      </c>
      <c r="F55" s="14">
        <f>SUM(F51:F54)</f>
        <v>819.69799999999998</v>
      </c>
      <c r="J55" s="11">
        <f>SUM(J51:J54)</f>
        <v>0</v>
      </c>
      <c r="K55" s="11">
        <f>SUM(K51:K54)</f>
        <v>0</v>
      </c>
      <c r="L55" s="11">
        <f>SUM(L51:L54)</f>
        <v>0</v>
      </c>
      <c r="M55" s="11">
        <f>SUM(M51:M54)</f>
        <v>0</v>
      </c>
      <c r="N55" s="11">
        <f>SUM(N51:N54)</f>
        <v>0</v>
      </c>
      <c r="O55" s="11">
        <f>SUM(O51:O54)</f>
        <v>0</v>
      </c>
      <c r="P55" s="11">
        <f>SUM(P51:P54)</f>
        <v>0</v>
      </c>
      <c r="Q55" s="11">
        <f>SUM(Q51:Q54)</f>
        <v>678.98900000000003</v>
      </c>
      <c r="R55" s="11">
        <f>SUM(R51:R54)</f>
        <v>675.95100000000002</v>
      </c>
      <c r="S55" s="11">
        <f>SUM(S51:S54)</f>
        <v>706.26499999999999</v>
      </c>
      <c r="T55" s="11">
        <f>SUM(T51:T54)</f>
        <v>735.44299999999998</v>
      </c>
      <c r="U55" s="14">
        <f>SUM(U51:U54)</f>
        <v>819.69799999999998</v>
      </c>
    </row>
    <row r="56" spans="2:23" x14ac:dyDescent="0.25">
      <c r="B56" t="s">
        <v>73</v>
      </c>
      <c r="C56" s="10">
        <f>C45-C55</f>
        <v>0</v>
      </c>
      <c r="D56" s="10">
        <f>D45-D55</f>
        <v>987.94699999999989</v>
      </c>
      <c r="E56" s="141">
        <f>E45-E55</f>
        <v>938.01900000000001</v>
      </c>
      <c r="F56" s="15">
        <f>F45-F55</f>
        <v>915.14699999999982</v>
      </c>
      <c r="J56" s="10">
        <f>J45-J55</f>
        <v>0</v>
      </c>
      <c r="K56" s="10">
        <f>K45-K55</f>
        <v>0</v>
      </c>
      <c r="L56" s="10">
        <f>L45-L55</f>
        <v>0</v>
      </c>
      <c r="M56" s="10">
        <f>M45-M55</f>
        <v>0</v>
      </c>
      <c r="N56" s="10">
        <f>N45-N55</f>
        <v>0</v>
      </c>
      <c r="O56" s="10">
        <f>O45-O55</f>
        <v>0</v>
      </c>
      <c r="P56" s="10">
        <f>P45-P55</f>
        <v>0</v>
      </c>
      <c r="Q56" s="10">
        <f>Q45-Q55</f>
        <v>938.01900000000001</v>
      </c>
      <c r="R56" s="10">
        <f>R45-R55</f>
        <v>922.59500000000025</v>
      </c>
      <c r="S56" s="10">
        <f>S45-S55</f>
        <v>936.37700000000007</v>
      </c>
      <c r="T56" s="10">
        <f>T45-T55</f>
        <v>950.93100000000004</v>
      </c>
      <c r="U56" s="15">
        <f>U45-U55</f>
        <v>915.14699999999982</v>
      </c>
    </row>
    <row r="58" spans="2:23" s="1" customFormat="1" x14ac:dyDescent="0.25">
      <c r="B58" s="1" t="s">
        <v>75</v>
      </c>
      <c r="C58" s="49"/>
      <c r="D58" s="49"/>
      <c r="E58" s="145"/>
      <c r="F58" s="16"/>
      <c r="U58" s="16"/>
    </row>
    <row r="76" spans="5:21" s="9" customFormat="1" x14ac:dyDescent="0.25">
      <c r="E76" s="146"/>
      <c r="F76" s="42"/>
      <c r="U76" s="42"/>
    </row>
    <row r="77" spans="5:21" s="1" customFormat="1" x14ac:dyDescent="0.25">
      <c r="E77" s="147"/>
      <c r="F77" s="16"/>
      <c r="U77"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A14" sqref="A14"/>
    </sheetView>
  </sheetViews>
  <sheetFormatPr defaultRowHeight="15" x14ac:dyDescent="0.25"/>
  <sheetData>
    <row r="1" spans="1:1" x14ac:dyDescent="0.25">
      <c r="A1" s="8" t="s">
        <v>33</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Q11"/>
  <sheetViews>
    <sheetView workbookViewId="0">
      <pane xSplit="1" ySplit="1" topLeftCell="F2" activePane="bottomRight" state="frozen"/>
      <selection pane="topRight" activeCell="B1" sqref="B1"/>
      <selection pane="bottomLeft" activeCell="A2" sqref="A2"/>
      <selection pane="bottomRight" activeCell="L4" sqref="L4"/>
    </sheetView>
  </sheetViews>
  <sheetFormatPr defaultRowHeight="15" x14ac:dyDescent="0.25"/>
  <cols>
    <col min="1" max="1" width="20.140625" bestFit="1" customWidth="1"/>
  </cols>
  <sheetData>
    <row r="1" spans="1:17" x14ac:dyDescent="0.25">
      <c r="B1">
        <v>2021</v>
      </c>
      <c r="C1">
        <v>2022</v>
      </c>
      <c r="D1">
        <v>2023</v>
      </c>
      <c r="I1" t="s">
        <v>9</v>
      </c>
      <c r="J1" t="s">
        <v>31</v>
      </c>
      <c r="K1" t="s">
        <v>35</v>
      </c>
      <c r="L1" t="s">
        <v>36</v>
      </c>
      <c r="M1" t="s">
        <v>59</v>
      </c>
      <c r="N1" t="s">
        <v>62</v>
      </c>
      <c r="O1" t="s">
        <v>181</v>
      </c>
      <c r="P1" t="s">
        <v>182</v>
      </c>
      <c r="Q1" t="s">
        <v>183</v>
      </c>
    </row>
    <row r="2" spans="1:17" x14ac:dyDescent="0.25">
      <c r="A2" t="s">
        <v>178</v>
      </c>
      <c r="B2" s="10"/>
      <c r="C2" s="10"/>
      <c r="D2" s="10">
        <v>1102</v>
      </c>
      <c r="E2" s="10"/>
    </row>
    <row r="3" spans="1:17" x14ac:dyDescent="0.25">
      <c r="A3" t="s">
        <v>179</v>
      </c>
      <c r="B3" s="10"/>
      <c r="C3" s="10"/>
      <c r="D3" s="10">
        <v>1848</v>
      </c>
      <c r="E3" s="10"/>
      <c r="L3">
        <v>795</v>
      </c>
      <c r="M3">
        <v>856</v>
      </c>
      <c r="N3">
        <v>930</v>
      </c>
      <c r="O3">
        <v>1003</v>
      </c>
      <c r="P3">
        <v>1102</v>
      </c>
    </row>
    <row r="4" spans="1:17" x14ac:dyDescent="0.25">
      <c r="B4" s="10"/>
      <c r="C4" s="10"/>
      <c r="D4" s="10"/>
      <c r="E4" s="10"/>
    </row>
    <row r="5" spans="1:17" x14ac:dyDescent="0.25">
      <c r="B5" s="10"/>
      <c r="C5" s="10"/>
      <c r="D5" s="10"/>
      <c r="E5" s="10"/>
    </row>
    <row r="6" spans="1:17" x14ac:dyDescent="0.25">
      <c r="A6" t="s">
        <v>180</v>
      </c>
      <c r="B6" s="10"/>
      <c r="C6" s="10"/>
      <c r="D6" s="10"/>
      <c r="E6" s="10"/>
      <c r="L6">
        <v>71</v>
      </c>
      <c r="M6">
        <v>61</v>
      </c>
      <c r="N6">
        <v>74</v>
      </c>
      <c r="O6">
        <v>73</v>
      </c>
      <c r="P6">
        <v>99</v>
      </c>
    </row>
    <row r="7" spans="1:17" x14ac:dyDescent="0.25">
      <c r="B7" s="10"/>
      <c r="C7" s="10"/>
      <c r="D7" s="10"/>
      <c r="E7" s="10"/>
    </row>
    <row r="8" spans="1:17" x14ac:dyDescent="0.25">
      <c r="B8" s="10"/>
      <c r="C8" s="10"/>
      <c r="D8" s="10"/>
      <c r="E8" s="10"/>
    </row>
    <row r="9" spans="1:17" x14ac:dyDescent="0.25">
      <c r="B9" s="10"/>
      <c r="C9" s="10"/>
      <c r="D9" s="10"/>
      <c r="E9" s="10"/>
    </row>
    <row r="10" spans="1:17" x14ac:dyDescent="0.25">
      <c r="B10" s="10"/>
      <c r="C10" s="10"/>
      <c r="D10" s="10"/>
      <c r="E10" s="10"/>
    </row>
    <row r="11" spans="1:17" x14ac:dyDescent="0.25">
      <c r="B11" s="10"/>
      <c r="C11" s="10"/>
      <c r="D11" s="10"/>
      <c r="E11" s="10"/>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E8" sqref="E8"/>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33</v>
      </c>
      <c r="B1" t="s">
        <v>46</v>
      </c>
      <c r="C1" s="17" t="s">
        <v>47</v>
      </c>
    </row>
    <row r="2" spans="1:13" x14ac:dyDescent="0.25">
      <c r="B2" s="12">
        <v>45411</v>
      </c>
      <c r="C2" s="18">
        <v>34.93</v>
      </c>
      <c r="E2" t="s">
        <v>46</v>
      </c>
      <c r="F2" t="s">
        <v>48</v>
      </c>
      <c r="M2" t="s">
        <v>49</v>
      </c>
    </row>
    <row r="3" spans="1:13" x14ac:dyDescent="0.25">
      <c r="B3" s="12">
        <v>45404</v>
      </c>
      <c r="C3" s="18">
        <v>35.990001999999997</v>
      </c>
      <c r="E3" s="12">
        <v>45328</v>
      </c>
      <c r="F3" t="s">
        <v>51</v>
      </c>
      <c r="M3" s="12"/>
    </row>
    <row r="4" spans="1:13" x14ac:dyDescent="0.25">
      <c r="B4" s="12">
        <v>45397</v>
      </c>
      <c r="C4" s="18">
        <v>30.15</v>
      </c>
      <c r="E4" s="12">
        <v>45302</v>
      </c>
      <c r="F4" t="s">
        <v>51</v>
      </c>
      <c r="M4" s="12"/>
    </row>
    <row r="5" spans="1:13" x14ac:dyDescent="0.25">
      <c r="B5" s="12">
        <v>45390</v>
      </c>
      <c r="C5" s="18">
        <v>31.879999000000002</v>
      </c>
      <c r="M5" s="12"/>
    </row>
    <row r="6" spans="1:13" x14ac:dyDescent="0.25">
      <c r="B6" s="12">
        <v>45383</v>
      </c>
      <c r="C6" s="18">
        <v>33.889999000000003</v>
      </c>
      <c r="M6" s="12"/>
    </row>
    <row r="7" spans="1:13" x14ac:dyDescent="0.25">
      <c r="B7" s="12">
        <v>45376</v>
      </c>
      <c r="C7" s="18">
        <v>37.790000999999997</v>
      </c>
      <c r="M7" s="12"/>
    </row>
    <row r="8" spans="1:13" x14ac:dyDescent="0.25">
      <c r="B8" s="12">
        <v>45369</v>
      </c>
      <c r="C8" s="18">
        <v>37.099997999999999</v>
      </c>
      <c r="M8" s="12"/>
    </row>
    <row r="9" spans="1:13" x14ac:dyDescent="0.25">
      <c r="B9" s="12">
        <v>45362</v>
      </c>
      <c r="C9" s="18">
        <v>35.759998000000003</v>
      </c>
      <c r="M9" s="12"/>
    </row>
    <row r="10" spans="1:13" x14ac:dyDescent="0.25">
      <c r="B10" s="12">
        <v>45355</v>
      </c>
      <c r="C10" s="18">
        <v>39.159999999999997</v>
      </c>
      <c r="M10" s="12"/>
    </row>
    <row r="11" spans="1:13" x14ac:dyDescent="0.25">
      <c r="B11" s="12">
        <v>45348</v>
      </c>
      <c r="C11" s="18">
        <v>34.990001999999997</v>
      </c>
      <c r="M11" s="12"/>
    </row>
    <row r="12" spans="1:13" x14ac:dyDescent="0.25">
      <c r="B12" s="12">
        <v>45341</v>
      </c>
      <c r="C12" s="18">
        <v>33.310001</v>
      </c>
      <c r="M12" s="12"/>
    </row>
    <row r="13" spans="1:13" x14ac:dyDescent="0.25">
      <c r="B13" s="12">
        <v>45334</v>
      </c>
      <c r="C13" s="18">
        <v>34.439999</v>
      </c>
    </row>
    <row r="14" spans="1:13" x14ac:dyDescent="0.25">
      <c r="B14" s="12">
        <v>45327</v>
      </c>
      <c r="C14" s="18">
        <v>35.470001000000003</v>
      </c>
    </row>
    <row r="15" spans="1:13" x14ac:dyDescent="0.25">
      <c r="B15" s="12">
        <v>45320</v>
      </c>
      <c r="C15" s="18">
        <v>32.509998000000003</v>
      </c>
    </row>
    <row r="16" spans="1:13" x14ac:dyDescent="0.25">
      <c r="B16" s="12">
        <v>45313</v>
      </c>
      <c r="C16" s="18">
        <v>30.85</v>
      </c>
    </row>
    <row r="17" spans="2:3" x14ac:dyDescent="0.25">
      <c r="B17" s="12">
        <v>45306</v>
      </c>
      <c r="C17" s="18">
        <v>32.259998000000003</v>
      </c>
    </row>
    <row r="18" spans="2:3" x14ac:dyDescent="0.25">
      <c r="B18" s="12">
        <v>45299</v>
      </c>
      <c r="C18" s="18">
        <v>33.169998</v>
      </c>
    </row>
    <row r="19" spans="2:3" x14ac:dyDescent="0.25">
      <c r="B19" s="12">
        <v>45292</v>
      </c>
      <c r="C19" s="18">
        <v>30.5</v>
      </c>
    </row>
    <row r="20" spans="2:3" x14ac:dyDescent="0.25">
      <c r="B20" s="12">
        <v>45285</v>
      </c>
      <c r="C20" s="18">
        <v>33.380001</v>
      </c>
    </row>
    <row r="21" spans="2:3" x14ac:dyDescent="0.25">
      <c r="B21" s="12">
        <v>45278</v>
      </c>
      <c r="C21" s="18">
        <v>34.009998000000003</v>
      </c>
    </row>
    <row r="22" spans="2:3" x14ac:dyDescent="0.25">
      <c r="B22" s="12">
        <v>45271</v>
      </c>
      <c r="C22" s="18">
        <v>33.990001999999997</v>
      </c>
    </row>
    <row r="23" spans="2:3" x14ac:dyDescent="0.25">
      <c r="B23" s="12">
        <v>45264</v>
      </c>
      <c r="C23" s="18">
        <v>33.669998</v>
      </c>
    </row>
    <row r="24" spans="2:3" x14ac:dyDescent="0.25">
      <c r="B24" s="12">
        <v>45257</v>
      </c>
      <c r="C24" s="18">
        <v>34.590000000000003</v>
      </c>
    </row>
    <row r="25" spans="2:3" x14ac:dyDescent="0.25">
      <c r="B25" s="12">
        <v>45250</v>
      </c>
      <c r="C25" s="18">
        <v>27.27</v>
      </c>
    </row>
    <row r="26" spans="2:3" x14ac:dyDescent="0.25">
      <c r="B26" s="12">
        <v>45243</v>
      </c>
      <c r="C26" s="18">
        <v>26.879999000000002</v>
      </c>
    </row>
    <row r="27" spans="2:3" x14ac:dyDescent="0.25">
      <c r="B27" s="12">
        <v>45236</v>
      </c>
      <c r="C27" s="18">
        <v>24</v>
      </c>
    </row>
    <row r="28" spans="2:3" x14ac:dyDescent="0.25">
      <c r="B28" s="12">
        <v>45229</v>
      </c>
      <c r="C28" s="18">
        <v>25.030000999999999</v>
      </c>
    </row>
    <row r="29" spans="2:3" x14ac:dyDescent="0.25">
      <c r="B29" s="12">
        <v>45222</v>
      </c>
      <c r="C29" s="18">
        <v>22.209999</v>
      </c>
    </row>
    <row r="30" spans="2:3" x14ac:dyDescent="0.25">
      <c r="B30" s="12">
        <v>45215</v>
      </c>
      <c r="C30" s="18">
        <v>22.82</v>
      </c>
    </row>
    <row r="31" spans="2:3" x14ac:dyDescent="0.25">
      <c r="B31" s="12">
        <v>45208</v>
      </c>
      <c r="C31" s="18">
        <v>23.459999</v>
      </c>
    </row>
    <row r="32" spans="2:3" x14ac:dyDescent="0.25">
      <c r="B32" s="12">
        <v>45201</v>
      </c>
      <c r="C32" s="18">
        <v>25.700001</v>
      </c>
    </row>
    <row r="33" spans="2:3" x14ac:dyDescent="0.25">
      <c r="B33" s="12">
        <v>45194</v>
      </c>
      <c r="C33" s="18">
        <v>25.209999</v>
      </c>
    </row>
    <row r="34" spans="2:3" x14ac:dyDescent="0.25">
      <c r="B34" s="12">
        <v>45187</v>
      </c>
      <c r="C34" s="18">
        <v>23.129999000000002</v>
      </c>
    </row>
    <row r="35" spans="2:3" x14ac:dyDescent="0.25">
      <c r="B35" s="12">
        <v>45180</v>
      </c>
      <c r="C35" s="18">
        <v>28.139999</v>
      </c>
    </row>
    <row r="36" spans="2:3" x14ac:dyDescent="0.25">
      <c r="B36" s="12">
        <v>45173</v>
      </c>
      <c r="C36" s="18">
        <v>30.57</v>
      </c>
    </row>
    <row r="37" spans="2:3" x14ac:dyDescent="0.25">
      <c r="B37" s="12">
        <v>45166</v>
      </c>
      <c r="C37" s="18">
        <v>30.93</v>
      </c>
    </row>
    <row r="38" spans="2:3" x14ac:dyDescent="0.25">
      <c r="B38" s="12">
        <v>45159</v>
      </c>
      <c r="C38" s="18">
        <v>25.26</v>
      </c>
    </row>
    <row r="39" spans="2:3" x14ac:dyDescent="0.25">
      <c r="B39" s="12">
        <v>45152</v>
      </c>
      <c r="C39" s="18">
        <v>24.01</v>
      </c>
    </row>
    <row r="40" spans="2:3" x14ac:dyDescent="0.25">
      <c r="B40" s="12">
        <v>45145</v>
      </c>
      <c r="C40" s="18">
        <v>23.75</v>
      </c>
    </row>
    <row r="41" spans="2:3" x14ac:dyDescent="0.25">
      <c r="B41" s="12">
        <v>45138</v>
      </c>
      <c r="C41" s="18">
        <v>25.860001</v>
      </c>
    </row>
    <row r="42" spans="2:3" x14ac:dyDescent="0.25">
      <c r="B42" s="12">
        <v>45131</v>
      </c>
      <c r="C42" s="18">
        <v>27.709999</v>
      </c>
    </row>
    <row r="43" spans="2:3" x14ac:dyDescent="0.25">
      <c r="B43" s="12">
        <v>45124</v>
      </c>
      <c r="C43" s="18">
        <v>27.08</v>
      </c>
    </row>
    <row r="44" spans="2:3" x14ac:dyDescent="0.25">
      <c r="B44" s="12">
        <v>45117</v>
      </c>
      <c r="C44" s="18">
        <v>26.950001</v>
      </c>
    </row>
    <row r="45" spans="2:3" x14ac:dyDescent="0.25">
      <c r="B45" s="12">
        <v>45110</v>
      </c>
      <c r="C45" s="18">
        <v>26.26</v>
      </c>
    </row>
    <row r="46" spans="2:3" x14ac:dyDescent="0.25">
      <c r="B46" s="12">
        <v>45103</v>
      </c>
      <c r="C46" s="18">
        <v>27.709999</v>
      </c>
    </row>
    <row r="47" spans="2:3" x14ac:dyDescent="0.25">
      <c r="B47" s="12">
        <v>45096</v>
      </c>
      <c r="C47" s="18">
        <v>26.110001</v>
      </c>
    </row>
    <row r="48" spans="2:3" x14ac:dyDescent="0.25">
      <c r="B48" s="12">
        <v>45089</v>
      </c>
      <c r="C48" s="18">
        <v>28.9</v>
      </c>
    </row>
    <row r="49" spans="2:3" x14ac:dyDescent="0.25">
      <c r="B49" s="12">
        <v>45082</v>
      </c>
      <c r="C49" s="18">
        <v>28.98</v>
      </c>
    </row>
    <row r="50" spans="2:3" x14ac:dyDescent="0.25">
      <c r="B50" s="12">
        <v>45075</v>
      </c>
      <c r="C50" s="18">
        <v>24.309999000000001</v>
      </c>
    </row>
    <row r="51" spans="2:3" x14ac:dyDescent="0.25">
      <c r="B51" s="12">
        <v>45068</v>
      </c>
      <c r="C51" s="18">
        <v>19.059999000000001</v>
      </c>
    </row>
    <row r="52" spans="2:3" x14ac:dyDescent="0.25">
      <c r="B52" s="12">
        <v>45061</v>
      </c>
      <c r="C52" s="18">
        <v>20.190000999999999</v>
      </c>
    </row>
    <row r="53" spans="2:3" x14ac:dyDescent="0.25">
      <c r="B53" s="12">
        <v>45054</v>
      </c>
      <c r="C53" s="18">
        <v>18.969999000000001</v>
      </c>
    </row>
    <row r="54" spans="2:3" x14ac:dyDescent="0.25">
      <c r="B54" s="12">
        <v>45047</v>
      </c>
      <c r="C54" s="18">
        <v>18.030000999999999</v>
      </c>
    </row>
    <row r="55" spans="2:3" x14ac:dyDescent="0.25">
      <c r="B55" s="12">
        <v>45040</v>
      </c>
      <c r="C55" s="18">
        <v>18.049999</v>
      </c>
    </row>
    <row r="56" spans="2:3" x14ac:dyDescent="0.25">
      <c r="B56" s="12">
        <v>45033</v>
      </c>
      <c r="C56" s="18">
        <v>22.16</v>
      </c>
    </row>
    <row r="57" spans="2:3" x14ac:dyDescent="0.25">
      <c r="B57" s="12">
        <v>45026</v>
      </c>
      <c r="C57" s="18">
        <v>19.920000000000002</v>
      </c>
    </row>
    <row r="58" spans="2:3" x14ac:dyDescent="0.25">
      <c r="B58" s="12">
        <v>45019</v>
      </c>
      <c r="C58" s="18">
        <v>19</v>
      </c>
    </row>
    <row r="59" spans="2:3" x14ac:dyDescent="0.25">
      <c r="B59" s="12">
        <v>45012</v>
      </c>
      <c r="C59" s="18">
        <v>19.719999000000001</v>
      </c>
    </row>
    <row r="60" spans="2:3" x14ac:dyDescent="0.25">
      <c r="B60" s="12">
        <v>45005</v>
      </c>
      <c r="C60" s="18">
        <v>18.129999000000002</v>
      </c>
    </row>
    <row r="61" spans="2:3" x14ac:dyDescent="0.25">
      <c r="B61" s="12">
        <v>44998</v>
      </c>
      <c r="C61" s="18">
        <v>19.02</v>
      </c>
    </row>
    <row r="62" spans="2:3" x14ac:dyDescent="0.25">
      <c r="B62" s="12">
        <v>44991</v>
      </c>
      <c r="C62" s="18">
        <v>19.360001</v>
      </c>
    </row>
    <row r="63" spans="2:3" x14ac:dyDescent="0.25">
      <c r="B63" s="12">
        <v>44984</v>
      </c>
      <c r="C63" s="18">
        <v>19.48</v>
      </c>
    </row>
    <row r="64" spans="2:3" x14ac:dyDescent="0.25">
      <c r="B64" s="12">
        <v>44977</v>
      </c>
      <c r="C64" s="18">
        <v>16.040001</v>
      </c>
    </row>
    <row r="65" spans="2:3" x14ac:dyDescent="0.25">
      <c r="B65" s="12">
        <v>44970</v>
      </c>
      <c r="C65" s="18">
        <v>15.84</v>
      </c>
    </row>
    <row r="66" spans="2:3" x14ac:dyDescent="0.25">
      <c r="B66" s="12">
        <v>44963</v>
      </c>
      <c r="C66" s="18">
        <v>15.16</v>
      </c>
    </row>
    <row r="67" spans="2:3" x14ac:dyDescent="0.25">
      <c r="B67" s="12">
        <v>44956</v>
      </c>
      <c r="C67" s="18">
        <v>14.71</v>
      </c>
    </row>
    <row r="68" spans="2:3" x14ac:dyDescent="0.25">
      <c r="B68" s="12">
        <v>44949</v>
      </c>
      <c r="C68" s="18">
        <v>13.76</v>
      </c>
    </row>
    <row r="69" spans="2:3" x14ac:dyDescent="0.25">
      <c r="B69" s="12">
        <v>44942</v>
      </c>
      <c r="C69" s="18">
        <v>12.51</v>
      </c>
    </row>
    <row r="70" spans="2:3" x14ac:dyDescent="0.25">
      <c r="B70" s="12">
        <v>44935</v>
      </c>
      <c r="C70" s="18">
        <v>12.01</v>
      </c>
    </row>
    <row r="71" spans="2:3" x14ac:dyDescent="0.25">
      <c r="B71" s="12">
        <v>44928</v>
      </c>
      <c r="C71" s="18">
        <v>11.2</v>
      </c>
    </row>
    <row r="72" spans="2:3" x14ac:dyDescent="0.25">
      <c r="B72" s="12">
        <v>44921</v>
      </c>
      <c r="C72" s="18">
        <v>12.43</v>
      </c>
    </row>
    <row r="73" spans="2:3" x14ac:dyDescent="0.25">
      <c r="B73" s="12">
        <v>44914</v>
      </c>
      <c r="C73" s="18">
        <v>12.27</v>
      </c>
    </row>
    <row r="74" spans="2:3" x14ac:dyDescent="0.25">
      <c r="B74" s="12">
        <v>44907</v>
      </c>
      <c r="C74" s="18">
        <v>12.77</v>
      </c>
    </row>
    <row r="75" spans="2:3" x14ac:dyDescent="0.25">
      <c r="B75" s="12">
        <v>44900</v>
      </c>
      <c r="C75" s="18">
        <v>13.05</v>
      </c>
    </row>
    <row r="76" spans="2:3" x14ac:dyDescent="0.25">
      <c r="B76" s="12">
        <v>44893</v>
      </c>
      <c r="C76" s="18">
        <v>11.9</v>
      </c>
    </row>
    <row r="77" spans="2:3" x14ac:dyDescent="0.25">
      <c r="B77" s="12">
        <v>44886</v>
      </c>
      <c r="C77" s="18">
        <v>9.9600000000000009</v>
      </c>
    </row>
    <row r="78" spans="2:3" x14ac:dyDescent="0.25">
      <c r="B78" s="12">
        <v>44879</v>
      </c>
      <c r="C78" s="18">
        <v>9.35</v>
      </c>
    </row>
    <row r="79" spans="2:3" x14ac:dyDescent="0.25">
      <c r="B79" s="12">
        <v>44872</v>
      </c>
      <c r="C79" s="18">
        <v>10.1</v>
      </c>
    </row>
    <row r="80" spans="2:3" x14ac:dyDescent="0.25">
      <c r="B80" s="12">
        <v>44865</v>
      </c>
      <c r="C80" s="18">
        <v>9.67</v>
      </c>
    </row>
    <row r="81" spans="2:3" x14ac:dyDescent="0.25">
      <c r="B81" s="12">
        <v>44858</v>
      </c>
      <c r="C81" s="18">
        <v>12.39</v>
      </c>
    </row>
    <row r="82" spans="2:3" x14ac:dyDescent="0.25">
      <c r="B82" s="12">
        <v>44851</v>
      </c>
      <c r="C82" s="18">
        <v>11.49</v>
      </c>
    </row>
    <row r="83" spans="2:3" x14ac:dyDescent="0.25">
      <c r="B83" s="12">
        <v>44844</v>
      </c>
      <c r="C83" s="18">
        <v>11</v>
      </c>
    </row>
    <row r="84" spans="2:3" x14ac:dyDescent="0.25">
      <c r="B84" s="12">
        <v>44837</v>
      </c>
      <c r="C84" s="18">
        <v>13.11</v>
      </c>
    </row>
    <row r="85" spans="2:3" x14ac:dyDescent="0.25">
      <c r="B85" s="12">
        <v>44830</v>
      </c>
      <c r="C85" s="18">
        <v>12.07</v>
      </c>
    </row>
    <row r="86" spans="2:3" x14ac:dyDescent="0.25">
      <c r="B86" s="12">
        <v>44823</v>
      </c>
      <c r="C86" s="18">
        <v>11.66</v>
      </c>
    </row>
    <row r="87" spans="2:3" x14ac:dyDescent="0.25">
      <c r="B87" s="12">
        <v>44816</v>
      </c>
      <c r="C87" s="18">
        <v>12.63</v>
      </c>
    </row>
    <row r="88" spans="2:3" x14ac:dyDescent="0.25">
      <c r="B88" s="12">
        <v>44809</v>
      </c>
      <c r="C88" s="18">
        <v>13.05</v>
      </c>
    </row>
    <row r="89" spans="2:3" x14ac:dyDescent="0.25">
      <c r="B89" s="12">
        <v>44802</v>
      </c>
      <c r="C89" s="18">
        <v>12.79</v>
      </c>
    </row>
    <row r="90" spans="2:3" x14ac:dyDescent="0.25">
      <c r="B90" s="12">
        <v>44795</v>
      </c>
      <c r="C90" s="18">
        <v>15.35</v>
      </c>
    </row>
    <row r="91" spans="2:3" x14ac:dyDescent="0.25">
      <c r="B91" s="12">
        <v>44788</v>
      </c>
      <c r="C91" s="18">
        <v>15.93</v>
      </c>
    </row>
    <row r="92" spans="2:3" x14ac:dyDescent="0.25">
      <c r="B92" s="12">
        <v>44781</v>
      </c>
      <c r="C92" s="18">
        <v>16.540001</v>
      </c>
    </row>
    <row r="93" spans="2:3" x14ac:dyDescent="0.25">
      <c r="B93" s="12">
        <v>44774</v>
      </c>
      <c r="C93" s="18">
        <v>16.170000000000002</v>
      </c>
    </row>
    <row r="94" spans="2:3" x14ac:dyDescent="0.25">
      <c r="B94" s="12">
        <v>44767</v>
      </c>
      <c r="C94" s="18">
        <v>14.46</v>
      </c>
    </row>
    <row r="95" spans="2:3" x14ac:dyDescent="0.25">
      <c r="B95" s="12">
        <v>44760</v>
      </c>
      <c r="C95" s="18">
        <v>14.22</v>
      </c>
    </row>
    <row r="96" spans="2:3" x14ac:dyDescent="0.25">
      <c r="B96" s="12">
        <v>44753</v>
      </c>
      <c r="C96" s="18">
        <v>14.19</v>
      </c>
    </row>
    <row r="97" spans="2:3" x14ac:dyDescent="0.25">
      <c r="B97" s="12">
        <v>44746</v>
      </c>
      <c r="C97" s="18">
        <v>14.55</v>
      </c>
    </row>
    <row r="98" spans="2:3" x14ac:dyDescent="0.25">
      <c r="B98" s="12">
        <v>44739</v>
      </c>
      <c r="C98" s="18">
        <v>12.39</v>
      </c>
    </row>
    <row r="99" spans="2:3" x14ac:dyDescent="0.25">
      <c r="B99" s="12">
        <v>44732</v>
      </c>
      <c r="C99" s="18">
        <v>12.51</v>
      </c>
    </row>
    <row r="100" spans="2:3" x14ac:dyDescent="0.25">
      <c r="B100" s="12">
        <v>44725</v>
      </c>
      <c r="C100" s="18">
        <v>11.35</v>
      </c>
    </row>
    <row r="101" spans="2:3" x14ac:dyDescent="0.25">
      <c r="B101" s="12">
        <v>44718</v>
      </c>
      <c r="C101" s="18">
        <v>10.97</v>
      </c>
    </row>
    <row r="102" spans="2:3" x14ac:dyDescent="0.25">
      <c r="B102" s="12">
        <v>44711</v>
      </c>
      <c r="C102" s="18">
        <v>11.55</v>
      </c>
    </row>
    <row r="103" spans="2:3" x14ac:dyDescent="0.25">
      <c r="B103" s="12">
        <v>44704</v>
      </c>
      <c r="C103" s="18">
        <v>11.5</v>
      </c>
    </row>
    <row r="104" spans="2:3" x14ac:dyDescent="0.25">
      <c r="B104" s="12">
        <v>44697</v>
      </c>
      <c r="C104" s="18">
        <v>10.69</v>
      </c>
    </row>
    <row r="105" spans="2:3" x14ac:dyDescent="0.25">
      <c r="B105" s="12">
        <v>44690</v>
      </c>
      <c r="C105" s="18">
        <v>11.19</v>
      </c>
    </row>
    <row r="106" spans="2:3" x14ac:dyDescent="0.25">
      <c r="B106" s="12">
        <v>44683</v>
      </c>
      <c r="C106" s="18">
        <v>11.05</v>
      </c>
    </row>
    <row r="107" spans="2:3" x14ac:dyDescent="0.25">
      <c r="B107" s="12">
        <v>44676</v>
      </c>
      <c r="C107" s="18">
        <v>12.34</v>
      </c>
    </row>
    <row r="108" spans="2:3" x14ac:dyDescent="0.25">
      <c r="B108" s="12">
        <v>44669</v>
      </c>
      <c r="C108" s="18">
        <v>13.14</v>
      </c>
    </row>
    <row r="109" spans="2:3" x14ac:dyDescent="0.25">
      <c r="B109" s="12">
        <v>44662</v>
      </c>
      <c r="C109" s="18">
        <v>13.31</v>
      </c>
    </row>
    <row r="110" spans="2:3" x14ac:dyDescent="0.25">
      <c r="B110" s="12">
        <v>44655</v>
      </c>
      <c r="C110" s="18">
        <v>13.44</v>
      </c>
    </row>
    <row r="111" spans="2:3" x14ac:dyDescent="0.25">
      <c r="B111" s="12">
        <v>44648</v>
      </c>
      <c r="C111" s="18">
        <v>16.299999</v>
      </c>
    </row>
    <row r="112" spans="2:3" x14ac:dyDescent="0.25">
      <c r="B112" s="12">
        <v>44641</v>
      </c>
      <c r="C112" s="18">
        <v>17.469999000000001</v>
      </c>
    </row>
    <row r="113" spans="2:3" x14ac:dyDescent="0.25">
      <c r="B113" s="12">
        <v>44634</v>
      </c>
      <c r="C113" s="18">
        <v>16.809999000000001</v>
      </c>
    </row>
    <row r="114" spans="2:3" x14ac:dyDescent="0.25">
      <c r="B114" s="12">
        <v>44627</v>
      </c>
      <c r="C114" s="18">
        <v>15.15</v>
      </c>
    </row>
    <row r="115" spans="2:3" x14ac:dyDescent="0.25">
      <c r="B115" s="12">
        <v>44620</v>
      </c>
      <c r="C115" s="18">
        <v>15.52</v>
      </c>
    </row>
    <row r="116" spans="2:3" x14ac:dyDescent="0.25">
      <c r="B116" s="12">
        <v>44613</v>
      </c>
      <c r="C116" s="18">
        <v>17.010000000000002</v>
      </c>
    </row>
    <row r="117" spans="2:3" x14ac:dyDescent="0.25">
      <c r="B117" s="12">
        <v>44606</v>
      </c>
      <c r="C117" s="18">
        <v>17.110001</v>
      </c>
    </row>
    <row r="118" spans="2:3" x14ac:dyDescent="0.25">
      <c r="B118" s="12">
        <v>44599</v>
      </c>
      <c r="C118" s="18">
        <v>20.93</v>
      </c>
    </row>
    <row r="119" spans="2:3" x14ac:dyDescent="0.25">
      <c r="B119" s="12">
        <v>44592</v>
      </c>
      <c r="C119" s="18">
        <v>20.559999000000001</v>
      </c>
    </row>
    <row r="120" spans="2:3" x14ac:dyDescent="0.25">
      <c r="B120" s="12">
        <v>44585</v>
      </c>
      <c r="C120" s="18">
        <v>16.66</v>
      </c>
    </row>
    <row r="121" spans="2:3" x14ac:dyDescent="0.25">
      <c r="B121" s="12">
        <v>44578</v>
      </c>
      <c r="C121" s="18">
        <v>19.399999999999999</v>
      </c>
    </row>
    <row r="122" spans="2:3" x14ac:dyDescent="0.25">
      <c r="B122" s="12">
        <v>44571</v>
      </c>
      <c r="C122" s="18">
        <v>22.91</v>
      </c>
    </row>
    <row r="123" spans="2:3" x14ac:dyDescent="0.25">
      <c r="B123" s="12">
        <v>44564</v>
      </c>
      <c r="C123" s="18">
        <v>23.219999000000001</v>
      </c>
    </row>
    <row r="124" spans="2:3" x14ac:dyDescent="0.25">
      <c r="B124" s="12">
        <v>44557</v>
      </c>
      <c r="C124" s="18">
        <v>28.110001</v>
      </c>
    </row>
    <row r="125" spans="2:3" x14ac:dyDescent="0.25">
      <c r="B125" s="12">
        <v>44550</v>
      </c>
      <c r="C125" s="18">
        <v>27.610001</v>
      </c>
    </row>
    <row r="126" spans="2:3" x14ac:dyDescent="0.25">
      <c r="B126" s="12">
        <v>44543</v>
      </c>
      <c r="C126" s="18">
        <v>22.32</v>
      </c>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26"/>
  <sheetViews>
    <sheetView topLeftCell="A92" workbookViewId="0">
      <selection activeCell="B2" sqref="B2:C126"/>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33</v>
      </c>
      <c r="B1" s="1" t="s">
        <v>46</v>
      </c>
      <c r="C1" s="1" t="s">
        <v>0</v>
      </c>
      <c r="D1" s="1" t="s">
        <v>88</v>
      </c>
      <c r="H1" s="125" t="s">
        <v>89</v>
      </c>
      <c r="I1" s="126"/>
      <c r="J1" s="126"/>
      <c r="K1" s="126"/>
      <c r="L1" s="126"/>
      <c r="M1" s="127"/>
    </row>
    <row r="2" spans="1:13" ht="15.75" thickBot="1" x14ac:dyDescent="0.3">
      <c r="B2" s="12">
        <v>45411</v>
      </c>
      <c r="C2" s="18">
        <v>34.93</v>
      </c>
      <c r="D2" s="135">
        <f>C2/C3-1</f>
        <v>-2.9452679663646508E-2</v>
      </c>
      <c r="H2" s="53"/>
      <c r="I2" s="54"/>
      <c r="J2" s="54"/>
      <c r="K2" s="54"/>
      <c r="L2" s="54"/>
      <c r="M2" s="55"/>
    </row>
    <row r="3" spans="1:13" ht="15.75" thickBot="1" x14ac:dyDescent="0.3">
      <c r="B3" s="12">
        <v>45404</v>
      </c>
      <c r="C3" s="18">
        <v>35.990001999999997</v>
      </c>
      <c r="D3" s="135">
        <f t="shared" ref="D3:D66" si="0">C3/C4-1</f>
        <v>0.1936982421227198</v>
      </c>
      <c r="H3" s="56" t="s">
        <v>90</v>
      </c>
      <c r="I3" s="57" t="s">
        <v>91</v>
      </c>
      <c r="J3" s="58" t="s">
        <v>92</v>
      </c>
      <c r="K3" s="59" t="s">
        <v>93</v>
      </c>
      <c r="L3" s="59" t="s">
        <v>94</v>
      </c>
      <c r="M3" s="60" t="s">
        <v>95</v>
      </c>
    </row>
    <row r="4" spans="1:13" x14ac:dyDescent="0.25">
      <c r="B4" s="12">
        <v>45397</v>
      </c>
      <c r="C4" s="18">
        <v>30.15</v>
      </c>
      <c r="D4" s="135">
        <f t="shared" si="0"/>
        <v>-5.4265967825155914E-2</v>
      </c>
      <c r="H4" s="61">
        <f>$I$19-3*$I$23</f>
        <v>-0.28309454338826456</v>
      </c>
      <c r="I4" s="62">
        <f>H4</f>
        <v>-0.28309454338826456</v>
      </c>
      <c r="J4" s="63">
        <f>COUNTIF(D:D,"&lt;="&amp;H4)</f>
        <v>0</v>
      </c>
      <c r="K4" s="63" t="str">
        <f>"Less than "&amp;TEXT(H4,"0,00%")</f>
        <v>Less than -28,31%</v>
      </c>
      <c r="L4" s="64">
        <f>J4/$I$31</f>
        <v>0</v>
      </c>
      <c r="M4" s="65">
        <f>L4</f>
        <v>0</v>
      </c>
    </row>
    <row r="5" spans="1:13" x14ac:dyDescent="0.25">
      <c r="B5" s="12">
        <v>45390</v>
      </c>
      <c r="C5" s="18">
        <v>31.879999000000002</v>
      </c>
      <c r="D5" s="135">
        <f t="shared" si="0"/>
        <v>-5.9309532585114622E-2</v>
      </c>
      <c r="H5" s="66">
        <f>$I$19-2.4*$I$23</f>
        <v>-0.22483339663572355</v>
      </c>
      <c r="I5" s="67">
        <f>H5</f>
        <v>-0.22483339663572355</v>
      </c>
      <c r="J5" s="68">
        <f>COUNTIFS(D:D,"&lt;="&amp;H5,D:D,"&gt;"&amp;H4)</f>
        <v>0</v>
      </c>
      <c r="K5" s="69" t="str">
        <f t="shared" ref="K5:K14" si="1">TEXT(H4,"0,00%")&amp;" to "&amp;TEXT(H5,"0,00%")</f>
        <v>-28,31% to -22,48%</v>
      </c>
      <c r="L5" s="70">
        <f>J5/$I$31</f>
        <v>0</v>
      </c>
      <c r="M5" s="71">
        <f>M4+L5</f>
        <v>0</v>
      </c>
    </row>
    <row r="6" spans="1:13" x14ac:dyDescent="0.25">
      <c r="B6" s="12">
        <v>45383</v>
      </c>
      <c r="C6" s="18">
        <v>33.889999000000003</v>
      </c>
      <c r="D6" s="135">
        <f t="shared" si="0"/>
        <v>-0.1032019554590643</v>
      </c>
      <c r="H6" s="66">
        <f>$I$19-1.8*$I$23</f>
        <v>-0.16657224988318259</v>
      </c>
      <c r="I6" s="67">
        <f t="shared" ref="I6:I14" si="2">H6</f>
        <v>-0.16657224988318259</v>
      </c>
      <c r="J6" s="68">
        <f t="shared" ref="J6:J14" si="3">COUNTIFS(D:D,"&lt;="&amp;H6,D:D,"&gt;"&amp;H5)</f>
        <v>7</v>
      </c>
      <c r="K6" s="69" t="str">
        <f t="shared" si="1"/>
        <v>-22,48% to -16,66%</v>
      </c>
      <c r="L6" s="70">
        <f t="shared" ref="L6:L15" si="4">J6/$I$31</f>
        <v>5.6451612903225805E-2</v>
      </c>
      <c r="M6" s="71">
        <f t="shared" ref="M6:M15" si="5">M5+L6</f>
        <v>5.6451612903225805E-2</v>
      </c>
    </row>
    <row r="7" spans="1:13" x14ac:dyDescent="0.25">
      <c r="B7" s="12">
        <v>45376</v>
      </c>
      <c r="C7" s="18">
        <v>37.790000999999997</v>
      </c>
      <c r="D7" s="135">
        <f t="shared" si="0"/>
        <v>1.8598464614472343E-2</v>
      </c>
      <c r="H7" s="66">
        <f>$I$19-1.2*$I$23</f>
        <v>-0.10831110313064161</v>
      </c>
      <c r="I7" s="67">
        <f t="shared" si="2"/>
        <v>-0.10831110313064161</v>
      </c>
      <c r="J7" s="68">
        <f t="shared" si="3"/>
        <v>3</v>
      </c>
      <c r="K7" s="69" t="str">
        <f t="shared" si="1"/>
        <v>-16,66% to -10,83%</v>
      </c>
      <c r="L7" s="70">
        <f t="shared" si="4"/>
        <v>2.4193548387096774E-2</v>
      </c>
      <c r="M7" s="71">
        <f t="shared" si="5"/>
        <v>8.0645161290322578E-2</v>
      </c>
    </row>
    <row r="8" spans="1:13" x14ac:dyDescent="0.25">
      <c r="B8" s="12">
        <v>45369</v>
      </c>
      <c r="C8" s="18">
        <v>37.099997999999999</v>
      </c>
      <c r="D8" s="135">
        <f t="shared" si="0"/>
        <v>3.7472037889934917E-2</v>
      </c>
      <c r="H8" s="66">
        <f>$I$19-0.6*$I$23</f>
        <v>-5.0049956378100641E-2</v>
      </c>
      <c r="I8" s="67">
        <f t="shared" si="2"/>
        <v>-5.0049956378100641E-2</v>
      </c>
      <c r="J8" s="68">
        <f t="shared" si="3"/>
        <v>20</v>
      </c>
      <c r="K8" s="69" t="str">
        <f t="shared" si="1"/>
        <v>-10,83% to -5,00%</v>
      </c>
      <c r="L8" s="70">
        <f t="shared" si="4"/>
        <v>0.16129032258064516</v>
      </c>
      <c r="M8" s="71">
        <f t="shared" si="5"/>
        <v>0.24193548387096775</v>
      </c>
    </row>
    <row r="9" spans="1:13" x14ac:dyDescent="0.25">
      <c r="B9" s="12">
        <v>45362</v>
      </c>
      <c r="C9" s="18">
        <v>35.759998000000003</v>
      </c>
      <c r="D9" s="135">
        <f t="shared" si="0"/>
        <v>-8.6823340143002858E-2</v>
      </c>
      <c r="H9" s="66">
        <f>$I$19</f>
        <v>8.2111903744403348E-3</v>
      </c>
      <c r="I9" s="67">
        <f t="shared" si="2"/>
        <v>8.2111903744403348E-3</v>
      </c>
      <c r="J9" s="68">
        <f t="shared" si="3"/>
        <v>34</v>
      </c>
      <c r="K9" s="69" t="str">
        <f t="shared" si="1"/>
        <v>-5,00% to 0,82%</v>
      </c>
      <c r="L9" s="70">
        <f t="shared" si="4"/>
        <v>0.27419354838709675</v>
      </c>
      <c r="M9" s="71">
        <f t="shared" si="5"/>
        <v>0.5161290322580645</v>
      </c>
    </row>
    <row r="10" spans="1:13" x14ac:dyDescent="0.25">
      <c r="B10" s="12">
        <v>45355</v>
      </c>
      <c r="C10" s="18">
        <v>39.159999999999997</v>
      </c>
      <c r="D10" s="135">
        <f t="shared" si="0"/>
        <v>0.11917684371667092</v>
      </c>
      <c r="H10" s="66">
        <f>$I$19+0.6*$I$23</f>
        <v>6.6472337126981307E-2</v>
      </c>
      <c r="I10" s="67">
        <f t="shared" si="2"/>
        <v>6.6472337126981307E-2</v>
      </c>
      <c r="J10" s="68">
        <f t="shared" si="3"/>
        <v>32</v>
      </c>
      <c r="K10" s="69" t="str">
        <f t="shared" si="1"/>
        <v>0,82% to 6,65%</v>
      </c>
      <c r="L10" s="70">
        <f t="shared" si="4"/>
        <v>0.25806451612903225</v>
      </c>
      <c r="M10" s="71">
        <f t="shared" si="5"/>
        <v>0.77419354838709675</v>
      </c>
    </row>
    <row r="11" spans="1:13" x14ac:dyDescent="0.25">
      <c r="B11" s="12">
        <v>45348</v>
      </c>
      <c r="C11" s="18">
        <v>34.990001999999997</v>
      </c>
      <c r="D11" s="135">
        <f t="shared" si="0"/>
        <v>5.0435333220194112E-2</v>
      </c>
      <c r="H11" s="66">
        <f>$I$19+1.2*$I$23</f>
        <v>0.12473348387952228</v>
      </c>
      <c r="I11" s="67">
        <f t="shared" si="2"/>
        <v>0.12473348387952228</v>
      </c>
      <c r="J11" s="68">
        <f t="shared" si="3"/>
        <v>17</v>
      </c>
      <c r="K11" s="69" t="str">
        <f t="shared" si="1"/>
        <v>6,65% to 12,47%</v>
      </c>
      <c r="L11" s="70">
        <f t="shared" si="4"/>
        <v>0.13709677419354838</v>
      </c>
      <c r="M11" s="71">
        <f t="shared" si="5"/>
        <v>0.91129032258064513</v>
      </c>
    </row>
    <row r="12" spans="1:13" x14ac:dyDescent="0.25">
      <c r="B12" s="12">
        <v>45341</v>
      </c>
      <c r="C12" s="18">
        <v>33.310001</v>
      </c>
      <c r="D12" s="135">
        <f t="shared" si="0"/>
        <v>-3.2810628130389929E-2</v>
      </c>
      <c r="H12" s="66">
        <f>$I$19+1.8*$I$23</f>
        <v>0.18299463063206328</v>
      </c>
      <c r="I12" s="67">
        <f t="shared" si="2"/>
        <v>0.18299463063206328</v>
      </c>
      <c r="J12" s="68">
        <f t="shared" si="3"/>
        <v>2</v>
      </c>
      <c r="K12" s="69" t="str">
        <f t="shared" si="1"/>
        <v>12,47% to 18,30%</v>
      </c>
      <c r="L12" s="70">
        <f t="shared" si="4"/>
        <v>1.6129032258064516E-2</v>
      </c>
      <c r="M12" s="71">
        <f t="shared" si="5"/>
        <v>0.92741935483870963</v>
      </c>
    </row>
    <row r="13" spans="1:13" x14ac:dyDescent="0.25">
      <c r="B13" s="12">
        <v>45334</v>
      </c>
      <c r="C13" s="18">
        <v>34.439999</v>
      </c>
      <c r="D13" s="135">
        <f t="shared" si="0"/>
        <v>-2.9038679756451136E-2</v>
      </c>
      <c r="H13" s="66">
        <f>$I$19+2.4*$I$23</f>
        <v>0.24125577738460424</v>
      </c>
      <c r="I13" s="67">
        <f t="shared" si="2"/>
        <v>0.24125577738460424</v>
      </c>
      <c r="J13" s="68">
        <f t="shared" si="3"/>
        <v>7</v>
      </c>
      <c r="K13" s="69" t="str">
        <f t="shared" si="1"/>
        <v>18,30% to 24,13%</v>
      </c>
      <c r="L13" s="70">
        <f t="shared" si="4"/>
        <v>5.6451612903225805E-2</v>
      </c>
      <c r="M13" s="71">
        <f t="shared" si="5"/>
        <v>0.98387096774193539</v>
      </c>
    </row>
    <row r="14" spans="1:13" x14ac:dyDescent="0.25">
      <c r="B14" s="12">
        <v>45327</v>
      </c>
      <c r="C14" s="18">
        <v>35.470001000000003</v>
      </c>
      <c r="D14" s="135">
        <f t="shared" si="0"/>
        <v>9.1049005908889979E-2</v>
      </c>
      <c r="H14" s="66">
        <f>$I$19+3*$I$23</f>
        <v>0.29951692413714526</v>
      </c>
      <c r="I14" s="67">
        <f t="shared" si="2"/>
        <v>0.29951692413714526</v>
      </c>
      <c r="J14" s="68">
        <f t="shared" si="3"/>
        <v>2</v>
      </c>
      <c r="K14" s="69" t="str">
        <f t="shared" si="1"/>
        <v>24,13% to 29,95%</v>
      </c>
      <c r="L14" s="70">
        <f t="shared" si="4"/>
        <v>1.6129032258064516E-2</v>
      </c>
      <c r="M14" s="71">
        <f t="shared" si="5"/>
        <v>0.99999999999999989</v>
      </c>
    </row>
    <row r="15" spans="1:13" ht="15.75" thickBot="1" x14ac:dyDescent="0.3">
      <c r="B15" s="12">
        <v>45320</v>
      </c>
      <c r="C15" s="18">
        <v>32.509998000000003</v>
      </c>
      <c r="D15" s="135">
        <f t="shared" si="0"/>
        <v>5.3808687196110316E-2</v>
      </c>
      <c r="H15" s="72"/>
      <c r="I15" s="73" t="s">
        <v>96</v>
      </c>
      <c r="J15" s="73">
        <f>COUNTIF(D:D,"&gt;"&amp;H14)</f>
        <v>0</v>
      </c>
      <c r="K15" s="73" t="str">
        <f>"Greater than "&amp;TEXT(H14,"0,00%")</f>
        <v>Greater than 29,95%</v>
      </c>
      <c r="L15" s="74">
        <f t="shared" si="4"/>
        <v>0</v>
      </c>
      <c r="M15" s="74">
        <f t="shared" si="5"/>
        <v>0.99999999999999989</v>
      </c>
    </row>
    <row r="16" spans="1:13" ht="15.75" thickBot="1" x14ac:dyDescent="0.3">
      <c r="B16" s="12">
        <v>45313</v>
      </c>
      <c r="C16" s="18">
        <v>30.85</v>
      </c>
      <c r="D16" s="135">
        <f t="shared" si="0"/>
        <v>-4.3707318270757578E-2</v>
      </c>
      <c r="H16" s="75"/>
      <c r="M16" s="76"/>
    </row>
    <row r="17" spans="2:13" x14ac:dyDescent="0.25">
      <c r="B17" s="12">
        <v>45306</v>
      </c>
      <c r="C17" s="18">
        <v>32.259998000000003</v>
      </c>
      <c r="D17" s="135">
        <f t="shared" si="0"/>
        <v>-2.7434430354804307E-2</v>
      </c>
      <c r="H17" s="128" t="s">
        <v>127</v>
      </c>
      <c r="I17" s="129"/>
      <c r="M17" s="76"/>
    </row>
    <row r="18" spans="2:13" x14ac:dyDescent="0.25">
      <c r="B18" s="12">
        <v>45299</v>
      </c>
      <c r="C18" s="18">
        <v>33.169998</v>
      </c>
      <c r="D18" s="135">
        <f t="shared" si="0"/>
        <v>8.7540918032786852E-2</v>
      </c>
      <c r="H18" s="130"/>
      <c r="I18" s="131"/>
      <c r="M18" s="76"/>
    </row>
    <row r="19" spans="2:13" x14ac:dyDescent="0.25">
      <c r="B19" s="12">
        <v>45292</v>
      </c>
      <c r="C19" s="18">
        <v>30.5</v>
      </c>
      <c r="D19" s="135">
        <f t="shared" si="0"/>
        <v>-8.6279236480550137E-2</v>
      </c>
      <c r="H19" s="77" t="s">
        <v>97</v>
      </c>
      <c r="I19" s="114">
        <f>AVERAGE(D:D)</f>
        <v>8.2111903744403348E-3</v>
      </c>
      <c r="M19" s="76"/>
    </row>
    <row r="20" spans="2:13" x14ac:dyDescent="0.25">
      <c r="B20" s="12">
        <v>45285</v>
      </c>
      <c r="C20" s="18">
        <v>33.380001</v>
      </c>
      <c r="D20" s="135">
        <f t="shared" si="0"/>
        <v>-1.8523876420104557E-2</v>
      </c>
      <c r="H20" s="77" t="s">
        <v>98</v>
      </c>
      <c r="I20" s="114">
        <f>_xlfn.STDEV.S(D:D)/SQRT(COUNT(D:D))</f>
        <v>8.7200090490969825E-3</v>
      </c>
      <c r="M20" s="76"/>
    </row>
    <row r="21" spans="2:13" x14ac:dyDescent="0.25">
      <c r="B21" s="12">
        <v>45278</v>
      </c>
      <c r="C21" s="18">
        <v>34.009998000000003</v>
      </c>
      <c r="D21" s="135">
        <f t="shared" si="0"/>
        <v>5.8829063911214341E-4</v>
      </c>
      <c r="H21" s="77" t="s">
        <v>99</v>
      </c>
      <c r="I21" s="114">
        <f>MEDIAN(D:D)</f>
        <v>3.2309954959095499E-3</v>
      </c>
      <c r="M21" s="76"/>
    </row>
    <row r="22" spans="2:13" x14ac:dyDescent="0.25">
      <c r="B22" s="12">
        <v>45271</v>
      </c>
      <c r="C22" s="18">
        <v>33.990001999999997</v>
      </c>
      <c r="D22" s="135">
        <f t="shared" si="0"/>
        <v>9.5041288686741332E-3</v>
      </c>
      <c r="H22" s="77" t="s">
        <v>100</v>
      </c>
      <c r="I22" s="114" t="e">
        <f>MODE(D:D)</f>
        <v>#N/A</v>
      </c>
      <c r="M22" s="76"/>
    </row>
    <row r="23" spans="2:13" x14ac:dyDescent="0.25">
      <c r="B23" s="12">
        <v>45264</v>
      </c>
      <c r="C23" s="18">
        <v>33.669998</v>
      </c>
      <c r="D23" s="135">
        <f t="shared" si="0"/>
        <v>-2.6597340271754977E-2</v>
      </c>
      <c r="H23" s="77" t="s">
        <v>101</v>
      </c>
      <c r="I23" s="114">
        <f>_xlfn.STDEV.S(D:D)</f>
        <v>9.7101911254234965E-2</v>
      </c>
      <c r="M23" s="76"/>
    </row>
    <row r="24" spans="2:13" x14ac:dyDescent="0.25">
      <c r="B24" s="12">
        <v>45257</v>
      </c>
      <c r="C24" s="18">
        <v>34.590000000000003</v>
      </c>
      <c r="D24" s="135">
        <f t="shared" si="0"/>
        <v>0.26842684268426864</v>
      </c>
      <c r="H24" s="77" t="s">
        <v>102</v>
      </c>
      <c r="I24" s="114">
        <f>_xlfn.VAR.S(D:D)</f>
        <v>9.4287811692253219E-3</v>
      </c>
      <c r="M24" s="76"/>
    </row>
    <row r="25" spans="2:13" x14ac:dyDescent="0.25">
      <c r="B25" s="12">
        <v>45250</v>
      </c>
      <c r="C25" s="18">
        <v>27.27</v>
      </c>
      <c r="D25" s="135">
        <f t="shared" si="0"/>
        <v>1.4508966313577565E-2</v>
      </c>
      <c r="H25" s="77" t="s">
        <v>103</v>
      </c>
      <c r="I25" s="115">
        <f>KURT(D:D)</f>
        <v>0.56468866233157744</v>
      </c>
      <c r="M25" s="76"/>
    </row>
    <row r="26" spans="2:13" x14ac:dyDescent="0.25">
      <c r="B26" s="12">
        <v>45243</v>
      </c>
      <c r="C26" s="18">
        <v>26.879999000000002</v>
      </c>
      <c r="D26" s="135">
        <f t="shared" si="0"/>
        <v>0.11999995833333332</v>
      </c>
      <c r="H26" s="77" t="s">
        <v>104</v>
      </c>
      <c r="I26" s="115">
        <f>SKEW(D:D)</f>
        <v>0.36396544330813685</v>
      </c>
      <c r="M26" s="76"/>
    </row>
    <row r="27" spans="2:13" x14ac:dyDescent="0.25">
      <c r="B27" s="12">
        <v>45236</v>
      </c>
      <c r="C27" s="18">
        <v>24</v>
      </c>
      <c r="D27" s="135">
        <f t="shared" si="0"/>
        <v>-4.1150657564895776E-2</v>
      </c>
      <c r="H27" s="77" t="s">
        <v>93</v>
      </c>
      <c r="I27" s="114">
        <f>I29-I28</f>
        <v>0.49497785512626802</v>
      </c>
      <c r="M27" s="76"/>
    </row>
    <row r="28" spans="2:13" x14ac:dyDescent="0.25">
      <c r="B28" s="12">
        <v>45229</v>
      </c>
      <c r="C28" s="18">
        <v>25.030000999999999</v>
      </c>
      <c r="D28" s="135">
        <f t="shared" si="0"/>
        <v>0.12696992917469285</v>
      </c>
      <c r="H28" s="77" t="s">
        <v>105</v>
      </c>
      <c r="I28" s="114">
        <f>MIN(D:D)</f>
        <v>-0.21953188054882977</v>
      </c>
      <c r="M28" s="76"/>
    </row>
    <row r="29" spans="2:13" x14ac:dyDescent="0.25">
      <c r="B29" s="12">
        <v>45222</v>
      </c>
      <c r="C29" s="18">
        <v>22.209999</v>
      </c>
      <c r="D29" s="135">
        <f t="shared" si="0"/>
        <v>-2.6730981595092018E-2</v>
      </c>
      <c r="H29" s="77" t="s">
        <v>106</v>
      </c>
      <c r="I29" s="114">
        <f>MAX(D:D)</f>
        <v>0.27544597457743825</v>
      </c>
      <c r="M29" s="76"/>
    </row>
    <row r="30" spans="2:13" x14ac:dyDescent="0.25">
      <c r="B30" s="12">
        <v>45215</v>
      </c>
      <c r="C30" s="18">
        <v>22.82</v>
      </c>
      <c r="D30" s="135">
        <f t="shared" si="0"/>
        <v>-2.7280435945457593E-2</v>
      </c>
      <c r="H30" s="77" t="s">
        <v>107</v>
      </c>
      <c r="I30" s="115">
        <f>SUM(D:D)</f>
        <v>1.0181876064306015</v>
      </c>
      <c r="M30" s="76"/>
    </row>
    <row r="31" spans="2:13" ht="15.75" thickBot="1" x14ac:dyDescent="0.3">
      <c r="B31" s="12">
        <v>45208</v>
      </c>
      <c r="C31" s="18">
        <v>23.459999</v>
      </c>
      <c r="D31" s="135">
        <f t="shared" si="0"/>
        <v>-8.7159607503517256E-2</v>
      </c>
      <c r="H31" s="78" t="s">
        <v>108</v>
      </c>
      <c r="I31" s="55">
        <f>COUNT(D:D)</f>
        <v>124</v>
      </c>
      <c r="M31" s="76"/>
    </row>
    <row r="32" spans="2:13" ht="15.75" thickBot="1" x14ac:dyDescent="0.3">
      <c r="B32" s="12">
        <v>45201</v>
      </c>
      <c r="C32" s="18">
        <v>25.700001</v>
      </c>
      <c r="D32" s="135">
        <f t="shared" si="0"/>
        <v>1.9436811560365364E-2</v>
      </c>
      <c r="H32" s="80"/>
      <c r="M32" s="76"/>
    </row>
    <row r="33" spans="2:13" x14ac:dyDescent="0.25">
      <c r="B33" s="12">
        <v>45194</v>
      </c>
      <c r="C33" s="18">
        <v>25.209999</v>
      </c>
      <c r="D33" s="135">
        <f t="shared" si="0"/>
        <v>8.9926506265737283E-2</v>
      </c>
      <c r="H33" s="81"/>
      <c r="I33" s="82" t="s">
        <v>109</v>
      </c>
      <c r="J33" s="82" t="s">
        <v>108</v>
      </c>
      <c r="K33" s="82" t="s">
        <v>110</v>
      </c>
      <c r="L33" s="83" t="s">
        <v>111</v>
      </c>
      <c r="M33" s="76"/>
    </row>
    <row r="34" spans="2:13" x14ac:dyDescent="0.25">
      <c r="B34" s="12">
        <v>45187</v>
      </c>
      <c r="C34" s="18">
        <v>23.129999000000002</v>
      </c>
      <c r="D34" s="135">
        <f t="shared" si="0"/>
        <v>-0.17803838585779619</v>
      </c>
      <c r="H34" s="84" t="s">
        <v>112</v>
      </c>
      <c r="I34" s="70">
        <f>AVERAGEIF(D:D,"&gt;0")</f>
        <v>7.8454803268412268E-2</v>
      </c>
      <c r="J34" s="68">
        <f>COUNTIF(D:D,"&gt;0")</f>
        <v>64</v>
      </c>
      <c r="K34" s="70">
        <f>J34/$I$31</f>
        <v>0.5161290322580645</v>
      </c>
      <c r="L34" s="71">
        <f>K34*I34</f>
        <v>4.0492801686922458E-2</v>
      </c>
      <c r="M34" s="76"/>
    </row>
    <row r="35" spans="2:13" x14ac:dyDescent="0.25">
      <c r="B35" s="12">
        <v>45180</v>
      </c>
      <c r="C35" s="18">
        <v>28.139999</v>
      </c>
      <c r="D35" s="135">
        <f t="shared" si="0"/>
        <v>-7.9489728491985656E-2</v>
      </c>
      <c r="H35" s="84" t="s">
        <v>113</v>
      </c>
      <c r="I35" s="70">
        <f>AVERAGEIF(D:D,"&lt;0")</f>
        <v>-6.6715330045796425E-2</v>
      </c>
      <c r="J35" s="68">
        <f>COUNTIF(D:D,"&lt;0")</f>
        <v>60</v>
      </c>
      <c r="K35" s="70">
        <f>J35/$I$31</f>
        <v>0.4838709677419355</v>
      </c>
      <c r="L35" s="71">
        <f t="shared" ref="L35:L36" si="6">K35*I35</f>
        <v>-3.2281611312482139E-2</v>
      </c>
      <c r="M35" s="76"/>
    </row>
    <row r="36" spans="2:13" ht="15.75" thickBot="1" x14ac:dyDescent="0.3">
      <c r="B36" s="12">
        <v>45173</v>
      </c>
      <c r="C36" s="18">
        <v>30.57</v>
      </c>
      <c r="D36" s="135">
        <f t="shared" si="0"/>
        <v>-1.1639185257032003E-2</v>
      </c>
      <c r="H36" s="85" t="s">
        <v>114</v>
      </c>
      <c r="I36" s="73">
        <v>0</v>
      </c>
      <c r="J36" s="73">
        <f>COUNTIF(D:D,"0")</f>
        <v>0</v>
      </c>
      <c r="K36" s="86">
        <f>J36/$I$31</f>
        <v>0</v>
      </c>
      <c r="L36" s="74">
        <f t="shared" si="6"/>
        <v>0</v>
      </c>
      <c r="M36" s="76"/>
    </row>
    <row r="37" spans="2:13" ht="15.75" thickBot="1" x14ac:dyDescent="0.3">
      <c r="B37" s="12">
        <v>45166</v>
      </c>
      <c r="C37" s="18">
        <v>30.93</v>
      </c>
      <c r="D37" s="135">
        <f t="shared" si="0"/>
        <v>0.22446555819477432</v>
      </c>
      <c r="H37" s="80"/>
      <c r="I37" s="87"/>
      <c r="J37" s="87"/>
      <c r="K37" s="87"/>
      <c r="L37" s="87"/>
      <c r="M37" s="76"/>
    </row>
    <row r="38" spans="2:13" x14ac:dyDescent="0.25">
      <c r="B38" s="12">
        <v>45159</v>
      </c>
      <c r="C38" s="18">
        <v>25.26</v>
      </c>
      <c r="D38" s="135">
        <f t="shared" si="0"/>
        <v>5.2061640982923763E-2</v>
      </c>
      <c r="H38" s="61" t="s">
        <v>115</v>
      </c>
      <c r="I38" s="82" t="s">
        <v>116</v>
      </c>
      <c r="J38" s="82" t="s">
        <v>117</v>
      </c>
      <c r="K38" s="82" t="s">
        <v>118</v>
      </c>
      <c r="L38" s="82" t="s">
        <v>119</v>
      </c>
      <c r="M38" s="83" t="s">
        <v>120</v>
      </c>
    </row>
    <row r="39" spans="2:13" x14ac:dyDescent="0.25">
      <c r="B39" s="12">
        <v>45152</v>
      </c>
      <c r="C39" s="18">
        <v>24.01</v>
      </c>
      <c r="D39" s="135">
        <f t="shared" si="0"/>
        <v>1.0947368421052595E-2</v>
      </c>
      <c r="H39" s="88">
        <v>1</v>
      </c>
      <c r="I39" s="70">
        <f>$I$19+($H39*$I$23)</f>
        <v>0.1053131016286753</v>
      </c>
      <c r="J39" s="70">
        <f>$I$19-($H39*$I$23)</f>
        <v>-8.8890720879794632E-2</v>
      </c>
      <c r="K39" s="68">
        <f>COUNTIFS(D:D,"&lt;"&amp;I39,D:D,"&gt;"&amp;J39)</f>
        <v>94</v>
      </c>
      <c r="L39" s="70">
        <f>K39/$I$31</f>
        <v>0.75806451612903225</v>
      </c>
      <c r="M39" s="71">
        <v>0.68269999999999997</v>
      </c>
    </row>
    <row r="40" spans="2:13" x14ac:dyDescent="0.25">
      <c r="B40" s="12">
        <v>45145</v>
      </c>
      <c r="C40" s="18">
        <v>23.75</v>
      </c>
      <c r="D40" s="135">
        <f t="shared" si="0"/>
        <v>-8.1593229636766074E-2</v>
      </c>
      <c r="H40" s="88">
        <v>2</v>
      </c>
      <c r="I40" s="70">
        <f>$I$19+($H40*$I$23)</f>
        <v>0.20241501288291028</v>
      </c>
      <c r="J40" s="70">
        <f>$I$19-($H40*$I$23)</f>
        <v>-0.18599263213402958</v>
      </c>
      <c r="K40" s="68">
        <f>COUNTIFS(D:D,"&lt;"&amp;I40,D:D,"&gt;"&amp;J40)</f>
        <v>117</v>
      </c>
      <c r="L40" s="70">
        <f>K40/$I$31</f>
        <v>0.94354838709677424</v>
      </c>
      <c r="M40" s="71">
        <v>0.95450000000000002</v>
      </c>
    </row>
    <row r="41" spans="2:13" x14ac:dyDescent="0.25">
      <c r="B41" s="12">
        <v>45138</v>
      </c>
      <c r="C41" s="18">
        <v>25.860001</v>
      </c>
      <c r="D41" s="135">
        <f t="shared" si="0"/>
        <v>-6.6762831712841253E-2</v>
      </c>
      <c r="H41" s="88">
        <v>3</v>
      </c>
      <c r="I41" s="70">
        <f>$I$19+($H41*$I$23)</f>
        <v>0.29951692413714526</v>
      </c>
      <c r="J41" s="70">
        <f>$I$19-($H41*$I$23)</f>
        <v>-0.28309454338826456</v>
      </c>
      <c r="K41" s="68">
        <f>COUNTIFS(D:D,"&lt;"&amp;I41,D:D,"&gt;"&amp;J41)</f>
        <v>124</v>
      </c>
      <c r="L41" s="70">
        <f>K41/$I$31</f>
        <v>1</v>
      </c>
      <c r="M41" s="89">
        <v>0.99729999999999996</v>
      </c>
    </row>
    <row r="42" spans="2:13" ht="15.75" thickBot="1" x14ac:dyDescent="0.3">
      <c r="B42" s="12">
        <v>45131</v>
      </c>
      <c r="C42" s="18">
        <v>27.709999</v>
      </c>
      <c r="D42" s="135">
        <f t="shared" si="0"/>
        <v>2.3264364844904017E-2</v>
      </c>
      <c r="H42" s="66"/>
      <c r="M42" s="89"/>
    </row>
    <row r="43" spans="2:13" ht="15.75" thickBot="1" x14ac:dyDescent="0.3">
      <c r="B43" s="12">
        <v>45124</v>
      </c>
      <c r="C43" s="18">
        <v>27.08</v>
      </c>
      <c r="D43" s="135">
        <f t="shared" si="0"/>
        <v>4.8237103961517036E-3</v>
      </c>
      <c r="H43" s="132" t="s">
        <v>121</v>
      </c>
      <c r="I43" s="133"/>
      <c r="J43" s="133"/>
      <c r="K43" s="133"/>
      <c r="L43" s="133"/>
      <c r="M43" s="134"/>
    </row>
    <row r="44" spans="2:13" x14ac:dyDescent="0.25">
      <c r="B44" s="12">
        <v>45117</v>
      </c>
      <c r="C44" s="18">
        <v>26.950001</v>
      </c>
      <c r="D44" s="135">
        <f t="shared" si="0"/>
        <v>2.6275742574257466E-2</v>
      </c>
      <c r="H44" s="90">
        <v>0.01</v>
      </c>
      <c r="I44" s="91">
        <f t="shared" ref="I44:I58" si="7">_xlfn.PERCENTILE.INC(D:D,H44)</f>
        <v>-0.18478941757745868</v>
      </c>
      <c r="J44" s="92">
        <v>0.2</v>
      </c>
      <c r="K44" s="91">
        <f t="shared" ref="K44:K56" si="8">_xlfn.PERCENTILE.INC(D:D,J44)</f>
        <v>-5.993883979459997E-2</v>
      </c>
      <c r="L44" s="92">
        <v>0.85</v>
      </c>
      <c r="M44" s="93">
        <f t="shared" ref="M44:M58" si="9">_xlfn.PERCENTILE.INC(D:D,L44)</f>
        <v>9.4123313163202216E-2</v>
      </c>
    </row>
    <row r="45" spans="2:13" x14ac:dyDescent="0.25">
      <c r="B45" s="12">
        <v>45110</v>
      </c>
      <c r="C45" s="18">
        <v>26.26</v>
      </c>
      <c r="D45" s="135">
        <f t="shared" si="0"/>
        <v>-5.2327645338420936E-2</v>
      </c>
      <c r="H45" s="94">
        <v>0.02</v>
      </c>
      <c r="I45" s="95">
        <f t="shared" si="7"/>
        <v>-0.18045472677313376</v>
      </c>
      <c r="J45" s="96">
        <v>0.25</v>
      </c>
      <c r="K45" s="95">
        <f t="shared" si="8"/>
        <v>-4.5210289895213973E-2</v>
      </c>
      <c r="L45" s="96">
        <v>0.86</v>
      </c>
      <c r="M45" s="97">
        <f t="shared" si="9"/>
        <v>9.9198154081776596E-2</v>
      </c>
    </row>
    <row r="46" spans="2:13" x14ac:dyDescent="0.25">
      <c r="B46" s="12">
        <v>45103</v>
      </c>
      <c r="C46" s="18">
        <v>27.709999</v>
      </c>
      <c r="D46" s="135">
        <f t="shared" si="0"/>
        <v>6.1279124424391984E-2</v>
      </c>
      <c r="H46" s="94">
        <v>0.03</v>
      </c>
      <c r="I46" s="95">
        <f t="shared" si="7"/>
        <v>-0.17625934937465607</v>
      </c>
      <c r="J46" s="96">
        <v>0.3</v>
      </c>
      <c r="K46" s="95">
        <f t="shared" si="8"/>
        <v>-3.6419472314735898E-2</v>
      </c>
      <c r="L46" s="96">
        <v>0.87</v>
      </c>
      <c r="M46" s="97">
        <f t="shared" si="9"/>
        <v>0.10227632565097923</v>
      </c>
    </row>
    <row r="47" spans="2:13" x14ac:dyDescent="0.25">
      <c r="B47" s="12">
        <v>45096</v>
      </c>
      <c r="C47" s="18">
        <v>26.110001</v>
      </c>
      <c r="D47" s="135">
        <f t="shared" si="0"/>
        <v>-9.6539757785467084E-2</v>
      </c>
      <c r="H47" s="94">
        <v>0.04</v>
      </c>
      <c r="I47" s="95">
        <f t="shared" si="7"/>
        <v>-0.17407955496718144</v>
      </c>
      <c r="J47" s="96">
        <v>0.35</v>
      </c>
      <c r="K47" s="95">
        <f t="shared" si="8"/>
        <v>-2.7252963227939315E-2</v>
      </c>
      <c r="L47" s="96">
        <v>0.88</v>
      </c>
      <c r="M47" s="97">
        <f t="shared" si="9"/>
        <v>0.11026182903495162</v>
      </c>
    </row>
    <row r="48" spans="2:13" x14ac:dyDescent="0.25">
      <c r="B48" s="12">
        <v>45089</v>
      </c>
      <c r="C48" s="18">
        <v>28.9</v>
      </c>
      <c r="D48" s="135">
        <f t="shared" si="0"/>
        <v>-2.760524499655026E-3</v>
      </c>
      <c r="H48" s="94">
        <v>0.05</v>
      </c>
      <c r="I48" s="95">
        <f t="shared" si="7"/>
        <v>-0.16590083408492906</v>
      </c>
      <c r="J48" s="96">
        <v>0.4</v>
      </c>
      <c r="K48" s="95">
        <f t="shared" si="8"/>
        <v>-1.8331507979451066E-2</v>
      </c>
      <c r="L48" s="96">
        <v>0.89</v>
      </c>
      <c r="M48" s="97">
        <f t="shared" si="9"/>
        <v>0.11517930643736765</v>
      </c>
    </row>
    <row r="49" spans="2:13" x14ac:dyDescent="0.25">
      <c r="B49" s="12">
        <v>45082</v>
      </c>
      <c r="C49" s="18">
        <v>28.98</v>
      </c>
      <c r="D49" s="135">
        <f t="shared" si="0"/>
        <v>0.19210206466894553</v>
      </c>
      <c r="H49" s="94">
        <v>0.06</v>
      </c>
      <c r="I49" s="95">
        <f t="shared" si="7"/>
        <v>-0.15800554086714136</v>
      </c>
      <c r="J49" s="96">
        <v>0.45</v>
      </c>
      <c r="K49" s="95">
        <f t="shared" si="8"/>
        <v>-8.3910515181283788E-3</v>
      </c>
      <c r="L49" s="96">
        <v>0.9</v>
      </c>
      <c r="M49" s="97">
        <f t="shared" si="9"/>
        <v>0.11890096902490617</v>
      </c>
    </row>
    <row r="50" spans="2:13" x14ac:dyDescent="0.25">
      <c r="B50" s="12">
        <v>45075</v>
      </c>
      <c r="C50" s="18">
        <v>24.309999000000001</v>
      </c>
      <c r="D50" s="135">
        <f t="shared" si="0"/>
        <v>0.27544597457743825</v>
      </c>
      <c r="H50" s="94">
        <v>7.0000000000000007E-2</v>
      </c>
      <c r="I50" s="95">
        <f t="shared" si="7"/>
        <v>-0.14590583952445019</v>
      </c>
      <c r="J50" s="96">
        <v>0.5</v>
      </c>
      <c r="K50" s="95">
        <f t="shared" si="8"/>
        <v>3.2309954959095499E-3</v>
      </c>
      <c r="L50" s="96">
        <v>0.91</v>
      </c>
      <c r="M50" s="97">
        <f t="shared" si="9"/>
        <v>0.11994234031016696</v>
      </c>
    </row>
    <row r="51" spans="2:13" x14ac:dyDescent="0.25">
      <c r="B51" s="12">
        <v>45068</v>
      </c>
      <c r="C51" s="18">
        <v>19.059999000000001</v>
      </c>
      <c r="D51" s="135">
        <f t="shared" si="0"/>
        <v>-5.5968397426032657E-2</v>
      </c>
      <c r="H51" s="94">
        <v>0.08</v>
      </c>
      <c r="I51" s="95">
        <f t="shared" si="7"/>
        <v>-0.11040993166134769</v>
      </c>
      <c r="J51" s="96">
        <v>0.55000000000000004</v>
      </c>
      <c r="K51" s="95">
        <f t="shared" si="8"/>
        <v>1.2910346760483417E-2</v>
      </c>
      <c r="L51" s="96">
        <v>0.92</v>
      </c>
      <c r="M51" s="97">
        <f t="shared" si="9"/>
        <v>0.13454820297647618</v>
      </c>
    </row>
    <row r="52" spans="2:13" x14ac:dyDescent="0.25">
      <c r="B52" s="12">
        <v>45061</v>
      </c>
      <c r="C52" s="18">
        <v>20.190000999999999</v>
      </c>
      <c r="D52" s="135">
        <f t="shared" si="0"/>
        <v>6.4312180511975736E-2</v>
      </c>
      <c r="H52" s="94">
        <v>0.09</v>
      </c>
      <c r="I52" s="95">
        <f t="shared" si="7"/>
        <v>-0.10290460860106496</v>
      </c>
      <c r="J52" s="96">
        <v>0.6</v>
      </c>
      <c r="K52" s="95">
        <f t="shared" si="8"/>
        <v>1.9269142171186755E-2</v>
      </c>
      <c r="L52" s="96">
        <v>0.93</v>
      </c>
      <c r="M52" s="97">
        <f t="shared" si="9"/>
        <v>0.18126363088674835</v>
      </c>
    </row>
    <row r="53" spans="2:13" x14ac:dyDescent="0.25">
      <c r="B53" s="12">
        <v>45054</v>
      </c>
      <c r="C53" s="18">
        <v>18.969999000000001</v>
      </c>
      <c r="D53" s="135">
        <f t="shared" si="0"/>
        <v>5.2135216187730871E-2</v>
      </c>
      <c r="H53" s="94">
        <v>0.1</v>
      </c>
      <c r="I53" s="95">
        <f t="shared" si="7"/>
        <v>-9.8229827576991724E-2</v>
      </c>
      <c r="J53" s="96">
        <v>0.65</v>
      </c>
      <c r="K53" s="95">
        <f t="shared" si="8"/>
        <v>3.4437502440064119E-2</v>
      </c>
      <c r="L53" s="96">
        <v>0.94</v>
      </c>
      <c r="M53" s="97">
        <f t="shared" si="9"/>
        <v>0.19309169469028556</v>
      </c>
    </row>
    <row r="54" spans="2:13" x14ac:dyDescent="0.25">
      <c r="B54" s="12">
        <v>45047</v>
      </c>
      <c r="C54" s="18">
        <v>18.030000999999999</v>
      </c>
      <c r="D54" s="135">
        <f t="shared" si="0"/>
        <v>-1.1079224990538927E-3</v>
      </c>
      <c r="H54" s="94">
        <v>0.11</v>
      </c>
      <c r="I54" s="95">
        <f t="shared" si="7"/>
        <v>-9.1799318140357133E-2</v>
      </c>
      <c r="J54" s="96">
        <v>0.7</v>
      </c>
      <c r="K54" s="95">
        <f t="shared" si="8"/>
        <v>4.4576397217558281E-2</v>
      </c>
      <c r="L54" s="96">
        <v>0.95</v>
      </c>
      <c r="M54" s="97">
        <f t="shared" si="9"/>
        <v>0.19461698531439189</v>
      </c>
    </row>
    <row r="55" spans="2:13" x14ac:dyDescent="0.25">
      <c r="B55" s="12">
        <v>45040</v>
      </c>
      <c r="C55" s="18">
        <v>18.049999</v>
      </c>
      <c r="D55" s="135">
        <f t="shared" si="0"/>
        <v>-0.18546935920577623</v>
      </c>
      <c r="H55" s="94">
        <v>0.12</v>
      </c>
      <c r="I55" s="95">
        <f t="shared" si="7"/>
        <v>-8.7264229392267495E-2</v>
      </c>
      <c r="J55" s="96">
        <v>0.75</v>
      </c>
      <c r="K55" s="95">
        <f t="shared" si="8"/>
        <v>5.5676296503180733E-2</v>
      </c>
      <c r="L55" s="96">
        <v>0.96</v>
      </c>
      <c r="M55" s="97">
        <f t="shared" si="9"/>
        <v>0.21526390816514157</v>
      </c>
    </row>
    <row r="56" spans="2:13" x14ac:dyDescent="0.25">
      <c r="B56" s="12">
        <v>45033</v>
      </c>
      <c r="C56" s="18">
        <v>22.16</v>
      </c>
      <c r="D56" s="135">
        <f t="shared" si="0"/>
        <v>0.11244979919678699</v>
      </c>
      <c r="H56" s="94">
        <v>0.13</v>
      </c>
      <c r="I56" s="95">
        <f t="shared" si="7"/>
        <v>-8.6826702816607995E-2</v>
      </c>
      <c r="J56" s="96">
        <v>0.8</v>
      </c>
      <c r="K56" s="95">
        <f t="shared" si="8"/>
        <v>7.6794642268340915E-2</v>
      </c>
      <c r="L56" s="96">
        <v>0.97</v>
      </c>
      <c r="M56" s="97">
        <f t="shared" si="9"/>
        <v>0.22745024415799578</v>
      </c>
    </row>
    <row r="57" spans="2:13" x14ac:dyDescent="0.25">
      <c r="B57" s="12">
        <v>45026</v>
      </c>
      <c r="C57" s="18">
        <v>19.920000000000002</v>
      </c>
      <c r="D57" s="135">
        <f t="shared" si="0"/>
        <v>4.8421052631579142E-2</v>
      </c>
      <c r="H57" s="94">
        <v>0.14000000000000001</v>
      </c>
      <c r="I57" s="95">
        <f t="shared" si="7"/>
        <v>-8.5248314974917638E-2</v>
      </c>
      <c r="J57" s="96"/>
      <c r="K57" s="95"/>
      <c r="L57" s="96">
        <v>0.98</v>
      </c>
      <c r="M57" s="97">
        <f t="shared" si="9"/>
        <v>0.23566694077953765</v>
      </c>
    </row>
    <row r="58" spans="2:13" ht="15.75" thickBot="1" x14ac:dyDescent="0.3">
      <c r="B58" s="12">
        <v>45019</v>
      </c>
      <c r="C58" s="18">
        <v>19</v>
      </c>
      <c r="D58" s="135">
        <f t="shared" si="0"/>
        <v>-3.651110732814955E-2</v>
      </c>
      <c r="H58" s="98">
        <v>0.15</v>
      </c>
      <c r="I58" s="99">
        <f t="shared" si="7"/>
        <v>-8.0646654121614883E-2</v>
      </c>
      <c r="J58" s="100"/>
      <c r="K58" s="79"/>
      <c r="L58" s="101">
        <v>0.99</v>
      </c>
      <c r="M58" s="102">
        <f t="shared" si="9"/>
        <v>0.26120032791706593</v>
      </c>
    </row>
    <row r="59" spans="2:13" ht="15.75" thickBot="1" x14ac:dyDescent="0.3">
      <c r="B59" s="12">
        <v>45012</v>
      </c>
      <c r="C59" s="18">
        <v>19.719999000000001</v>
      </c>
      <c r="D59" s="135">
        <f t="shared" si="0"/>
        <v>8.7699949680085432E-2</v>
      </c>
    </row>
    <row r="60" spans="2:13" x14ac:dyDescent="0.25">
      <c r="B60" s="12">
        <v>45005</v>
      </c>
      <c r="C60" s="18">
        <v>18.129999000000002</v>
      </c>
      <c r="D60" s="135">
        <f t="shared" si="0"/>
        <v>-4.6792902208201759E-2</v>
      </c>
      <c r="H60" s="103" t="s">
        <v>122</v>
      </c>
      <c r="I60" s="104"/>
    </row>
    <row r="61" spans="2:13" ht="15.75" thickBot="1" x14ac:dyDescent="0.3">
      <c r="B61" s="12">
        <v>44998</v>
      </c>
      <c r="C61" s="18">
        <v>19.02</v>
      </c>
      <c r="D61" s="135">
        <f t="shared" si="0"/>
        <v>-1.7562034216837108E-2</v>
      </c>
      <c r="H61" s="105" t="s">
        <v>123</v>
      </c>
      <c r="I61" s="106"/>
    </row>
    <row r="62" spans="2:13" ht="15.75" thickBot="1" x14ac:dyDescent="0.3">
      <c r="B62" s="12">
        <v>44991</v>
      </c>
      <c r="C62" s="18">
        <v>19.360001</v>
      </c>
      <c r="D62" s="135">
        <f t="shared" si="0"/>
        <v>-6.1601129363449969E-3</v>
      </c>
      <c r="H62" s="107"/>
    </row>
    <row r="63" spans="2:13" x14ac:dyDescent="0.25">
      <c r="B63" s="12">
        <v>44984</v>
      </c>
      <c r="C63" s="18">
        <v>19.48</v>
      </c>
      <c r="D63" s="135">
        <f t="shared" si="0"/>
        <v>0.21446376468430395</v>
      </c>
      <c r="H63" s="103" t="s">
        <v>124</v>
      </c>
      <c r="I63" s="108"/>
    </row>
    <row r="64" spans="2:13" x14ac:dyDescent="0.25">
      <c r="B64" s="12">
        <v>44977</v>
      </c>
      <c r="C64" s="18">
        <v>16.040001</v>
      </c>
      <c r="D64" s="135">
        <f t="shared" si="0"/>
        <v>1.2626325757575829E-2</v>
      </c>
      <c r="H64" s="109" t="s">
        <v>125</v>
      </c>
      <c r="I64" s="110">
        <f>I63*(1-I60)</f>
        <v>0</v>
      </c>
    </row>
    <row r="65" spans="2:9" ht="15.75" thickBot="1" x14ac:dyDescent="0.3">
      <c r="B65" s="12">
        <v>44970</v>
      </c>
      <c r="C65" s="18">
        <v>15.84</v>
      </c>
      <c r="D65" s="135">
        <f t="shared" si="0"/>
        <v>4.4854881266490843E-2</v>
      </c>
      <c r="H65" s="105" t="s">
        <v>126</v>
      </c>
      <c r="I65" s="111">
        <f>I63*(1+I61)</f>
        <v>0</v>
      </c>
    </row>
    <row r="66" spans="2:9" x14ac:dyDescent="0.25">
      <c r="B66" s="12">
        <v>44963</v>
      </c>
      <c r="C66" s="18">
        <v>15.16</v>
      </c>
      <c r="D66" s="135">
        <f t="shared" si="0"/>
        <v>3.0591434398368422E-2</v>
      </c>
    </row>
    <row r="67" spans="2:9" x14ac:dyDescent="0.25">
      <c r="B67" s="12">
        <v>44956</v>
      </c>
      <c r="C67" s="18">
        <v>14.71</v>
      </c>
      <c r="D67" s="135">
        <f t="shared" ref="D67:D126" si="10">C67/C68-1</f>
        <v>6.9040697674418672E-2</v>
      </c>
    </row>
    <row r="68" spans="2:9" x14ac:dyDescent="0.25">
      <c r="B68" s="12">
        <v>44949</v>
      </c>
      <c r="C68" s="18">
        <v>13.76</v>
      </c>
      <c r="D68" s="135">
        <f t="shared" si="10"/>
        <v>9.9920063948840898E-2</v>
      </c>
    </row>
    <row r="69" spans="2:9" x14ac:dyDescent="0.25">
      <c r="B69" s="12">
        <v>44942</v>
      </c>
      <c r="C69" s="18">
        <v>12.51</v>
      </c>
      <c r="D69" s="135">
        <f t="shared" si="10"/>
        <v>4.1631973355537033E-2</v>
      </c>
    </row>
    <row r="70" spans="2:9" x14ac:dyDescent="0.25">
      <c r="B70" s="12">
        <v>44935</v>
      </c>
      <c r="C70" s="18">
        <v>12.01</v>
      </c>
      <c r="D70" s="135">
        <f t="shared" si="10"/>
        <v>7.2321428571428648E-2</v>
      </c>
    </row>
    <row r="71" spans="2:9" x14ac:dyDescent="0.25">
      <c r="B71" s="12">
        <v>44928</v>
      </c>
      <c r="C71" s="18">
        <v>11.2</v>
      </c>
      <c r="D71" s="135">
        <f t="shared" si="10"/>
        <v>-9.8954143201930855E-2</v>
      </c>
    </row>
    <row r="72" spans="2:9" x14ac:dyDescent="0.25">
      <c r="B72" s="12">
        <v>44921</v>
      </c>
      <c r="C72" s="18">
        <v>12.43</v>
      </c>
      <c r="D72" s="135">
        <f t="shared" si="10"/>
        <v>1.3039934800326058E-2</v>
      </c>
    </row>
    <row r="73" spans="2:9" x14ac:dyDescent="0.25">
      <c r="B73" s="12">
        <v>44914</v>
      </c>
      <c r="C73" s="18">
        <v>12.27</v>
      </c>
      <c r="D73" s="135">
        <f t="shared" si="10"/>
        <v>-3.9154267815191823E-2</v>
      </c>
    </row>
    <row r="74" spans="2:9" x14ac:dyDescent="0.25">
      <c r="B74" s="12">
        <v>44907</v>
      </c>
      <c r="C74" s="18">
        <v>12.77</v>
      </c>
      <c r="D74" s="135">
        <f t="shared" si="10"/>
        <v>-2.14559386973181E-2</v>
      </c>
    </row>
    <row r="75" spans="2:9" x14ac:dyDescent="0.25">
      <c r="B75" s="12">
        <v>44900</v>
      </c>
      <c r="C75" s="18">
        <v>13.05</v>
      </c>
      <c r="D75" s="135">
        <f t="shared" si="10"/>
        <v>9.6638655462184975E-2</v>
      </c>
    </row>
    <row r="76" spans="2:9" x14ac:dyDescent="0.25">
      <c r="B76" s="12">
        <v>44893</v>
      </c>
      <c r="C76" s="18">
        <v>11.9</v>
      </c>
      <c r="D76" s="135">
        <f t="shared" si="10"/>
        <v>0.19477911646586343</v>
      </c>
    </row>
    <row r="77" spans="2:9" x14ac:dyDescent="0.25">
      <c r="B77" s="12">
        <v>44886</v>
      </c>
      <c r="C77" s="18">
        <v>9.9600000000000009</v>
      </c>
      <c r="D77" s="135">
        <f t="shared" si="10"/>
        <v>6.5240641711230118E-2</v>
      </c>
    </row>
    <row r="78" spans="2:9" x14ac:dyDescent="0.25">
      <c r="B78" s="12">
        <v>44879</v>
      </c>
      <c r="C78" s="18">
        <v>9.35</v>
      </c>
      <c r="D78" s="135">
        <f t="shared" si="10"/>
        <v>-7.4257425742574212E-2</v>
      </c>
    </row>
    <row r="79" spans="2:9" x14ac:dyDescent="0.25">
      <c r="B79" s="12">
        <v>44872</v>
      </c>
      <c r="C79" s="18">
        <v>10.1</v>
      </c>
      <c r="D79" s="135">
        <f t="shared" si="10"/>
        <v>4.4467425025853213E-2</v>
      </c>
    </row>
    <row r="80" spans="2:9" x14ac:dyDescent="0.25">
      <c r="B80" s="12">
        <v>44865</v>
      </c>
      <c r="C80" s="18">
        <v>9.67</v>
      </c>
      <c r="D80" s="135">
        <f t="shared" si="10"/>
        <v>-0.21953188054882977</v>
      </c>
    </row>
    <row r="81" spans="2:4" x14ac:dyDescent="0.25">
      <c r="B81" s="12">
        <v>44858</v>
      </c>
      <c r="C81" s="18">
        <v>12.39</v>
      </c>
      <c r="D81" s="135">
        <f t="shared" si="10"/>
        <v>7.8328981723237545E-2</v>
      </c>
    </row>
    <row r="82" spans="2:4" x14ac:dyDescent="0.25">
      <c r="B82" s="12">
        <v>44851</v>
      </c>
      <c r="C82" s="18">
        <v>11.49</v>
      </c>
      <c r="D82" s="135">
        <f t="shared" si="10"/>
        <v>4.4545454545454666E-2</v>
      </c>
    </row>
    <row r="83" spans="2:4" x14ac:dyDescent="0.25">
      <c r="B83" s="12">
        <v>44844</v>
      </c>
      <c r="C83" s="18">
        <v>11</v>
      </c>
      <c r="D83" s="135">
        <f t="shared" si="10"/>
        <v>-0.16094584286803959</v>
      </c>
    </row>
    <row r="84" spans="2:4" x14ac:dyDescent="0.25">
      <c r="B84" s="12">
        <v>44837</v>
      </c>
      <c r="C84" s="18">
        <v>13.11</v>
      </c>
      <c r="D84" s="135">
        <f t="shared" si="10"/>
        <v>8.6164043082021413E-2</v>
      </c>
    </row>
    <row r="85" spans="2:4" x14ac:dyDescent="0.25">
      <c r="B85" s="12">
        <v>44830</v>
      </c>
      <c r="C85" s="18">
        <v>12.07</v>
      </c>
      <c r="D85" s="135">
        <f t="shared" si="10"/>
        <v>3.5162950257289882E-2</v>
      </c>
    </row>
    <row r="86" spans="2:4" x14ac:dyDescent="0.25">
      <c r="B86" s="12">
        <v>44823</v>
      </c>
      <c r="C86" s="18">
        <v>11.66</v>
      </c>
      <c r="D86" s="135">
        <f t="shared" si="10"/>
        <v>-7.6801266825019865E-2</v>
      </c>
    </row>
    <row r="87" spans="2:4" x14ac:dyDescent="0.25">
      <c r="B87" s="12">
        <v>44816</v>
      </c>
      <c r="C87" s="18">
        <v>12.63</v>
      </c>
      <c r="D87" s="135">
        <f t="shared" si="10"/>
        <v>-3.2183908045977039E-2</v>
      </c>
    </row>
    <row r="88" spans="2:4" x14ac:dyDescent="0.25">
      <c r="B88" s="12">
        <v>44809</v>
      </c>
      <c r="C88" s="18">
        <v>13.05</v>
      </c>
      <c r="D88" s="135">
        <f t="shared" si="10"/>
        <v>2.0328381548084584E-2</v>
      </c>
    </row>
    <row r="89" spans="2:4" x14ac:dyDescent="0.25">
      <c r="B89" s="12">
        <v>44802</v>
      </c>
      <c r="C89" s="18">
        <v>12.79</v>
      </c>
      <c r="D89" s="135">
        <f t="shared" si="10"/>
        <v>-0.16677524429967427</v>
      </c>
    </row>
    <row r="90" spans="2:4" x14ac:dyDescent="0.25">
      <c r="B90" s="12">
        <v>44795</v>
      </c>
      <c r="C90" s="18">
        <v>15.35</v>
      </c>
      <c r="D90" s="135">
        <f t="shared" si="10"/>
        <v>-3.6409290646578829E-2</v>
      </c>
    </row>
    <row r="91" spans="2:4" x14ac:dyDescent="0.25">
      <c r="B91" s="12">
        <v>44788</v>
      </c>
      <c r="C91" s="18">
        <v>15.93</v>
      </c>
      <c r="D91" s="135">
        <f t="shared" si="10"/>
        <v>-3.6880348435287313E-2</v>
      </c>
    </row>
    <row r="92" spans="2:4" x14ac:dyDescent="0.25">
      <c r="B92" s="12">
        <v>44781</v>
      </c>
      <c r="C92" s="18">
        <v>16.540001</v>
      </c>
      <c r="D92" s="135">
        <f t="shared" si="10"/>
        <v>2.2881941867656019E-2</v>
      </c>
    </row>
    <row r="93" spans="2:4" x14ac:dyDescent="0.25">
      <c r="B93" s="12">
        <v>44774</v>
      </c>
      <c r="C93" s="18">
        <v>16.170000000000002</v>
      </c>
      <c r="D93" s="135">
        <f t="shared" si="10"/>
        <v>0.11825726141078841</v>
      </c>
    </row>
    <row r="94" spans="2:4" x14ac:dyDescent="0.25">
      <c r="B94" s="12">
        <v>44767</v>
      </c>
      <c r="C94" s="18">
        <v>14.46</v>
      </c>
      <c r="D94" s="135">
        <f t="shared" si="10"/>
        <v>1.6877637130801704E-2</v>
      </c>
    </row>
    <row r="95" spans="2:4" x14ac:dyDescent="0.25">
      <c r="B95" s="12">
        <v>44760</v>
      </c>
      <c r="C95" s="18">
        <v>14.22</v>
      </c>
      <c r="D95" s="135">
        <f t="shared" si="10"/>
        <v>2.1141649048626032E-3</v>
      </c>
    </row>
    <row r="96" spans="2:4" x14ac:dyDescent="0.25">
      <c r="B96" s="12">
        <v>44753</v>
      </c>
      <c r="C96" s="18">
        <v>14.19</v>
      </c>
      <c r="D96" s="135">
        <f t="shared" si="10"/>
        <v>-2.4742268041237248E-2</v>
      </c>
    </row>
    <row r="97" spans="2:4" x14ac:dyDescent="0.25">
      <c r="B97" s="12">
        <v>44746</v>
      </c>
      <c r="C97" s="18">
        <v>14.55</v>
      </c>
      <c r="D97" s="135">
        <f t="shared" si="10"/>
        <v>0.17433414043583539</v>
      </c>
    </row>
    <row r="98" spans="2:4" x14ac:dyDescent="0.25">
      <c r="B98" s="12">
        <v>44739</v>
      </c>
      <c r="C98" s="18">
        <v>12.39</v>
      </c>
      <c r="D98" s="135">
        <f t="shared" si="10"/>
        <v>-9.5923261390886694E-3</v>
      </c>
    </row>
    <row r="99" spans="2:4" x14ac:dyDescent="0.25">
      <c r="B99" s="12">
        <v>44732</v>
      </c>
      <c r="C99" s="18">
        <v>12.51</v>
      </c>
      <c r="D99" s="135">
        <f t="shared" si="10"/>
        <v>0.10220264317180616</v>
      </c>
    </row>
    <row r="100" spans="2:4" x14ac:dyDescent="0.25">
      <c r="B100" s="12">
        <v>44725</v>
      </c>
      <c r="C100" s="18">
        <v>11.35</v>
      </c>
      <c r="D100" s="135">
        <f t="shared" si="10"/>
        <v>3.4639927073837562E-2</v>
      </c>
    </row>
    <row r="101" spans="2:4" x14ac:dyDescent="0.25">
      <c r="B101" s="12">
        <v>44718</v>
      </c>
      <c r="C101" s="18">
        <v>10.97</v>
      </c>
      <c r="D101" s="135">
        <f t="shared" si="10"/>
        <v>-5.021645021645027E-2</v>
      </c>
    </row>
    <row r="102" spans="2:4" x14ac:dyDescent="0.25">
      <c r="B102" s="12">
        <v>44711</v>
      </c>
      <c r="C102" s="18">
        <v>11.55</v>
      </c>
      <c r="D102" s="135">
        <f t="shared" si="10"/>
        <v>4.3478260869564966E-3</v>
      </c>
    </row>
    <row r="103" spans="2:4" x14ac:dyDescent="0.25">
      <c r="B103" s="12">
        <v>44704</v>
      </c>
      <c r="C103" s="18">
        <v>11.5</v>
      </c>
      <c r="D103" s="135">
        <f t="shared" si="10"/>
        <v>7.5771749298409796E-2</v>
      </c>
    </row>
    <row r="104" spans="2:4" x14ac:dyDescent="0.25">
      <c r="B104" s="12">
        <v>44697</v>
      </c>
      <c r="C104" s="18">
        <v>10.69</v>
      </c>
      <c r="D104" s="135">
        <f t="shared" si="10"/>
        <v>-4.4682752457551378E-2</v>
      </c>
    </row>
    <row r="105" spans="2:4" x14ac:dyDescent="0.25">
      <c r="B105" s="12">
        <v>44690</v>
      </c>
      <c r="C105" s="18">
        <v>11.19</v>
      </c>
      <c r="D105" s="135">
        <f t="shared" si="10"/>
        <v>1.2669683257918507E-2</v>
      </c>
    </row>
    <row r="106" spans="2:4" x14ac:dyDescent="0.25">
      <c r="B106" s="12">
        <v>44683</v>
      </c>
      <c r="C106" s="18">
        <v>11.05</v>
      </c>
      <c r="D106" s="135">
        <f t="shared" si="10"/>
        <v>-0.10453808752025928</v>
      </c>
    </row>
    <row r="107" spans="2:4" x14ac:dyDescent="0.25">
      <c r="B107" s="12">
        <v>44676</v>
      </c>
      <c r="C107" s="18">
        <v>12.34</v>
      </c>
      <c r="D107" s="135">
        <f t="shared" si="10"/>
        <v>-6.0882800608828003E-2</v>
      </c>
    </row>
    <row r="108" spans="2:4" x14ac:dyDescent="0.25">
      <c r="B108" s="12">
        <v>44669</v>
      </c>
      <c r="C108" s="18">
        <v>13.14</v>
      </c>
      <c r="D108" s="135">
        <f t="shared" si="10"/>
        <v>-1.277235161532686E-2</v>
      </c>
    </row>
    <row r="109" spans="2:4" x14ac:dyDescent="0.25">
      <c r="B109" s="12">
        <v>44662</v>
      </c>
      <c r="C109" s="18">
        <v>13.31</v>
      </c>
      <c r="D109" s="135">
        <f t="shared" si="10"/>
        <v>-9.6726190476189577E-3</v>
      </c>
    </row>
    <row r="110" spans="2:4" x14ac:dyDescent="0.25">
      <c r="B110" s="12">
        <v>44655</v>
      </c>
      <c r="C110" s="18">
        <v>13.44</v>
      </c>
      <c r="D110" s="135">
        <f t="shared" si="10"/>
        <v>-0.17546007211411485</v>
      </c>
    </row>
    <row r="111" spans="2:4" x14ac:dyDescent="0.25">
      <c r="B111" s="12">
        <v>44648</v>
      </c>
      <c r="C111" s="18">
        <v>16.299999</v>
      </c>
      <c r="D111" s="135">
        <f t="shared" si="10"/>
        <v>-6.697195575111381E-2</v>
      </c>
    </row>
    <row r="112" spans="2:4" x14ac:dyDescent="0.25">
      <c r="B112" s="12">
        <v>44641</v>
      </c>
      <c r="C112" s="18">
        <v>17.469999000000001</v>
      </c>
      <c r="D112" s="135">
        <f t="shared" si="10"/>
        <v>3.9262346178604801E-2</v>
      </c>
    </row>
    <row r="113" spans="2:4" x14ac:dyDescent="0.25">
      <c r="B113" s="12">
        <v>44634</v>
      </c>
      <c r="C113" s="18">
        <v>16.809999000000001</v>
      </c>
      <c r="D113" s="135">
        <f t="shared" si="10"/>
        <v>0.10957089108910889</v>
      </c>
    </row>
    <row r="114" spans="2:4" x14ac:dyDescent="0.25">
      <c r="B114" s="12">
        <v>44627</v>
      </c>
      <c r="C114" s="18">
        <v>15.15</v>
      </c>
      <c r="D114" s="135">
        <f t="shared" si="10"/>
        <v>-2.3840206185566926E-2</v>
      </c>
    </row>
    <row r="115" spans="2:4" x14ac:dyDescent="0.25">
      <c r="B115" s="12">
        <v>44620</v>
      </c>
      <c r="C115" s="18">
        <v>15.52</v>
      </c>
      <c r="D115" s="135">
        <f t="shared" si="10"/>
        <v>-8.7595532039976609E-2</v>
      </c>
    </row>
    <row r="116" spans="2:4" x14ac:dyDescent="0.25">
      <c r="B116" s="12">
        <v>44613</v>
      </c>
      <c r="C116" s="18">
        <v>17.010000000000002</v>
      </c>
      <c r="D116" s="135">
        <f t="shared" si="10"/>
        <v>-5.844593463203096E-3</v>
      </c>
    </row>
    <row r="117" spans="2:4" x14ac:dyDescent="0.25">
      <c r="B117" s="12">
        <v>44606</v>
      </c>
      <c r="C117" s="18">
        <v>17.110001</v>
      </c>
      <c r="D117" s="135">
        <f t="shared" si="10"/>
        <v>-0.18251309125656945</v>
      </c>
    </row>
    <row r="118" spans="2:4" x14ac:dyDescent="0.25">
      <c r="B118" s="12">
        <v>44599</v>
      </c>
      <c r="C118" s="18">
        <v>20.93</v>
      </c>
      <c r="D118" s="135">
        <f t="shared" si="10"/>
        <v>1.7996158462848078E-2</v>
      </c>
    </row>
    <row r="119" spans="2:4" x14ac:dyDescent="0.25">
      <c r="B119" s="12">
        <v>44592</v>
      </c>
      <c r="C119" s="18">
        <v>20.559999000000001</v>
      </c>
      <c r="D119" s="135">
        <f t="shared" si="10"/>
        <v>0.23409357743097248</v>
      </c>
    </row>
    <row r="120" spans="2:4" x14ac:dyDescent="0.25">
      <c r="B120" s="12">
        <v>44585</v>
      </c>
      <c r="C120" s="18">
        <v>16.66</v>
      </c>
      <c r="D120" s="135">
        <f t="shared" si="10"/>
        <v>-0.1412371134020618</v>
      </c>
    </row>
    <row r="121" spans="2:4" x14ac:dyDescent="0.25">
      <c r="B121" s="12">
        <v>44578</v>
      </c>
      <c r="C121" s="18">
        <v>19.399999999999999</v>
      </c>
      <c r="D121" s="135">
        <f t="shared" si="10"/>
        <v>-0.15320820602357055</v>
      </c>
    </row>
    <row r="122" spans="2:4" x14ac:dyDescent="0.25">
      <c r="B122" s="12">
        <v>44571</v>
      </c>
      <c r="C122" s="18">
        <v>22.91</v>
      </c>
      <c r="D122" s="135">
        <f t="shared" si="10"/>
        <v>-1.3350517370823378E-2</v>
      </c>
    </row>
    <row r="123" spans="2:4" x14ac:dyDescent="0.25">
      <c r="B123" s="12">
        <v>44564</v>
      </c>
      <c r="C123" s="18">
        <v>23.219999000000001</v>
      </c>
      <c r="D123" s="135">
        <f t="shared" si="10"/>
        <v>-0.1739595099978829</v>
      </c>
    </row>
    <row r="124" spans="2:4" x14ac:dyDescent="0.25">
      <c r="B124" s="12">
        <v>44557</v>
      </c>
      <c r="C124" s="18">
        <v>28.110001</v>
      </c>
      <c r="D124" s="135">
        <f t="shared" si="10"/>
        <v>1.8109380003282105E-2</v>
      </c>
    </row>
    <row r="125" spans="2:4" x14ac:dyDescent="0.25">
      <c r="B125" s="12">
        <v>44550</v>
      </c>
      <c r="C125" s="18">
        <v>27.610001</v>
      </c>
      <c r="D125" s="135">
        <f t="shared" si="10"/>
        <v>0.23700721326164875</v>
      </c>
    </row>
    <row r="126" spans="2:4" x14ac:dyDescent="0.25">
      <c r="B126" s="12">
        <v>44543</v>
      </c>
      <c r="C126" s="18">
        <v>22.32</v>
      </c>
      <c r="D126" s="135"/>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2024-05-01T16:18:56Z</dcterms:modified>
</cp:coreProperties>
</file>