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Healthcare\"/>
    </mc:Choice>
  </mc:AlternateContent>
  <xr:revisionPtr revIDLastSave="0" documentId="13_ncr:1_{0153D1CE-DE03-4CE6-AEDF-5EA1652CC26D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Model!$B$22</definedName>
    <definedName name="_xlchart.v1.1" hidden="1">Model!$B$23</definedName>
    <definedName name="_xlchart.v1.2" hidden="1">Model!$L$22:$X$22</definedName>
    <definedName name="_xlchart.v1.3" hidden="1">Model!$L$23:$X$23</definedName>
    <definedName name="_xlchart.v1.4" hidden="1">Model!$L$2:$X$2</definedName>
    <definedName name="_xlchart.v1.5" hidden="1">Model!$B$5</definedName>
    <definedName name="_xlchart.v1.6" hidden="1">Model!$B$6</definedName>
    <definedName name="_xlchart.v1.7" hidden="1">Model!$L$2:$X$2</definedName>
    <definedName name="_xlchart.v1.8" hidden="1">Model!$L$5:$X$5</definedName>
    <definedName name="_xlchart.v1.9" hidden="1">Model!$L$6:$X$6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2" l="1"/>
  <c r="W18" i="2"/>
  <c r="W16" i="2"/>
  <c r="W15" i="2"/>
  <c r="W14" i="2"/>
  <c r="W12" i="2"/>
  <c r="W11" i="2"/>
  <c r="W10" i="2"/>
  <c r="W9" i="2"/>
  <c r="W8" i="2"/>
  <c r="W7" i="2"/>
  <c r="W4" i="2"/>
  <c r="W3" i="2"/>
  <c r="T24" i="2"/>
  <c r="X24" i="2"/>
  <c r="X29" i="2"/>
  <c r="T29" i="2"/>
  <c r="S29" i="2"/>
  <c r="Q29" i="2"/>
  <c r="P29" i="2"/>
  <c r="O29" i="2"/>
  <c r="N29" i="2"/>
  <c r="M29" i="2"/>
  <c r="L29" i="2"/>
  <c r="X28" i="2"/>
  <c r="W28" i="2"/>
  <c r="T28" i="2"/>
  <c r="S28" i="2"/>
  <c r="Q28" i="2"/>
  <c r="P28" i="2"/>
  <c r="O28" i="2"/>
  <c r="N28" i="2"/>
  <c r="M28" i="2"/>
  <c r="L28" i="2"/>
  <c r="X27" i="2"/>
  <c r="T27" i="2"/>
  <c r="S27" i="2"/>
  <c r="Q27" i="2"/>
  <c r="P27" i="2"/>
  <c r="O27" i="2"/>
  <c r="N27" i="2"/>
  <c r="M27" i="2"/>
  <c r="L27" i="2"/>
  <c r="X37" i="2"/>
  <c r="W58" i="2"/>
  <c r="W57" i="2"/>
  <c r="W56" i="2"/>
  <c r="W55" i="2"/>
  <c r="W37" i="2" s="1"/>
  <c r="W53" i="2"/>
  <c r="W52" i="2"/>
  <c r="W51" i="2"/>
  <c r="W50" i="2"/>
  <c r="W48" i="2"/>
  <c r="W47" i="2"/>
  <c r="W46" i="2"/>
  <c r="W45" i="2"/>
  <c r="W43" i="2"/>
  <c r="W42" i="2"/>
  <c r="W41" i="2"/>
  <c r="W40" i="2"/>
  <c r="W39" i="2"/>
  <c r="W38" i="2"/>
  <c r="E58" i="2"/>
  <c r="E53" i="2"/>
  <c r="E43" i="2"/>
  <c r="AA37" i="2"/>
  <c r="Z37" i="2"/>
  <c r="Y37" i="2"/>
  <c r="V37" i="2"/>
  <c r="U37" i="2"/>
  <c r="T37" i="2"/>
  <c r="S37" i="2"/>
  <c r="R37" i="2"/>
  <c r="Q37" i="2"/>
  <c r="P37" i="2"/>
  <c r="O37" i="2"/>
  <c r="N37" i="2"/>
  <c r="M37" i="2"/>
  <c r="L37" i="2"/>
  <c r="E37" i="2"/>
  <c r="D37" i="2"/>
  <c r="G37" i="2"/>
  <c r="F37" i="2"/>
  <c r="E15" i="2"/>
  <c r="X5" i="2"/>
  <c r="X13" i="2" s="1"/>
  <c r="X17" i="2" s="1"/>
  <c r="X20" i="2" s="1"/>
  <c r="Y5" i="2"/>
  <c r="Y28" i="2" s="1"/>
  <c r="Z5" i="2"/>
  <c r="Z27" i="2" s="1"/>
  <c r="AA5" i="2"/>
  <c r="AA27" i="2" s="1"/>
  <c r="X44" i="2"/>
  <c r="X49" i="2" s="1"/>
  <c r="Y44" i="2"/>
  <c r="Y49" i="2" s="1"/>
  <c r="Z44" i="2"/>
  <c r="Z49" i="2" s="1"/>
  <c r="AA44" i="2"/>
  <c r="AA49" i="2" s="1"/>
  <c r="X54" i="2"/>
  <c r="X59" i="2" s="1"/>
  <c r="Y54" i="2"/>
  <c r="Y59" i="2" s="1"/>
  <c r="Z54" i="2"/>
  <c r="Z59" i="2" s="1"/>
  <c r="AA54" i="2"/>
  <c r="AA59" i="2" s="1"/>
  <c r="M5" i="2"/>
  <c r="N5" i="2"/>
  <c r="O5" i="2"/>
  <c r="P5" i="2"/>
  <c r="Q5" i="2"/>
  <c r="R5" i="2"/>
  <c r="R28" i="2" s="1"/>
  <c r="S5" i="2"/>
  <c r="T5" i="2"/>
  <c r="U5" i="2"/>
  <c r="U28" i="2" s="1"/>
  <c r="V5" i="2"/>
  <c r="V27" i="2" s="1"/>
  <c r="W5" i="2"/>
  <c r="W27" i="2" s="1"/>
  <c r="L5" i="2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2" i="2"/>
  <c r="L13" i="2"/>
  <c r="L17" i="2" s="1"/>
  <c r="L20" i="2" s="1"/>
  <c r="L22" i="2" s="1"/>
  <c r="H13" i="2"/>
  <c r="H17" i="2" s="1"/>
  <c r="I13" i="2"/>
  <c r="I17" i="2" s="1"/>
  <c r="C37" i="2"/>
  <c r="W29" i="2" l="1"/>
  <c r="R29" i="2"/>
  <c r="R27" i="2"/>
  <c r="V28" i="2"/>
  <c r="V29" i="2"/>
  <c r="U27" i="2"/>
  <c r="U29" i="2"/>
  <c r="Y27" i="2"/>
  <c r="Y24" i="2"/>
  <c r="Y29" i="2"/>
  <c r="Y13" i="2"/>
  <c r="Y17" i="2" s="1"/>
  <c r="Y20" i="2" s="1"/>
  <c r="Y22" i="2" s="1"/>
  <c r="T13" i="2"/>
  <c r="T17" i="2" s="1"/>
  <c r="T20" i="2" s="1"/>
  <c r="T22" i="2" s="1"/>
  <c r="AA28" i="2"/>
  <c r="AA13" i="2"/>
  <c r="AA17" i="2" s="1"/>
  <c r="AA20" i="2" s="1"/>
  <c r="AA25" i="2" s="1"/>
  <c r="X26" i="2"/>
  <c r="X60" i="2"/>
  <c r="P13" i="2"/>
  <c r="P17" i="2" s="1"/>
  <c r="P20" i="2" s="1"/>
  <c r="P22" i="2" s="1"/>
  <c r="AA26" i="2"/>
  <c r="R13" i="2"/>
  <c r="R17" i="2" s="1"/>
  <c r="R20" i="2" s="1"/>
  <c r="R22" i="2" s="1"/>
  <c r="Q13" i="2"/>
  <c r="Q17" i="2" s="1"/>
  <c r="Q20" i="2" s="1"/>
  <c r="Q22" i="2" s="1"/>
  <c r="AA29" i="2"/>
  <c r="S13" i="2"/>
  <c r="S17" i="2" s="1"/>
  <c r="S20" i="2" s="1"/>
  <c r="S22" i="2" s="1"/>
  <c r="AA60" i="2"/>
  <c r="U13" i="2"/>
  <c r="U17" i="2" s="1"/>
  <c r="U20" i="2" s="1"/>
  <c r="U22" i="2" s="1"/>
  <c r="M13" i="2"/>
  <c r="M17" i="2" s="1"/>
  <c r="M20" i="2" s="1"/>
  <c r="M22" i="2" s="1"/>
  <c r="Z13" i="2"/>
  <c r="Z17" i="2" s="1"/>
  <c r="Z20" i="2" s="1"/>
  <c r="Z25" i="2" s="1"/>
  <c r="Z60" i="2"/>
  <c r="Z26" i="2"/>
  <c r="Y60" i="2"/>
  <c r="Y26" i="2"/>
  <c r="Z28" i="2"/>
  <c r="W13" i="2"/>
  <c r="W17" i="2" s="1"/>
  <c r="W20" i="2" s="1"/>
  <c r="W22" i="2" s="1"/>
  <c r="O13" i="2"/>
  <c r="O17" i="2" s="1"/>
  <c r="O20" i="2" s="1"/>
  <c r="O22" i="2" s="1"/>
  <c r="Z29" i="2"/>
  <c r="X22" i="2"/>
  <c r="X25" i="2"/>
  <c r="AA24" i="2"/>
  <c r="Z24" i="2"/>
  <c r="V13" i="2"/>
  <c r="V17" i="2" s="1"/>
  <c r="V20" i="2" s="1"/>
  <c r="V22" i="2" s="1"/>
  <c r="N13" i="2"/>
  <c r="N17" i="2" s="1"/>
  <c r="N20" i="2" s="1"/>
  <c r="N22" i="2" s="1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25" i="2" l="1"/>
  <c r="X32" i="2"/>
  <c r="AA22" i="2"/>
  <c r="Y32" i="2"/>
  <c r="Z32" i="2"/>
  <c r="Z22" i="2"/>
  <c r="AA32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C13" i="2" s="1"/>
  <c r="C17" i="2" s="1"/>
  <c r="C20" i="2" s="1"/>
  <c r="D5" i="2"/>
  <c r="E5" i="2"/>
  <c r="F5" i="2"/>
  <c r="G5" i="2"/>
  <c r="M25" i="2"/>
  <c r="N25" i="2"/>
  <c r="O25" i="2"/>
  <c r="L24" i="2"/>
  <c r="M24" i="2"/>
  <c r="N24" i="2"/>
  <c r="O24" i="2"/>
  <c r="P24" i="2"/>
  <c r="Q24" i="2"/>
  <c r="R24" i="2"/>
  <c r="S24" i="2"/>
  <c r="U24" i="2"/>
  <c r="V24" i="2"/>
  <c r="W24" i="2"/>
  <c r="P26" i="2"/>
  <c r="Q26" i="2"/>
  <c r="R26" i="2"/>
  <c r="S26" i="2"/>
  <c r="T26" i="2"/>
  <c r="U26" i="2"/>
  <c r="V26" i="2"/>
  <c r="W26" i="2"/>
  <c r="L44" i="2"/>
  <c r="L49" i="2" s="1"/>
  <c r="M44" i="2"/>
  <c r="M49" i="2" s="1"/>
  <c r="N44" i="2"/>
  <c r="N49" i="2" s="1"/>
  <c r="O44" i="2"/>
  <c r="O49" i="2" s="1"/>
  <c r="P44" i="2"/>
  <c r="Q44" i="2"/>
  <c r="Q49" i="2" s="1"/>
  <c r="R44" i="2"/>
  <c r="R49" i="2" s="1"/>
  <c r="S44" i="2"/>
  <c r="S49" i="2" s="1"/>
  <c r="S60" i="2" s="1"/>
  <c r="T44" i="2"/>
  <c r="T49" i="2" s="1"/>
  <c r="U44" i="2"/>
  <c r="U49" i="2" s="1"/>
  <c r="V44" i="2"/>
  <c r="V49" i="2" s="1"/>
  <c r="W44" i="2"/>
  <c r="W49" i="2" s="1"/>
  <c r="P49" i="2"/>
  <c r="L54" i="2"/>
  <c r="L59" i="2" s="1"/>
  <c r="M54" i="2"/>
  <c r="M59" i="2" s="1"/>
  <c r="N54" i="2"/>
  <c r="N59" i="2" s="1"/>
  <c r="O54" i="2"/>
  <c r="O59" i="2" s="1"/>
  <c r="P54" i="2"/>
  <c r="P59" i="2" s="1"/>
  <c r="Q54" i="2"/>
  <c r="Q59" i="2" s="1"/>
  <c r="R54" i="2"/>
  <c r="R59" i="2" s="1"/>
  <c r="S54" i="2"/>
  <c r="S59" i="2" s="1"/>
  <c r="T54" i="2"/>
  <c r="T59" i="2" s="1"/>
  <c r="U54" i="2"/>
  <c r="U59" i="2" s="1"/>
  <c r="V54" i="2"/>
  <c r="V59" i="2" s="1"/>
  <c r="W54" i="2"/>
  <c r="W59" i="2" s="1"/>
  <c r="I33" i="2"/>
  <c r="H33" i="2"/>
  <c r="C44" i="2"/>
  <c r="C49" i="2" s="1"/>
  <c r="D44" i="2"/>
  <c r="D49" i="2" s="1"/>
  <c r="E44" i="2"/>
  <c r="E49" i="2" s="1"/>
  <c r="I25" i="2"/>
  <c r="H25" i="2"/>
  <c r="I26" i="2"/>
  <c r="E31" i="2"/>
  <c r="F31" i="2"/>
  <c r="G31" i="2"/>
  <c r="E30" i="2"/>
  <c r="F30" i="2"/>
  <c r="G30" i="2"/>
  <c r="U60" i="2" l="1"/>
  <c r="M60" i="2"/>
  <c r="T60" i="2"/>
  <c r="L60" i="2"/>
  <c r="G13" i="2"/>
  <c r="G17" i="2" s="1"/>
  <c r="G20" i="2" s="1"/>
  <c r="G29" i="2"/>
  <c r="G27" i="2"/>
  <c r="G28" i="2"/>
  <c r="F13" i="2"/>
  <c r="F17" i="2" s="1"/>
  <c r="F20" i="2" s="1"/>
  <c r="F29" i="2"/>
  <c r="F27" i="2"/>
  <c r="F28" i="2"/>
  <c r="D13" i="2"/>
  <c r="D17" i="2" s="1"/>
  <c r="D20" i="2" s="1"/>
  <c r="D29" i="2"/>
  <c r="D27" i="2"/>
  <c r="D28" i="2"/>
  <c r="E13" i="2"/>
  <c r="E17" i="2" s="1"/>
  <c r="E20" i="2" s="1"/>
  <c r="E29" i="2"/>
  <c r="E27" i="2"/>
  <c r="E28" i="2"/>
  <c r="V60" i="2"/>
  <c r="N60" i="2"/>
  <c r="R60" i="2"/>
  <c r="Q60" i="2"/>
  <c r="P60" i="2"/>
  <c r="W60" i="2"/>
  <c r="O60" i="2"/>
  <c r="K11" i="5"/>
  <c r="L25" i="2"/>
  <c r="C29" i="2"/>
  <c r="F33" i="2"/>
  <c r="C27" i="2"/>
  <c r="C28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5" i="2"/>
  <c r="T32" i="2"/>
  <c r="P25" i="2"/>
  <c r="S25" i="2"/>
  <c r="S32" i="2"/>
  <c r="W32" i="2"/>
  <c r="W25" i="2"/>
  <c r="V32" i="2"/>
  <c r="V25" i="2"/>
  <c r="U25" i="2"/>
  <c r="U32" i="2"/>
  <c r="R32" i="2"/>
  <c r="R25" i="2"/>
  <c r="Q32" i="2"/>
  <c r="Q25" i="2"/>
  <c r="C30" i="1" s="1"/>
  <c r="C24" i="2"/>
  <c r="H34" i="2"/>
  <c r="I34" i="2"/>
  <c r="G33" i="2"/>
  <c r="D33" i="2"/>
  <c r="E33" i="2"/>
  <c r="C33" i="2"/>
  <c r="H26" i="2"/>
  <c r="F24" i="2"/>
  <c r="E24" i="2"/>
  <c r="D24" i="2"/>
  <c r="G24" i="2"/>
  <c r="G26" i="2"/>
  <c r="G54" i="2"/>
  <c r="G59" i="2" s="1"/>
  <c r="G44" i="2"/>
  <c r="G49" i="2" s="1"/>
  <c r="E26" i="2"/>
  <c r="F26" i="2"/>
  <c r="D54" i="2"/>
  <c r="D59" i="2" s="1"/>
  <c r="D60" i="2" s="1"/>
  <c r="E54" i="2"/>
  <c r="F44" i="2"/>
  <c r="F49" i="2" s="1"/>
  <c r="G60" i="2" l="1"/>
  <c r="P32" i="2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4" i="2"/>
  <c r="F34" i="2"/>
  <c r="G34" i="2"/>
  <c r="E34" i="2"/>
  <c r="C34" i="2"/>
  <c r="F54" i="2"/>
  <c r="F59" i="2" s="1"/>
  <c r="F60" i="2" s="1"/>
  <c r="E59" i="2"/>
  <c r="E60" i="2" s="1"/>
  <c r="C54" i="2"/>
  <c r="C59" i="2" s="1"/>
  <c r="C60" i="2" s="1"/>
  <c r="C18" i="1" l="1"/>
  <c r="C22" i="2"/>
  <c r="E22" i="2"/>
  <c r="D25" i="2"/>
  <c r="G32" i="2"/>
  <c r="G22" i="2"/>
  <c r="H32" i="2" s="1"/>
  <c r="G25" i="2"/>
  <c r="C25" i="2" l="1"/>
  <c r="D32" i="2"/>
  <c r="E25" i="2"/>
  <c r="F32" i="2"/>
  <c r="F22" i="2"/>
  <c r="E32" i="2"/>
  <c r="D22" i="2"/>
  <c r="F25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<sst xmlns="http://schemas.openxmlformats.org/spreadsheetml/2006/main" count="217" uniqueCount="198">
  <si>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</si>
  <si>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</si>
  <si>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</si>
  <si>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</si>
  <si>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</si>
  <si>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</si>
  <si>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</si>
  <si>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</si>
  <si>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</si>
  <si>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</si>
  <si>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</si>
  <si>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</si>
  <si>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</si>
  <si>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</si>
  <si>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</si>
  <si>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</si>
  <si>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</si>
  <si>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</si>
  <si>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</si>
  <si>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</si>
  <si>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</si>
  <si>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</si>
  <si>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</si>
  <si>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</si>
  <si>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</si>
  <si>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</si>
  <si>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</si>
  <si>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</si>
  <si>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</si>
  <si>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</si>
  <si>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</si>
  <si>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</si>
  <si>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</si>
  <si>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</si>
  <si>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</si>
  <si>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</si>
  <si>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</si>
  <si>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</si>
  <si>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</si>
  <si>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</si>
  <si>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</si>
  <si>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</si>
  <si>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</si>
  <si>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</si>
  <si>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</si>
  <si>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</si>
  <si>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</si>
  <si>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</si>
  <si>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</si>
  <si>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</si>
  <si>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</si>
  <si>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</si>
  <si>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</si>
  <si>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</si>
  <si>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</si>
  <si>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</si>
  <si>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</si>
  <si>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</si>
  <si>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</si>
  <si>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</si>
  <si>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</si>
  <si>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</si>
  <si>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</si>
  <si>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</si>
  <si>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</si>
  <si>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</si>
  <si>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</si>
  <si>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</si>
  <si>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</si>
  <si>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</si>
  <si>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</si>
  <si>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</si>
  <si>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</si>
  <si>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</si>
  <si>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</si>
  <si>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</si>
  <si>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</si>
  <si>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</si>
  <si>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</si>
  <si>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Intangible Asset</t>
  </si>
  <si>
    <t>Long term debt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</si>
  <si>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</si>
  <si>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</si>
  <si>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</si>
  <si>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</si>
  <si>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</si>
  <si>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</si>
  <si>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</si>
  <si>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</si>
  <si>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</si>
  <si>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</si>
  <si>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</si>
  <si>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</si>
  <si>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</si>
  <si>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</si>
  <si>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</si>
  <si>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</si>
  <si>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</si>
  <si>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</si>
  <si>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</si>
  <si>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</si>
  <si>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</si>
  <si>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</si>
  <si>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</si>
  <si>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</si>
  <si>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</si>
  <si>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</si>
  <si>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</si>
  <si>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</si>
  <si>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</si>
  <si>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</si>
  <si>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</si>
  <si>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</si>
  <si>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</si>
  <si>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</si>
  <si>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</si>
  <si>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</si>
  <si>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</si>
  <si>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</si>
  <si>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</si>
  <si>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</si>
  <si>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</si>
  <si>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</si>
  <si>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</si>
  <si>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</si>
  <si>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</si>
  <si>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</si>
  <si>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</si>
  <si>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</si>
  <si>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</si>
  <si>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</si>
  <si>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</si>
  <si>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</si>
  <si>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</si>
  <si>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</si>
  <si>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</si>
  <si>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</si>
  <si>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</si>
  <si>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</si>
  <si>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</si>
  <si>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</si>
  <si>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</si>
  <si>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Net Income before Tax</t>
  </si>
  <si>
    <t>Ms. Katherine A. Stueland</t>
  </si>
  <si>
    <t>President, CEO &amp; Director</t>
  </si>
  <si>
    <t>Mr. Kevin Feeley</t>
  </si>
  <si>
    <t>Chief Financial Officer</t>
  </si>
  <si>
    <t>Ms. Karen Ponchner</t>
  </si>
  <si>
    <t>Head of Operations</t>
  </si>
  <si>
    <t>Mr. Eric Olivares Ph.D.</t>
  </si>
  <si>
    <t>Chief Product &amp; Technology Officer</t>
  </si>
  <si>
    <t>Ms. Jami Biliboaca</t>
  </si>
  <si>
    <t>Head of People Strategy</t>
  </si>
  <si>
    <t>Mr. Paul Kruszka M.D.</t>
  </si>
  <si>
    <t>Chief Medical Officer</t>
  </si>
  <si>
    <t>Ms. Melanie Duquette</t>
  </si>
  <si>
    <t>Chief Growth Officer</t>
  </si>
  <si>
    <t>Sabrina Dunbar</t>
  </si>
  <si>
    <t>Chief of Staff</t>
  </si>
  <si>
    <t>Ms. Britt Johnson</t>
  </si>
  <si>
    <t>Head of Medical Affairs</t>
  </si>
  <si>
    <t>Beat the last 4 quarters</t>
  </si>
  <si>
    <t>Q324</t>
  </si>
  <si>
    <t>Q424</t>
  </si>
  <si>
    <t>Viele Hedgefonds halten die Aktie --&gt; potentieller Verkaufsdruck</t>
  </si>
  <si>
    <t>Casdin Capital, LLC</t>
  </si>
  <si>
    <t>13.09%</t>
  </si>
  <si>
    <t>Corvex Management LP</t>
  </si>
  <si>
    <t>9.18%</t>
  </si>
  <si>
    <t>Oracle Investment Management Inc</t>
  </si>
  <si>
    <t>4.11%</t>
  </si>
  <si>
    <t>Goldman Sachs Group Inc</t>
  </si>
  <si>
    <t>3.91%</t>
  </si>
  <si>
    <t>Blackrock Inc.</t>
  </si>
  <si>
    <t>3.43%</t>
  </si>
  <si>
    <t>Blackstone Inc</t>
  </si>
  <si>
    <t>3.10%</t>
  </si>
  <si>
    <t>Vanguard Group Inc</t>
  </si>
  <si>
    <t>2.93%</t>
  </si>
  <si>
    <t>Gagnon Securities, LLC</t>
  </si>
  <si>
    <t>2.13%</t>
  </si>
  <si>
    <t>Driehaus Capital Management, LLC</t>
  </si>
  <si>
    <t>1.61%</t>
  </si>
  <si>
    <t>Deutsche Bank Aktiengesellschaft</t>
  </si>
  <si>
    <t>1.45%</t>
  </si>
  <si>
    <t>Diagnostic test revenue</t>
  </si>
  <si>
    <t>S&amp;M</t>
  </si>
  <si>
    <t>Impairment Loss</t>
  </si>
  <si>
    <t>Change in fair market value</t>
  </si>
  <si>
    <t>Interest income</t>
  </si>
  <si>
    <t>MS</t>
  </si>
  <si>
    <t>Due from related parties</t>
  </si>
  <si>
    <t>Inventory</t>
  </si>
  <si>
    <t>Opterting lease right of use</t>
  </si>
  <si>
    <t>Due to related parties</t>
  </si>
  <si>
    <t>Short-term lease</t>
  </si>
  <si>
    <t>Long term Lease</t>
  </si>
  <si>
    <t>Deferred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</si>
</sst>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/>
    <xf numFmtId="3" fontId="0" fillId="0" borderId="0" xfId="0" applyNumberForma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Fill="1" applyBorder="1"/>
    <xf numFmtId="2" fontId="0" fillId="0" borderId="0" xfId="0" applyNumberFormat="1" applyBorder="1"/>
    <xf numFmtId="9" fontId="0" fillId="3" borderId="0" xfId="1" applyFont="1" applyFill="1"/>
    <xf numFmtId="9" fontId="0" fillId="3" borderId="0" xfId="1" applyFont="1" applyFill="1" applyBorder="1"/>
    <xf numFmtId="9" fontId="0" fillId="3" borderId="2" xfId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Model!$L$5:$X$5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83.233999999999995</c:v>
                </c:pt>
                <c:pt idx="7" formatCode="0.00">
                  <c:v>0</c:v>
                </c:pt>
                <c:pt idx="8" formatCode="0.00">
                  <c:v>43.139000000000003</c:v>
                </c:pt>
                <c:pt idx="9" formatCode="0.00">
                  <c:v>48.705999999999996</c:v>
                </c:pt>
                <c:pt idx="10" formatCode="0.00">
                  <c:v>53.302999999999997</c:v>
                </c:pt>
                <c:pt idx="11" formatCode="0.00">
                  <c:v>57.418000000000021</c:v>
                </c:pt>
                <c:pt idx="12" formatCode="0.00">
                  <c:v>62.421999999999997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Model!$L$26:$X$26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-0.35960064396760938</c:v>
                </c:pt>
                <c:pt idx="11">
                  <c:v>0</c:v>
                </c:pt>
                <c:pt idx="12">
                  <c:v>0.44699691694290533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Model!$C$5:$I$5</c:f>
              <c:numCache>
                <c:formatCode>0.00</c:formatCode>
                <c:ptCount val="7"/>
                <c:pt idx="0" formatCode="#,##0">
                  <c:v>0</c:v>
                </c:pt>
                <c:pt idx="1">
                  <c:v>179.322</c:v>
                </c:pt>
                <c:pt idx="2">
                  <c:v>212.19499999999999</c:v>
                </c:pt>
                <c:pt idx="3">
                  <c:v>234.69400000000002</c:v>
                </c:pt>
                <c:pt idx="4">
                  <c:v>202.566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Model!$C$26:$I$26</c:f>
              <c:numCache>
                <c:formatCode>0%</c:formatCode>
                <c:ptCount val="7"/>
                <c:pt idx="2">
                  <c:v>0.1833182766197119</c:v>
                </c:pt>
                <c:pt idx="3">
                  <c:v>0.10602983105162722</c:v>
                </c:pt>
                <c:pt idx="4">
                  <c:v>-0.13689314596879343</c:v>
                </c:pt>
                <c:pt idx="5">
                  <c:v>0.30016883386155624</c:v>
                </c:pt>
                <c:pt idx="6">
                  <c:v>0.1429547784485703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Model!$L$20:$X$20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-77.581000000000017</c:v>
                </c:pt>
                <c:pt idx="7" formatCode="0.00">
                  <c:v>0</c:v>
                </c:pt>
                <c:pt idx="8" formatCode="0.00">
                  <c:v>-60.988999999999997</c:v>
                </c:pt>
                <c:pt idx="9" formatCode="0.00">
                  <c:v>-46.719000000000023</c:v>
                </c:pt>
                <c:pt idx="10" formatCode="0.00">
                  <c:v>-42.286000000000001</c:v>
                </c:pt>
                <c:pt idx="11" formatCode="0.00">
                  <c:v>-25.347999999999974</c:v>
                </c:pt>
                <c:pt idx="12" formatCode="0.00">
                  <c:v>-20.373000000000012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Model!$L$24:$X$24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0.16278203618713494</c:v>
                </c:pt>
                <c:pt idx="7">
                  <c:v>0</c:v>
                </c:pt>
                <c:pt idx="8">
                  <c:v>0.35318389392429128</c:v>
                </c:pt>
                <c:pt idx="9">
                  <c:v>0.38510655771362867</c:v>
                </c:pt>
                <c:pt idx="10">
                  <c:v>0.47387576684239152</c:v>
                </c:pt>
                <c:pt idx="11">
                  <c:v>0.53561600891706429</c:v>
                </c:pt>
                <c:pt idx="12">
                  <c:v>0.59932395629745927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Model!$C$20:$I$20</c:f>
              <c:numCache>
                <c:formatCode>0.00</c:formatCode>
                <c:ptCount val="7"/>
                <c:pt idx="0" formatCode="#,##0">
                  <c:v>0</c:v>
                </c:pt>
                <c:pt idx="1">
                  <c:v>-241.33999999999997</c:v>
                </c:pt>
                <c:pt idx="2">
                  <c:v>-245.38999999999993</c:v>
                </c:pt>
                <c:pt idx="3">
                  <c:v>-548.98</c:v>
                </c:pt>
                <c:pt idx="4">
                  <c:v>-175.34199999999998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Model!$C$32:$I$32</c:f>
              <c:numCache>
                <c:formatCode>0%</c:formatCode>
                <c:ptCount val="7"/>
                <c:pt idx="1">
                  <c:v>0</c:v>
                </c:pt>
                <c:pt idx="2">
                  <c:v>-1.6781304383856721E-2</c:v>
                </c:pt>
                <c:pt idx="3">
                  <c:v>1.2371734789518731</c:v>
                </c:pt>
                <c:pt idx="4">
                  <c:v>-0.68060402929068453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Model!$L$27:$V$27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0.41308840137443836</c:v>
                </c:pt>
                <c:pt idx="7">
                  <c:v>0</c:v>
                </c:pt>
                <c:pt idx="8">
                  <c:v>0.31182920327314029</c:v>
                </c:pt>
                <c:pt idx="9">
                  <c:v>0.31170697655319679</c:v>
                </c:pt>
                <c:pt idx="10">
                  <c:v>0.31448511340825097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Model!$B$28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0.16043924357834538</c:v>
                </c:pt>
                <c:pt idx="7">
                  <c:v>0</c:v>
                </c:pt>
                <c:pt idx="8">
                  <c:v>0.33825540694035561</c:v>
                </c:pt>
                <c:pt idx="9">
                  <c:v>0.35186629983985551</c:v>
                </c:pt>
                <c:pt idx="10">
                  <c:v>0.26805245483368667</c:v>
                </c:pt>
                <c:pt idx="11">
                  <c:v>0.21331289839423156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Model!$B$29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Model!$L$29:$W$29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0.65995867073551673</c:v>
                </c:pt>
                <c:pt idx="7">
                  <c:v>0</c:v>
                </c:pt>
                <c:pt idx="8">
                  <c:v>1.0127494842254108</c:v>
                </c:pt>
                <c:pt idx="9">
                  <c:v>0.76666119163963375</c:v>
                </c:pt>
                <c:pt idx="10">
                  <c:v>0.48963472975254679</c:v>
                </c:pt>
                <c:pt idx="11">
                  <c:v>0.46372217771430541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Model!$C$27:$G$27</c:f>
              <c:numCache>
                <c:formatCode>0%</c:formatCode>
                <c:ptCount val="5"/>
                <c:pt idx="0">
                  <c:v>0</c:v>
                </c:pt>
                <c:pt idx="1">
                  <c:v>0.35234382842038342</c:v>
                </c:pt>
                <c:pt idx="2">
                  <c:v>0.53129432833007373</c:v>
                </c:pt>
                <c:pt idx="3">
                  <c:v>0.52014538079371431</c:v>
                </c:pt>
                <c:pt idx="4">
                  <c:v>0.30091920657958393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Model!$B$28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0</c:v>
                </c:pt>
                <c:pt idx="1">
                  <c:v>0.40541595565519012</c:v>
                </c:pt>
                <c:pt idx="2">
                  <c:v>0.49559131930535599</c:v>
                </c:pt>
                <c:pt idx="3">
                  <c:v>0.36729954749588822</c:v>
                </c:pt>
                <c:pt idx="4">
                  <c:v>0.28763958413554097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Model!$B$29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Model!$C$29:$G$29</c:f>
              <c:numCache>
                <c:formatCode>0%</c:formatCode>
                <c:ptCount val="5"/>
                <c:pt idx="0">
                  <c:v>0</c:v>
                </c:pt>
                <c:pt idx="1">
                  <c:v>0.56179386801396369</c:v>
                </c:pt>
                <c:pt idx="2">
                  <c:v>0.97074860387850803</c:v>
                </c:pt>
                <c:pt idx="3">
                  <c:v>0.92105891075187263</c:v>
                </c:pt>
                <c:pt idx="4">
                  <c:v>0.66030330855128694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1"/>
  <sheetViews>
    <sheetView topLeftCell="B1" workbookViewId="0">
      <selection activeCell="F39" sqref="F3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50</v>
      </c>
      <c r="F2" s="64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45548</v>
      </c>
      <c r="E3" s="5" t="s">
        <v>165</v>
      </c>
      <c r="F3" s="28" t="s">
        <v>166</v>
      </c>
      <c r="I3" s="10"/>
      <c r="J3" s="38"/>
      <c r="L3" s="5" t="s">
        <v>143</v>
      </c>
      <c r="M3" t="s">
        <v>144</v>
      </c>
      <c r="N3" s="37"/>
    </row>
    <row r="4" spans="2:14" x14ac:dyDescent="0.25">
      <c r="B4" s="5"/>
      <c r="C4" s="21">
        <v>8.5416666666666669E-2</v>
      </c>
      <c r="E4" s="5" t="s">
        <v>167</v>
      </c>
      <c r="F4" s="28" t="s">
        <v>168</v>
      </c>
      <c r="I4" s="10"/>
      <c r="J4" s="38"/>
      <c r="L4" s="5" t="s">
        <v>145</v>
      </c>
      <c r="M4" t="s">
        <v>146</v>
      </c>
      <c r="N4" s="13"/>
    </row>
    <row r="5" spans="2:14" x14ac:dyDescent="0.25">
      <c r="B5" s="5"/>
      <c r="C5" s="13"/>
      <c r="E5" s="5" t="s">
        <v>169</v>
      </c>
      <c r="F5" s="28" t="s">
        <v>170</v>
      </c>
      <c r="I5" s="10"/>
      <c r="J5" s="38"/>
      <c r="L5" s="5" t="s">
        <v>147</v>
      </c>
      <c r="M5" t="s">
        <v>148</v>
      </c>
      <c r="N5" s="13"/>
    </row>
    <row r="6" spans="2:14" x14ac:dyDescent="0.25">
      <c r="B6" s="5" t="s">
        <v>0</v>
      </c>
      <c r="C6" s="13">
        <v>38.880000000000003</v>
      </c>
      <c r="E6" s="5" t="s">
        <v>171</v>
      </c>
      <c r="F6" s="28" t="s">
        <v>172</v>
      </c>
      <c r="I6" s="10"/>
      <c r="J6" s="38"/>
      <c r="L6" s="5" t="s">
        <v>149</v>
      </c>
      <c r="M6" t="s">
        <v>150</v>
      </c>
      <c r="N6" s="13"/>
    </row>
    <row r="7" spans="2:14" x14ac:dyDescent="0.25">
      <c r="B7" s="5" t="s">
        <v>1</v>
      </c>
      <c r="C7" s="15"/>
      <c r="E7" s="5" t="s">
        <v>173</v>
      </c>
      <c r="F7" s="28" t="s">
        <v>174</v>
      </c>
      <c r="I7" s="10"/>
      <c r="J7" s="38"/>
      <c r="L7" s="5" t="s">
        <v>151</v>
      </c>
      <c r="M7" t="s">
        <v>152</v>
      </c>
      <c r="N7" s="13"/>
    </row>
    <row r="8" spans="2:14" x14ac:dyDescent="0.25">
      <c r="B8" s="5" t="s">
        <v>2</v>
      </c>
      <c r="C8" s="15">
        <f>C6*C7</f>
        <v>0</v>
      </c>
      <c r="E8" s="5" t="s">
        <v>175</v>
      </c>
      <c r="F8" s="28" t="s">
        <v>176</v>
      </c>
      <c r="I8" s="10"/>
      <c r="J8" s="38"/>
      <c r="L8" s="5" t="s">
        <v>153</v>
      </c>
      <c r="M8" t="s">
        <v>154</v>
      </c>
      <c r="N8" s="13"/>
    </row>
    <row r="9" spans="2:14" x14ac:dyDescent="0.25">
      <c r="B9" s="5" t="s">
        <v>3</v>
      </c>
      <c r="C9" s="15">
        <f>Model!F25</f>
        <v>-2.3391309534968938</v>
      </c>
      <c r="E9" s="5" t="s">
        <v>177</v>
      </c>
      <c r="F9" s="28" t="s">
        <v>178</v>
      </c>
      <c r="I9" s="10"/>
      <c r="J9" s="38"/>
      <c r="L9" s="5" t="s">
        <v>155</v>
      </c>
      <c r="M9" t="s">
        <v>156</v>
      </c>
      <c r="N9" s="13"/>
    </row>
    <row r="10" spans="2:14" x14ac:dyDescent="0.25">
      <c r="B10" s="5" t="s">
        <v>4</v>
      </c>
      <c r="C10" s="15">
        <f>Model!F38+Model!F42</f>
        <v>137.59800000000001</v>
      </c>
      <c r="E10" s="5" t="s">
        <v>179</v>
      </c>
      <c r="F10" s="28" t="s">
        <v>180</v>
      </c>
      <c r="I10" s="10"/>
      <c r="J10" s="38"/>
      <c r="L10" s="5" t="s">
        <v>157</v>
      </c>
      <c r="M10" t="s">
        <v>158</v>
      </c>
      <c r="N10" s="13"/>
    </row>
    <row r="11" spans="2:14" x14ac:dyDescent="0.25">
      <c r="B11" s="5" t="s">
        <v>38</v>
      </c>
      <c r="C11" s="15">
        <f>C9-C10</f>
        <v>-139.9371309534969</v>
      </c>
      <c r="E11" s="5" t="s">
        <v>181</v>
      </c>
      <c r="F11" s="28" t="s">
        <v>182</v>
      </c>
      <c r="I11" s="10"/>
      <c r="J11" s="38"/>
      <c r="L11" s="5" t="s">
        <v>159</v>
      </c>
      <c r="M11" t="s">
        <v>160</v>
      </c>
      <c r="N11" s="13"/>
    </row>
    <row r="12" spans="2:14" x14ac:dyDescent="0.25">
      <c r="B12" s="5" t="s">
        <v>5</v>
      </c>
      <c r="C12" s="15">
        <f>C8-C9+C10</f>
        <v>139.9371309534969</v>
      </c>
      <c r="E12" s="5" t="s">
        <v>183</v>
      </c>
      <c r="F12" s="28" t="s">
        <v>184</v>
      </c>
      <c r="J12" s="13"/>
      <c r="L12" s="5"/>
      <c r="N12" s="13"/>
    </row>
    <row r="13" spans="2:14" x14ac:dyDescent="0.25">
      <c r="B13" s="5" t="s">
        <v>49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C6/Model!G13</f>
        <v>-0.21528716029147937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 t="e">
        <f>C6/Model!H13</f>
        <v>#DIV/0!</v>
      </c>
    </row>
    <row r="16" spans="2:14" x14ac:dyDescent="0.25">
      <c r="B16" s="5" t="s">
        <v>45</v>
      </c>
      <c r="C16" s="6" t="e">
        <f>Model!G13/Model!#REF!-1</f>
        <v>#REF!</v>
      </c>
    </row>
    <row r="17" spans="2:14" x14ac:dyDescent="0.25">
      <c r="B17" s="5" t="s">
        <v>46</v>
      </c>
      <c r="C17" s="6">
        <f>Model!H13/Model!G13-1</f>
        <v>-1</v>
      </c>
      <c r="E17" s="33" t="s">
        <v>56</v>
      </c>
      <c r="L17" s="128"/>
      <c r="M17" s="129"/>
      <c r="N17" s="130"/>
    </row>
    <row r="18" spans="2:14" x14ac:dyDescent="0.25">
      <c r="B18" s="5" t="s">
        <v>70</v>
      </c>
      <c r="C18" s="51" t="e">
        <f>C14/(C16*100)</f>
        <v>#REF!</v>
      </c>
      <c r="L18" s="131"/>
      <c r="M18" s="132"/>
      <c r="N18" s="133"/>
    </row>
    <row r="19" spans="2:14" x14ac:dyDescent="0.25">
      <c r="B19" s="5" t="s">
        <v>71</v>
      </c>
      <c r="C19" s="51" t="e">
        <f>C15/(C17*100)</f>
        <v>#DIV/0!</v>
      </c>
      <c r="L19" s="131"/>
      <c r="M19" s="132"/>
      <c r="N19" s="133"/>
    </row>
    <row r="20" spans="2:14" x14ac:dyDescent="0.25">
      <c r="B20" s="5" t="s">
        <v>85</v>
      </c>
      <c r="C20" s="6">
        <f>Model!G4/Model!F3-1</f>
        <v>-0.969595397080947</v>
      </c>
      <c r="L20" s="131"/>
      <c r="M20" s="132"/>
      <c r="N20" s="133"/>
    </row>
    <row r="21" spans="2:14" x14ac:dyDescent="0.25">
      <c r="B21" s="5" t="s">
        <v>86</v>
      </c>
      <c r="C21" s="6" t="e">
        <f>Model!#REF!/Model!F4-1</f>
        <v>#REF!</v>
      </c>
      <c r="L21" s="131"/>
      <c r="M21" s="132"/>
      <c r="N21" s="133"/>
    </row>
    <row r="22" spans="2:14" x14ac:dyDescent="0.25">
      <c r="B22" s="5" t="s">
        <v>72</v>
      </c>
      <c r="C22" s="15" t="e">
        <f>Model!F8+Model!#REF!</f>
        <v>#REF!</v>
      </c>
      <c r="L22" s="131"/>
      <c r="M22" s="132"/>
      <c r="N22" s="133"/>
    </row>
    <row r="23" spans="2:14" x14ac:dyDescent="0.25">
      <c r="B23" s="5" t="s">
        <v>19</v>
      </c>
      <c r="C23" s="15">
        <f>Model!F8</f>
        <v>86.203000000000003</v>
      </c>
      <c r="L23" s="131"/>
      <c r="M23" s="132"/>
      <c r="N23" s="133"/>
    </row>
    <row r="24" spans="2:14" x14ac:dyDescent="0.25">
      <c r="B24" s="5" t="s">
        <v>30</v>
      </c>
      <c r="C24" s="7">
        <f>Model!F14</f>
        <v>70.228999999999999</v>
      </c>
      <c r="L24" s="131"/>
      <c r="M24" s="132"/>
      <c r="N24" s="133"/>
    </row>
    <row r="25" spans="2:14" x14ac:dyDescent="0.25">
      <c r="B25" s="5" t="s">
        <v>31</v>
      </c>
      <c r="C25" s="7">
        <f>Model!F15</f>
        <v>-0.66600000000000004</v>
      </c>
      <c r="L25" s="131"/>
      <c r="M25" s="132"/>
      <c r="N25" s="133"/>
    </row>
    <row r="26" spans="2:14" x14ac:dyDescent="0.25">
      <c r="B26" s="5" t="s">
        <v>73</v>
      </c>
      <c r="C26" s="36">
        <f>C12/C23</f>
        <v>1.6233440942136226</v>
      </c>
      <c r="L26" s="131"/>
      <c r="M26" s="132"/>
      <c r="N26" s="133"/>
    </row>
    <row r="27" spans="2:14" x14ac:dyDescent="0.25">
      <c r="B27" s="5" t="s">
        <v>87</v>
      </c>
      <c r="C27" s="124" t="e">
        <f>Model!Q42/Model!Q47</f>
        <v>#DIV/0!</v>
      </c>
      <c r="E27" t="s">
        <v>76</v>
      </c>
      <c r="L27" s="131"/>
      <c r="M27" s="132"/>
      <c r="N27" s="133"/>
    </row>
    <row r="28" spans="2:14" x14ac:dyDescent="0.25">
      <c r="B28" s="5" t="s">
        <v>88</v>
      </c>
      <c r="C28" s="36" t="e">
        <f>C22/-Model!#REF!</f>
        <v>#REF!</v>
      </c>
      <c r="E28" t="s">
        <v>161</v>
      </c>
      <c r="L28" s="134"/>
      <c r="M28" s="135"/>
      <c r="N28" s="136"/>
    </row>
    <row r="29" spans="2:14" x14ac:dyDescent="0.25">
      <c r="B29" s="5" t="s">
        <v>89</v>
      </c>
      <c r="C29" s="36" t="e">
        <f>Model!Q31/Model!Q41</f>
        <v>#DIV/0!</v>
      </c>
      <c r="E29" t="s">
        <v>164</v>
      </c>
    </row>
    <row r="30" spans="2:14" x14ac:dyDescent="0.25">
      <c r="B30" s="5" t="s">
        <v>90</v>
      </c>
      <c r="C30" s="36" t="e">
        <f>(Model!Q25+Model!Q26)/Model!Q41</f>
        <v>#DIV/0!</v>
      </c>
    </row>
    <row r="31" spans="2:14" x14ac:dyDescent="0.25">
      <c r="B31" s="5" t="s">
        <v>91</v>
      </c>
      <c r="C31" s="6" t="e">
        <f>(Model!Q31-Model!Q41)/Model!Q37</f>
        <v>#DIV/0!</v>
      </c>
    </row>
    <row r="32" spans="2:14" x14ac:dyDescent="0.25">
      <c r="B32" s="5" t="s">
        <v>92</v>
      </c>
      <c r="C32" s="36" t="e">
        <f>(Model!Q37-Model!Q46)/Main!C7</f>
        <v>#DIV/0!</v>
      </c>
    </row>
    <row r="33" spans="2:9" x14ac:dyDescent="0.25">
      <c r="B33" s="5" t="s">
        <v>93</v>
      </c>
      <c r="C33" s="36" t="e">
        <f>Model!Q3/Model!Q37</f>
        <v>#DIV/0!</v>
      </c>
    </row>
    <row r="34" spans="2:9" x14ac:dyDescent="0.25">
      <c r="B34" s="5" t="s">
        <v>94</v>
      </c>
      <c r="C34" s="38" t="e">
        <f>Model!Q10/Model!Q37</f>
        <v>#DIV/0!</v>
      </c>
    </row>
    <row r="35" spans="2:9" x14ac:dyDescent="0.25">
      <c r="B35" s="5" t="s">
        <v>95</v>
      </c>
      <c r="C35" s="38" t="e">
        <f>Model!Q10/Model!Q47</f>
        <v>#DIV/0!</v>
      </c>
    </row>
    <row r="36" spans="2:9" x14ac:dyDescent="0.25">
      <c r="B36" s="22" t="s">
        <v>96</v>
      </c>
      <c r="C36" s="23"/>
    </row>
    <row r="41" spans="2:9" x14ac:dyDescent="0.25">
      <c r="E41" s="62"/>
      <c r="F41" s="62"/>
      <c r="G41" s="63"/>
      <c r="H41" s="63"/>
      <c r="I41" s="63"/>
    </row>
  </sheetData>
  <mergeCells count="1">
    <mergeCell ref="L17:N2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1"/>
  <sheetViews>
    <sheetView tabSelected="1" zoomScaleNormal="100" workbookViewId="0">
      <pane xSplit="2" ySplit="2" topLeftCell="T3" activePane="bottomRight" state="frozen"/>
      <selection pane="topRight" activeCell="B1" sqref="B1"/>
      <selection pane="bottomLeft" activeCell="A3" sqref="A3"/>
      <selection pane="bottomRight" activeCell="X28" sqref="X28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47"/>
    <col min="25" max="25" width="11.42578125" style="13"/>
  </cols>
  <sheetData>
    <row r="1" spans="1:27" x14ac:dyDescent="0.25">
      <c r="A1" s="8" t="s">
        <v>39</v>
      </c>
    </row>
    <row r="2" spans="1:27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69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s="147" t="s">
        <v>42</v>
      </c>
      <c r="X2" t="s">
        <v>64</v>
      </c>
      <c r="Y2" s="13" t="s">
        <v>68</v>
      </c>
      <c r="Z2" s="154" t="s">
        <v>162</v>
      </c>
      <c r="AA2" s="154" t="s">
        <v>163</v>
      </c>
    </row>
    <row r="3" spans="1:27" x14ac:dyDescent="0.25">
      <c r="B3" s="9" t="s">
        <v>185</v>
      </c>
      <c r="D3" s="18">
        <v>175.351</v>
      </c>
      <c r="E3" s="18">
        <v>205.1</v>
      </c>
      <c r="F3" s="18">
        <v>227.334</v>
      </c>
      <c r="G3" s="51">
        <v>195.654</v>
      </c>
      <c r="P3" s="18"/>
      <c r="Q3" s="18"/>
      <c r="R3" s="18">
        <v>81.489999999999995</v>
      </c>
      <c r="S3" s="18"/>
      <c r="T3" s="18">
        <v>41.85</v>
      </c>
      <c r="U3" s="18">
        <v>46.634999999999998</v>
      </c>
      <c r="V3" s="18">
        <v>51.954999999999998</v>
      </c>
      <c r="W3" s="18">
        <f>G3-V3-U3-T3</f>
        <v>55.21400000000002</v>
      </c>
      <c r="X3" s="18">
        <v>61.103999999999999</v>
      </c>
      <c r="Y3" s="51">
        <v>69.438999999999993</v>
      </c>
      <c r="Z3" s="18"/>
      <c r="AA3" s="18"/>
    </row>
    <row r="4" spans="1:27" x14ac:dyDescent="0.25">
      <c r="B4" s="9" t="s">
        <v>26</v>
      </c>
      <c r="D4" s="18">
        <v>3.9710000000000001</v>
      </c>
      <c r="E4" s="18">
        <v>7.0949999999999998</v>
      </c>
      <c r="F4" s="18">
        <v>7.36</v>
      </c>
      <c r="G4" s="51">
        <v>6.9119999999999999</v>
      </c>
      <c r="P4" s="18"/>
      <c r="Q4" s="18"/>
      <c r="R4" s="18">
        <v>1.744</v>
      </c>
      <c r="S4" s="18"/>
      <c r="T4" s="18">
        <v>1.2889999999999999</v>
      </c>
      <c r="U4" s="18">
        <v>2.0710000000000002</v>
      </c>
      <c r="V4" s="18">
        <v>1.3480000000000001</v>
      </c>
      <c r="W4" s="18">
        <f>G4-V4-U4-T4</f>
        <v>2.2039999999999997</v>
      </c>
      <c r="X4" s="18">
        <v>1.3180000000000001</v>
      </c>
      <c r="Y4" s="51">
        <v>1.075</v>
      </c>
      <c r="Z4" s="18"/>
      <c r="AA4" s="18"/>
    </row>
    <row r="5" spans="1:27" s="1" customFormat="1" x14ac:dyDescent="0.25">
      <c r="B5" s="1" t="s">
        <v>17</v>
      </c>
      <c r="C5" s="11">
        <f>SUM(C3:C4)</f>
        <v>0</v>
      </c>
      <c r="D5" s="2">
        <f>SUM(D3:D4)</f>
        <v>179.322</v>
      </c>
      <c r="E5" s="2">
        <f>SUM(E3:E4)</f>
        <v>212.19499999999999</v>
      </c>
      <c r="F5" s="2">
        <f>SUM(F3:F4)</f>
        <v>234.69400000000002</v>
      </c>
      <c r="G5" s="35">
        <f>SUM(G3:G4)</f>
        <v>202.566</v>
      </c>
      <c r="H5" s="43"/>
      <c r="I5" s="43"/>
      <c r="L5" s="11">
        <f>SUM(L3:L4)</f>
        <v>0</v>
      </c>
      <c r="M5" s="11">
        <f>SUM(M3:M4)</f>
        <v>0</v>
      </c>
      <c r="N5" s="11">
        <f>SUM(N3:N4)</f>
        <v>0</v>
      </c>
      <c r="O5" s="11">
        <f>SUM(O3:O4)</f>
        <v>0</v>
      </c>
      <c r="P5" s="2">
        <f>SUM(P3:P4)</f>
        <v>0</v>
      </c>
      <c r="Q5" s="2">
        <f>SUM(Q3:Q4)</f>
        <v>0</v>
      </c>
      <c r="R5" s="2">
        <f>SUM(R3:R4)</f>
        <v>83.233999999999995</v>
      </c>
      <c r="S5" s="2">
        <f>SUM(S3:S4)</f>
        <v>0</v>
      </c>
      <c r="T5" s="2">
        <f>SUM(T3:T4)</f>
        <v>43.139000000000003</v>
      </c>
      <c r="U5" s="2">
        <f>SUM(U3:U4)</f>
        <v>48.705999999999996</v>
      </c>
      <c r="V5" s="2">
        <f>SUM(V3:V4)</f>
        <v>53.302999999999997</v>
      </c>
      <c r="W5" s="2">
        <f>SUM(W3:W4)</f>
        <v>57.418000000000021</v>
      </c>
      <c r="X5" s="2">
        <f>SUM(X3:X4)</f>
        <v>62.421999999999997</v>
      </c>
      <c r="Y5" s="35">
        <f>SUM(Y3:Y4)</f>
        <v>70.513999999999996</v>
      </c>
      <c r="Z5" s="2">
        <f>SUM(Z3:Z4)</f>
        <v>0</v>
      </c>
      <c r="AA5" s="2">
        <f>SUM(AA3:AA4)</f>
        <v>0</v>
      </c>
    </row>
    <row r="6" spans="1:27" x14ac:dyDescent="0.25">
      <c r="B6" s="9" t="s">
        <v>66</v>
      </c>
      <c r="C6" s="10"/>
      <c r="D6" s="18"/>
      <c r="E6" s="18"/>
      <c r="F6" s="18"/>
      <c r="G6" s="51"/>
      <c r="H6" s="42">
        <v>263.37</v>
      </c>
      <c r="I6" s="42">
        <v>301.02</v>
      </c>
      <c r="L6" s="40"/>
      <c r="M6" s="40"/>
      <c r="N6" s="40"/>
      <c r="O6" s="40"/>
      <c r="P6" s="18"/>
      <c r="Q6" s="18"/>
      <c r="R6" s="18"/>
      <c r="S6" s="18"/>
      <c r="T6" s="18"/>
      <c r="U6" s="18"/>
      <c r="V6" s="18"/>
      <c r="W6" s="18"/>
      <c r="X6" s="18"/>
      <c r="Y6" s="51"/>
      <c r="Z6" s="18">
        <v>64.989999999999995</v>
      </c>
      <c r="AA6" s="18">
        <v>67.13</v>
      </c>
    </row>
    <row r="7" spans="1:27" s="1" customFormat="1" x14ac:dyDescent="0.25">
      <c r="B7" s="1" t="s">
        <v>61</v>
      </c>
      <c r="C7" s="11"/>
      <c r="D7" s="2">
        <v>175.29599999999999</v>
      </c>
      <c r="E7" s="2">
        <v>228.797</v>
      </c>
      <c r="F7" s="2">
        <v>261.44400000000002</v>
      </c>
      <c r="G7" s="35">
        <v>112.56</v>
      </c>
      <c r="H7" s="11"/>
      <c r="I7" s="11"/>
      <c r="L7" s="11"/>
      <c r="M7" s="11"/>
      <c r="N7" s="11"/>
      <c r="O7" s="11"/>
      <c r="P7" s="2"/>
      <c r="Q7" s="2"/>
      <c r="R7" s="2">
        <v>69.685000000000002</v>
      </c>
      <c r="S7" s="2"/>
      <c r="T7" s="2">
        <v>27.902999999999999</v>
      </c>
      <c r="U7" s="2">
        <v>29.949000000000002</v>
      </c>
      <c r="V7" s="2">
        <v>28.044</v>
      </c>
      <c r="W7" s="18">
        <f t="shared" ref="W7:W12" si="0">G7-V7-U7-T7</f>
        <v>26.664000000000009</v>
      </c>
      <c r="X7" s="2">
        <v>25.010999999999999</v>
      </c>
      <c r="Y7" s="35">
        <v>27.562000000000001</v>
      </c>
      <c r="Z7" s="2"/>
      <c r="AA7" s="2"/>
    </row>
    <row r="8" spans="1:27" x14ac:dyDescent="0.25">
      <c r="B8" t="s">
        <v>74</v>
      </c>
      <c r="C8" s="10"/>
      <c r="D8" s="18">
        <v>72.7</v>
      </c>
      <c r="E8" s="18">
        <v>105.16200000000001</v>
      </c>
      <c r="F8" s="18">
        <v>86.203000000000003</v>
      </c>
      <c r="G8" s="51">
        <v>58.265999999999998</v>
      </c>
      <c r="H8" s="40"/>
      <c r="I8" s="40"/>
      <c r="L8" s="10"/>
      <c r="M8" s="10"/>
      <c r="N8" s="10"/>
      <c r="O8" s="10"/>
      <c r="P8" s="18"/>
      <c r="Q8" s="18"/>
      <c r="R8" s="18">
        <v>13.353999999999999</v>
      </c>
      <c r="S8" s="18"/>
      <c r="T8" s="18">
        <v>14.592000000000001</v>
      </c>
      <c r="U8" s="155">
        <v>17.138000000000002</v>
      </c>
      <c r="V8" s="18">
        <v>14.288</v>
      </c>
      <c r="W8" s="18">
        <f t="shared" si="0"/>
        <v>12.247999999999992</v>
      </c>
      <c r="X8" s="18">
        <v>11.567</v>
      </c>
      <c r="Y8" s="51">
        <v>10.901999999999999</v>
      </c>
      <c r="Z8" s="18"/>
      <c r="AA8" s="18"/>
    </row>
    <row r="9" spans="1:27" x14ac:dyDescent="0.25">
      <c r="B9" t="s">
        <v>186</v>
      </c>
      <c r="C9" s="10"/>
      <c r="D9" s="18">
        <v>63.183</v>
      </c>
      <c r="E9" s="18">
        <v>112.738</v>
      </c>
      <c r="F9" s="18">
        <v>122.075</v>
      </c>
      <c r="G9" s="51">
        <v>60.956000000000003</v>
      </c>
      <c r="H9" s="40"/>
      <c r="I9" s="40"/>
      <c r="L9" s="10"/>
      <c r="M9" s="10"/>
      <c r="N9" s="10"/>
      <c r="O9" s="10"/>
      <c r="P9" s="18"/>
      <c r="Q9" s="18"/>
      <c r="R9" s="18">
        <v>34.383000000000003</v>
      </c>
      <c r="S9" s="18"/>
      <c r="T9" s="18">
        <v>13.452</v>
      </c>
      <c r="U9" s="155">
        <v>15.182</v>
      </c>
      <c r="V9" s="18">
        <v>16.763000000000002</v>
      </c>
      <c r="W9" s="18">
        <f t="shared" si="0"/>
        <v>15.558999999999996</v>
      </c>
      <c r="X9" s="18">
        <v>16.085000000000001</v>
      </c>
      <c r="Y9" s="51">
        <v>16.585000000000001</v>
      </c>
      <c r="Z9" s="18"/>
      <c r="AA9" s="18"/>
    </row>
    <row r="10" spans="1:27" x14ac:dyDescent="0.25">
      <c r="B10" t="s">
        <v>141</v>
      </c>
      <c r="C10" s="10"/>
      <c r="D10" s="18">
        <v>100.742</v>
      </c>
      <c r="E10" s="18">
        <v>205.988</v>
      </c>
      <c r="F10" s="18">
        <v>216.167</v>
      </c>
      <c r="G10" s="51">
        <v>133.755</v>
      </c>
      <c r="H10" s="10"/>
      <c r="I10" s="10"/>
      <c r="L10" s="10"/>
      <c r="M10" s="10"/>
      <c r="N10" s="10"/>
      <c r="O10" s="10"/>
      <c r="P10" s="18"/>
      <c r="Q10" s="18"/>
      <c r="R10" s="18">
        <v>54.930999999999997</v>
      </c>
      <c r="S10" s="18"/>
      <c r="T10" s="18">
        <v>43.689</v>
      </c>
      <c r="U10" s="155">
        <v>37.341000000000001</v>
      </c>
      <c r="V10" s="18">
        <v>26.099</v>
      </c>
      <c r="W10" s="18">
        <f t="shared" si="0"/>
        <v>26.625999999999998</v>
      </c>
      <c r="X10" s="18">
        <v>22.445</v>
      </c>
      <c r="Y10" s="51">
        <v>25.17</v>
      </c>
      <c r="Z10" s="18"/>
      <c r="AA10" s="18"/>
    </row>
    <row r="11" spans="1:27" x14ac:dyDescent="0.25">
      <c r="B11" t="s">
        <v>187</v>
      </c>
      <c r="C11" s="10"/>
      <c r="D11" s="18">
        <v>9.3949999999999996</v>
      </c>
      <c r="E11" s="18">
        <v>5.6589999999999998</v>
      </c>
      <c r="F11" s="18">
        <v>210.14500000000001</v>
      </c>
      <c r="G11" s="51">
        <v>10.401999999999999</v>
      </c>
      <c r="H11" s="10"/>
      <c r="I11" s="10"/>
      <c r="L11" s="10"/>
      <c r="M11" s="10"/>
      <c r="N11" s="10"/>
      <c r="O11" s="10"/>
      <c r="P11" s="18"/>
      <c r="Q11" s="18"/>
      <c r="R11" s="18"/>
      <c r="S11" s="18"/>
      <c r="T11" s="18">
        <v>2.12</v>
      </c>
      <c r="U11" s="18"/>
      <c r="V11" s="18">
        <v>8.282</v>
      </c>
      <c r="W11" s="18">
        <f t="shared" si="0"/>
        <v>0</v>
      </c>
      <c r="X11" s="18"/>
      <c r="Y11" s="51"/>
      <c r="Z11" s="18"/>
      <c r="AA11" s="18"/>
    </row>
    <row r="12" spans="1:27" x14ac:dyDescent="0.25">
      <c r="B12" t="s">
        <v>26</v>
      </c>
      <c r="C12" s="10"/>
      <c r="D12" s="18"/>
      <c r="E12" s="18"/>
      <c r="F12" s="18">
        <v>6.3120000000000003</v>
      </c>
      <c r="G12" s="51">
        <v>7.2229999999999999</v>
      </c>
      <c r="H12" s="40"/>
      <c r="I12" s="40"/>
      <c r="L12" s="10"/>
      <c r="M12" s="10"/>
      <c r="N12" s="10"/>
      <c r="O12" s="10"/>
      <c r="P12" s="18"/>
      <c r="Q12" s="18"/>
      <c r="R12" s="18">
        <v>1.6970000000000001</v>
      </c>
      <c r="S12" s="18"/>
      <c r="T12" s="18">
        <v>1.7470000000000001</v>
      </c>
      <c r="U12" s="18">
        <v>0.71799999999999997</v>
      </c>
      <c r="V12" s="18">
        <v>2.794</v>
      </c>
      <c r="W12" s="18">
        <f t="shared" si="0"/>
        <v>1.9640000000000002</v>
      </c>
      <c r="X12" s="18">
        <v>0.97399999999999998</v>
      </c>
      <c r="Y12" s="51">
        <v>0.874</v>
      </c>
      <c r="Z12" s="18"/>
      <c r="AA12" s="18"/>
    </row>
    <row r="13" spans="1:27" s="1" customFormat="1" x14ac:dyDescent="0.25">
      <c r="B13" s="1" t="s">
        <v>23</v>
      </c>
      <c r="C13" s="11">
        <f>C5-SUM(C7:C12)</f>
        <v>0</v>
      </c>
      <c r="D13" s="2">
        <f>D5-SUM(D7:D12)</f>
        <v>-241.99399999999997</v>
      </c>
      <c r="E13" s="2">
        <f>E5-SUM(E7:E12)</f>
        <v>-446.14899999999994</v>
      </c>
      <c r="F13" s="2">
        <f>F5-SUM(F7:F12)</f>
        <v>-667.65200000000004</v>
      </c>
      <c r="G13" s="35">
        <f>G5-SUM(G7:G12)</f>
        <v>-180.59599999999998</v>
      </c>
      <c r="H13" s="11">
        <f>H5-SUM(H7:H12)</f>
        <v>0</v>
      </c>
      <c r="I13" s="11">
        <f>I5-SUM(I7:I12)</f>
        <v>0</v>
      </c>
      <c r="J13" s="11"/>
      <c r="K13" s="11"/>
      <c r="L13" s="11">
        <f>L5-SUM(L7:L12)</f>
        <v>0</v>
      </c>
      <c r="M13" s="11">
        <f>M5-SUM(M7:M12)</f>
        <v>0</v>
      </c>
      <c r="N13" s="11">
        <f>N5-SUM(N7:N12)</f>
        <v>0</v>
      </c>
      <c r="O13" s="11">
        <f>O5-SUM(O7:O12)</f>
        <v>0</v>
      </c>
      <c r="P13" s="2">
        <f>P5-SUM(P7:P12)</f>
        <v>0</v>
      </c>
      <c r="Q13" s="2">
        <f>Q5-SUM(Q7:Q12)</f>
        <v>0</v>
      </c>
      <c r="R13" s="2">
        <f>R5-SUM(R7:R12)</f>
        <v>-90.816000000000017</v>
      </c>
      <c r="S13" s="2">
        <f>S5-SUM(S7:S12)</f>
        <v>0</v>
      </c>
      <c r="T13" s="2">
        <f>T5-SUM(T7:T12)</f>
        <v>-60.363999999999997</v>
      </c>
      <c r="U13" s="2">
        <f>U5-SUM(U7:U12)</f>
        <v>-51.622000000000021</v>
      </c>
      <c r="V13" s="2">
        <f>V5-SUM(V7:V12)</f>
        <v>-42.966999999999999</v>
      </c>
      <c r="W13" s="2">
        <f>W5-SUM(W7:W12)</f>
        <v>-25.642999999999972</v>
      </c>
      <c r="X13" s="2">
        <f>X5-SUM(X7:X12)</f>
        <v>-13.660000000000011</v>
      </c>
      <c r="Y13" s="35">
        <f>Y5-SUM(Y7:Y12)</f>
        <v>-10.578999999999994</v>
      </c>
      <c r="Z13" s="2">
        <f>Z5-SUM(Z7:Z12)</f>
        <v>0</v>
      </c>
      <c r="AA13" s="2">
        <f>AA5-SUM(AA7:AA12)</f>
        <v>0</v>
      </c>
    </row>
    <row r="14" spans="1:27" x14ac:dyDescent="0.25">
      <c r="B14" t="s">
        <v>188</v>
      </c>
      <c r="C14" s="10"/>
      <c r="D14" s="18">
        <v>0.50600000000000001</v>
      </c>
      <c r="E14" s="18">
        <v>198.40100000000001</v>
      </c>
      <c r="F14" s="18">
        <v>70.228999999999999</v>
      </c>
      <c r="G14" s="51">
        <v>1.17</v>
      </c>
      <c r="H14" s="40"/>
      <c r="I14" s="40"/>
      <c r="L14" s="10"/>
      <c r="M14" s="10"/>
      <c r="N14" s="10"/>
      <c r="O14" s="10"/>
      <c r="P14" s="18"/>
      <c r="Q14" s="18"/>
      <c r="R14" s="18">
        <v>12.978</v>
      </c>
      <c r="S14" s="18"/>
      <c r="T14" s="18">
        <v>-3.4529999999999998</v>
      </c>
      <c r="U14" s="18">
        <v>3.5470000000000002</v>
      </c>
      <c r="V14" s="18">
        <v>0.59</v>
      </c>
      <c r="W14" s="18">
        <f t="shared" ref="W14:W16" si="1">G14-V14-U14-T14</f>
        <v>0.48599999999999977</v>
      </c>
      <c r="X14" s="18">
        <v>-6.101</v>
      </c>
      <c r="Y14" s="51">
        <v>-4.4089999999999998</v>
      </c>
      <c r="Z14" s="18"/>
      <c r="AA14" s="18"/>
    </row>
    <row r="15" spans="1:27" x14ac:dyDescent="0.25">
      <c r="B15" t="s">
        <v>189</v>
      </c>
      <c r="C15" s="10"/>
      <c r="D15" s="18">
        <v>-2.4740000000000002</v>
      </c>
      <c r="E15" s="18">
        <f>0.079-2.835</f>
        <v>-2.7559999999999998</v>
      </c>
      <c r="F15" s="18">
        <v>-0.66600000000000004</v>
      </c>
      <c r="G15" s="51">
        <v>1.1140000000000001</v>
      </c>
      <c r="H15" s="40"/>
      <c r="I15" s="40"/>
      <c r="L15" s="10"/>
      <c r="M15" s="10"/>
      <c r="N15" s="10"/>
      <c r="O15" s="10"/>
      <c r="P15" s="18"/>
      <c r="Q15" s="18"/>
      <c r="R15" s="18">
        <v>0.19</v>
      </c>
      <c r="S15" s="18"/>
      <c r="T15" s="18">
        <v>-3.5000000000000003E-2</v>
      </c>
      <c r="U15" s="18">
        <v>1.0740000000000001</v>
      </c>
      <c r="V15" s="18">
        <v>1.0529999999999999</v>
      </c>
      <c r="W15" s="18">
        <f t="shared" si="1"/>
        <v>-0.97799999999999987</v>
      </c>
      <c r="X15" s="18">
        <v>-0.59699999999999998</v>
      </c>
      <c r="Y15" s="51">
        <v>-0.89400000000000002</v>
      </c>
      <c r="Z15" s="18"/>
      <c r="AA15" s="18"/>
    </row>
    <row r="16" spans="1:27" x14ac:dyDescent="0.25">
      <c r="B16" t="s">
        <v>26</v>
      </c>
      <c r="C16" s="10"/>
      <c r="D16" s="18">
        <v>2.6219999999999999</v>
      </c>
      <c r="E16" s="18">
        <v>5.1139999999999999</v>
      </c>
      <c r="F16" s="18">
        <v>5.7000000000000002E-2</v>
      </c>
      <c r="G16" s="51">
        <v>1.619</v>
      </c>
      <c r="H16" s="40"/>
      <c r="I16" s="40"/>
      <c r="L16" s="10"/>
      <c r="M16" s="10"/>
      <c r="N16" s="10"/>
      <c r="O16" s="10"/>
      <c r="P16" s="18"/>
      <c r="Q16" s="18"/>
      <c r="R16" s="18">
        <v>2E-3</v>
      </c>
      <c r="S16" s="18"/>
      <c r="T16" s="18">
        <v>2.7160000000000002</v>
      </c>
      <c r="U16" s="18">
        <v>8.5999999999999993E-2</v>
      </c>
      <c r="V16" s="18">
        <v>-1.1339999999999999</v>
      </c>
      <c r="W16" s="18">
        <f t="shared" si="1"/>
        <v>-4.8999999999999932E-2</v>
      </c>
      <c r="X16" s="18">
        <v>3.6999999999999998E-2</v>
      </c>
      <c r="Y16" s="51">
        <v>-13.481</v>
      </c>
      <c r="Z16" s="18"/>
      <c r="AA16" s="18"/>
    </row>
    <row r="17" spans="2:27" s="1" customFormat="1" x14ac:dyDescent="0.25">
      <c r="B17" s="1" t="s">
        <v>142</v>
      </c>
      <c r="C17" s="11">
        <f>C13+SUM(C14:C16)</f>
        <v>0</v>
      </c>
      <c r="D17" s="2">
        <f>D13+SUM(D14:D16)</f>
        <v>-241.33999999999997</v>
      </c>
      <c r="E17" s="2">
        <f t="shared" ref="E17:I17" si="2">E13+SUM(E14:E16)</f>
        <v>-245.38999999999993</v>
      </c>
      <c r="F17" s="2">
        <f t="shared" si="2"/>
        <v>-598.03200000000004</v>
      </c>
      <c r="G17" s="35">
        <f t="shared" si="2"/>
        <v>-176.69299999999998</v>
      </c>
      <c r="H17" s="11">
        <f t="shared" si="2"/>
        <v>0</v>
      </c>
      <c r="I17" s="11">
        <f t="shared" si="2"/>
        <v>0</v>
      </c>
      <c r="L17" s="11">
        <f t="shared" ref="L17" si="3">L13+SUM(L14:L16)</f>
        <v>0</v>
      </c>
      <c r="M17" s="11">
        <f t="shared" ref="M17" si="4">M13+SUM(M14:M16)</f>
        <v>0</v>
      </c>
      <c r="N17" s="11">
        <f t="shared" ref="N17" si="5">N13+SUM(N14:N16)</f>
        <v>0</v>
      </c>
      <c r="O17" s="11">
        <f t="shared" ref="O17" si="6">O13+SUM(O14:O16)</f>
        <v>0</v>
      </c>
      <c r="P17" s="2">
        <f t="shared" ref="P17" si="7">P13+SUM(P14:P16)</f>
        <v>0</v>
      </c>
      <c r="Q17" s="2">
        <f t="shared" ref="Q17" si="8">Q13+SUM(Q14:Q16)</f>
        <v>0</v>
      </c>
      <c r="R17" s="2">
        <f t="shared" ref="R17" si="9">R13+SUM(R14:R16)</f>
        <v>-77.646000000000015</v>
      </c>
      <c r="S17" s="2">
        <f t="shared" ref="S17" si="10">S13+SUM(S14:S16)</f>
        <v>0</v>
      </c>
      <c r="T17" s="2">
        <f t="shared" ref="T17" si="11">T13+SUM(T14:T16)</f>
        <v>-61.135999999999996</v>
      </c>
      <c r="U17" s="2">
        <f t="shared" ref="U17" si="12">U13+SUM(U14:U16)</f>
        <v>-46.91500000000002</v>
      </c>
      <c r="V17" s="2">
        <f t="shared" ref="V17" si="13">V13+SUM(V14:V16)</f>
        <v>-42.457999999999998</v>
      </c>
      <c r="W17" s="2">
        <f t="shared" ref="W17:AA17" si="14">W13+SUM(W14:W16)</f>
        <v>-26.183999999999973</v>
      </c>
      <c r="X17" s="2">
        <f t="shared" si="14"/>
        <v>-20.321000000000012</v>
      </c>
      <c r="Y17" s="35">
        <f t="shared" si="14"/>
        <v>-29.362999999999992</v>
      </c>
      <c r="Z17" s="2">
        <f t="shared" si="14"/>
        <v>0</v>
      </c>
      <c r="AA17" s="2">
        <f t="shared" si="14"/>
        <v>0</v>
      </c>
    </row>
    <row r="18" spans="2:27" x14ac:dyDescent="0.25">
      <c r="B18" t="s">
        <v>20</v>
      </c>
      <c r="C18" s="10"/>
      <c r="D18" s="18"/>
      <c r="E18" s="18"/>
      <c r="F18" s="18">
        <v>-49.052</v>
      </c>
      <c r="G18" s="51">
        <v>-0.92600000000000005</v>
      </c>
      <c r="H18" s="40"/>
      <c r="I18" s="40"/>
      <c r="L18" s="10"/>
      <c r="M18" s="10"/>
      <c r="N18" s="10"/>
      <c r="O18" s="10"/>
      <c r="P18" s="18"/>
      <c r="Q18" s="18"/>
      <c r="R18" s="18">
        <v>-6.5000000000000002E-2</v>
      </c>
      <c r="S18" s="18"/>
      <c r="T18" s="18">
        <v>-0.14699999999999999</v>
      </c>
      <c r="U18" s="18">
        <v>-0.19600000000000001</v>
      </c>
      <c r="V18" s="18">
        <v>-0.17199999999999999</v>
      </c>
      <c r="W18" s="18">
        <f t="shared" ref="W18:W19" si="15">G18-V18-U18-T18</f>
        <v>-0.41100000000000003</v>
      </c>
      <c r="X18" s="18">
        <v>-8.2000000000000003E-2</v>
      </c>
      <c r="Y18" s="51">
        <v>-0.19</v>
      </c>
      <c r="Z18" s="18"/>
      <c r="AA18" s="18"/>
    </row>
    <row r="19" spans="2:27" x14ac:dyDescent="0.25">
      <c r="B19" t="s">
        <v>75</v>
      </c>
      <c r="C19" s="10"/>
      <c r="D19" s="18"/>
      <c r="E19" s="18"/>
      <c r="F19" s="18"/>
      <c r="G19" s="51">
        <v>-0.42499999999999999</v>
      </c>
      <c r="H19" s="40"/>
      <c r="I19" s="40"/>
      <c r="L19" s="10"/>
      <c r="M19" s="10"/>
      <c r="N19" s="10"/>
      <c r="O19" s="10"/>
      <c r="P19" s="18"/>
      <c r="Q19" s="18"/>
      <c r="R19" s="18"/>
      <c r="S19" s="18"/>
      <c r="T19" s="18"/>
      <c r="U19" s="18"/>
      <c r="V19" s="18"/>
      <c r="W19" s="18">
        <f t="shared" si="15"/>
        <v>-0.42499999999999999</v>
      </c>
      <c r="X19" s="18">
        <v>0.13400000000000001</v>
      </c>
      <c r="Y19" s="51">
        <v>-0.16800000000000001</v>
      </c>
      <c r="Z19" s="18"/>
      <c r="AA19" s="18"/>
    </row>
    <row r="20" spans="2:27" s="1" customFormat="1" x14ac:dyDescent="0.25">
      <c r="B20" s="1" t="s">
        <v>21</v>
      </c>
      <c r="C20" s="11">
        <f>C17-SUM(C18:C19)</f>
        <v>0</v>
      </c>
      <c r="D20" s="2">
        <f t="shared" ref="D20:G20" si="16">D17-SUM(D18:D19)</f>
        <v>-241.33999999999997</v>
      </c>
      <c r="E20" s="2">
        <f t="shared" si="16"/>
        <v>-245.38999999999993</v>
      </c>
      <c r="F20" s="2">
        <f t="shared" si="16"/>
        <v>-548.98</v>
      </c>
      <c r="G20" s="35">
        <f t="shared" si="16"/>
        <v>-175.34199999999998</v>
      </c>
      <c r="H20" s="61"/>
      <c r="I20" s="61"/>
      <c r="L20" s="11">
        <f t="shared" ref="L20" si="17">L17-SUM(L18:L19)</f>
        <v>0</v>
      </c>
      <c r="M20" s="11">
        <f t="shared" ref="M20" si="18">M17-SUM(M18:M19)</f>
        <v>0</v>
      </c>
      <c r="N20" s="11">
        <f t="shared" ref="N20" si="19">N17-SUM(N18:N19)</f>
        <v>0</v>
      </c>
      <c r="O20" s="11">
        <f t="shared" ref="O20" si="20">O17-SUM(O18:O19)</f>
        <v>0</v>
      </c>
      <c r="P20" s="2">
        <f t="shared" ref="P20" si="21">P17-SUM(P18:P19)</f>
        <v>0</v>
      </c>
      <c r="Q20" s="2">
        <f t="shared" ref="Q20" si="22">Q17-SUM(Q18:Q19)</f>
        <v>0</v>
      </c>
      <c r="R20" s="2">
        <f t="shared" ref="R20" si="23">R17-SUM(R18:R19)</f>
        <v>-77.581000000000017</v>
      </c>
      <c r="S20" s="2">
        <f t="shared" ref="S20" si="24">S17-SUM(S18:S19)</f>
        <v>0</v>
      </c>
      <c r="T20" s="2">
        <f t="shared" ref="T20" si="25">T17-SUM(T18:T19)</f>
        <v>-60.988999999999997</v>
      </c>
      <c r="U20" s="2">
        <f t="shared" ref="U20" si="26">U17-SUM(U18:U19)</f>
        <v>-46.719000000000023</v>
      </c>
      <c r="V20" s="2">
        <f t="shared" ref="V20" si="27">V17-SUM(V18:V19)</f>
        <v>-42.286000000000001</v>
      </c>
      <c r="W20" s="2">
        <f t="shared" ref="W20:AA20" si="28">W17-SUM(W18:W19)</f>
        <v>-25.347999999999974</v>
      </c>
      <c r="X20" s="2">
        <f t="shared" si="28"/>
        <v>-20.373000000000012</v>
      </c>
      <c r="Y20" s="35">
        <f t="shared" si="28"/>
        <v>-29.004999999999992</v>
      </c>
      <c r="Z20" s="2">
        <f t="shared" si="28"/>
        <v>0</v>
      </c>
      <c r="AA20" s="2">
        <f t="shared" si="28"/>
        <v>0</v>
      </c>
    </row>
    <row r="21" spans="2:27" x14ac:dyDescent="0.25">
      <c r="B21" t="s">
        <v>1</v>
      </c>
      <c r="C21" s="10"/>
      <c r="D21" s="18">
        <v>5.1310000000000002</v>
      </c>
      <c r="E21" s="18">
        <v>108.077439</v>
      </c>
      <c r="F21" s="18">
        <v>10.23696</v>
      </c>
      <c r="G21" s="51">
        <v>24.311989000000001</v>
      </c>
      <c r="H21" s="40"/>
      <c r="I21" s="40"/>
      <c r="L21" s="10"/>
      <c r="M21" s="10"/>
      <c r="N21" s="10"/>
      <c r="O21" s="10"/>
      <c r="P21" s="18"/>
      <c r="Q21" s="18"/>
      <c r="R21" s="18">
        <v>11.538308000000001</v>
      </c>
      <c r="S21" s="18"/>
      <c r="T21" s="18">
        <v>20.061945000000001</v>
      </c>
      <c r="U21" s="18">
        <v>25.418358000000001</v>
      </c>
      <c r="V21" s="18">
        <v>25.788747000000001</v>
      </c>
      <c r="W21" s="18">
        <v>25.9</v>
      </c>
      <c r="X21" s="18">
        <v>26.062169999999998</v>
      </c>
      <c r="Y21" s="51">
        <v>26.617995000000001</v>
      </c>
      <c r="Z21" s="18"/>
      <c r="AA21" s="18"/>
    </row>
    <row r="22" spans="2:27" s="1" customFormat="1" x14ac:dyDescent="0.25">
      <c r="B22" s="1" t="s">
        <v>22</v>
      </c>
      <c r="C22" s="2" t="e">
        <f>C20/C21</f>
        <v>#DIV/0!</v>
      </c>
      <c r="D22" s="2">
        <f>D20/D21</f>
        <v>-47.035665562268555</v>
      </c>
      <c r="E22" s="2">
        <f>E20/E21</f>
        <v>-2.2705016169008219</v>
      </c>
      <c r="F22" s="2">
        <f>F20/F21</f>
        <v>-53.627248714462105</v>
      </c>
      <c r="G22" s="57">
        <f>G20/G21</f>
        <v>-7.2121618679574091</v>
      </c>
      <c r="H22" s="58"/>
      <c r="I22" s="59"/>
      <c r="L22" s="2" t="e">
        <f>L20/L21</f>
        <v>#DIV/0!</v>
      </c>
      <c r="M22" s="2" t="e">
        <f t="shared" ref="M22:W22" si="29">M20/M21</f>
        <v>#DIV/0!</v>
      </c>
      <c r="N22" s="2" t="e">
        <f t="shared" si="29"/>
        <v>#DIV/0!</v>
      </c>
      <c r="O22" s="2" t="e">
        <f t="shared" si="29"/>
        <v>#DIV/0!</v>
      </c>
      <c r="P22" s="2" t="e">
        <f t="shared" si="29"/>
        <v>#DIV/0!</v>
      </c>
      <c r="Q22" s="2" t="e">
        <f t="shared" si="29"/>
        <v>#DIV/0!</v>
      </c>
      <c r="R22" s="2">
        <f t="shared" si="29"/>
        <v>-6.7237761377144736</v>
      </c>
      <c r="S22" s="2" t="e">
        <f t="shared" si="29"/>
        <v>#DIV/0!</v>
      </c>
      <c r="T22" s="2">
        <f t="shared" si="29"/>
        <v>-3.0400342539070859</v>
      </c>
      <c r="U22" s="2">
        <f t="shared" si="29"/>
        <v>-1.8380022816580055</v>
      </c>
      <c r="V22" s="2">
        <f t="shared" si="29"/>
        <v>-1.6397074274294909</v>
      </c>
      <c r="W22" s="2">
        <f t="shared" si="29"/>
        <v>-0.9786872586872577</v>
      </c>
      <c r="X22" s="2">
        <f t="shared" ref="X22:AA22" si="30">X20/X21</f>
        <v>-0.78170773960878981</v>
      </c>
      <c r="Y22" s="35">
        <f t="shared" si="30"/>
        <v>-1.0896763636780302</v>
      </c>
      <c r="Z22" s="2" t="e">
        <f t="shared" si="30"/>
        <v>#DIV/0!</v>
      </c>
      <c r="AA22" s="2" t="e">
        <f t="shared" si="30"/>
        <v>#DIV/0!</v>
      </c>
    </row>
    <row r="23" spans="2:27" s="1" customFormat="1" x14ac:dyDescent="0.25">
      <c r="B23" s="9" t="s">
        <v>65</v>
      </c>
      <c r="C23" s="2"/>
      <c r="D23" s="2"/>
      <c r="E23" s="2"/>
      <c r="F23" s="2"/>
      <c r="G23" s="35"/>
      <c r="H23" s="44">
        <v>-0.78</v>
      </c>
      <c r="I23" s="45">
        <v>0.09</v>
      </c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150"/>
      <c r="X23" s="150"/>
      <c r="Y23" s="49"/>
      <c r="Z23" s="150">
        <v>-0.21</v>
      </c>
      <c r="AA23" s="150">
        <v>-0.16</v>
      </c>
    </row>
    <row r="24" spans="2:27" s="1" customFormat="1" x14ac:dyDescent="0.25">
      <c r="B24" t="s">
        <v>30</v>
      </c>
      <c r="C24" s="3" t="e">
        <f>1-C7/C5</f>
        <v>#DIV/0!</v>
      </c>
      <c r="D24" s="3">
        <f>1-D7/D5</f>
        <v>2.2451232977548807E-2</v>
      </c>
      <c r="E24" s="3">
        <f>1-E7/E5</f>
        <v>-7.8239355309974279E-2</v>
      </c>
      <c r="F24" s="3">
        <f>1-F7/F5</f>
        <v>-0.11397820140267756</v>
      </c>
      <c r="G24" s="6">
        <f>1-G7/G5</f>
        <v>0.44432925565001036</v>
      </c>
      <c r="H24" s="46"/>
      <c r="I24" s="46"/>
      <c r="L24" s="3" t="e">
        <f>1-L7/L5</f>
        <v>#DIV/0!</v>
      </c>
      <c r="M24" s="3" t="e">
        <f>1-M7/M5</f>
        <v>#DIV/0!</v>
      </c>
      <c r="N24" s="3" t="e">
        <f>1-N7/N5</f>
        <v>#DIV/0!</v>
      </c>
      <c r="O24" s="3" t="e">
        <f>1-O7/O5</f>
        <v>#DIV/0!</v>
      </c>
      <c r="P24" s="3" t="e">
        <f>1-P7/P5</f>
        <v>#DIV/0!</v>
      </c>
      <c r="Q24" s="3" t="e">
        <f>1-Q7/Q5</f>
        <v>#DIV/0!</v>
      </c>
      <c r="R24" s="3">
        <f>1-R7/R5</f>
        <v>0.16278203618713494</v>
      </c>
      <c r="S24" s="3" t="e">
        <f>1-S7/S5</f>
        <v>#DIV/0!</v>
      </c>
      <c r="T24" s="156">
        <f>1-T7/T5</f>
        <v>0.35318389392429128</v>
      </c>
      <c r="U24" s="156">
        <f>1-U7/U5</f>
        <v>0.38510655771362867</v>
      </c>
      <c r="V24" s="156">
        <f>1-V7/V5</f>
        <v>0.47387576684239152</v>
      </c>
      <c r="W24" s="157">
        <f>1-W7/W5</f>
        <v>0.53561600891706429</v>
      </c>
      <c r="X24" s="157">
        <f>1-X7/X5</f>
        <v>0.59932395629745927</v>
      </c>
      <c r="Y24" s="158">
        <f>1-Y7/Y5</f>
        <v>0.6091272655075588</v>
      </c>
      <c r="Z24" s="39" t="e">
        <f>1-Z7/Z5</f>
        <v>#DIV/0!</v>
      </c>
      <c r="AA24" s="39" t="e">
        <f>1-AA7/AA5</f>
        <v>#DIV/0!</v>
      </c>
    </row>
    <row r="25" spans="2:27" x14ac:dyDescent="0.25">
      <c r="B25" t="s">
        <v>31</v>
      </c>
      <c r="C25" s="4" t="e">
        <f>C20/C5</f>
        <v>#DIV/0!</v>
      </c>
      <c r="D25" s="4">
        <f>D20/D5</f>
        <v>-1.3458471353208195</v>
      </c>
      <c r="E25" s="4">
        <f>E20/E5</f>
        <v>-1.1564362968024691</v>
      </c>
      <c r="F25" s="4">
        <f>F20/F5</f>
        <v>-2.3391309534968938</v>
      </c>
      <c r="G25" s="7">
        <f>G20/G5</f>
        <v>-0.86560429687114315</v>
      </c>
      <c r="H25" s="47">
        <f>H20/H6</f>
        <v>0</v>
      </c>
      <c r="I25" s="47">
        <f>I20/I6</f>
        <v>0</v>
      </c>
      <c r="L25" s="4" t="e">
        <f>L20/L5</f>
        <v>#DIV/0!</v>
      </c>
      <c r="M25" s="4" t="e">
        <f>M20/M5</f>
        <v>#DIV/0!</v>
      </c>
      <c r="N25" s="4" t="e">
        <f>N20/N5</f>
        <v>#DIV/0!</v>
      </c>
      <c r="O25" s="4" t="e">
        <f>O20/O5</f>
        <v>#DIV/0!</v>
      </c>
      <c r="P25" s="4" t="e">
        <f>P20/P5</f>
        <v>#DIV/0!</v>
      </c>
      <c r="Q25" s="4" t="e">
        <f>Q20/Q5</f>
        <v>#DIV/0!</v>
      </c>
      <c r="R25" s="4">
        <f>R20/R5</f>
        <v>-0.93208304298724109</v>
      </c>
      <c r="S25" s="4" t="e">
        <f>S20/S5</f>
        <v>#DIV/0!</v>
      </c>
      <c r="T25" s="4">
        <f>T20/T5</f>
        <v>-1.4137787153156076</v>
      </c>
      <c r="U25" s="4">
        <f>U20/U5</f>
        <v>-0.95920420482076185</v>
      </c>
      <c r="V25" s="4">
        <f>V20/V5</f>
        <v>-0.79331369716526279</v>
      </c>
      <c r="W25" s="151">
        <f>W20/W5</f>
        <v>-0.44146434915879978</v>
      </c>
      <c r="X25" s="151">
        <f>X20/X5</f>
        <v>-0.326375316394861</v>
      </c>
      <c r="Y25" s="7">
        <f>Y20/Y5</f>
        <v>-0.41133675582153889</v>
      </c>
      <c r="Z25" s="151" t="e">
        <f>Z20/Z5</f>
        <v>#DIV/0!</v>
      </c>
      <c r="AA25" s="151" t="e">
        <f>AA20/AA5</f>
        <v>#DIV/0!</v>
      </c>
    </row>
    <row r="26" spans="2:27" x14ac:dyDescent="0.25">
      <c r="B26" t="s">
        <v>32</v>
      </c>
      <c r="C26" s="3"/>
      <c r="D26" s="3"/>
      <c r="E26" s="3">
        <f>E5/D5-1</f>
        <v>0.1833182766197119</v>
      </c>
      <c r="F26" s="39">
        <f>F5/E5-1</f>
        <v>0.10602983105162722</v>
      </c>
      <c r="G26" s="6">
        <f>G5/F5-1</f>
        <v>-0.13689314596879343</v>
      </c>
      <c r="H26" s="48">
        <f>H6/G5-1</f>
        <v>0.30016883386155624</v>
      </c>
      <c r="I26" s="48">
        <f>I6/H6-1</f>
        <v>0.1429547784485703</v>
      </c>
      <c r="L26" s="4"/>
      <c r="M26" s="4"/>
      <c r="N26" s="4"/>
      <c r="O26" s="4"/>
      <c r="P26" s="4" t="e">
        <f>P5/L5-1</f>
        <v>#DIV/0!</v>
      </c>
      <c r="Q26" s="4" t="e">
        <f>Q5/M5-1</f>
        <v>#DIV/0!</v>
      </c>
      <c r="R26" s="4" t="e">
        <f>R5/N5-1</f>
        <v>#DIV/0!</v>
      </c>
      <c r="S26" s="4" t="e">
        <f>S5/O5-1</f>
        <v>#DIV/0!</v>
      </c>
      <c r="T26" s="4" t="e">
        <f>T5/P5-1</f>
        <v>#DIV/0!</v>
      </c>
      <c r="U26" s="4" t="e">
        <f>U5/Q5-1</f>
        <v>#DIV/0!</v>
      </c>
      <c r="V26" s="4">
        <f>V5/R5-1</f>
        <v>-0.35960064396760938</v>
      </c>
      <c r="W26" s="151" t="e">
        <f>W5/S5-1</f>
        <v>#DIV/0!</v>
      </c>
      <c r="X26" s="151">
        <f>X5/T5-1</f>
        <v>0.44699691694290533</v>
      </c>
      <c r="Y26" s="7">
        <f>Y5/U5-1</f>
        <v>0.44774771075432196</v>
      </c>
      <c r="Z26" s="151">
        <f>Z5/V5-1</f>
        <v>-1</v>
      </c>
      <c r="AA26" s="151">
        <f>AA5/W5-1</f>
        <v>-1</v>
      </c>
    </row>
    <row r="27" spans="2:27" x14ac:dyDescent="0.25">
      <c r="B27" t="s">
        <v>67</v>
      </c>
      <c r="C27" s="4" t="e">
        <f>C8/C5</f>
        <v>#DIV/0!</v>
      </c>
      <c r="D27" s="4">
        <f>D9/D5</f>
        <v>0.35234382842038342</v>
      </c>
      <c r="E27" s="4">
        <f>E9/E5</f>
        <v>0.53129432833007373</v>
      </c>
      <c r="F27" s="4">
        <f>F9/F5</f>
        <v>0.52014538079371431</v>
      </c>
      <c r="G27" s="7">
        <f>G9/G5</f>
        <v>0.30091920657958393</v>
      </c>
      <c r="H27" s="125"/>
      <c r="I27" s="125"/>
      <c r="L27" s="4" t="e">
        <f t="shared" ref="L27:Y27" si="31">L9/L5</f>
        <v>#DIV/0!</v>
      </c>
      <c r="M27" s="4" t="e">
        <f t="shared" si="31"/>
        <v>#DIV/0!</v>
      </c>
      <c r="N27" s="4" t="e">
        <f t="shared" si="31"/>
        <v>#DIV/0!</v>
      </c>
      <c r="O27" s="4" t="e">
        <f t="shared" si="31"/>
        <v>#DIV/0!</v>
      </c>
      <c r="P27" s="4" t="e">
        <f t="shared" si="31"/>
        <v>#DIV/0!</v>
      </c>
      <c r="Q27" s="4" t="e">
        <f t="shared" si="31"/>
        <v>#DIV/0!</v>
      </c>
      <c r="R27" s="4">
        <f t="shared" si="31"/>
        <v>0.41308840137443836</v>
      </c>
      <c r="S27" s="4" t="e">
        <f t="shared" si="31"/>
        <v>#DIV/0!</v>
      </c>
      <c r="T27" s="4">
        <f t="shared" si="31"/>
        <v>0.31182920327314029</v>
      </c>
      <c r="U27" s="4">
        <f t="shared" si="31"/>
        <v>0.31170697655319679</v>
      </c>
      <c r="V27" s="4">
        <f t="shared" si="31"/>
        <v>0.31448511340825097</v>
      </c>
      <c r="W27" s="4">
        <f t="shared" si="31"/>
        <v>0.27097774217144432</v>
      </c>
      <c r="X27" s="4">
        <f t="shared" si="31"/>
        <v>0.25768158662010193</v>
      </c>
      <c r="Y27" s="7">
        <f t="shared" si="31"/>
        <v>0.23520152026547922</v>
      </c>
      <c r="Z27" s="151" t="e">
        <f>Z8/Z5</f>
        <v>#DIV/0!</v>
      </c>
      <c r="AA27" s="151" t="e">
        <f>AA8/AA5</f>
        <v>#DIV/0!</v>
      </c>
    </row>
    <row r="28" spans="2:27" x14ac:dyDescent="0.25">
      <c r="B28" t="s">
        <v>139</v>
      </c>
      <c r="C28" s="4" t="e">
        <f>C9/C5</f>
        <v>#DIV/0!</v>
      </c>
      <c r="D28" s="4">
        <f>D8/D5</f>
        <v>0.40541595565519012</v>
      </c>
      <c r="E28" s="4">
        <f>E8/E5</f>
        <v>0.49559131930535599</v>
      </c>
      <c r="F28" s="4">
        <f>F8/F5</f>
        <v>0.36729954749588822</v>
      </c>
      <c r="G28" s="7">
        <f>G8/G5</f>
        <v>0.28763958413554097</v>
      </c>
      <c r="H28" s="125"/>
      <c r="I28" s="125"/>
      <c r="L28" s="4" t="e">
        <f t="shared" ref="L28:Y28" si="32">L8/L5</f>
        <v>#DIV/0!</v>
      </c>
      <c r="M28" s="4" t="e">
        <f t="shared" si="32"/>
        <v>#DIV/0!</v>
      </c>
      <c r="N28" s="4" t="e">
        <f t="shared" si="32"/>
        <v>#DIV/0!</v>
      </c>
      <c r="O28" s="4" t="e">
        <f t="shared" si="32"/>
        <v>#DIV/0!</v>
      </c>
      <c r="P28" s="4" t="e">
        <f t="shared" si="32"/>
        <v>#DIV/0!</v>
      </c>
      <c r="Q28" s="4" t="e">
        <f t="shared" si="32"/>
        <v>#DIV/0!</v>
      </c>
      <c r="R28" s="4">
        <f t="shared" si="32"/>
        <v>0.16043924357834538</v>
      </c>
      <c r="S28" s="4" t="e">
        <f t="shared" si="32"/>
        <v>#DIV/0!</v>
      </c>
      <c r="T28" s="4">
        <f t="shared" si="32"/>
        <v>0.33825540694035561</v>
      </c>
      <c r="U28" s="4">
        <f t="shared" si="32"/>
        <v>0.35186629983985551</v>
      </c>
      <c r="V28" s="4">
        <f t="shared" si="32"/>
        <v>0.26805245483368667</v>
      </c>
      <c r="W28" s="4">
        <f t="shared" si="32"/>
        <v>0.21331289839423156</v>
      </c>
      <c r="X28" s="4">
        <f t="shared" si="32"/>
        <v>0.18530325846656628</v>
      </c>
      <c r="Y28" s="7">
        <f t="shared" si="32"/>
        <v>0.15460759565476359</v>
      </c>
      <c r="Z28" s="151" t="e">
        <f>Z9/Z5</f>
        <v>#DIV/0!</v>
      </c>
      <c r="AA28" s="151" t="e">
        <f>AA9/AA5</f>
        <v>#DIV/0!</v>
      </c>
    </row>
    <row r="29" spans="2:27" x14ac:dyDescent="0.25">
      <c r="B29" t="s">
        <v>140</v>
      </c>
      <c r="C29" s="4" t="e">
        <f>C12/C5</f>
        <v>#DIV/0!</v>
      </c>
      <c r="D29" s="4">
        <f>D10/D5</f>
        <v>0.56179386801396369</v>
      </c>
      <c r="E29" s="4">
        <f>E10/E5</f>
        <v>0.97074860387850803</v>
      </c>
      <c r="F29" s="4">
        <f>F10/F5</f>
        <v>0.92105891075187263</v>
      </c>
      <c r="G29" s="7">
        <f>G10/G5</f>
        <v>0.66030330855128694</v>
      </c>
      <c r="H29" s="125"/>
      <c r="I29" s="125"/>
      <c r="L29" s="4" t="e">
        <f t="shared" ref="L29:Y29" si="33">L10/L5</f>
        <v>#DIV/0!</v>
      </c>
      <c r="M29" s="4" t="e">
        <f t="shared" si="33"/>
        <v>#DIV/0!</v>
      </c>
      <c r="N29" s="4" t="e">
        <f t="shared" si="33"/>
        <v>#DIV/0!</v>
      </c>
      <c r="O29" s="4" t="e">
        <f t="shared" si="33"/>
        <v>#DIV/0!</v>
      </c>
      <c r="P29" s="4" t="e">
        <f t="shared" si="33"/>
        <v>#DIV/0!</v>
      </c>
      <c r="Q29" s="4" t="e">
        <f t="shared" si="33"/>
        <v>#DIV/0!</v>
      </c>
      <c r="R29" s="4">
        <f t="shared" si="33"/>
        <v>0.65995867073551673</v>
      </c>
      <c r="S29" s="4" t="e">
        <f t="shared" si="33"/>
        <v>#DIV/0!</v>
      </c>
      <c r="T29" s="4">
        <f t="shared" si="33"/>
        <v>1.0127494842254108</v>
      </c>
      <c r="U29" s="4">
        <f t="shared" si="33"/>
        <v>0.76666119163963375</v>
      </c>
      <c r="V29" s="4">
        <f t="shared" si="33"/>
        <v>0.48963472975254679</v>
      </c>
      <c r="W29" s="4">
        <f t="shared" si="33"/>
        <v>0.46372217771430541</v>
      </c>
      <c r="X29" s="4">
        <f t="shared" si="33"/>
        <v>0.35956874178975362</v>
      </c>
      <c r="Y29" s="7">
        <f t="shared" si="33"/>
        <v>0.35695039282979268</v>
      </c>
      <c r="Z29" s="151" t="e">
        <f>Z12/Z5</f>
        <v>#DIV/0!</v>
      </c>
      <c r="AA29" s="151" t="e">
        <f>AA12/AA5</f>
        <v>#DIV/0!</v>
      </c>
    </row>
    <row r="30" spans="2:27" x14ac:dyDescent="0.25">
      <c r="B30" t="s">
        <v>137</v>
      </c>
      <c r="C30" s="4"/>
      <c r="D30" s="4"/>
      <c r="E30" s="4">
        <f>E3/D3-1</f>
        <v>0.16965400824631738</v>
      </c>
      <c r="F30" s="4">
        <f>F3/E3-1</f>
        <v>0.10840565577766959</v>
      </c>
      <c r="G30" s="7">
        <f>G3/F3-1</f>
        <v>-0.13935443004565973</v>
      </c>
      <c r="H30" s="125"/>
      <c r="I30" s="12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51"/>
      <c r="X30" s="151"/>
      <c r="Y30" s="7"/>
      <c r="Z30" s="151"/>
      <c r="AA30" s="151"/>
    </row>
    <row r="31" spans="2:27" x14ac:dyDescent="0.25">
      <c r="B31" t="s">
        <v>138</v>
      </c>
      <c r="C31" s="4"/>
      <c r="D31" s="4"/>
      <c r="E31" s="4">
        <f>E4/D4-1</f>
        <v>0.78670360110803306</v>
      </c>
      <c r="F31" s="4">
        <f>F4/E4-1</f>
        <v>3.7350246652572361E-2</v>
      </c>
      <c r="G31" s="7">
        <f>G4/F4-1</f>
        <v>-6.0869565217391397E-2</v>
      </c>
      <c r="H31" s="125"/>
      <c r="I31" s="12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51"/>
      <c r="X31" s="151"/>
      <c r="Y31" s="7"/>
      <c r="Z31" s="151"/>
      <c r="AA31" s="151"/>
    </row>
    <row r="32" spans="2:27" x14ac:dyDescent="0.25">
      <c r="B32" t="s">
        <v>36</v>
      </c>
      <c r="C32" s="3"/>
      <c r="D32" s="3" t="e">
        <f>-(D20/C20-1)</f>
        <v>#DIV/0!</v>
      </c>
      <c r="E32" s="3">
        <f>-(E20/D20-1)</f>
        <v>-1.6781304383856721E-2</v>
      </c>
      <c r="F32" s="39">
        <f>F20/E20-1</f>
        <v>1.2371734789518731</v>
      </c>
      <c r="G32" s="6">
        <f>G20/F20-1</f>
        <v>-0.68060402929068453</v>
      </c>
      <c r="H32" s="60">
        <f>H22/G22-1</f>
        <v>-1</v>
      </c>
      <c r="I32" s="60" t="e">
        <f>I22/H22-1</f>
        <v>#DIV/0!</v>
      </c>
      <c r="L32" s="4"/>
      <c r="M32" s="4"/>
      <c r="N32" s="4"/>
      <c r="O32" s="4"/>
      <c r="P32" s="4" t="e">
        <f t="shared" ref="P32:W32" si="34">P20/L20-1</f>
        <v>#DIV/0!</v>
      </c>
      <c r="Q32" s="4" t="e">
        <f t="shared" si="34"/>
        <v>#DIV/0!</v>
      </c>
      <c r="R32" s="4" t="e">
        <f t="shared" si="34"/>
        <v>#DIV/0!</v>
      </c>
      <c r="S32" s="4" t="e">
        <f t="shared" si="34"/>
        <v>#DIV/0!</v>
      </c>
      <c r="T32" s="4" t="e">
        <f t="shared" si="34"/>
        <v>#DIV/0!</v>
      </c>
      <c r="U32" s="4" t="e">
        <f>U20/Q20-1</f>
        <v>#DIV/0!</v>
      </c>
      <c r="V32" s="4">
        <f t="shared" si="34"/>
        <v>-0.45494386512161489</v>
      </c>
      <c r="W32" s="151" t="e">
        <f t="shared" si="34"/>
        <v>#DIV/0!</v>
      </c>
      <c r="X32" s="151">
        <f t="shared" ref="X32" si="35">X20/T20-1</f>
        <v>-0.66595615602813596</v>
      </c>
      <c r="Y32" s="7">
        <f t="shared" ref="Y32" si="36">Y20/U20-1</f>
        <v>-0.37916051285344343</v>
      </c>
      <c r="Z32" s="151">
        <f t="shared" ref="Z32" si="37">Z20/V20-1</f>
        <v>-1</v>
      </c>
      <c r="AA32" s="151">
        <f t="shared" ref="AA32" si="38">AA20/W20-1</f>
        <v>-1</v>
      </c>
    </row>
    <row r="33" spans="2:27" x14ac:dyDescent="0.25">
      <c r="B33" t="s">
        <v>82</v>
      </c>
      <c r="C33" s="52" t="e">
        <f>C14/C5</f>
        <v>#DIV/0!</v>
      </c>
      <c r="D33" s="52">
        <f>D14/D5</f>
        <v>2.8217396638449271E-3</v>
      </c>
      <c r="E33" s="52">
        <f>E14/E5</f>
        <v>0.93499375574353782</v>
      </c>
      <c r="F33" s="52">
        <f>F14/F5</f>
        <v>0.29923645257228559</v>
      </c>
      <c r="G33" s="53">
        <f>G14/G5</f>
        <v>5.7758952637658829E-3</v>
      </c>
      <c r="H33" s="52">
        <f>H14/H6</f>
        <v>0</v>
      </c>
      <c r="I33" s="52">
        <f>I14/I6</f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51"/>
      <c r="X33" s="151"/>
      <c r="Y33" s="7"/>
      <c r="Z33" s="151"/>
      <c r="AA33" s="151"/>
    </row>
    <row r="34" spans="2:27" x14ac:dyDescent="0.25">
      <c r="B34" t="s">
        <v>83</v>
      </c>
      <c r="C34" s="54" t="e">
        <f>-C14/C13</f>
        <v>#DIV/0!</v>
      </c>
      <c r="D34" s="54">
        <f t="shared" ref="D34:I34" si="39">-D14/D13</f>
        <v>2.0909609329156924E-3</v>
      </c>
      <c r="E34" s="54">
        <f t="shared" si="39"/>
        <v>0.4446967268782403</v>
      </c>
      <c r="F34" s="54">
        <f t="shared" si="39"/>
        <v>0.10518803208857308</v>
      </c>
      <c r="G34" s="53">
        <f t="shared" si="39"/>
        <v>6.4785488050676651E-3</v>
      </c>
      <c r="H34" s="52" t="e">
        <f t="shared" si="39"/>
        <v>#DIV/0!</v>
      </c>
      <c r="I34" s="52" t="e">
        <f t="shared" si="39"/>
        <v>#DIV/0!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51"/>
      <c r="X34" s="151"/>
      <c r="Y34" s="7"/>
      <c r="Z34" s="151"/>
      <c r="AA34" s="151"/>
    </row>
    <row r="35" spans="2:27" x14ac:dyDescent="0.25">
      <c r="X35" s="147"/>
      <c r="Z35" s="147"/>
      <c r="AA35" s="147"/>
    </row>
    <row r="36" spans="2:27" x14ac:dyDescent="0.25">
      <c r="X36" s="147"/>
      <c r="Z36" s="147"/>
      <c r="AA36" s="147"/>
    </row>
    <row r="37" spans="2:27" s="1" customFormat="1" x14ac:dyDescent="0.25">
      <c r="B37" s="1" t="s">
        <v>40</v>
      </c>
      <c r="C37" s="11">
        <f>C38+C40-C50-C51-C57</f>
        <v>0</v>
      </c>
      <c r="D37" s="11">
        <f t="shared" ref="D37:E37" si="40">D38+D39-D55-D56</f>
        <v>0</v>
      </c>
      <c r="E37" s="11">
        <f t="shared" si="40"/>
        <v>389.56900000000002</v>
      </c>
      <c r="F37" s="11">
        <f>F38+F39-F55-F56</f>
        <v>57.670000000000009</v>
      </c>
      <c r="G37" s="14">
        <f>G38+G39-G55-G56</f>
        <v>14.521999999999991</v>
      </c>
      <c r="L37" s="11">
        <f t="shared" ref="L37:AA37" si="41">L38+L39-L55-L56</f>
        <v>0</v>
      </c>
      <c r="M37" s="11">
        <f t="shared" si="41"/>
        <v>0</v>
      </c>
      <c r="N37" s="11">
        <f t="shared" si="41"/>
        <v>0</v>
      </c>
      <c r="O37" s="11">
        <f t="shared" si="41"/>
        <v>0</v>
      </c>
      <c r="P37" s="11">
        <f t="shared" si="41"/>
        <v>0</v>
      </c>
      <c r="Q37" s="11">
        <f t="shared" si="41"/>
        <v>0</v>
      </c>
      <c r="R37" s="11">
        <f t="shared" si="41"/>
        <v>0</v>
      </c>
      <c r="S37" s="11">
        <f t="shared" si="41"/>
        <v>0</v>
      </c>
      <c r="T37" s="11">
        <f t="shared" si="41"/>
        <v>0</v>
      </c>
      <c r="U37" s="11">
        <f t="shared" si="41"/>
        <v>0</v>
      </c>
      <c r="V37" s="11">
        <f t="shared" si="41"/>
        <v>0</v>
      </c>
      <c r="W37" s="11">
        <f t="shared" si="41"/>
        <v>14.521999999999991</v>
      </c>
      <c r="X37" s="11">
        <f>X38+X39-X55-X56</f>
        <v>-1.4109999999999943</v>
      </c>
      <c r="Y37" s="14">
        <f t="shared" si="41"/>
        <v>-6.0999999999999943</v>
      </c>
      <c r="Z37" s="11">
        <f t="shared" si="41"/>
        <v>0</v>
      </c>
      <c r="AA37" s="11">
        <f t="shared" si="41"/>
        <v>0</v>
      </c>
    </row>
    <row r="38" spans="2:27" x14ac:dyDescent="0.25">
      <c r="B38" t="s">
        <v>24</v>
      </c>
      <c r="C38" s="10"/>
      <c r="D38" s="10"/>
      <c r="E38" s="10">
        <v>400.56900000000002</v>
      </c>
      <c r="F38" s="10">
        <v>123.93300000000001</v>
      </c>
      <c r="G38" s="15">
        <v>99.680999999999997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49">
        <f>G38</f>
        <v>99.680999999999997</v>
      </c>
      <c r="X38" s="149">
        <v>83.673000000000002</v>
      </c>
      <c r="Y38" s="15">
        <v>56.076000000000001</v>
      </c>
      <c r="Z38" s="149"/>
      <c r="AA38" s="149"/>
    </row>
    <row r="39" spans="2:27" x14ac:dyDescent="0.25">
      <c r="B39" t="s">
        <v>190</v>
      </c>
      <c r="C39" s="10"/>
      <c r="D39" s="10"/>
      <c r="E39" s="10"/>
      <c r="F39" s="10"/>
      <c r="G39" s="15">
        <v>30.466999999999999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49">
        <f t="shared" ref="W39:W43" si="42">G39</f>
        <v>30.466999999999999</v>
      </c>
      <c r="X39" s="149">
        <v>29.239000000000001</v>
      </c>
      <c r="Y39" s="15">
        <v>50.783999999999999</v>
      </c>
      <c r="Z39" s="149"/>
      <c r="AA39" s="149"/>
    </row>
    <row r="40" spans="2:27" x14ac:dyDescent="0.25">
      <c r="B40" t="s">
        <v>25</v>
      </c>
      <c r="C40" s="10"/>
      <c r="D40" s="10"/>
      <c r="E40" s="10">
        <v>26.509</v>
      </c>
      <c r="F40" s="10">
        <v>42.634</v>
      </c>
      <c r="G40" s="15">
        <v>32.371000000000002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49">
        <f t="shared" si="42"/>
        <v>32.371000000000002</v>
      </c>
      <c r="X40" s="149">
        <v>28.151</v>
      </c>
      <c r="Y40" s="15">
        <v>25.5</v>
      </c>
      <c r="Z40" s="149"/>
      <c r="AA40" s="149"/>
    </row>
    <row r="41" spans="2:27" x14ac:dyDescent="0.25">
      <c r="B41" t="s">
        <v>191</v>
      </c>
      <c r="C41" s="10"/>
      <c r="D41" s="10"/>
      <c r="E41" s="10">
        <v>5.3999999999999999E-2</v>
      </c>
      <c r="F41" s="10">
        <v>0.70799999999999996</v>
      </c>
      <c r="G41" s="15">
        <v>0.44500000000000001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49">
        <f t="shared" si="42"/>
        <v>0.44500000000000001</v>
      </c>
      <c r="X41" s="149">
        <v>0.77200000000000002</v>
      </c>
      <c r="Y41" s="15">
        <v>0.69299999999999995</v>
      </c>
      <c r="Z41" s="149"/>
      <c r="AA41" s="149"/>
    </row>
    <row r="42" spans="2:27" x14ac:dyDescent="0.25">
      <c r="B42" t="s">
        <v>192</v>
      </c>
      <c r="C42" s="10"/>
      <c r="D42" s="10"/>
      <c r="E42" s="10">
        <v>33.456000000000003</v>
      </c>
      <c r="F42" s="10">
        <v>13.664999999999999</v>
      </c>
      <c r="G42" s="15">
        <v>8.7769999999999992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49">
        <f t="shared" si="42"/>
        <v>8.7769999999999992</v>
      </c>
      <c r="X42" s="149">
        <v>11.615</v>
      </c>
      <c r="Y42" s="15">
        <v>10.321999999999999</v>
      </c>
      <c r="Z42" s="149"/>
      <c r="AA42" s="149"/>
    </row>
    <row r="43" spans="2:27" x14ac:dyDescent="0.25">
      <c r="B43" t="s">
        <v>77</v>
      </c>
      <c r="C43" s="10"/>
      <c r="D43" s="10"/>
      <c r="E43" s="10">
        <f>19.154+3.802</f>
        <v>22.956</v>
      </c>
      <c r="F43" s="10">
        <v>31.681999999999999</v>
      </c>
      <c r="G43" s="15">
        <v>10.598000000000001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49">
        <f t="shared" si="42"/>
        <v>10.598000000000001</v>
      </c>
      <c r="X43" s="149">
        <v>9.9740000000000002</v>
      </c>
      <c r="Y43" s="15">
        <v>18.792000000000002</v>
      </c>
      <c r="Z43" s="149"/>
      <c r="AA43" s="149"/>
    </row>
    <row r="44" spans="2:27" s="1" customFormat="1" x14ac:dyDescent="0.25">
      <c r="B44" s="1" t="s">
        <v>62</v>
      </c>
      <c r="C44" s="11">
        <f t="shared" ref="C44:D44" si="43">SUM(C38:C43)</f>
        <v>0</v>
      </c>
      <c r="D44" s="11">
        <f t="shared" si="43"/>
        <v>0</v>
      </c>
      <c r="E44" s="11">
        <f>SUM(E38:E43)</f>
        <v>483.54400000000004</v>
      </c>
      <c r="F44" s="11">
        <f t="shared" ref="F44:G44" si="44">SUM(F38:F43)</f>
        <v>212.62199999999999</v>
      </c>
      <c r="G44" s="14">
        <f t="shared" si="44"/>
        <v>182.339</v>
      </c>
      <c r="L44" s="11">
        <f t="shared" ref="L44:W44" si="45">SUM(L38:L43)</f>
        <v>0</v>
      </c>
      <c r="M44" s="11">
        <f t="shared" si="45"/>
        <v>0</v>
      </c>
      <c r="N44" s="11">
        <f t="shared" si="45"/>
        <v>0</v>
      </c>
      <c r="O44" s="11">
        <f t="shared" si="45"/>
        <v>0</v>
      </c>
      <c r="P44" s="11">
        <f t="shared" si="45"/>
        <v>0</v>
      </c>
      <c r="Q44" s="11">
        <f t="shared" si="45"/>
        <v>0</v>
      </c>
      <c r="R44" s="11">
        <f t="shared" si="45"/>
        <v>0</v>
      </c>
      <c r="S44" s="11">
        <f t="shared" si="45"/>
        <v>0</v>
      </c>
      <c r="T44" s="11">
        <f t="shared" si="45"/>
        <v>0</v>
      </c>
      <c r="U44" s="11">
        <f t="shared" si="45"/>
        <v>0</v>
      </c>
      <c r="V44" s="11">
        <f t="shared" si="45"/>
        <v>0</v>
      </c>
      <c r="W44" s="148">
        <f t="shared" si="45"/>
        <v>182.339</v>
      </c>
      <c r="X44" s="148">
        <f t="shared" ref="X44:AA44" si="46">SUM(X38:X43)</f>
        <v>163.42400000000001</v>
      </c>
      <c r="Y44" s="14">
        <f t="shared" si="46"/>
        <v>162.16700000000003</v>
      </c>
      <c r="Z44" s="148">
        <f t="shared" si="46"/>
        <v>0</v>
      </c>
      <c r="AA44" s="148">
        <f t="shared" si="46"/>
        <v>0</v>
      </c>
    </row>
    <row r="45" spans="2:27" x14ac:dyDescent="0.25">
      <c r="B45" t="s">
        <v>193</v>
      </c>
      <c r="C45" s="10"/>
      <c r="D45" s="10"/>
      <c r="E45" s="10"/>
      <c r="F45" s="10">
        <v>32.758000000000003</v>
      </c>
      <c r="G45" s="15">
        <v>26.9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49">
        <f t="shared" ref="W45:W48" si="47">G45</f>
        <v>26.9</v>
      </c>
      <c r="X45" s="149">
        <v>26.303999999999998</v>
      </c>
      <c r="Y45" s="15">
        <v>25.623999999999999</v>
      </c>
      <c r="Z45" s="149"/>
      <c r="AA45" s="149"/>
    </row>
    <row r="46" spans="2:27" x14ac:dyDescent="0.25">
      <c r="B46" t="s">
        <v>78</v>
      </c>
      <c r="C46" s="10"/>
      <c r="D46" s="10"/>
      <c r="E46" s="10">
        <v>62.719000000000001</v>
      </c>
      <c r="F46" s="10">
        <v>51.527000000000001</v>
      </c>
      <c r="G46" s="15">
        <v>32.478999999999999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49">
        <f t="shared" si="47"/>
        <v>32.478999999999999</v>
      </c>
      <c r="X46" s="149">
        <v>31.300999999999998</v>
      </c>
      <c r="Y46" s="15">
        <v>31.338999999999999</v>
      </c>
      <c r="Z46" s="149"/>
      <c r="AA46" s="149"/>
    </row>
    <row r="47" spans="2:27" x14ac:dyDescent="0.25">
      <c r="B47" t="s">
        <v>79</v>
      </c>
      <c r="C47" s="10"/>
      <c r="D47" s="10"/>
      <c r="E47" s="10">
        <v>0.9</v>
      </c>
      <c r="F47" s="10">
        <v>186.65</v>
      </c>
      <c r="G47" s="15">
        <v>172.625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49">
        <f t="shared" si="47"/>
        <v>172.625</v>
      </c>
      <c r="X47" s="149">
        <v>169.119</v>
      </c>
      <c r="Y47" s="15">
        <v>165.613</v>
      </c>
      <c r="Z47" s="149"/>
      <c r="AA47" s="149"/>
    </row>
    <row r="48" spans="2:27" x14ac:dyDescent="0.25">
      <c r="B48" t="s">
        <v>26</v>
      </c>
      <c r="C48" s="10"/>
      <c r="D48" s="10"/>
      <c r="E48" s="10">
        <v>6.93</v>
      </c>
      <c r="F48" s="10">
        <v>7.3849999999999998</v>
      </c>
      <c r="G48" s="15">
        <v>4.4130000000000003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49">
        <f t="shared" si="47"/>
        <v>4.4130000000000003</v>
      </c>
      <c r="X48" s="149">
        <v>4.38</v>
      </c>
      <c r="Y48" s="15">
        <v>4.3570000000000002</v>
      </c>
      <c r="Z48" s="149"/>
      <c r="AA48" s="149"/>
    </row>
    <row r="49" spans="2:27" x14ac:dyDescent="0.25">
      <c r="B49" s="1" t="s">
        <v>27</v>
      </c>
      <c r="C49" s="11">
        <f>SUM(C44:C48)</f>
        <v>0</v>
      </c>
      <c r="D49" s="11">
        <f>SUM(D44:D48)</f>
        <v>0</v>
      </c>
      <c r="E49" s="11">
        <f>SUM(E44:E48)</f>
        <v>554.09299999999996</v>
      </c>
      <c r="F49" s="11">
        <f>SUM(F44:F48)</f>
        <v>490.94200000000001</v>
      </c>
      <c r="G49" s="14">
        <f>SUM(G44:G48)</f>
        <v>418.75600000000003</v>
      </c>
      <c r="L49" s="11">
        <f>SUM(L44:L48)</f>
        <v>0</v>
      </c>
      <c r="M49" s="11">
        <f>SUM(M44:M48)</f>
        <v>0</v>
      </c>
      <c r="N49" s="11">
        <f>SUM(N44:N48)</f>
        <v>0</v>
      </c>
      <c r="O49" s="11">
        <f>SUM(O44:O48)</f>
        <v>0</v>
      </c>
      <c r="P49" s="11">
        <f>SUM(P44:P48)</f>
        <v>0</v>
      </c>
      <c r="Q49" s="11">
        <f>SUM(Q44:Q48)</f>
        <v>0</v>
      </c>
      <c r="R49" s="11">
        <f>SUM(R44:R48)</f>
        <v>0</v>
      </c>
      <c r="S49" s="11">
        <f>SUM(S44:S48)</f>
        <v>0</v>
      </c>
      <c r="T49" s="11">
        <f>SUM(T44:T48)</f>
        <v>0</v>
      </c>
      <c r="U49" s="11">
        <f>SUM(U44:U48)</f>
        <v>0</v>
      </c>
      <c r="V49" s="11">
        <f>SUM(V44:V48)</f>
        <v>0</v>
      </c>
      <c r="W49" s="148">
        <f>SUM(W44:W48)</f>
        <v>418.75600000000003</v>
      </c>
      <c r="X49" s="148">
        <f>SUM(X44:X48)</f>
        <v>394.52800000000002</v>
      </c>
      <c r="Y49" s="14">
        <f>SUM(Y44:Y48)</f>
        <v>389.10000000000008</v>
      </c>
      <c r="Z49" s="148">
        <f>SUM(Z44:Z48)</f>
        <v>0</v>
      </c>
      <c r="AA49" s="148">
        <f>SUM(AA44:AA48)</f>
        <v>0</v>
      </c>
    </row>
    <row r="50" spans="2:27" x14ac:dyDescent="0.25">
      <c r="B50" t="s">
        <v>29</v>
      </c>
      <c r="C50" s="10"/>
      <c r="D50" s="10"/>
      <c r="E50" s="10">
        <v>44.692999999999998</v>
      </c>
      <c r="F50" s="10">
        <v>84.878</v>
      </c>
      <c r="G50" s="15">
        <v>37.456000000000003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49">
        <f>G50</f>
        <v>37.456000000000003</v>
      </c>
      <c r="X50" s="149">
        <v>32.409999999999997</v>
      </c>
      <c r="Y50" s="15">
        <v>51.959000000000003</v>
      </c>
      <c r="Z50" s="149"/>
      <c r="AA50" s="149"/>
    </row>
    <row r="51" spans="2:27" x14ac:dyDescent="0.25">
      <c r="B51" t="s">
        <v>194</v>
      </c>
      <c r="C51" s="10"/>
      <c r="D51" s="10"/>
      <c r="E51" s="10">
        <v>20.108000000000001</v>
      </c>
      <c r="F51" s="10">
        <v>3.593</v>
      </c>
      <c r="G51" s="15">
        <v>1.379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49">
        <f>G51</f>
        <v>1.379</v>
      </c>
      <c r="X51" s="149">
        <v>1.0409999999999999</v>
      </c>
      <c r="Y51" s="15">
        <v>1.2130000000000001</v>
      </c>
      <c r="Z51" s="149"/>
      <c r="AA51" s="149"/>
    </row>
    <row r="52" spans="2:27" x14ac:dyDescent="0.25">
      <c r="B52" t="s">
        <v>195</v>
      </c>
      <c r="C52" s="10"/>
      <c r="D52" s="10"/>
      <c r="E52" s="10">
        <v>2.6230000000000002</v>
      </c>
      <c r="F52" s="10">
        <v>6.1210000000000004</v>
      </c>
      <c r="G52" s="15">
        <v>3.6469999999999998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49">
        <f>G52</f>
        <v>3.6469999999999998</v>
      </c>
      <c r="X52" s="149">
        <v>4.0430000000000001</v>
      </c>
      <c r="Y52" s="15">
        <v>4.0010000000000003</v>
      </c>
      <c r="Z52" s="149"/>
      <c r="AA52" s="149"/>
    </row>
    <row r="53" spans="2:27" x14ac:dyDescent="0.25">
      <c r="B53" t="s">
        <v>26</v>
      </c>
      <c r="C53" s="10"/>
      <c r="D53" s="10"/>
      <c r="E53" s="10">
        <f>0.473+33.387</f>
        <v>33.86</v>
      </c>
      <c r="F53" s="10">
        <v>49.704999999999998</v>
      </c>
      <c r="G53" s="15">
        <v>16.335999999999999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49">
        <f>G53</f>
        <v>16.335999999999999</v>
      </c>
      <c r="X53" s="149">
        <v>13.24</v>
      </c>
      <c r="Y53" s="15">
        <v>11.097</v>
      </c>
      <c r="Z53" s="149"/>
      <c r="AA53" s="149"/>
    </row>
    <row r="54" spans="2:27" s="1" customFormat="1" x14ac:dyDescent="0.25">
      <c r="B54" s="1" t="s">
        <v>63</v>
      </c>
      <c r="C54" s="11">
        <f>SUM(C50:C53)</f>
        <v>0</v>
      </c>
      <c r="D54" s="11">
        <f>SUM(D50:D53)</f>
        <v>0</v>
      </c>
      <c r="E54" s="11">
        <f>SUM(E50:E53)</f>
        <v>101.28400000000001</v>
      </c>
      <c r="F54" s="11">
        <f>SUM(F50:F53)</f>
        <v>144.297</v>
      </c>
      <c r="G54" s="14">
        <f>SUM(G50:G53)</f>
        <v>58.817999999999998</v>
      </c>
      <c r="L54" s="11">
        <f>SUM(L50:L53)</f>
        <v>0</v>
      </c>
      <c r="M54" s="11">
        <f>SUM(M50:M53)</f>
        <v>0</v>
      </c>
      <c r="N54" s="11">
        <f>SUM(N50:N53)</f>
        <v>0</v>
      </c>
      <c r="O54" s="11">
        <f>SUM(O50:O53)</f>
        <v>0</v>
      </c>
      <c r="P54" s="11">
        <f>SUM(P50:P53)</f>
        <v>0</v>
      </c>
      <c r="Q54" s="11">
        <f>SUM(Q50:Q53)</f>
        <v>0</v>
      </c>
      <c r="R54" s="11">
        <f>SUM(R50:R53)</f>
        <v>0</v>
      </c>
      <c r="S54" s="11">
        <f>SUM(S50:S53)</f>
        <v>0</v>
      </c>
      <c r="T54" s="11">
        <f>SUM(T50:T53)</f>
        <v>0</v>
      </c>
      <c r="U54" s="11">
        <f>SUM(U50:U53)</f>
        <v>0</v>
      </c>
      <c r="V54" s="11">
        <f>SUM(V50:V53)</f>
        <v>0</v>
      </c>
      <c r="W54" s="148">
        <f>SUM(W50:W53)</f>
        <v>58.817999999999998</v>
      </c>
      <c r="X54" s="148">
        <f>SUM(X50:X53)</f>
        <v>50.733999999999995</v>
      </c>
      <c r="Y54" s="14">
        <f>SUM(Y50:Y53)</f>
        <v>68.27</v>
      </c>
      <c r="Z54" s="148">
        <f>SUM(Z50:Z53)</f>
        <v>0</v>
      </c>
      <c r="AA54" s="148">
        <f>SUM(AA50:AA53)</f>
        <v>0</v>
      </c>
    </row>
    <row r="55" spans="2:27" x14ac:dyDescent="0.25">
      <c r="B55" t="s">
        <v>80</v>
      </c>
      <c r="C55" s="10"/>
      <c r="D55" s="10"/>
      <c r="E55" s="10">
        <v>11</v>
      </c>
      <c r="F55" s="10">
        <v>6.25</v>
      </c>
      <c r="G55" s="15">
        <v>52.688000000000002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49">
        <f>G55</f>
        <v>52.688000000000002</v>
      </c>
      <c r="X55" s="149">
        <v>52.292999999999999</v>
      </c>
      <c r="Y55" s="15">
        <v>52.16</v>
      </c>
      <c r="Z55" s="149"/>
      <c r="AA55" s="149"/>
    </row>
    <row r="56" spans="2:27" x14ac:dyDescent="0.25">
      <c r="B56" t="s">
        <v>196</v>
      </c>
      <c r="C56" s="10"/>
      <c r="D56" s="10"/>
      <c r="E56" s="10"/>
      <c r="F56" s="10">
        <v>60.012999999999998</v>
      </c>
      <c r="G56" s="15">
        <v>62.938000000000002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49">
        <f>G56</f>
        <v>62.938000000000002</v>
      </c>
      <c r="X56" s="149">
        <v>62.03</v>
      </c>
      <c r="Y56" s="15">
        <v>60.8</v>
      </c>
      <c r="Z56" s="149"/>
      <c r="AA56" s="149"/>
    </row>
    <row r="57" spans="2:27" x14ac:dyDescent="0.25">
      <c r="B57" t="s">
        <v>26</v>
      </c>
      <c r="C57" s="10"/>
      <c r="D57" s="10"/>
      <c r="E57" s="10">
        <v>21.907</v>
      </c>
      <c r="F57" s="10">
        <v>24.018000000000001</v>
      </c>
      <c r="G57" s="15">
        <v>14.734999999999999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49">
        <f>G57</f>
        <v>14.734999999999999</v>
      </c>
      <c r="X57" s="149">
        <v>20.835999999999999</v>
      </c>
      <c r="Y57" s="15">
        <v>12.66</v>
      </c>
      <c r="Z57" s="149"/>
      <c r="AA57" s="149"/>
    </row>
    <row r="58" spans="2:27" x14ac:dyDescent="0.25">
      <c r="B58" t="s">
        <v>197</v>
      </c>
      <c r="C58" s="10"/>
      <c r="D58" s="10"/>
      <c r="E58" s="10">
        <f>21.555+10.244</f>
        <v>31.798999999999999</v>
      </c>
      <c r="F58" s="10">
        <v>2.6589999999999998</v>
      </c>
      <c r="G58" s="15">
        <v>1.56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49">
        <f>G58</f>
        <v>1.56</v>
      </c>
      <c r="X58" s="149">
        <v>1.4179999999999999</v>
      </c>
      <c r="Y58" s="15">
        <v>1.167</v>
      </c>
      <c r="Z58" s="149"/>
      <c r="AA58" s="149"/>
    </row>
    <row r="59" spans="2:27" x14ac:dyDescent="0.25">
      <c r="B59" s="1" t="s">
        <v>28</v>
      </c>
      <c r="C59" s="11">
        <f>SUM(C54:C58)</f>
        <v>0</v>
      </c>
      <c r="D59" s="11">
        <f>SUM(D54:D58)</f>
        <v>0</v>
      </c>
      <c r="E59" s="11">
        <f>SUM(E54:E58)</f>
        <v>165.99</v>
      </c>
      <c r="F59" s="11">
        <f>SUM(F54:F58)</f>
        <v>237.23699999999999</v>
      </c>
      <c r="G59" s="14">
        <f>SUM(G54:G58)</f>
        <v>190.73900000000003</v>
      </c>
      <c r="L59" s="11">
        <f t="shared" ref="L59:W59" si="48">SUM(L54:L58)</f>
        <v>0</v>
      </c>
      <c r="M59" s="11">
        <f t="shared" si="48"/>
        <v>0</v>
      </c>
      <c r="N59" s="11">
        <f t="shared" si="48"/>
        <v>0</v>
      </c>
      <c r="O59" s="11">
        <f t="shared" si="48"/>
        <v>0</v>
      </c>
      <c r="P59" s="11">
        <f t="shared" si="48"/>
        <v>0</v>
      </c>
      <c r="Q59" s="11">
        <f t="shared" si="48"/>
        <v>0</v>
      </c>
      <c r="R59" s="11">
        <f t="shared" si="48"/>
        <v>0</v>
      </c>
      <c r="S59" s="11">
        <f t="shared" si="48"/>
        <v>0</v>
      </c>
      <c r="T59" s="11">
        <f t="shared" si="48"/>
        <v>0</v>
      </c>
      <c r="U59" s="11">
        <f t="shared" si="48"/>
        <v>0</v>
      </c>
      <c r="V59" s="11">
        <f t="shared" si="48"/>
        <v>0</v>
      </c>
      <c r="W59" s="148">
        <f t="shared" si="48"/>
        <v>190.73900000000003</v>
      </c>
      <c r="X59" s="148">
        <f t="shared" ref="X59:AA59" si="49">SUM(X54:X58)</f>
        <v>187.31099999999998</v>
      </c>
      <c r="Y59" s="14">
        <f t="shared" si="49"/>
        <v>195.05699999999999</v>
      </c>
      <c r="Z59" s="148">
        <f t="shared" si="49"/>
        <v>0</v>
      </c>
      <c r="AA59" s="148">
        <f t="shared" si="49"/>
        <v>0</v>
      </c>
    </row>
    <row r="60" spans="2:27" x14ac:dyDescent="0.25">
      <c r="B60" t="s">
        <v>81</v>
      </c>
      <c r="C60" s="10">
        <f>C49-C59</f>
        <v>0</v>
      </c>
      <c r="D60" s="10">
        <f>D49-D59</f>
        <v>0</v>
      </c>
      <c r="E60" s="10">
        <f>E49-E59</f>
        <v>388.10299999999995</v>
      </c>
      <c r="F60" s="10">
        <f>F49-F59</f>
        <v>253.70500000000001</v>
      </c>
      <c r="G60" s="15">
        <f>G49-G59</f>
        <v>228.017</v>
      </c>
      <c r="L60" s="10">
        <f>L49-L59</f>
        <v>0</v>
      </c>
      <c r="M60" s="10">
        <f>M49-M59</f>
        <v>0</v>
      </c>
      <c r="N60" s="10">
        <f>N49-N59</f>
        <v>0</v>
      </c>
      <c r="O60" s="10">
        <f>O49-O59</f>
        <v>0</v>
      </c>
      <c r="P60" s="10">
        <f>P49-P59</f>
        <v>0</v>
      </c>
      <c r="Q60" s="10">
        <f>Q49-Q59</f>
        <v>0</v>
      </c>
      <c r="R60" s="10">
        <f>R49-R59</f>
        <v>0</v>
      </c>
      <c r="S60" s="10">
        <f>S49-S59</f>
        <v>0</v>
      </c>
      <c r="T60" s="10">
        <f>T49-T59</f>
        <v>0</v>
      </c>
      <c r="U60" s="10">
        <f>U49-U59</f>
        <v>0</v>
      </c>
      <c r="V60" s="10">
        <f>V49-V59</f>
        <v>0</v>
      </c>
      <c r="W60" s="149">
        <f>W49-W59</f>
        <v>228.017</v>
      </c>
      <c r="X60" s="149">
        <f>X49-X59</f>
        <v>207.21700000000004</v>
      </c>
      <c r="Y60" s="15">
        <f>Y49-Y59</f>
        <v>194.04300000000009</v>
      </c>
      <c r="Z60" s="149">
        <f>Z49-Z59</f>
        <v>0</v>
      </c>
      <c r="AA60" s="149">
        <f>AA49-AA59</f>
        <v>0</v>
      </c>
    </row>
    <row r="61" spans="2:27" x14ac:dyDescent="0.25">
      <c r="X61" s="147"/>
      <c r="Z61" s="147"/>
      <c r="AA61" s="147"/>
    </row>
    <row r="62" spans="2:27" s="1" customFormat="1" x14ac:dyDescent="0.25">
      <c r="B62" s="1" t="s">
        <v>84</v>
      </c>
      <c r="C62" s="55"/>
      <c r="D62" s="55"/>
      <c r="E62" s="55"/>
      <c r="F62" s="55"/>
      <c r="G62" s="56"/>
      <c r="W62" s="152"/>
      <c r="Y62" s="16"/>
    </row>
    <row r="80" spans="7:25" s="9" customFormat="1" x14ac:dyDescent="0.25">
      <c r="G80" s="41"/>
      <c r="W80" s="153"/>
      <c r="Y80" s="41"/>
    </row>
    <row r="81" spans="7:25" s="1" customFormat="1" x14ac:dyDescent="0.25">
      <c r="G81" s="16"/>
      <c r="W81" s="152"/>
      <c r="Y8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/>
      <c r="C2" s="18"/>
      <c r="E2" t="s">
        <v>52</v>
      </c>
      <c r="F2" t="s">
        <v>54</v>
      </c>
      <c r="M2" t="s">
        <v>55</v>
      </c>
    </row>
    <row r="3" spans="1:13" x14ac:dyDescent="0.25">
      <c r="B3" s="12"/>
      <c r="C3" s="18"/>
      <c r="E3" s="12">
        <v>45328</v>
      </c>
      <c r="F3" t="s">
        <v>57</v>
      </c>
      <c r="M3" s="12"/>
    </row>
    <row r="4" spans="1:13" x14ac:dyDescent="0.25">
      <c r="B4" s="12"/>
      <c r="C4" s="18"/>
      <c r="E4" s="12">
        <v>45302</v>
      </c>
      <c r="F4" t="s">
        <v>57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97</v>
      </c>
      <c r="H1" s="137" t="s">
        <v>98</v>
      </c>
      <c r="I1" s="138"/>
      <c r="J1" s="138"/>
      <c r="K1" s="138"/>
      <c r="L1" s="138"/>
      <c r="M1" s="139"/>
    </row>
    <row r="2" spans="1:13" ht="15.75" thickBot="1" x14ac:dyDescent="0.3">
      <c r="D2" t="e">
        <f>C2/C3-1</f>
        <v>#DIV/0!</v>
      </c>
      <c r="H2" s="65"/>
      <c r="I2" s="66"/>
      <c r="J2" s="66"/>
      <c r="K2" s="66"/>
      <c r="L2" s="66"/>
      <c r="M2" s="67"/>
    </row>
    <row r="3" spans="1:13" ht="15.75" thickBot="1" x14ac:dyDescent="0.3">
      <c r="D3" t="e">
        <f t="shared" ref="D3:D66" si="0">C3/C4-1</f>
        <v>#DIV/0!</v>
      </c>
      <c r="H3" s="68" t="s">
        <v>99</v>
      </c>
      <c r="I3" s="69" t="s">
        <v>100</v>
      </c>
      <c r="J3" s="70" t="s">
        <v>101</v>
      </c>
      <c r="K3" s="71" t="s">
        <v>102</v>
      </c>
      <c r="L3" s="71" t="s">
        <v>103</v>
      </c>
      <c r="M3" s="72" t="s">
        <v>104</v>
      </c>
    </row>
    <row r="4" spans="1:13" x14ac:dyDescent="0.25">
      <c r="D4" t="e">
        <f t="shared" si="0"/>
        <v>#DIV/0!</v>
      </c>
      <c r="H4" s="73" t="e">
        <f>$I$19-3*$I$23</f>
        <v>#DIV/0!</v>
      </c>
      <c r="I4" s="74" t="e">
        <f>H4</f>
        <v>#DIV/0!</v>
      </c>
      <c r="J4" s="75">
        <f>COUNTIF(D:D,"&lt;="&amp;H4)</f>
        <v>67</v>
      </c>
      <c r="K4" s="75" t="e">
        <f>"Less than "&amp;TEXT(H4,"0,00%")</f>
        <v>#DIV/0!</v>
      </c>
      <c r="L4" s="76" t="e">
        <f>J4/$I$31</f>
        <v>#DIV/0!</v>
      </c>
      <c r="M4" s="77" t="e">
        <f>L4</f>
        <v>#DIV/0!</v>
      </c>
    </row>
    <row r="5" spans="1:13" x14ac:dyDescent="0.25">
      <c r="D5" t="e">
        <f t="shared" si="0"/>
        <v>#DIV/0!</v>
      </c>
      <c r="H5" s="78" t="e">
        <f>$I$19-2.4*$I$23</f>
        <v>#DIV/0!</v>
      </c>
      <c r="I5" s="79" t="e">
        <f>H5</f>
        <v>#DIV/0!</v>
      </c>
      <c r="J5" s="80">
        <f>COUNTIFS(D:D,"&lt;="&amp;H5,D:D,"&gt;"&amp;H4)</f>
        <v>67</v>
      </c>
      <c r="K5" s="81" t="e">
        <f t="shared" ref="K5:K14" si="1">TEXT(H4,"0,00%")&amp;" to "&amp;TEXT(H5,"0,00%")</f>
        <v>#DIV/0!</v>
      </c>
      <c r="L5" s="82" t="e">
        <f>J5/$I$31</f>
        <v>#DIV/0!</v>
      </c>
      <c r="M5" s="83" t="e">
        <f>M4+L5</f>
        <v>#DIV/0!</v>
      </c>
    </row>
    <row r="6" spans="1:13" x14ac:dyDescent="0.25">
      <c r="D6" t="e">
        <f t="shared" si="0"/>
        <v>#DIV/0!</v>
      </c>
      <c r="H6" s="78" t="e">
        <f>$I$19-1.8*$I$23</f>
        <v>#DIV/0!</v>
      </c>
      <c r="I6" s="79" t="e">
        <f t="shared" ref="I6:I14" si="2">H6</f>
        <v>#DIV/0!</v>
      </c>
      <c r="J6" s="80">
        <f t="shared" ref="J6:J14" si="3">COUNTIFS(D:D,"&lt;="&amp;H6,D:D,"&gt;"&amp;H5)</f>
        <v>67</v>
      </c>
      <c r="K6" s="81" t="e">
        <f t="shared" si="1"/>
        <v>#DIV/0!</v>
      </c>
      <c r="L6" s="82" t="e">
        <f t="shared" ref="L6:L15" si="4">J6/$I$31</f>
        <v>#DIV/0!</v>
      </c>
      <c r="M6" s="83" t="e">
        <f t="shared" ref="M6:M15" si="5">M5+L6</f>
        <v>#DIV/0!</v>
      </c>
    </row>
    <row r="7" spans="1:13" x14ac:dyDescent="0.25">
      <c r="D7" t="e">
        <f t="shared" si="0"/>
        <v>#DIV/0!</v>
      </c>
      <c r="H7" s="78" t="e">
        <f>$I$19-1.2*$I$23</f>
        <v>#DIV/0!</v>
      </c>
      <c r="I7" s="79" t="e">
        <f t="shared" si="2"/>
        <v>#DIV/0!</v>
      </c>
      <c r="J7" s="80">
        <f t="shared" si="3"/>
        <v>67</v>
      </c>
      <c r="K7" s="81" t="e">
        <f t="shared" si="1"/>
        <v>#DIV/0!</v>
      </c>
      <c r="L7" s="82" t="e">
        <f t="shared" si="4"/>
        <v>#DIV/0!</v>
      </c>
      <c r="M7" s="83" t="e">
        <f t="shared" si="5"/>
        <v>#DIV/0!</v>
      </c>
    </row>
    <row r="8" spans="1:13" x14ac:dyDescent="0.25">
      <c r="D8" t="e">
        <f t="shared" si="0"/>
        <v>#DIV/0!</v>
      </c>
      <c r="H8" s="78" t="e">
        <f>$I$19-0.6*$I$23</f>
        <v>#DIV/0!</v>
      </c>
      <c r="I8" s="79" t="e">
        <f t="shared" si="2"/>
        <v>#DIV/0!</v>
      </c>
      <c r="J8" s="80">
        <f t="shared" si="3"/>
        <v>67</v>
      </c>
      <c r="K8" s="81" t="e">
        <f t="shared" si="1"/>
        <v>#DIV/0!</v>
      </c>
      <c r="L8" s="82" t="e">
        <f t="shared" si="4"/>
        <v>#DIV/0!</v>
      </c>
      <c r="M8" s="83" t="e">
        <f t="shared" si="5"/>
        <v>#DIV/0!</v>
      </c>
    </row>
    <row r="9" spans="1:13" x14ac:dyDescent="0.25">
      <c r="D9" t="e">
        <f t="shared" si="0"/>
        <v>#DIV/0!</v>
      </c>
      <c r="H9" s="78" t="e">
        <f>$I$19</f>
        <v>#DIV/0!</v>
      </c>
      <c r="I9" s="79" t="e">
        <f t="shared" si="2"/>
        <v>#DIV/0!</v>
      </c>
      <c r="J9" s="80">
        <f t="shared" si="3"/>
        <v>67</v>
      </c>
      <c r="K9" s="81" t="e">
        <f t="shared" si="1"/>
        <v>#DIV/0!</v>
      </c>
      <c r="L9" s="82" t="e">
        <f t="shared" si="4"/>
        <v>#DIV/0!</v>
      </c>
      <c r="M9" s="83" t="e">
        <f t="shared" si="5"/>
        <v>#DIV/0!</v>
      </c>
    </row>
    <row r="10" spans="1:13" x14ac:dyDescent="0.25">
      <c r="D10" t="e">
        <f t="shared" si="0"/>
        <v>#DIV/0!</v>
      </c>
      <c r="H10" s="78" t="e">
        <f>$I$19+0.6*$I$23</f>
        <v>#DIV/0!</v>
      </c>
      <c r="I10" s="79" t="e">
        <f t="shared" si="2"/>
        <v>#DIV/0!</v>
      </c>
      <c r="J10" s="80">
        <f t="shared" si="3"/>
        <v>67</v>
      </c>
      <c r="K10" s="81" t="e">
        <f t="shared" si="1"/>
        <v>#DIV/0!</v>
      </c>
      <c r="L10" s="82" t="e">
        <f t="shared" si="4"/>
        <v>#DIV/0!</v>
      </c>
      <c r="M10" s="83" t="e">
        <f t="shared" si="5"/>
        <v>#DIV/0!</v>
      </c>
    </row>
    <row r="11" spans="1:13" x14ac:dyDescent="0.25">
      <c r="D11" t="e">
        <f t="shared" si="0"/>
        <v>#DIV/0!</v>
      </c>
      <c r="H11" s="78" t="e">
        <f>$I$19+1.2*$I$23</f>
        <v>#DIV/0!</v>
      </c>
      <c r="I11" s="79" t="e">
        <f t="shared" si="2"/>
        <v>#DIV/0!</v>
      </c>
      <c r="J11" s="80">
        <f t="shared" si="3"/>
        <v>67</v>
      </c>
      <c r="K11" s="81" t="e">
        <f t="shared" si="1"/>
        <v>#DIV/0!</v>
      </c>
      <c r="L11" s="82" t="e">
        <f t="shared" si="4"/>
        <v>#DIV/0!</v>
      </c>
      <c r="M11" s="83" t="e">
        <f t="shared" si="5"/>
        <v>#DIV/0!</v>
      </c>
    </row>
    <row r="12" spans="1:13" x14ac:dyDescent="0.25">
      <c r="D12" t="e">
        <f t="shared" si="0"/>
        <v>#DIV/0!</v>
      </c>
      <c r="H12" s="78" t="e">
        <f>$I$19+1.8*$I$23</f>
        <v>#DIV/0!</v>
      </c>
      <c r="I12" s="79" t="e">
        <f t="shared" si="2"/>
        <v>#DIV/0!</v>
      </c>
      <c r="J12" s="80">
        <f t="shared" si="3"/>
        <v>67</v>
      </c>
      <c r="K12" s="81" t="e">
        <f t="shared" si="1"/>
        <v>#DIV/0!</v>
      </c>
      <c r="L12" s="82" t="e">
        <f t="shared" si="4"/>
        <v>#DIV/0!</v>
      </c>
      <c r="M12" s="83" t="e">
        <f t="shared" si="5"/>
        <v>#DIV/0!</v>
      </c>
    </row>
    <row r="13" spans="1:13" x14ac:dyDescent="0.25">
      <c r="D13" t="e">
        <f t="shared" si="0"/>
        <v>#DIV/0!</v>
      </c>
      <c r="H13" s="78" t="e">
        <f>$I$19+2.4*$I$23</f>
        <v>#DIV/0!</v>
      </c>
      <c r="I13" s="79" t="e">
        <f t="shared" si="2"/>
        <v>#DIV/0!</v>
      </c>
      <c r="J13" s="80">
        <f t="shared" si="3"/>
        <v>67</v>
      </c>
      <c r="K13" s="81" t="e">
        <f t="shared" si="1"/>
        <v>#DIV/0!</v>
      </c>
      <c r="L13" s="82" t="e">
        <f t="shared" si="4"/>
        <v>#DIV/0!</v>
      </c>
      <c r="M13" s="83" t="e">
        <f t="shared" si="5"/>
        <v>#DIV/0!</v>
      </c>
    </row>
    <row r="14" spans="1:13" x14ac:dyDescent="0.25">
      <c r="D14" t="e">
        <f t="shared" si="0"/>
        <v>#DIV/0!</v>
      </c>
      <c r="H14" s="78" t="e">
        <f>$I$19+3*$I$23</f>
        <v>#DIV/0!</v>
      </c>
      <c r="I14" s="79" t="e">
        <f t="shared" si="2"/>
        <v>#DIV/0!</v>
      </c>
      <c r="J14" s="80">
        <f t="shared" si="3"/>
        <v>67</v>
      </c>
      <c r="K14" s="81" t="e">
        <f t="shared" si="1"/>
        <v>#DIV/0!</v>
      </c>
      <c r="L14" s="82" t="e">
        <f t="shared" si="4"/>
        <v>#DIV/0!</v>
      </c>
      <c r="M14" s="83" t="e">
        <f t="shared" si="5"/>
        <v>#DIV/0!</v>
      </c>
    </row>
    <row r="15" spans="1:13" ht="15.75" thickBot="1" x14ac:dyDescent="0.3">
      <c r="D15" t="e">
        <f t="shared" si="0"/>
        <v>#DIV/0!</v>
      </c>
      <c r="H15" s="84"/>
      <c r="I15" s="85" t="s">
        <v>105</v>
      </c>
      <c r="J15" s="85">
        <f>COUNTIF(D:D,"&gt;"&amp;H14)</f>
        <v>67</v>
      </c>
      <c r="K15" s="85" t="e">
        <f>"Greater than "&amp;TEXT(H14,"0,00%")</f>
        <v>#DIV/0!</v>
      </c>
      <c r="L15" s="86" t="e">
        <f t="shared" si="4"/>
        <v>#DIV/0!</v>
      </c>
      <c r="M15" s="86" t="e">
        <f t="shared" si="5"/>
        <v>#DIV/0!</v>
      </c>
    </row>
    <row r="16" spans="1:13" ht="15.75" thickBot="1" x14ac:dyDescent="0.3">
      <c r="D16" t="e">
        <f t="shared" si="0"/>
        <v>#DIV/0!</v>
      </c>
      <c r="H16" s="87"/>
      <c r="M16" s="88"/>
    </row>
    <row r="17" spans="4:13" x14ac:dyDescent="0.25">
      <c r="D17" t="e">
        <f t="shared" si="0"/>
        <v>#DIV/0!</v>
      </c>
      <c r="H17" s="140" t="s">
        <v>136</v>
      </c>
      <c r="I17" s="141"/>
      <c r="M17" s="88"/>
    </row>
    <row r="18" spans="4:13" x14ac:dyDescent="0.25">
      <c r="D18" t="e">
        <f t="shared" si="0"/>
        <v>#DIV/0!</v>
      </c>
      <c r="H18" s="142"/>
      <c r="I18" s="143"/>
      <c r="M18" s="88"/>
    </row>
    <row r="19" spans="4:13" x14ac:dyDescent="0.25">
      <c r="D19" t="e">
        <f t="shared" si="0"/>
        <v>#DIV/0!</v>
      </c>
      <c r="H19" s="89" t="s">
        <v>106</v>
      </c>
      <c r="I19" s="126" t="e">
        <f>AVERAGE(D:D)</f>
        <v>#DIV/0!</v>
      </c>
      <c r="M19" s="88"/>
    </row>
    <row r="20" spans="4:13" x14ac:dyDescent="0.25">
      <c r="D20" t="e">
        <f t="shared" si="0"/>
        <v>#DIV/0!</v>
      </c>
      <c r="H20" s="89" t="s">
        <v>107</v>
      </c>
      <c r="I20" s="126" t="e">
        <f>_xlfn.STDEV.S(D:D)/SQRT(COUNT(D:D))</f>
        <v>#DIV/0!</v>
      </c>
      <c r="M20" s="88"/>
    </row>
    <row r="21" spans="4:13" x14ac:dyDescent="0.25">
      <c r="D21" t="e">
        <f t="shared" si="0"/>
        <v>#DIV/0!</v>
      </c>
      <c r="H21" s="89" t="s">
        <v>108</v>
      </c>
      <c r="I21" s="126" t="e">
        <f>MEDIAN(D:D)</f>
        <v>#DIV/0!</v>
      </c>
      <c r="M21" s="88"/>
    </row>
    <row r="22" spans="4:13" x14ac:dyDescent="0.25">
      <c r="D22" t="e">
        <f t="shared" si="0"/>
        <v>#DIV/0!</v>
      </c>
      <c r="H22" s="89" t="s">
        <v>109</v>
      </c>
      <c r="I22" s="126" t="e">
        <f>MODE(D:D)</f>
        <v>#DIV/0!</v>
      </c>
      <c r="M22" s="88"/>
    </row>
    <row r="23" spans="4:13" x14ac:dyDescent="0.25">
      <c r="D23" t="e">
        <f t="shared" si="0"/>
        <v>#DIV/0!</v>
      </c>
      <c r="H23" s="89" t="s">
        <v>110</v>
      </c>
      <c r="I23" s="126" t="e">
        <f>_xlfn.STDEV.S(D:D)</f>
        <v>#DIV/0!</v>
      </c>
      <c r="M23" s="88"/>
    </row>
    <row r="24" spans="4:13" x14ac:dyDescent="0.25">
      <c r="D24" t="e">
        <f t="shared" si="0"/>
        <v>#DIV/0!</v>
      </c>
      <c r="H24" s="89" t="s">
        <v>111</v>
      </c>
      <c r="I24" s="126" t="e">
        <f>_xlfn.VAR.S(D:D)</f>
        <v>#DIV/0!</v>
      </c>
      <c r="M24" s="88"/>
    </row>
    <row r="25" spans="4:13" x14ac:dyDescent="0.25">
      <c r="D25" t="e">
        <f t="shared" si="0"/>
        <v>#DIV/0!</v>
      </c>
      <c r="H25" s="89" t="s">
        <v>112</v>
      </c>
      <c r="I25" s="127" t="e">
        <f>KURT(D:D)</f>
        <v>#DIV/0!</v>
      </c>
      <c r="M25" s="88"/>
    </row>
    <row r="26" spans="4:13" x14ac:dyDescent="0.25">
      <c r="D26" t="e">
        <f t="shared" si="0"/>
        <v>#DIV/0!</v>
      </c>
      <c r="H26" s="89" t="s">
        <v>113</v>
      </c>
      <c r="I26" s="127" t="e">
        <f>SKEW(D:D)</f>
        <v>#DIV/0!</v>
      </c>
      <c r="M26" s="88"/>
    </row>
    <row r="27" spans="4:13" x14ac:dyDescent="0.25">
      <c r="D27" t="e">
        <f t="shared" si="0"/>
        <v>#DIV/0!</v>
      </c>
      <c r="H27" s="89" t="s">
        <v>102</v>
      </c>
      <c r="I27" s="126" t="e">
        <f>I29-I28</f>
        <v>#DIV/0!</v>
      </c>
      <c r="M27" s="88"/>
    </row>
    <row r="28" spans="4:13" x14ac:dyDescent="0.25">
      <c r="D28" t="e">
        <f t="shared" si="0"/>
        <v>#DIV/0!</v>
      </c>
      <c r="H28" s="89" t="s">
        <v>114</v>
      </c>
      <c r="I28" s="126" t="e">
        <f>MIN(D:D)</f>
        <v>#DIV/0!</v>
      </c>
      <c r="M28" s="88"/>
    </row>
    <row r="29" spans="4:13" x14ac:dyDescent="0.25">
      <c r="D29" t="e">
        <f t="shared" si="0"/>
        <v>#DIV/0!</v>
      </c>
      <c r="H29" s="89" t="s">
        <v>115</v>
      </c>
      <c r="I29" s="126" t="e">
        <f>MAX(D:D)</f>
        <v>#DIV/0!</v>
      </c>
      <c r="M29" s="88"/>
    </row>
    <row r="30" spans="4:13" x14ac:dyDescent="0.25">
      <c r="D30" t="e">
        <f t="shared" si="0"/>
        <v>#DIV/0!</v>
      </c>
      <c r="H30" s="89" t="s">
        <v>116</v>
      </c>
      <c r="I30" s="127" t="e">
        <f>SUM(D:D)</f>
        <v>#DIV/0!</v>
      </c>
      <c r="M30" s="88"/>
    </row>
    <row r="31" spans="4:13" ht="15.75" thickBot="1" x14ac:dyDescent="0.3">
      <c r="D31" t="e">
        <f t="shared" si="0"/>
        <v>#DIV/0!</v>
      </c>
      <c r="H31" s="90" t="s">
        <v>117</v>
      </c>
      <c r="I31" s="67">
        <f>COUNT(D:D)</f>
        <v>0</v>
      </c>
      <c r="M31" s="88"/>
    </row>
    <row r="32" spans="4:13" ht="15.75" thickBot="1" x14ac:dyDescent="0.3">
      <c r="D32" t="e">
        <f t="shared" si="0"/>
        <v>#DIV/0!</v>
      </c>
      <c r="H32" s="92"/>
      <c r="M32" s="88"/>
    </row>
    <row r="33" spans="4:13" x14ac:dyDescent="0.25">
      <c r="D33" t="e">
        <f t="shared" si="0"/>
        <v>#DIV/0!</v>
      </c>
      <c r="H33" s="93"/>
      <c r="I33" s="94" t="s">
        <v>118</v>
      </c>
      <c r="J33" s="94" t="s">
        <v>117</v>
      </c>
      <c r="K33" s="94" t="s">
        <v>119</v>
      </c>
      <c r="L33" s="95" t="s">
        <v>120</v>
      </c>
      <c r="M33" s="88"/>
    </row>
    <row r="34" spans="4:13" x14ac:dyDescent="0.25">
      <c r="D34" t="e">
        <f t="shared" si="0"/>
        <v>#DIV/0!</v>
      </c>
      <c r="H34" s="96" t="s">
        <v>121</v>
      </c>
      <c r="I34" s="82" t="e">
        <f>AVERAGEIF(D:D,"&gt;0")</f>
        <v>#DIV/0!</v>
      </c>
      <c r="J34" s="80">
        <f>COUNTIF(D:D,"&gt;0")</f>
        <v>0</v>
      </c>
      <c r="K34" s="82" t="e">
        <f>J34/$I$31</f>
        <v>#DIV/0!</v>
      </c>
      <c r="L34" s="83" t="e">
        <f>K34*I34</f>
        <v>#DIV/0!</v>
      </c>
      <c r="M34" s="88"/>
    </row>
    <row r="35" spans="4:13" x14ac:dyDescent="0.25">
      <c r="D35" t="e">
        <f t="shared" si="0"/>
        <v>#DIV/0!</v>
      </c>
      <c r="H35" s="96" t="s">
        <v>122</v>
      </c>
      <c r="I35" s="82" t="e">
        <f>AVERAGEIF(D:D,"&lt;0")</f>
        <v>#DIV/0!</v>
      </c>
      <c r="J35" s="80">
        <f>COUNTIF(D:D,"&lt;0")</f>
        <v>0</v>
      </c>
      <c r="K35" s="82" t="e">
        <f>J35/$I$31</f>
        <v>#DIV/0!</v>
      </c>
      <c r="L35" s="83" t="e">
        <f t="shared" ref="L35:L36" si="6">K35*I35</f>
        <v>#DIV/0!</v>
      </c>
      <c r="M35" s="88"/>
    </row>
    <row r="36" spans="4:13" ht="15.75" thickBot="1" x14ac:dyDescent="0.3">
      <c r="D36" t="e">
        <f t="shared" si="0"/>
        <v>#DIV/0!</v>
      </c>
      <c r="H36" s="97" t="s">
        <v>123</v>
      </c>
      <c r="I36" s="85">
        <v>0</v>
      </c>
      <c r="J36" s="85">
        <f>COUNTIF(D:D,"0")</f>
        <v>0</v>
      </c>
      <c r="K36" s="98" t="e">
        <f>J36/$I$31</f>
        <v>#DIV/0!</v>
      </c>
      <c r="L36" s="86" t="e">
        <f t="shared" si="6"/>
        <v>#DIV/0!</v>
      </c>
      <c r="M36" s="88"/>
    </row>
    <row r="37" spans="4:13" ht="15.75" thickBot="1" x14ac:dyDescent="0.3">
      <c r="D37" t="e">
        <f t="shared" si="0"/>
        <v>#DIV/0!</v>
      </c>
      <c r="H37" s="92"/>
      <c r="I37" s="99"/>
      <c r="J37" s="99"/>
      <c r="K37" s="99"/>
      <c r="L37" s="99"/>
      <c r="M37" s="88"/>
    </row>
    <row r="38" spans="4:13" x14ac:dyDescent="0.25">
      <c r="D38" t="e">
        <f t="shared" si="0"/>
        <v>#DIV/0!</v>
      </c>
      <c r="H38" s="73" t="s">
        <v>124</v>
      </c>
      <c r="I38" s="94" t="s">
        <v>125</v>
      </c>
      <c r="J38" s="94" t="s">
        <v>126</v>
      </c>
      <c r="K38" s="94" t="s">
        <v>127</v>
      </c>
      <c r="L38" s="94" t="s">
        <v>128</v>
      </c>
      <c r="M38" s="95" t="s">
        <v>129</v>
      </c>
    </row>
    <row r="39" spans="4:13" x14ac:dyDescent="0.25">
      <c r="D39" t="e">
        <f t="shared" si="0"/>
        <v>#DIV/0!</v>
      </c>
      <c r="H39" s="100">
        <v>1</v>
      </c>
      <c r="I39" s="82" t="e">
        <f>$I$19+($H39*$I$23)</f>
        <v>#DIV/0!</v>
      </c>
      <c r="J39" s="82" t="e">
        <f>$I$19-($H39*$I$23)</f>
        <v>#DIV/0!</v>
      </c>
      <c r="K39" s="80">
        <f>COUNTIFS(D:D,"&lt;"&amp;I39,D:D,"&gt;"&amp;J39)</f>
        <v>67</v>
      </c>
      <c r="L39" s="82" t="e">
        <f>K39/$I$31</f>
        <v>#DIV/0!</v>
      </c>
      <c r="M39" s="83">
        <v>0.68269999999999997</v>
      </c>
    </row>
    <row r="40" spans="4:13" x14ac:dyDescent="0.25">
      <c r="D40" t="e">
        <f t="shared" si="0"/>
        <v>#DIV/0!</v>
      </c>
      <c r="H40" s="100">
        <v>2</v>
      </c>
      <c r="I40" s="82" t="e">
        <f>$I$19+($H40*$I$23)</f>
        <v>#DIV/0!</v>
      </c>
      <c r="J40" s="82" t="e">
        <f>$I$19-($H40*$I$23)</f>
        <v>#DIV/0!</v>
      </c>
      <c r="K40" s="80">
        <f>COUNTIFS(D:D,"&lt;"&amp;I40,D:D,"&gt;"&amp;J40)</f>
        <v>67</v>
      </c>
      <c r="L40" s="82" t="e">
        <f>K40/$I$31</f>
        <v>#DIV/0!</v>
      </c>
      <c r="M40" s="83">
        <v>0.95450000000000002</v>
      </c>
    </row>
    <row r="41" spans="4:13" x14ac:dyDescent="0.25">
      <c r="D41" t="e">
        <f t="shared" si="0"/>
        <v>#DIV/0!</v>
      </c>
      <c r="H41" s="100">
        <v>3</v>
      </c>
      <c r="I41" s="82" t="e">
        <f>$I$19+($H41*$I$23)</f>
        <v>#DIV/0!</v>
      </c>
      <c r="J41" s="82" t="e">
        <f>$I$19-($H41*$I$23)</f>
        <v>#DIV/0!</v>
      </c>
      <c r="K41" s="80">
        <f>COUNTIFS(D:D,"&lt;"&amp;I41,D:D,"&gt;"&amp;J41)</f>
        <v>67</v>
      </c>
      <c r="L41" s="82" t="e">
        <f>K41/$I$31</f>
        <v>#DIV/0!</v>
      </c>
      <c r="M41" s="101">
        <v>0.99729999999999996</v>
      </c>
    </row>
    <row r="42" spans="4:13" ht="15.75" thickBot="1" x14ac:dyDescent="0.3">
      <c r="D42" t="e">
        <f t="shared" si="0"/>
        <v>#DIV/0!</v>
      </c>
      <c r="H42" s="78"/>
      <c r="M42" s="101"/>
    </row>
    <row r="43" spans="4:13" ht="15.75" thickBot="1" x14ac:dyDescent="0.3">
      <c r="D43" t="e">
        <f t="shared" si="0"/>
        <v>#DIV/0!</v>
      </c>
      <c r="H43" s="144" t="s">
        <v>130</v>
      </c>
      <c r="I43" s="145"/>
      <c r="J43" s="145"/>
      <c r="K43" s="145"/>
      <c r="L43" s="145"/>
      <c r="M43" s="146"/>
    </row>
    <row r="44" spans="4:13" x14ac:dyDescent="0.25">
      <c r="D44" t="e">
        <f t="shared" si="0"/>
        <v>#DIV/0!</v>
      </c>
      <c r="H44" s="102">
        <v>0.01</v>
      </c>
      <c r="I44" s="103" t="e">
        <f t="shared" ref="I44:I58" si="7">_xlfn.PERCENTILE.INC(D:D,H44)</f>
        <v>#DIV/0!</v>
      </c>
      <c r="J44" s="104">
        <v>0.2</v>
      </c>
      <c r="K44" s="103" t="e">
        <f t="shared" ref="K44:K56" si="8">_xlfn.PERCENTILE.INC(D:D,J44)</f>
        <v>#DIV/0!</v>
      </c>
      <c r="L44" s="104">
        <v>0.85</v>
      </c>
      <c r="M44" s="105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6">
        <v>0.02</v>
      </c>
      <c r="I45" s="107" t="e">
        <f t="shared" si="7"/>
        <v>#DIV/0!</v>
      </c>
      <c r="J45" s="108">
        <v>0.25</v>
      </c>
      <c r="K45" s="107" t="e">
        <f t="shared" si="8"/>
        <v>#DIV/0!</v>
      </c>
      <c r="L45" s="108">
        <v>0.86</v>
      </c>
      <c r="M45" s="109" t="e">
        <f t="shared" si="9"/>
        <v>#DIV/0!</v>
      </c>
    </row>
    <row r="46" spans="4:13" x14ac:dyDescent="0.25">
      <c r="D46" t="e">
        <f t="shared" si="0"/>
        <v>#DIV/0!</v>
      </c>
      <c r="H46" s="106">
        <v>0.03</v>
      </c>
      <c r="I46" s="107" t="e">
        <f t="shared" si="7"/>
        <v>#DIV/0!</v>
      </c>
      <c r="J46" s="108">
        <v>0.3</v>
      </c>
      <c r="K46" s="107" t="e">
        <f t="shared" si="8"/>
        <v>#DIV/0!</v>
      </c>
      <c r="L46" s="108">
        <v>0.87</v>
      </c>
      <c r="M46" s="109" t="e">
        <f t="shared" si="9"/>
        <v>#DIV/0!</v>
      </c>
    </row>
    <row r="47" spans="4:13" x14ac:dyDescent="0.25">
      <c r="D47" t="e">
        <f t="shared" si="0"/>
        <v>#DIV/0!</v>
      </c>
      <c r="H47" s="106">
        <v>0.04</v>
      </c>
      <c r="I47" s="107" t="e">
        <f t="shared" si="7"/>
        <v>#DIV/0!</v>
      </c>
      <c r="J47" s="108">
        <v>0.35</v>
      </c>
      <c r="K47" s="107" t="e">
        <f t="shared" si="8"/>
        <v>#DIV/0!</v>
      </c>
      <c r="L47" s="108">
        <v>0.88</v>
      </c>
      <c r="M47" s="109" t="e">
        <f t="shared" si="9"/>
        <v>#DIV/0!</v>
      </c>
    </row>
    <row r="48" spans="4:13" x14ac:dyDescent="0.25">
      <c r="D48" t="e">
        <f t="shared" si="0"/>
        <v>#DIV/0!</v>
      </c>
      <c r="H48" s="106">
        <v>0.05</v>
      </c>
      <c r="I48" s="107" t="e">
        <f t="shared" si="7"/>
        <v>#DIV/0!</v>
      </c>
      <c r="J48" s="108">
        <v>0.4</v>
      </c>
      <c r="K48" s="107" t="e">
        <f t="shared" si="8"/>
        <v>#DIV/0!</v>
      </c>
      <c r="L48" s="108">
        <v>0.89</v>
      </c>
      <c r="M48" s="109" t="e">
        <f t="shared" si="9"/>
        <v>#DIV/0!</v>
      </c>
    </row>
    <row r="49" spans="4:13" x14ac:dyDescent="0.25">
      <c r="D49" t="e">
        <f t="shared" si="0"/>
        <v>#DIV/0!</v>
      </c>
      <c r="H49" s="106">
        <v>0.06</v>
      </c>
      <c r="I49" s="107" t="e">
        <f t="shared" si="7"/>
        <v>#DIV/0!</v>
      </c>
      <c r="J49" s="108">
        <v>0.45</v>
      </c>
      <c r="K49" s="107" t="e">
        <f t="shared" si="8"/>
        <v>#DIV/0!</v>
      </c>
      <c r="L49" s="108">
        <v>0.9</v>
      </c>
      <c r="M49" s="109" t="e">
        <f t="shared" si="9"/>
        <v>#DIV/0!</v>
      </c>
    </row>
    <row r="50" spans="4:13" x14ac:dyDescent="0.25">
      <c r="D50" t="e">
        <f t="shared" si="0"/>
        <v>#DIV/0!</v>
      </c>
      <c r="H50" s="106">
        <v>7.0000000000000007E-2</v>
      </c>
      <c r="I50" s="107" t="e">
        <f t="shared" si="7"/>
        <v>#DIV/0!</v>
      </c>
      <c r="J50" s="108">
        <v>0.5</v>
      </c>
      <c r="K50" s="107" t="e">
        <f t="shared" si="8"/>
        <v>#DIV/0!</v>
      </c>
      <c r="L50" s="108">
        <v>0.91</v>
      </c>
      <c r="M50" s="109" t="e">
        <f t="shared" si="9"/>
        <v>#DIV/0!</v>
      </c>
    </row>
    <row r="51" spans="4:13" x14ac:dyDescent="0.25">
      <c r="D51" t="e">
        <f t="shared" si="0"/>
        <v>#DIV/0!</v>
      </c>
      <c r="H51" s="106">
        <v>0.08</v>
      </c>
      <c r="I51" s="107" t="e">
        <f t="shared" si="7"/>
        <v>#DIV/0!</v>
      </c>
      <c r="J51" s="108">
        <v>0.55000000000000004</v>
      </c>
      <c r="K51" s="107" t="e">
        <f t="shared" si="8"/>
        <v>#DIV/0!</v>
      </c>
      <c r="L51" s="108">
        <v>0.92</v>
      </c>
      <c r="M51" s="109" t="e">
        <f t="shared" si="9"/>
        <v>#DIV/0!</v>
      </c>
    </row>
    <row r="52" spans="4:13" x14ac:dyDescent="0.25">
      <c r="D52" t="e">
        <f t="shared" si="0"/>
        <v>#DIV/0!</v>
      </c>
      <c r="H52" s="106">
        <v>0.09</v>
      </c>
      <c r="I52" s="107" t="e">
        <f t="shared" si="7"/>
        <v>#DIV/0!</v>
      </c>
      <c r="J52" s="108">
        <v>0.6</v>
      </c>
      <c r="K52" s="107" t="e">
        <f t="shared" si="8"/>
        <v>#DIV/0!</v>
      </c>
      <c r="L52" s="108">
        <v>0.93</v>
      </c>
      <c r="M52" s="109" t="e">
        <f t="shared" si="9"/>
        <v>#DIV/0!</v>
      </c>
    </row>
    <row r="53" spans="4:13" x14ac:dyDescent="0.25">
      <c r="D53" t="e">
        <f t="shared" si="0"/>
        <v>#DIV/0!</v>
      </c>
      <c r="H53" s="106">
        <v>0.1</v>
      </c>
      <c r="I53" s="107" t="e">
        <f t="shared" si="7"/>
        <v>#DIV/0!</v>
      </c>
      <c r="J53" s="108">
        <v>0.65</v>
      </c>
      <c r="K53" s="107" t="e">
        <f t="shared" si="8"/>
        <v>#DIV/0!</v>
      </c>
      <c r="L53" s="108">
        <v>0.94</v>
      </c>
      <c r="M53" s="109" t="e">
        <f t="shared" si="9"/>
        <v>#DIV/0!</v>
      </c>
    </row>
    <row r="54" spans="4:13" x14ac:dyDescent="0.25">
      <c r="D54" t="e">
        <f t="shared" si="0"/>
        <v>#DIV/0!</v>
      </c>
      <c r="H54" s="106">
        <v>0.11</v>
      </c>
      <c r="I54" s="107" t="e">
        <f t="shared" si="7"/>
        <v>#DIV/0!</v>
      </c>
      <c r="J54" s="108">
        <v>0.7</v>
      </c>
      <c r="K54" s="107" t="e">
        <f t="shared" si="8"/>
        <v>#DIV/0!</v>
      </c>
      <c r="L54" s="108">
        <v>0.95</v>
      </c>
      <c r="M54" s="109" t="e">
        <f t="shared" si="9"/>
        <v>#DIV/0!</v>
      </c>
    </row>
    <row r="55" spans="4:13" x14ac:dyDescent="0.25">
      <c r="D55" t="e">
        <f t="shared" si="0"/>
        <v>#DIV/0!</v>
      </c>
      <c r="H55" s="106">
        <v>0.12</v>
      </c>
      <c r="I55" s="107" t="e">
        <f t="shared" si="7"/>
        <v>#DIV/0!</v>
      </c>
      <c r="J55" s="108">
        <v>0.75</v>
      </c>
      <c r="K55" s="107" t="e">
        <f t="shared" si="8"/>
        <v>#DIV/0!</v>
      </c>
      <c r="L55" s="108">
        <v>0.96</v>
      </c>
      <c r="M55" s="109" t="e">
        <f t="shared" si="9"/>
        <v>#DIV/0!</v>
      </c>
    </row>
    <row r="56" spans="4:13" x14ac:dyDescent="0.25">
      <c r="D56" t="e">
        <f t="shared" si="0"/>
        <v>#DIV/0!</v>
      </c>
      <c r="H56" s="106">
        <v>0.13</v>
      </c>
      <c r="I56" s="107" t="e">
        <f t="shared" si="7"/>
        <v>#DIV/0!</v>
      </c>
      <c r="J56" s="108">
        <v>0.8</v>
      </c>
      <c r="K56" s="107" t="e">
        <f t="shared" si="8"/>
        <v>#DIV/0!</v>
      </c>
      <c r="L56" s="108">
        <v>0.97</v>
      </c>
      <c r="M56" s="109" t="e">
        <f t="shared" si="9"/>
        <v>#DIV/0!</v>
      </c>
    </row>
    <row r="57" spans="4:13" x14ac:dyDescent="0.25">
      <c r="D57" t="e">
        <f t="shared" si="0"/>
        <v>#DIV/0!</v>
      </c>
      <c r="H57" s="106">
        <v>0.14000000000000001</v>
      </c>
      <c r="I57" s="107" t="e">
        <f t="shared" si="7"/>
        <v>#DIV/0!</v>
      </c>
      <c r="J57" s="108"/>
      <c r="K57" s="107"/>
      <c r="L57" s="108">
        <v>0.98</v>
      </c>
      <c r="M57" s="109" t="e">
        <f t="shared" si="9"/>
        <v>#DIV/0!</v>
      </c>
    </row>
    <row r="58" spans="4:13" ht="15.75" thickBot="1" x14ac:dyDescent="0.3">
      <c r="D58" t="e">
        <f t="shared" si="0"/>
        <v>#DIV/0!</v>
      </c>
      <c r="H58" s="110">
        <v>0.15</v>
      </c>
      <c r="I58" s="111" t="e">
        <f t="shared" si="7"/>
        <v>#DIV/0!</v>
      </c>
      <c r="J58" s="112"/>
      <c r="K58" s="91"/>
      <c r="L58" s="113">
        <v>0.99</v>
      </c>
      <c r="M58" s="114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5" t="s">
        <v>131</v>
      </c>
      <c r="I60" s="116"/>
    </row>
    <row r="61" spans="4:13" ht="15.75" thickBot="1" x14ac:dyDescent="0.3">
      <c r="D61" t="e">
        <f t="shared" si="0"/>
        <v>#DIV/0!</v>
      </c>
      <c r="H61" s="117" t="s">
        <v>132</v>
      </c>
      <c r="I61" s="118"/>
    </row>
    <row r="62" spans="4:13" ht="15.75" thickBot="1" x14ac:dyDescent="0.3">
      <c r="D62" t="e">
        <f t="shared" si="0"/>
        <v>#DIV/0!</v>
      </c>
      <c r="H62" s="119"/>
    </row>
    <row r="63" spans="4:13" x14ac:dyDescent="0.25">
      <c r="D63" t="e">
        <f t="shared" si="0"/>
        <v>#DIV/0!</v>
      </c>
      <c r="H63" s="115" t="s">
        <v>133</v>
      </c>
      <c r="I63" s="120"/>
    </row>
    <row r="64" spans="4:13" x14ac:dyDescent="0.25">
      <c r="D64" t="e">
        <f t="shared" si="0"/>
        <v>#DIV/0!</v>
      </c>
      <c r="H64" s="121" t="s">
        <v>134</v>
      </c>
      <c r="I64" s="122">
        <f>I63*(1-I60)</f>
        <v>0</v>
      </c>
    </row>
    <row r="65" spans="4:9" ht="15.75" thickBot="1" x14ac:dyDescent="0.3">
      <c r="D65" t="e">
        <f t="shared" si="0"/>
        <v>#DIV/0!</v>
      </c>
      <c r="H65" s="117" t="s">
        <v>135</v>
      </c>
      <c r="I65" s="123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2024-09-13T17:32:17Z</dcterms:modified>
</cp:coreProperties>
</file>