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564B5E8-A0C7-47D3-AECD-3A0B9B468515}" xr6:coauthVersionLast="47" xr6:coauthVersionMax="47" xr10:uidLastSave="{00000000-0000-0000-0000-000000000000}"/>
  <bookViews>
    <workbookView xWindow="-120" yWindow="-120" windowWidth="29040" windowHeight="15720" tabRatio="688" activeTab="7" xr2:uid="{17A267B1-178B-4287-81DD-6A61B8A207C9}"/>
  </bookViews>
  <sheets>
    <sheet name="Sheet1" sheetId="1" r:id="rId1"/>
    <sheet name="1 Long Call" sheetId="2" r:id="rId2"/>
    <sheet name="2 Long Put" sheetId="3" r:id="rId3"/>
    <sheet name="3 Short Put (naked)" sheetId="4" r:id="rId4"/>
    <sheet name="4 Covered Call" sheetId="5" r:id="rId5"/>
    <sheet name="5 Covered Call Collar" sheetId="6" r:id="rId6"/>
    <sheet name="6 Bull Call Spread" sheetId="7" r:id="rId7"/>
    <sheet name="7 Bear Put Spread" sheetId="9" r:id="rId8"/>
    <sheet name="8 Short Bull Ratio Spread" sheetId="10" r:id="rId9"/>
    <sheet name="9 Short Bear Ratio Spread" sheetId="11" r:id="rId10"/>
    <sheet name="10 Bull Call Ladder Spread" sheetId="12" r:id="rId11"/>
    <sheet name="11 Bear Put Ladder Sprea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J7" i="9"/>
  <c r="J8" i="9"/>
  <c r="J8" i="7"/>
  <c r="J6" i="9"/>
  <c r="I6" i="9"/>
  <c r="J5" i="9"/>
  <c r="C13" i="9"/>
  <c r="F10" i="9"/>
  <c r="C10" i="9"/>
  <c r="C43" i="9"/>
  <c r="K35" i="9" s="1"/>
  <c r="F41" i="9"/>
  <c r="C41" i="9"/>
  <c r="F40" i="9"/>
  <c r="C40" i="9"/>
  <c r="I39" i="9"/>
  <c r="J39" i="9" s="1"/>
  <c r="H39" i="9"/>
  <c r="F39" i="9"/>
  <c r="C39" i="9"/>
  <c r="J38" i="9" s="1"/>
  <c r="K38" i="9" s="1"/>
  <c r="J37" i="9"/>
  <c r="K37" i="9" s="1"/>
  <c r="K36" i="9"/>
  <c r="J36" i="9"/>
  <c r="I36" i="9"/>
  <c r="J35" i="9"/>
  <c r="H35" i="9"/>
  <c r="F11" i="9"/>
  <c r="C11" i="9"/>
  <c r="F9" i="9"/>
  <c r="C9" i="9"/>
  <c r="H8" i="9"/>
  <c r="I5" i="9"/>
  <c r="H5" i="9"/>
  <c r="G9" i="4"/>
  <c r="H9" i="4" s="1"/>
  <c r="G8" i="4"/>
  <c r="H8" i="4" s="1"/>
  <c r="H6" i="4"/>
  <c r="H7" i="4"/>
  <c r="G7" i="4"/>
  <c r="F5" i="4"/>
  <c r="G5" i="4"/>
  <c r="H5" i="4" s="1"/>
  <c r="E5" i="4"/>
  <c r="G6" i="4"/>
  <c r="F6" i="4"/>
  <c r="E6" i="4"/>
  <c r="F30" i="3"/>
  <c r="H29" i="3"/>
  <c r="G31" i="3"/>
  <c r="H31" i="3" s="1"/>
  <c r="G32" i="3"/>
  <c r="H32" i="3" s="1"/>
  <c r="G33" i="3"/>
  <c r="H33" i="3" s="1"/>
  <c r="G30" i="3"/>
  <c r="H30" i="3" s="1"/>
  <c r="F29" i="3"/>
  <c r="K36" i="7"/>
  <c r="K37" i="7"/>
  <c r="K38" i="7"/>
  <c r="K39" i="7"/>
  <c r="K40" i="7"/>
  <c r="K35" i="7"/>
  <c r="C33" i="3"/>
  <c r="C32" i="3"/>
  <c r="E30" i="3"/>
  <c r="E29" i="3"/>
  <c r="G6" i="3"/>
  <c r="F6" i="3"/>
  <c r="E6" i="3"/>
  <c r="E5" i="3"/>
  <c r="G33" i="2"/>
  <c r="F31" i="2"/>
  <c r="G31" i="2" s="1"/>
  <c r="F30" i="2"/>
  <c r="E31" i="2"/>
  <c r="E30" i="2"/>
  <c r="C34" i="2"/>
  <c r="G32" i="2" s="1"/>
  <c r="C33" i="2"/>
  <c r="E6" i="2"/>
  <c r="E5" i="2"/>
  <c r="F6" i="2"/>
  <c r="G6" i="2" s="1"/>
  <c r="I39" i="7"/>
  <c r="J39" i="7" s="1"/>
  <c r="J40" i="7" s="1"/>
  <c r="I36" i="7"/>
  <c r="I6" i="7"/>
  <c r="H35" i="7"/>
  <c r="H39" i="7"/>
  <c r="I5" i="7"/>
  <c r="I8" i="7"/>
  <c r="H5" i="7"/>
  <c r="H8" i="7"/>
  <c r="C39" i="7"/>
  <c r="C40" i="7"/>
  <c r="C41" i="7" s="1"/>
  <c r="F40" i="7"/>
  <c r="F41" i="7" s="1"/>
  <c r="F39" i="7"/>
  <c r="F10" i="7"/>
  <c r="F11" i="7" s="1"/>
  <c r="F9" i="7"/>
  <c r="C10" i="7"/>
  <c r="C11" i="7" s="1"/>
  <c r="C9" i="7"/>
  <c r="C10" i="4"/>
  <c r="C8" i="4"/>
  <c r="C9" i="3"/>
  <c r="C10" i="3" s="1"/>
  <c r="C8" i="3"/>
  <c r="C8" i="2"/>
  <c r="C9" i="2"/>
  <c r="C10" i="2" s="1"/>
  <c r="C57" i="1"/>
  <c r="D57" i="1" s="1"/>
  <c r="E57" i="1" s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G52" i="1"/>
  <c r="C49" i="1"/>
  <c r="D49" i="1" s="1"/>
  <c r="E49" i="1" s="1"/>
  <c r="C48" i="1"/>
  <c r="D48" i="1" s="1"/>
  <c r="E48" i="1" s="1"/>
  <c r="D47" i="1"/>
  <c r="E47" i="1" s="1"/>
  <c r="C47" i="1"/>
  <c r="C46" i="1"/>
  <c r="D46" i="1" s="1"/>
  <c r="E46" i="1" s="1"/>
  <c r="G45" i="1"/>
  <c r="C41" i="1"/>
  <c r="D41" i="1" s="1"/>
  <c r="E41" i="1" s="1"/>
  <c r="C40" i="1"/>
  <c r="D40" i="1" s="1"/>
  <c r="E40" i="1" s="1"/>
  <c r="C39" i="1"/>
  <c r="D39" i="1" s="1"/>
  <c r="E39" i="1" s="1"/>
  <c r="M38" i="1"/>
  <c r="N38" i="1" s="1"/>
  <c r="C38" i="1"/>
  <c r="D38" i="1" s="1"/>
  <c r="E38" i="1" s="1"/>
  <c r="N37" i="1"/>
  <c r="M37" i="1"/>
  <c r="C37" i="1"/>
  <c r="D37" i="1" s="1"/>
  <c r="E37" i="1" s="1"/>
  <c r="N36" i="1"/>
  <c r="M36" i="1"/>
  <c r="D36" i="1"/>
  <c r="E36" i="1" s="1"/>
  <c r="C36" i="1"/>
  <c r="N35" i="1"/>
  <c r="M35" i="1"/>
  <c r="N34" i="1"/>
  <c r="M34" i="1"/>
  <c r="N33" i="1"/>
  <c r="M33" i="1"/>
  <c r="I33" i="1"/>
  <c r="I34" i="1" s="1"/>
  <c r="J35" i="1" s="1"/>
  <c r="G22" i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K5" i="9" l="1"/>
  <c r="K6" i="9"/>
  <c r="J40" i="9"/>
  <c r="K40" i="9" s="1"/>
  <c r="K39" i="9"/>
  <c r="G29" i="3"/>
  <c r="C34" i="3"/>
  <c r="G8" i="3"/>
  <c r="G9" i="3"/>
  <c r="G7" i="3"/>
  <c r="G5" i="3"/>
  <c r="H5" i="3" s="1"/>
  <c r="H9" i="3"/>
  <c r="G34" i="2"/>
  <c r="H34" i="2" s="1"/>
  <c r="H8" i="3"/>
  <c r="H6" i="3"/>
  <c r="J35" i="7"/>
  <c r="J6" i="7"/>
  <c r="J37" i="7"/>
  <c r="J36" i="7"/>
  <c r="C13" i="7"/>
  <c r="J38" i="7"/>
  <c r="G30" i="2"/>
  <c r="H30" i="2" s="1"/>
  <c r="H32" i="2"/>
  <c r="H6" i="2"/>
  <c r="G7" i="2"/>
  <c r="H7" i="2" s="1"/>
  <c r="H33" i="2"/>
  <c r="G9" i="2"/>
  <c r="H9" i="2" s="1"/>
  <c r="G5" i="2"/>
  <c r="H5" i="2" s="1"/>
  <c r="G8" i="2"/>
  <c r="H8" i="2" s="1"/>
  <c r="H31" i="2"/>
  <c r="C35" i="2"/>
  <c r="J5" i="7"/>
  <c r="J7" i="7"/>
  <c r="J9" i="7"/>
  <c r="C43" i="7"/>
  <c r="E24" i="1"/>
  <c r="E25" i="1" s="1"/>
  <c r="E26" i="1" s="1"/>
  <c r="E27" i="1" s="1"/>
  <c r="E16" i="1"/>
  <c r="E17" i="1" s="1"/>
  <c r="E18" i="1" s="1"/>
  <c r="E19" i="1" s="1"/>
  <c r="K7" i="7" l="1"/>
  <c r="H7" i="3"/>
  <c r="K9" i="7"/>
  <c r="K6" i="7"/>
  <c r="K8" i="7"/>
  <c r="K5" i="7"/>
  <c r="E7" i="1"/>
  <c r="E8" i="1" s="1"/>
  <c r="E9" i="1" s="1"/>
  <c r="E10" i="1" s="1"/>
  <c r="E11" i="1" s="1"/>
  <c r="K7" i="9" l="1"/>
  <c r="K9" i="9"/>
  <c r="K8" i="9"/>
</calcChain>
</file>

<file path=xl/sharedStrings.xml><?xml version="1.0" encoding="utf-8"?>
<sst xmlns="http://schemas.openxmlformats.org/spreadsheetml/2006/main" count="272" uniqueCount="83">
  <si>
    <t>Puts</t>
  </si>
  <si>
    <t>Strike</t>
  </si>
  <si>
    <t>Stock Price</t>
  </si>
  <si>
    <t>Exposure</t>
  </si>
  <si>
    <t>Stock</t>
  </si>
  <si>
    <t>Long Call</t>
  </si>
  <si>
    <t>Price</t>
  </si>
  <si>
    <t>Break Even</t>
  </si>
  <si>
    <t>Directional Bet</t>
  </si>
  <si>
    <t>Bullish Strategy</t>
  </si>
  <si>
    <t>Simple</t>
  </si>
  <si>
    <t>One Transaction</t>
  </si>
  <si>
    <t>Net Debit (Upfront Cost)</t>
  </si>
  <si>
    <t>Max Risk (Limited)</t>
  </si>
  <si>
    <t>Max Gain (Unlimited)</t>
  </si>
  <si>
    <t>Break Even point is when Price of Underlying Security = (Strike Price + Price of Option)</t>
  </si>
  <si>
    <t>Profit is made when Price of Underlying Security &gt; (Strike Price + Price of Option)</t>
  </si>
  <si>
    <t>Profit</t>
  </si>
  <si>
    <t>Risk Calculations (Maximum Downside)</t>
  </si>
  <si>
    <t xml:space="preserve">Maximum loss is limited to the Premium paid / Net Debit </t>
  </si>
  <si>
    <t>Maximum loss is made when Price of Underlying Security &lt; or = Strike Price</t>
  </si>
  <si>
    <t>Profit Calculations (Maximum Upside)</t>
  </si>
  <si>
    <t>Date</t>
  </si>
  <si>
    <t>No. Co</t>
  </si>
  <si>
    <t>Shares Exposure</t>
  </si>
  <si>
    <t>Dollar Exposure</t>
  </si>
  <si>
    <t>Premium Paid</t>
  </si>
  <si>
    <t>Target 1</t>
  </si>
  <si>
    <t>Target 2</t>
  </si>
  <si>
    <t>Target 3</t>
  </si>
  <si>
    <t>Risk-Reward</t>
  </si>
  <si>
    <t>RR</t>
  </si>
  <si>
    <t>Long Put</t>
  </si>
  <si>
    <t>Bearish Strategy</t>
  </si>
  <si>
    <t>Max Gain (Limited)</t>
  </si>
  <si>
    <t>Break Even point is when Price of Underlying Security = (Strike Price - Price of Option)</t>
  </si>
  <si>
    <t>Profit is made when Price of Underlying Security &lt; (Strike Price - Price of Option)</t>
  </si>
  <si>
    <t>Profit per option owned is (Strike Price – Price of Underlying Security) – Price of Option</t>
  </si>
  <si>
    <t xml:space="preserve">
Profit per option owned is Price of Underlying Security – (Strike Price + Price of Option)</t>
  </si>
  <si>
    <t>Maximum loss is made when Price of Underlying Security &gt; or = Strike Price</t>
  </si>
  <si>
    <t>Net Credit (Upfront Payment Received)</t>
  </si>
  <si>
    <t>Short Put</t>
  </si>
  <si>
    <t>Break-even point is when Price of Underlying Security = (Strike Price - Price of Option)</t>
  </si>
  <si>
    <t>Profit is limited, per option written, to “Price of Option”</t>
  </si>
  <si>
    <t>Maximum profit is limited and made when “Price of Underlying Security &gt; or = Strike Price</t>
  </si>
  <si>
    <t>Maximum loss is limited only by how much the underlying security can fall.</t>
  </si>
  <si>
    <t>Loss is incurred when Price of Underlying Security &lt; (Strike Price – Price Per Option)</t>
  </si>
  <si>
    <t>Loss per option written is Strike Price – (Price of Underlying Security + Price Per Option)</t>
  </si>
  <si>
    <t>Credit Reveived</t>
  </si>
  <si>
    <t xml:space="preserve"> </t>
  </si>
  <si>
    <t>Bull Call Spread</t>
  </si>
  <si>
    <t>Two  Transactions</t>
  </si>
  <si>
    <t>Debit</t>
  </si>
  <si>
    <t>Credit Received</t>
  </si>
  <si>
    <t>Leg B (Short OTM Call)</t>
  </si>
  <si>
    <t>Net Debit</t>
  </si>
  <si>
    <t>Long Call ATM/OTM, Writing a higher Call OTM, Same Time of Expiration</t>
  </si>
  <si>
    <t>Leg A (Long ATM/OTM Call)</t>
  </si>
  <si>
    <t>Leg A = Buy ATM or OTM Call Option, Leg B = Write Higher Strike Call Option</t>
  </si>
  <si>
    <t>Maximum profit is limited</t>
  </si>
  <si>
    <t>Maximum profit is made when Price of Underlying Security &gt; or = Strike Price Leg B</t>
  </si>
  <si>
    <t>Maximum profit per option owned is (Strike Price Leg B – Strike Price Leg A) – (Price of Option Leg A – Price of Option Leg B)</t>
  </si>
  <si>
    <t>Maximum loss is limited</t>
  </si>
  <si>
    <t>Maximum loss is made when Price of Underlying Security &lt; or = Strike Price Leg A</t>
  </si>
  <si>
    <t>Maximum loss per option owned is Price of Option Leg A – Price of Option Leg B</t>
  </si>
  <si>
    <t>Bull Call Spread Rechner</t>
  </si>
  <si>
    <t>BE</t>
  </si>
  <si>
    <t>Target Overshoot</t>
  </si>
  <si>
    <t>Long Call Rechner</t>
  </si>
  <si>
    <t>Long Put Rechner</t>
  </si>
  <si>
    <t>Loss 1</t>
  </si>
  <si>
    <t>Loss 2</t>
  </si>
  <si>
    <t>Loss 3</t>
  </si>
  <si>
    <t>Bear Put Spread</t>
  </si>
  <si>
    <t>Bear Put Spread Rechner</t>
  </si>
  <si>
    <t>Long Put  ATM/OTM, Writing a Lower Put OTM, Same Time of Expiration</t>
  </si>
  <si>
    <t>Leg A = Buy ATM or OTM Put Option, Leg B = Write Lower Strike Put Option</t>
  </si>
  <si>
    <t>Break-even point is when Price of Underlying Security = Strike Price Leg A – (Price of Options Leg A – Price of Options Leg B)</t>
  </si>
  <si>
    <t>Maximum profit is made when Price of Underlying Security &lt; or = Strike Price Leg B</t>
  </si>
  <si>
    <t>Maximum profit, per option owned is (Strike Price Leg A – Strike Price Leg B) – (Price of Option Leg A – Price of Option Leg B)</t>
  </si>
  <si>
    <t>Maximum loss is made when Price of Underlying Security &gt; or = Strike Price Leg A</t>
  </si>
  <si>
    <t>Maximum loss per option owned is Price of Option in Leg A – Price of Option Leg B</t>
  </si>
  <si>
    <t>FEHLT NOCH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</si>
</sst>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2" borderId="0" xfId="0" applyFill="1"/>
    <xf numFmtId="0" fontId="2" fillId="3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1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3" borderId="0" xfId="0" applyFill="1" applyBorder="1"/>
    <xf numFmtId="0" fontId="2" fillId="2" borderId="0" xfId="0" applyFon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4" xfId="0" applyFont="1" applyBorder="1"/>
    <xf numFmtId="14" fontId="0" fillId="3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4" borderId="0" xfId="0" applyFill="1" applyBorder="1"/>
    <xf numFmtId="1" fontId="0" fillId="4" borderId="0" xfId="0" applyNumberFormat="1" applyFill="1" applyBorder="1"/>
    <xf numFmtId="0" fontId="2" fillId="4" borderId="4" xfId="0" applyFont="1" applyFill="1" applyBorder="1"/>
    <xf numFmtId="0" fontId="0" fillId="4" borderId="5" xfId="0" applyFill="1" applyBorder="1"/>
    <xf numFmtId="0" fontId="0" fillId="4" borderId="4" xfId="0" applyFill="1" applyBorder="1"/>
    <xf numFmtId="14" fontId="0" fillId="4" borderId="0" xfId="0" applyNumberFormat="1" applyFill="1" applyBorder="1"/>
    <xf numFmtId="2" fontId="0" fillId="4" borderId="0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5" borderId="4" xfId="0" applyFill="1" applyBorder="1"/>
    <xf numFmtId="14" fontId="0" fillId="5" borderId="0" xfId="0" applyNumberFormat="1" applyFill="1" applyBorder="1"/>
    <xf numFmtId="2" fontId="0" fillId="5" borderId="0" xfId="0" applyNumberFormat="1" applyFill="1" applyBorder="1"/>
    <xf numFmtId="0" fontId="0" fillId="5" borderId="0" xfId="0" applyFill="1" applyBorder="1"/>
    <xf numFmtId="1" fontId="0" fillId="5" borderId="0" xfId="0" applyNumberFormat="1" applyFill="1" applyBorder="1"/>
    <xf numFmtId="164" fontId="0" fillId="5" borderId="0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2" fillId="4" borderId="0" xfId="0" applyFont="1" applyFill="1" applyBorder="1"/>
    <xf numFmtId="0" fontId="0" fillId="0" borderId="9" xfId="0" applyBorder="1"/>
    <xf numFmtId="0" fontId="2" fillId="0" borderId="0" xfId="0" applyFon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" xfId="0" applyFill="1" applyBorder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57"/>
  <sheetViews>
    <sheetView workbookViewId="0">
      <selection activeCell="B2" sqref="B2:N27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12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12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12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12" x14ac:dyDescent="0.25">
      <c r="C21" t="s">
        <v>1</v>
      </c>
      <c r="D21" s="1">
        <v>45674</v>
      </c>
    </row>
    <row r="22" spans="2:12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12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12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12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12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12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  <row r="32" spans="2:12" x14ac:dyDescent="0.25">
      <c r="I32" t="s">
        <v>3</v>
      </c>
      <c r="J32" s="2">
        <v>500000</v>
      </c>
      <c r="L32" t="s">
        <v>4</v>
      </c>
    </row>
    <row r="33" spans="2:14" x14ac:dyDescent="0.25">
      <c r="G33" t="s">
        <v>2</v>
      </c>
      <c r="H33">
        <v>183.34</v>
      </c>
      <c r="I33" s="5">
        <f>J32/H33</f>
        <v>2727.1735573251881</v>
      </c>
      <c r="L33">
        <v>5</v>
      </c>
      <c r="M33">
        <f t="shared" ref="M33:M38" si="6">$I$3*L33</f>
        <v>123152.70935960591</v>
      </c>
      <c r="N33" s="3">
        <f t="shared" ref="N33:N38" si="7">$J$2-M33</f>
        <v>26847.290640394087</v>
      </c>
    </row>
    <row r="34" spans="2:14" x14ac:dyDescent="0.25">
      <c r="C34" t="s">
        <v>1</v>
      </c>
      <c r="D34" s="1">
        <v>45583</v>
      </c>
      <c r="I34" s="5">
        <f>I33/100</f>
        <v>27.271735573251881</v>
      </c>
      <c r="L34">
        <v>4</v>
      </c>
      <c r="M34">
        <f t="shared" si="6"/>
        <v>98522.167487684725</v>
      </c>
      <c r="N34" s="3">
        <f t="shared" si="7"/>
        <v>51477.832512315275</v>
      </c>
    </row>
    <row r="35" spans="2:14" x14ac:dyDescent="0.25">
      <c r="B35" t="s">
        <v>0</v>
      </c>
      <c r="C35">
        <v>6</v>
      </c>
      <c r="D35">
        <v>0.25</v>
      </c>
      <c r="E35" s="5">
        <v>5000</v>
      </c>
      <c r="J35" s="4">
        <f>I34*D35*100</f>
        <v>681.79338933129702</v>
      </c>
      <c r="L35">
        <v>3</v>
      </c>
      <c r="M35">
        <f t="shared" si="6"/>
        <v>73891.625615763536</v>
      </c>
      <c r="N35" s="3">
        <f t="shared" si="7"/>
        <v>76108.374384236464</v>
      </c>
    </row>
    <row r="36" spans="2:14" x14ac:dyDescent="0.25">
      <c r="B36">
        <v>5</v>
      </c>
      <c r="C36">
        <f t="shared" ref="C36:C41" si="8">B36-$C$5+$D$5</f>
        <v>-0.75</v>
      </c>
      <c r="D36" s="5">
        <f t="shared" ref="D36:D41" si="9">-C36*100*($E$5/$D$5/100)-$E$5</f>
        <v>10000</v>
      </c>
      <c r="E36" s="6">
        <f t="shared" ref="E36:E41" si="10">D36/$E$5</f>
        <v>2</v>
      </c>
      <c r="L36">
        <v>2</v>
      </c>
      <c r="M36">
        <f t="shared" si="6"/>
        <v>49261.083743842362</v>
      </c>
      <c r="N36" s="3">
        <f t="shared" si="7"/>
        <v>100738.91625615764</v>
      </c>
    </row>
    <row r="37" spans="2:14" x14ac:dyDescent="0.25">
      <c r="B37">
        <v>4</v>
      </c>
      <c r="C37">
        <f t="shared" si="8"/>
        <v>-1.75</v>
      </c>
      <c r="D37" s="5">
        <f t="shared" si="9"/>
        <v>30000</v>
      </c>
      <c r="E37" s="6">
        <f t="shared" si="10"/>
        <v>6</v>
      </c>
      <c r="L37">
        <v>1</v>
      </c>
      <c r="M37">
        <f t="shared" si="6"/>
        <v>24630.541871921181</v>
      </c>
      <c r="N37" s="3">
        <f t="shared" si="7"/>
        <v>125369.45812807881</v>
      </c>
    </row>
    <row r="38" spans="2:14" x14ac:dyDescent="0.25">
      <c r="B38">
        <v>3</v>
      </c>
      <c r="C38">
        <f t="shared" si="8"/>
        <v>-2.75</v>
      </c>
      <c r="D38" s="5">
        <f t="shared" si="9"/>
        <v>50000</v>
      </c>
      <c r="E38" s="6">
        <f t="shared" si="10"/>
        <v>10</v>
      </c>
      <c r="L38">
        <v>0</v>
      </c>
      <c r="M38">
        <f t="shared" si="6"/>
        <v>0</v>
      </c>
      <c r="N38" s="3">
        <f t="shared" si="7"/>
        <v>150000</v>
      </c>
    </row>
    <row r="39" spans="2:14" x14ac:dyDescent="0.25">
      <c r="B39">
        <v>2</v>
      </c>
      <c r="C39">
        <f t="shared" si="8"/>
        <v>-3.75</v>
      </c>
      <c r="D39" s="5">
        <f t="shared" si="9"/>
        <v>70000</v>
      </c>
      <c r="E39" s="6">
        <f t="shared" si="10"/>
        <v>14</v>
      </c>
    </row>
    <row r="40" spans="2:14" x14ac:dyDescent="0.25">
      <c r="B40">
        <v>1</v>
      </c>
      <c r="C40">
        <f t="shared" si="8"/>
        <v>-4.75</v>
      </c>
      <c r="D40" s="5">
        <f t="shared" si="9"/>
        <v>90000</v>
      </c>
      <c r="E40" s="6">
        <f t="shared" si="10"/>
        <v>18</v>
      </c>
    </row>
    <row r="41" spans="2:14" x14ac:dyDescent="0.25">
      <c r="B41">
        <v>0</v>
      </c>
      <c r="C41">
        <f t="shared" si="8"/>
        <v>-5.75</v>
      </c>
      <c r="D41" s="5">
        <f t="shared" si="9"/>
        <v>110000</v>
      </c>
      <c r="E41" s="6">
        <f t="shared" si="10"/>
        <v>22</v>
      </c>
    </row>
    <row r="44" spans="2:14" x14ac:dyDescent="0.25">
      <c r="C44" t="s">
        <v>1</v>
      </c>
      <c r="D44" s="1">
        <v>45674</v>
      </c>
    </row>
    <row r="45" spans="2:14" x14ac:dyDescent="0.25">
      <c r="B45" t="s">
        <v>0</v>
      </c>
      <c r="C45">
        <v>4</v>
      </c>
      <c r="D45">
        <v>0.18</v>
      </c>
      <c r="E45" s="5">
        <v>5000</v>
      </c>
      <c r="G45" s="5">
        <f>E45/D45/100</f>
        <v>277.77777777777777</v>
      </c>
    </row>
    <row r="46" spans="2:14" x14ac:dyDescent="0.25">
      <c r="B46">
        <v>3</v>
      </c>
      <c r="C46">
        <f>B46-$C$15+$D$15</f>
        <v>-0.82000000000000006</v>
      </c>
      <c r="D46" s="5">
        <f>-C46*100*($E$15/$D$5/100)-$E$15</f>
        <v>11400</v>
      </c>
      <c r="E46" s="6">
        <f>D46/$E$15</f>
        <v>2.2799999999999998</v>
      </c>
    </row>
    <row r="47" spans="2:14" x14ac:dyDescent="0.25">
      <c r="B47">
        <v>2</v>
      </c>
      <c r="C47">
        <f>B47-$C$15+$D$15</f>
        <v>-1.82</v>
      </c>
      <c r="D47" s="5">
        <f>-C47*100*($E$15/$D$5/100)-$E$15</f>
        <v>31400</v>
      </c>
      <c r="E47" s="6">
        <f t="shared" ref="E47:E49" si="11">D47/$E$15</f>
        <v>6.28</v>
      </c>
    </row>
    <row r="48" spans="2:14" x14ac:dyDescent="0.25">
      <c r="B48">
        <v>1</v>
      </c>
      <c r="C48">
        <f>B48-$C$15+$D$15</f>
        <v>-2.82</v>
      </c>
      <c r="D48" s="5">
        <f>-C48*100*($E$15/$D$5/100)-$E$15</f>
        <v>51400</v>
      </c>
      <c r="E48" s="6">
        <f t="shared" si="11"/>
        <v>10.28</v>
      </c>
    </row>
    <row r="49" spans="2:7" x14ac:dyDescent="0.25">
      <c r="B49">
        <v>0</v>
      </c>
      <c r="C49">
        <f>B49-$C$15+$D$15</f>
        <v>-3.82</v>
      </c>
      <c r="D49" s="5">
        <f>-C49*100*($E$15/$D$5/100)-$E$15</f>
        <v>71400</v>
      </c>
      <c r="E49" s="6">
        <f t="shared" si="11"/>
        <v>14.28</v>
      </c>
    </row>
    <row r="51" spans="2:7" x14ac:dyDescent="0.25">
      <c r="C51" t="s">
        <v>1</v>
      </c>
      <c r="D51" s="1">
        <v>45674</v>
      </c>
    </row>
    <row r="52" spans="2:7" x14ac:dyDescent="0.25">
      <c r="B52" t="s">
        <v>0</v>
      </c>
      <c r="C52">
        <v>5</v>
      </c>
      <c r="D52">
        <v>0.4</v>
      </c>
      <c r="E52" s="5">
        <v>5000</v>
      </c>
      <c r="G52" s="5">
        <f>E52/D52/100</f>
        <v>125</v>
      </c>
    </row>
    <row r="53" spans="2:7" x14ac:dyDescent="0.25">
      <c r="B53">
        <v>4</v>
      </c>
      <c r="C53">
        <f>B53-$C$22+$D$22</f>
        <v>-0.6</v>
      </c>
      <c r="D53" s="5">
        <f>-C53*100*($E$22/$D$5/100)-$E$22</f>
        <v>7000</v>
      </c>
      <c r="E53" s="6">
        <f>D53/$E$22</f>
        <v>1.4</v>
      </c>
    </row>
    <row r="54" spans="2:7" x14ac:dyDescent="0.25">
      <c r="B54">
        <v>3</v>
      </c>
      <c r="C54">
        <f>B54-$C$22+$D$22</f>
        <v>-1.6</v>
      </c>
      <c r="D54" s="5">
        <f>-C54*100*($E$22/$D$5/100)-$E$22</f>
        <v>27000</v>
      </c>
      <c r="E54" s="6">
        <f>D54/$E$22</f>
        <v>5.4</v>
      </c>
    </row>
    <row r="55" spans="2:7" x14ac:dyDescent="0.25">
      <c r="B55">
        <v>2</v>
      </c>
      <c r="C55">
        <f>B55-$C$22+$D$22</f>
        <v>-2.6</v>
      </c>
      <c r="D55" s="5">
        <f>-C55*100*($E$22/$D$5/100)-$E$22</f>
        <v>47000</v>
      </c>
      <c r="E55" s="6">
        <f>D55/$E$22</f>
        <v>9.4</v>
      </c>
    </row>
    <row r="56" spans="2:7" x14ac:dyDescent="0.25">
      <c r="B56">
        <v>1</v>
      </c>
      <c r="C56">
        <f>B56-$C$22+$D$22</f>
        <v>-3.6</v>
      </c>
      <c r="D56" s="5">
        <f>-C56*100*($E$22/$D$5/100)-$E$22</f>
        <v>67000</v>
      </c>
      <c r="E56" s="6">
        <f>D56/$E$22</f>
        <v>13.4</v>
      </c>
    </row>
    <row r="57" spans="2:7" x14ac:dyDescent="0.25">
      <c r="B57">
        <v>0</v>
      </c>
      <c r="C57">
        <f>B57-$C$22+$D$22</f>
        <v>-4.5999999999999996</v>
      </c>
      <c r="D57" s="5">
        <f>-C57*100*($E$22/$D$5/100)-$E$22</f>
        <v>86999.999999999985</v>
      </c>
      <c r="E57" s="6">
        <f>D57/$E$22</f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2EB9-9438-4B4F-B38D-19A525B09D23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165-7134-412F-A6D9-3E4951015599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6FF5-E63B-4D48-99EC-A532EB506C9F}">
  <sheetPr>
    <tabColor theme="4" tint="0.79998168889431442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7D98-6EB0-49CA-9D3F-A41534BC4016}">
  <sheetPr>
    <tabColor theme="9" tint="0.79998168889431442"/>
  </sheetPr>
  <dimension ref="B2:S37"/>
  <sheetViews>
    <sheetView workbookViewId="0">
      <selection activeCell="I24" sqref="I24"/>
    </sheetView>
  </sheetViews>
  <sheetFormatPr defaultRowHeight="15" x14ac:dyDescent="0.25"/>
  <cols>
    <col min="2" max="2" width="17.42578125" customWidth="1"/>
    <col min="3" max="3" width="13.5703125" customWidth="1"/>
    <col min="4" max="4" width="4.140625" customWidth="1"/>
    <col min="5" max="5" width="20.85546875" bestFit="1" customWidth="1"/>
    <col min="9" max="9" width="17" customWidth="1"/>
    <col min="10" max="10" width="13.140625" bestFit="1" customWidth="1"/>
  </cols>
  <sheetData>
    <row r="2" spans="2:19" x14ac:dyDescent="0.25">
      <c r="B2" s="53" t="s">
        <v>5</v>
      </c>
      <c r="C2" s="51"/>
      <c r="D2" s="51"/>
      <c r="E2" s="51"/>
      <c r="F2" s="51"/>
      <c r="G2" s="51"/>
      <c r="H2" s="51"/>
      <c r="I2" s="51"/>
      <c r="J2" s="52"/>
      <c r="K2" s="18"/>
      <c r="L2" s="18"/>
      <c r="M2" s="18"/>
      <c r="N2" s="18"/>
      <c r="O2" s="18"/>
      <c r="P2" s="18"/>
      <c r="Q2" s="18"/>
    </row>
    <row r="3" spans="2:19" x14ac:dyDescent="0.25">
      <c r="B3" s="45"/>
      <c r="C3" s="41"/>
      <c r="D3" s="41"/>
      <c r="E3" s="41"/>
      <c r="F3" s="41"/>
      <c r="G3" s="41"/>
      <c r="H3" s="41"/>
      <c r="I3" s="41"/>
      <c r="J3" s="44"/>
      <c r="K3" s="18"/>
      <c r="L3" s="18"/>
      <c r="M3" s="18"/>
      <c r="N3" s="18"/>
      <c r="O3" s="18"/>
      <c r="P3" s="18"/>
      <c r="Q3" s="18"/>
    </row>
    <row r="4" spans="2:19" ht="15" customHeight="1" x14ac:dyDescent="0.25">
      <c r="B4" s="54" t="s">
        <v>22</v>
      </c>
      <c r="C4" s="55">
        <v>45583</v>
      </c>
      <c r="D4" s="41"/>
      <c r="E4" s="25" t="s">
        <v>30</v>
      </c>
      <c r="F4" s="25"/>
      <c r="G4" s="25" t="s">
        <v>17</v>
      </c>
      <c r="H4" s="25" t="s">
        <v>31</v>
      </c>
      <c r="I4" s="41"/>
      <c r="J4" s="44"/>
      <c r="K4" s="18"/>
      <c r="L4" s="18"/>
      <c r="M4" s="18"/>
      <c r="N4" s="18"/>
      <c r="O4" s="18"/>
      <c r="P4" s="18"/>
      <c r="Q4" s="18"/>
    </row>
    <row r="5" spans="2:19" x14ac:dyDescent="0.25">
      <c r="B5" s="54" t="s">
        <v>1</v>
      </c>
      <c r="C5" s="56">
        <v>50</v>
      </c>
      <c r="D5" s="41"/>
      <c r="E5" s="57" t="str">
        <f>"Max Loss (&lt; Strike " &amp; C5 &amp; "$)"</f>
        <v>Max Loss (&lt; Strike 50$)</v>
      </c>
      <c r="F5" s="59">
        <v>48</v>
      </c>
      <c r="G5" s="58">
        <f>IF(F5&lt;=C5,-(C6*C9))</f>
        <v>-200</v>
      </c>
      <c r="H5" s="59">
        <f>G5/$C$8</f>
        <v>-1</v>
      </c>
      <c r="I5" s="41"/>
      <c r="J5" s="44"/>
      <c r="K5" s="18"/>
      <c r="L5" s="18"/>
      <c r="M5" s="18"/>
      <c r="N5" s="18"/>
      <c r="O5" s="18"/>
      <c r="P5" s="18"/>
      <c r="Q5" s="18"/>
    </row>
    <row r="6" spans="2:19" x14ac:dyDescent="0.25">
      <c r="B6" s="54" t="s">
        <v>6</v>
      </c>
      <c r="C6" s="57">
        <v>2</v>
      </c>
      <c r="D6" s="41"/>
      <c r="E6" s="57" t="str">
        <f>"BE = Strike + Price"</f>
        <v>BE = Strike + Price</v>
      </c>
      <c r="F6" s="59">
        <f>C5+C6</f>
        <v>52</v>
      </c>
      <c r="G6" s="58">
        <f>(F6-$C$5-$C$6)*$C$7*100</f>
        <v>0</v>
      </c>
      <c r="H6" s="59">
        <f>G6/$C$8</f>
        <v>0</v>
      </c>
      <c r="I6" s="41"/>
      <c r="J6" s="44"/>
      <c r="K6" s="18"/>
      <c r="L6" s="18"/>
      <c r="M6" s="18"/>
      <c r="N6" s="18"/>
      <c r="O6" s="18"/>
      <c r="P6" s="18"/>
      <c r="Q6" s="18"/>
      <c r="S6" s="18"/>
    </row>
    <row r="7" spans="2:19" x14ac:dyDescent="0.25">
      <c r="B7" s="54" t="s">
        <v>23</v>
      </c>
      <c r="C7" s="57">
        <v>1</v>
      </c>
      <c r="D7" s="42"/>
      <c r="E7" s="57" t="s">
        <v>27</v>
      </c>
      <c r="F7" s="59">
        <v>55</v>
      </c>
      <c r="G7" s="58">
        <f>IF(F7&gt;C5,((F7-C5-C6)*C9),G5)</f>
        <v>300</v>
      </c>
      <c r="H7" s="59">
        <f>G7/$C$8</f>
        <v>1.5</v>
      </c>
      <c r="I7" s="41"/>
      <c r="J7" s="44"/>
      <c r="K7" s="18"/>
      <c r="L7" s="18"/>
      <c r="M7" s="18"/>
      <c r="N7" s="18"/>
      <c r="O7" s="18"/>
      <c r="P7" s="18"/>
      <c r="Q7" s="18"/>
    </row>
    <row r="8" spans="2:19" x14ac:dyDescent="0.25">
      <c r="B8" s="54" t="s">
        <v>26</v>
      </c>
      <c r="C8" s="57">
        <f>C6*C7*100</f>
        <v>200</v>
      </c>
      <c r="D8" s="42"/>
      <c r="E8" s="57" t="s">
        <v>28</v>
      </c>
      <c r="F8" s="59">
        <v>60</v>
      </c>
      <c r="G8" s="58">
        <f>IF(F8&gt;C5,((F8-C5-C6)*C9),G5)</f>
        <v>800</v>
      </c>
      <c r="H8" s="59">
        <f>G8/$C$8</f>
        <v>4</v>
      </c>
      <c r="I8" s="41"/>
      <c r="J8" s="44"/>
      <c r="K8" s="18"/>
      <c r="L8" s="18"/>
      <c r="M8" s="18"/>
      <c r="N8" s="18"/>
      <c r="O8" s="18"/>
      <c r="P8" s="18"/>
      <c r="Q8" s="18"/>
    </row>
    <row r="9" spans="2:19" x14ac:dyDescent="0.25">
      <c r="B9" s="54" t="s">
        <v>24</v>
      </c>
      <c r="C9" s="57">
        <f>C7*100</f>
        <v>100</v>
      </c>
      <c r="D9" s="42"/>
      <c r="E9" s="57" t="s">
        <v>29</v>
      </c>
      <c r="F9" s="59">
        <v>70</v>
      </c>
      <c r="G9" s="58">
        <f>IF(F9&gt;C5,((F9-C5-C6)*C9),G5)</f>
        <v>1800</v>
      </c>
      <c r="H9" s="59">
        <f>G9/$C$8</f>
        <v>9</v>
      </c>
      <c r="I9" s="41"/>
      <c r="J9" s="44"/>
      <c r="K9" s="18"/>
      <c r="L9" s="18"/>
      <c r="M9" s="18"/>
      <c r="N9" s="18"/>
      <c r="O9" s="18"/>
      <c r="P9" s="18"/>
      <c r="Q9" s="18"/>
    </row>
    <row r="10" spans="2:19" x14ac:dyDescent="0.25">
      <c r="B10" s="54" t="s">
        <v>25</v>
      </c>
      <c r="C10" s="57">
        <f>C9*C5</f>
        <v>5000</v>
      </c>
      <c r="D10" s="42"/>
      <c r="E10" s="47"/>
      <c r="F10" s="41"/>
      <c r="G10" s="41"/>
      <c r="H10" s="41"/>
      <c r="I10" s="41"/>
      <c r="J10" s="44"/>
      <c r="K10" s="18"/>
      <c r="L10" s="18"/>
      <c r="M10" s="18"/>
      <c r="N10" s="18"/>
      <c r="O10" s="18"/>
      <c r="P10" s="18"/>
      <c r="Q10" s="18"/>
      <c r="S10" s="18"/>
    </row>
    <row r="11" spans="2:19" x14ac:dyDescent="0.25">
      <c r="B11" s="45"/>
      <c r="C11" s="41"/>
      <c r="D11" s="42"/>
      <c r="E11" s="47"/>
      <c r="F11" s="41"/>
      <c r="G11" s="41"/>
      <c r="H11" s="41"/>
      <c r="I11" s="41"/>
      <c r="J11" s="44"/>
      <c r="K11" s="18"/>
      <c r="L11" s="18"/>
      <c r="M11" s="18"/>
      <c r="N11" s="18"/>
      <c r="O11" s="18"/>
      <c r="P11" s="18"/>
      <c r="Q11" s="18"/>
      <c r="S11" s="18"/>
    </row>
    <row r="12" spans="2:19" ht="15" customHeight="1" x14ac:dyDescent="0.25">
      <c r="B12" s="45"/>
      <c r="C12" s="41"/>
      <c r="D12" s="42"/>
      <c r="E12" s="47"/>
      <c r="F12" s="41"/>
      <c r="G12" s="41"/>
      <c r="H12" s="41"/>
      <c r="I12" s="41"/>
      <c r="J12" s="44"/>
      <c r="K12" s="18"/>
      <c r="L12" s="18"/>
      <c r="M12" s="18"/>
      <c r="N12" s="18"/>
      <c r="O12" s="18"/>
      <c r="P12" s="18"/>
      <c r="Q12" s="18"/>
    </row>
    <row r="13" spans="2:19" x14ac:dyDescent="0.25">
      <c r="B13" s="43" t="s">
        <v>7</v>
      </c>
      <c r="C13" s="41"/>
      <c r="D13" s="42"/>
      <c r="E13" s="47"/>
      <c r="F13" s="41"/>
      <c r="G13" s="41"/>
      <c r="H13" s="41"/>
      <c r="I13" s="41"/>
      <c r="J13" s="44"/>
      <c r="K13" s="18"/>
      <c r="L13" s="18"/>
      <c r="M13" s="18"/>
      <c r="N13" s="18"/>
      <c r="O13" s="18"/>
      <c r="P13" s="18"/>
      <c r="Q13" s="18"/>
    </row>
    <row r="14" spans="2:19" x14ac:dyDescent="0.25">
      <c r="B14" s="45" t="s">
        <v>15</v>
      </c>
      <c r="C14" s="41"/>
      <c r="D14" s="41"/>
      <c r="E14" s="41"/>
      <c r="F14" s="41"/>
      <c r="G14" s="41"/>
      <c r="H14" s="41"/>
      <c r="I14" s="41" t="s">
        <v>8</v>
      </c>
      <c r="J14" s="44"/>
      <c r="K14" s="18"/>
      <c r="L14" s="18"/>
      <c r="M14" s="18"/>
      <c r="N14" s="18"/>
      <c r="O14" s="18"/>
      <c r="P14" s="18"/>
      <c r="Q14" s="18"/>
    </row>
    <row r="15" spans="2:19" x14ac:dyDescent="0.25">
      <c r="B15" s="45"/>
      <c r="C15" s="41"/>
      <c r="D15" s="41"/>
      <c r="E15" s="41"/>
      <c r="F15" s="41"/>
      <c r="G15" s="41"/>
      <c r="H15" s="41"/>
      <c r="I15" s="41" t="s">
        <v>9</v>
      </c>
      <c r="J15" s="44"/>
      <c r="K15" s="18"/>
      <c r="L15" s="18"/>
      <c r="M15" s="18"/>
      <c r="N15" s="18"/>
      <c r="O15" s="18"/>
      <c r="P15" s="18"/>
      <c r="Q15" s="18"/>
      <c r="S15" s="18"/>
    </row>
    <row r="16" spans="2:19" x14ac:dyDescent="0.25">
      <c r="B16" s="43" t="s">
        <v>21</v>
      </c>
      <c r="C16" s="41"/>
      <c r="D16" s="41"/>
      <c r="E16" s="41"/>
      <c r="F16" s="41"/>
      <c r="G16" s="41"/>
      <c r="H16" s="41"/>
      <c r="I16" s="41" t="s">
        <v>10</v>
      </c>
      <c r="J16" s="44"/>
      <c r="K16" s="18"/>
      <c r="L16" s="18"/>
      <c r="M16" s="18"/>
      <c r="N16" s="18"/>
      <c r="O16" s="18"/>
      <c r="P16" s="18"/>
      <c r="Q16" s="18"/>
      <c r="S16" s="18"/>
    </row>
    <row r="17" spans="2:17" x14ac:dyDescent="0.25">
      <c r="B17" s="45" t="s">
        <v>16</v>
      </c>
      <c r="C17" s="41"/>
      <c r="D17" s="41"/>
      <c r="E17" s="41"/>
      <c r="F17" s="41"/>
      <c r="G17" s="41"/>
      <c r="H17" s="41"/>
      <c r="I17" s="41" t="s">
        <v>11</v>
      </c>
      <c r="J17" s="44"/>
      <c r="K17" s="18"/>
      <c r="L17" s="18"/>
      <c r="M17" s="18"/>
      <c r="N17" s="18"/>
      <c r="O17" s="18"/>
      <c r="P17" s="18"/>
      <c r="Q17" s="18"/>
    </row>
    <row r="18" spans="2:17" x14ac:dyDescent="0.25">
      <c r="B18" s="45" t="s">
        <v>38</v>
      </c>
      <c r="C18" s="41"/>
      <c r="D18" s="41"/>
      <c r="E18" s="41"/>
      <c r="F18" s="41"/>
      <c r="G18" s="42"/>
      <c r="H18" s="41"/>
      <c r="I18" s="41" t="s">
        <v>12</v>
      </c>
      <c r="J18" s="44"/>
      <c r="K18" s="18"/>
      <c r="L18" s="18"/>
      <c r="M18" s="18"/>
      <c r="N18" s="18"/>
      <c r="O18" s="18"/>
      <c r="P18" s="18"/>
      <c r="Q18" s="18"/>
    </row>
    <row r="19" spans="2:17" x14ac:dyDescent="0.25">
      <c r="B19" s="45"/>
      <c r="C19" s="41"/>
      <c r="D19" s="41"/>
      <c r="E19" s="41"/>
      <c r="F19" s="41"/>
      <c r="G19" s="41"/>
      <c r="H19" s="41"/>
      <c r="I19" s="41" t="s">
        <v>13</v>
      </c>
      <c r="J19" s="44"/>
      <c r="K19" s="18"/>
      <c r="L19" s="18"/>
      <c r="M19" s="18"/>
      <c r="N19" s="18"/>
      <c r="O19" s="18"/>
      <c r="P19" s="18"/>
      <c r="Q19" s="18"/>
    </row>
    <row r="20" spans="2:17" x14ac:dyDescent="0.25">
      <c r="B20" s="43" t="s">
        <v>18</v>
      </c>
      <c r="C20" s="41"/>
      <c r="D20" s="41"/>
      <c r="E20" s="41"/>
      <c r="F20" s="41"/>
      <c r="G20" s="41"/>
      <c r="H20" s="41"/>
      <c r="I20" s="41" t="s">
        <v>14</v>
      </c>
      <c r="J20" s="44"/>
      <c r="K20" s="18"/>
      <c r="L20" s="18"/>
      <c r="M20" s="18"/>
      <c r="N20" s="18"/>
      <c r="O20" s="18"/>
      <c r="P20" s="18"/>
      <c r="Q20" s="18"/>
    </row>
    <row r="21" spans="2:17" x14ac:dyDescent="0.25">
      <c r="B21" s="45" t="s">
        <v>19</v>
      </c>
      <c r="C21" s="41"/>
      <c r="D21" s="41"/>
      <c r="E21" s="41"/>
      <c r="F21" s="41"/>
      <c r="G21" s="41"/>
      <c r="H21" s="41"/>
      <c r="I21" s="41"/>
      <c r="J21" s="44"/>
      <c r="K21" s="18"/>
      <c r="L21" s="18"/>
      <c r="M21" s="18"/>
      <c r="N21" s="18"/>
      <c r="O21" s="18"/>
      <c r="P21" s="18"/>
      <c r="Q21" s="18"/>
    </row>
    <row r="22" spans="2:17" x14ac:dyDescent="0.25">
      <c r="B22" s="45" t="s">
        <v>20</v>
      </c>
      <c r="C22" s="41"/>
      <c r="D22" s="41"/>
      <c r="E22" s="41"/>
      <c r="F22" s="41"/>
      <c r="G22" s="41"/>
      <c r="H22" s="41"/>
      <c r="I22" s="41"/>
      <c r="J22" s="44"/>
      <c r="K22" s="18"/>
      <c r="L22" s="18"/>
      <c r="M22" s="18"/>
      <c r="N22" s="18"/>
      <c r="O22" s="18"/>
      <c r="P22" s="18"/>
      <c r="Q22" s="18"/>
    </row>
    <row r="23" spans="2:17" x14ac:dyDescent="0.25">
      <c r="B23" s="48"/>
      <c r="C23" s="49"/>
      <c r="D23" s="49"/>
      <c r="E23" s="49"/>
      <c r="F23" s="49"/>
      <c r="G23" s="49"/>
      <c r="H23" s="49"/>
      <c r="I23" s="49"/>
      <c r="J23" s="50"/>
      <c r="K23" s="18"/>
      <c r="L23" s="18"/>
      <c r="M23" s="18"/>
      <c r="N23" s="18"/>
      <c r="O23" s="18"/>
      <c r="P23" s="18"/>
      <c r="Q23" s="18"/>
    </row>
    <row r="24" spans="2:17" x14ac:dyDescent="0.25">
      <c r="G24" s="5"/>
      <c r="K24" s="18"/>
      <c r="L24" s="18"/>
      <c r="M24" s="18"/>
      <c r="N24" s="18"/>
      <c r="O24" s="18"/>
      <c r="P24" s="18"/>
      <c r="Q24" s="18"/>
    </row>
    <row r="27" spans="2:17" x14ac:dyDescent="0.25">
      <c r="B27" s="7" t="s">
        <v>68</v>
      </c>
    </row>
    <row r="28" spans="2:17" ht="15" customHeight="1" x14ac:dyDescent="0.25"/>
    <row r="29" spans="2:17" x14ac:dyDescent="0.25">
      <c r="B29" s="10" t="s">
        <v>22</v>
      </c>
      <c r="C29" s="1">
        <v>45583</v>
      </c>
      <c r="E29" s="8" t="s">
        <v>30</v>
      </c>
      <c r="F29" s="8"/>
      <c r="G29" s="8" t="s">
        <v>17</v>
      </c>
      <c r="H29" s="8" t="s">
        <v>31</v>
      </c>
    </row>
    <row r="30" spans="2:17" x14ac:dyDescent="0.25">
      <c r="B30" s="10" t="s">
        <v>1</v>
      </c>
      <c r="C30" s="6">
        <v>25</v>
      </c>
      <c r="D30" s="5"/>
      <c r="E30" s="10" t="str">
        <f>"Max Loss (&lt; Strike " &amp; C30 &amp; "$)"</f>
        <v>Max Loss (&lt; Strike 25$)</v>
      </c>
      <c r="F30" s="9">
        <f>C30-2</f>
        <v>23</v>
      </c>
      <c r="G30" s="11">
        <f>IF(F30&lt;=C30,-(C31*C34))</f>
        <v>-10000</v>
      </c>
      <c r="H30" s="9">
        <f>G30/$C$8</f>
        <v>-50</v>
      </c>
    </row>
    <row r="31" spans="2:17" ht="15" customHeight="1" x14ac:dyDescent="0.25">
      <c r="B31" s="10" t="s">
        <v>6</v>
      </c>
      <c r="C31">
        <v>2</v>
      </c>
      <c r="D31" s="5"/>
      <c r="E31" s="10" t="str">
        <f>"BE = Strike + Price"</f>
        <v>BE = Strike + Price</v>
      </c>
      <c r="F31" s="9">
        <f>C30+C31</f>
        <v>27</v>
      </c>
      <c r="G31" s="26">
        <f>(F31-$C$30-$C$31)*$C$32*100</f>
        <v>0</v>
      </c>
      <c r="H31" s="9">
        <f>G31/$C$8</f>
        <v>0</v>
      </c>
    </row>
    <row r="32" spans="2:17" x14ac:dyDescent="0.25">
      <c r="B32" s="10" t="s">
        <v>23</v>
      </c>
      <c r="C32">
        <v>50</v>
      </c>
      <c r="D32" s="5"/>
      <c r="E32" s="10" t="s">
        <v>27</v>
      </c>
      <c r="F32" s="4">
        <v>29</v>
      </c>
      <c r="G32" s="26">
        <f>IF(F32&gt;C30,((F32-C30-C31)*C34),G30)</f>
        <v>10000</v>
      </c>
      <c r="H32" s="9">
        <f>G32/$C$8</f>
        <v>50</v>
      </c>
    </row>
    <row r="33" spans="2:8" x14ac:dyDescent="0.25">
      <c r="B33" s="10" t="s">
        <v>26</v>
      </c>
      <c r="C33" s="10">
        <f>C31*C32*100</f>
        <v>10000</v>
      </c>
      <c r="D33" s="5"/>
      <c r="E33" s="10" t="s">
        <v>28</v>
      </c>
      <c r="F33" s="4">
        <v>31</v>
      </c>
      <c r="G33" s="26">
        <f>IF(F33&gt;C30,((F33-C30-C31)*C34),G30)</f>
        <v>20000</v>
      </c>
      <c r="H33" s="9">
        <f>G33/$C$8</f>
        <v>100</v>
      </c>
    </row>
    <row r="34" spans="2:8" x14ac:dyDescent="0.25">
      <c r="B34" s="10" t="s">
        <v>24</v>
      </c>
      <c r="C34" s="10">
        <f>C32*100</f>
        <v>5000</v>
      </c>
      <c r="D34" s="5"/>
      <c r="E34" s="10" t="s">
        <v>29</v>
      </c>
      <c r="F34" s="4">
        <v>33</v>
      </c>
      <c r="G34" s="26">
        <f>IF(F34&gt;C30,((F34-C30-C31)*C34),G30)</f>
        <v>30000</v>
      </c>
      <c r="H34" s="9">
        <f>G34/$C$8</f>
        <v>150</v>
      </c>
    </row>
    <row r="35" spans="2:8" ht="15" customHeight="1" x14ac:dyDescent="0.25">
      <c r="B35" s="10" t="s">
        <v>25</v>
      </c>
      <c r="C35" s="10">
        <f>C34*C30</f>
        <v>125000</v>
      </c>
      <c r="D35" s="5"/>
      <c r="E35" s="6"/>
    </row>
    <row r="37" spans="2:8" x14ac:dyDescent="0.25">
      <c r="E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C5F4-515D-4AAB-8B65-23F84AADA9D5}">
  <sheetPr>
    <tabColor theme="9" tint="0.79998168889431442"/>
  </sheetPr>
  <dimension ref="B2:L36"/>
  <sheetViews>
    <sheetView workbookViewId="0">
      <selection activeCell="E5" sqref="E5:E9"/>
    </sheetView>
  </sheetViews>
  <sheetFormatPr defaultRowHeight="15" x14ac:dyDescent="0.25"/>
  <cols>
    <col min="2" max="2" width="17" customWidth="1"/>
    <col min="3" max="3" width="10.140625" bestFit="1" customWidth="1"/>
    <col min="4" max="4" width="4" customWidth="1"/>
    <col min="5" max="5" width="20" customWidth="1"/>
  </cols>
  <sheetData>
    <row r="2" spans="2:12" x14ac:dyDescent="0.25">
      <c r="B2" s="53" t="s">
        <v>32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2:12" x14ac:dyDescent="0.25">
      <c r="B3" s="45"/>
      <c r="C3" s="41"/>
      <c r="D3" s="41"/>
      <c r="E3" s="41"/>
      <c r="F3" s="41"/>
      <c r="G3" s="41"/>
      <c r="H3" s="41"/>
      <c r="I3" s="41"/>
      <c r="J3" s="41"/>
      <c r="K3" s="41"/>
      <c r="L3" s="44"/>
    </row>
    <row r="4" spans="2:12" ht="15" customHeight="1" x14ac:dyDescent="0.25">
      <c r="B4" s="54" t="s">
        <v>22</v>
      </c>
      <c r="C4" s="55">
        <v>45583</v>
      </c>
      <c r="D4" s="41"/>
      <c r="E4" s="25" t="s">
        <v>30</v>
      </c>
      <c r="F4" s="25"/>
      <c r="G4" s="25" t="s">
        <v>17</v>
      </c>
      <c r="H4" s="25" t="s">
        <v>31</v>
      </c>
      <c r="I4" s="41"/>
      <c r="J4" s="41"/>
      <c r="K4" s="41"/>
      <c r="L4" s="44"/>
    </row>
    <row r="5" spans="2:12" x14ac:dyDescent="0.25">
      <c r="B5" s="54" t="s">
        <v>1</v>
      </c>
      <c r="C5" s="56">
        <v>50</v>
      </c>
      <c r="D5" s="42"/>
      <c r="E5" s="57" t="str">
        <f>"Max Loss (&gt; Strike " &amp; C5 &amp; "$)"</f>
        <v>Max Loss (&gt; Strike 50$)</v>
      </c>
      <c r="F5" s="59">
        <v>52</v>
      </c>
      <c r="G5" s="58">
        <f>IF(F5&gt;=C5,(C6*C9))</f>
        <v>-200</v>
      </c>
      <c r="H5" s="59">
        <f>G5/$C$8</f>
        <v>-1</v>
      </c>
      <c r="I5" s="41"/>
      <c r="J5" s="41"/>
      <c r="K5" s="41"/>
      <c r="L5" s="44"/>
    </row>
    <row r="6" spans="2:12" x14ac:dyDescent="0.25">
      <c r="B6" s="54" t="s">
        <v>6</v>
      </c>
      <c r="C6" s="57">
        <v>2</v>
      </c>
      <c r="D6" s="42"/>
      <c r="E6" s="57" t="str">
        <f>"BE = Strike - Price"</f>
        <v>BE = Strike - Price</v>
      </c>
      <c r="F6" s="59">
        <f>C5-C6</f>
        <v>48</v>
      </c>
      <c r="G6" s="58">
        <f>($C$5-$C$6-F6)*$C$7*100</f>
        <v>0</v>
      </c>
      <c r="H6" s="59">
        <f>G6/$C$8</f>
        <v>0</v>
      </c>
      <c r="I6" s="41"/>
      <c r="J6" s="41"/>
      <c r="K6" s="41"/>
      <c r="L6" s="44"/>
    </row>
    <row r="7" spans="2:12" x14ac:dyDescent="0.25">
      <c r="B7" s="54" t="s">
        <v>23</v>
      </c>
      <c r="C7" s="57">
        <v>1</v>
      </c>
      <c r="D7" s="42"/>
      <c r="E7" s="57" t="s">
        <v>27</v>
      </c>
      <c r="F7" s="59">
        <v>45</v>
      </c>
      <c r="G7" s="58">
        <f>IF(F7&lt;C5,((F7-C5-C6)*C9),G5)</f>
        <v>700</v>
      </c>
      <c r="H7" s="59">
        <f>G7/$C$8</f>
        <v>3.5</v>
      </c>
      <c r="I7" s="41"/>
      <c r="J7" s="41"/>
      <c r="K7" s="41"/>
      <c r="L7" s="44"/>
    </row>
    <row r="8" spans="2:12" x14ac:dyDescent="0.25">
      <c r="B8" s="54" t="s">
        <v>26</v>
      </c>
      <c r="C8" s="57">
        <f>C6*C7*100</f>
        <v>200</v>
      </c>
      <c r="D8" s="42"/>
      <c r="E8" s="57" t="s">
        <v>28</v>
      </c>
      <c r="F8" s="59">
        <v>40</v>
      </c>
      <c r="G8" s="58">
        <f>IF(F8&lt;C5,((F8-C5-C6)*C9),G5)</f>
        <v>1200</v>
      </c>
      <c r="H8" s="59">
        <f t="shared" ref="H8:H9" si="0">G8/$C$8</f>
        <v>6</v>
      </c>
      <c r="I8" s="41"/>
      <c r="J8" s="41"/>
      <c r="K8" s="41"/>
      <c r="L8" s="44"/>
    </row>
    <row r="9" spans="2:12" x14ac:dyDescent="0.25">
      <c r="B9" s="54" t="s">
        <v>24</v>
      </c>
      <c r="C9" s="57">
        <f>-C7*100</f>
        <v>-100</v>
      </c>
      <c r="D9" s="42"/>
      <c r="E9" s="57" t="s">
        <v>29</v>
      </c>
      <c r="F9" s="59">
        <v>20</v>
      </c>
      <c r="G9" s="58">
        <f>IF(F9&lt;C5,((F9-C5-C6)*C9),G5)</f>
        <v>3200</v>
      </c>
      <c r="H9" s="59">
        <f t="shared" si="0"/>
        <v>16</v>
      </c>
      <c r="I9" s="41"/>
      <c r="J9" s="41"/>
      <c r="K9" s="41"/>
      <c r="L9" s="44"/>
    </row>
    <row r="10" spans="2:12" x14ac:dyDescent="0.25">
      <c r="B10" s="54" t="s">
        <v>25</v>
      </c>
      <c r="C10" s="57">
        <f>C9*C5</f>
        <v>-5000</v>
      </c>
      <c r="D10" s="42"/>
      <c r="E10" s="47"/>
      <c r="F10" s="41"/>
      <c r="G10" s="41"/>
      <c r="H10" s="41"/>
      <c r="I10" s="41"/>
      <c r="J10" s="41"/>
      <c r="K10" s="41"/>
      <c r="L10" s="44"/>
    </row>
    <row r="11" spans="2:12" ht="15" customHeight="1" x14ac:dyDescent="0.25">
      <c r="B11" s="45"/>
      <c r="C11" s="41"/>
      <c r="D11" s="41"/>
      <c r="E11" s="41"/>
      <c r="F11" s="41"/>
      <c r="G11" s="41"/>
      <c r="H11" s="41"/>
      <c r="I11" s="41"/>
      <c r="J11" s="41"/>
      <c r="K11" s="41"/>
      <c r="L11" s="44"/>
    </row>
    <row r="12" spans="2:12" x14ac:dyDescent="0.25">
      <c r="B12" s="43" t="s">
        <v>7</v>
      </c>
      <c r="C12" s="41"/>
      <c r="D12" s="41"/>
      <c r="E12" s="41"/>
      <c r="F12" s="41"/>
      <c r="G12" s="41"/>
      <c r="H12" s="41"/>
      <c r="I12" s="41"/>
      <c r="J12" s="41" t="s">
        <v>8</v>
      </c>
      <c r="K12" s="41"/>
      <c r="L12" s="44"/>
    </row>
    <row r="13" spans="2:12" x14ac:dyDescent="0.25">
      <c r="B13" s="45" t="s">
        <v>35</v>
      </c>
      <c r="C13" s="41"/>
      <c r="D13" s="41"/>
      <c r="E13" s="41"/>
      <c r="F13" s="41"/>
      <c r="G13" s="41"/>
      <c r="H13" s="41"/>
      <c r="I13" s="41"/>
      <c r="J13" s="41" t="s">
        <v>33</v>
      </c>
      <c r="K13" s="41"/>
      <c r="L13" s="44"/>
    </row>
    <row r="14" spans="2:12" x14ac:dyDescent="0.25">
      <c r="B14" s="45"/>
      <c r="C14" s="41"/>
      <c r="D14" s="41"/>
      <c r="E14" s="41"/>
      <c r="F14" s="41"/>
      <c r="G14" s="41"/>
      <c r="H14" s="41"/>
      <c r="I14" s="41"/>
      <c r="J14" s="41" t="s">
        <v>10</v>
      </c>
      <c r="K14" s="41"/>
      <c r="L14" s="44"/>
    </row>
    <row r="15" spans="2:12" x14ac:dyDescent="0.25">
      <c r="B15" s="43" t="s">
        <v>21</v>
      </c>
      <c r="C15" s="41"/>
      <c r="D15" s="41"/>
      <c r="E15" s="41"/>
      <c r="F15" s="41"/>
      <c r="G15" s="41"/>
      <c r="H15" s="41"/>
      <c r="I15" s="41"/>
      <c r="J15" s="41" t="s">
        <v>11</v>
      </c>
      <c r="K15" s="41"/>
      <c r="L15" s="44"/>
    </row>
    <row r="16" spans="2:12" x14ac:dyDescent="0.25">
      <c r="B16" s="45" t="s">
        <v>36</v>
      </c>
      <c r="C16" s="41"/>
      <c r="D16" s="46"/>
      <c r="E16" s="41"/>
      <c r="F16" s="41"/>
      <c r="G16" s="41"/>
      <c r="H16" s="41"/>
      <c r="I16" s="41"/>
      <c r="J16" s="41" t="s">
        <v>12</v>
      </c>
      <c r="K16" s="41"/>
      <c r="L16" s="44"/>
    </row>
    <row r="17" spans="2:12" x14ac:dyDescent="0.25">
      <c r="B17" s="45" t="s">
        <v>37</v>
      </c>
      <c r="C17" s="47"/>
      <c r="D17" s="41"/>
      <c r="E17" s="42"/>
      <c r="F17" s="41"/>
      <c r="G17" s="42"/>
      <c r="H17" s="41"/>
      <c r="I17" s="41"/>
      <c r="J17" s="41" t="s">
        <v>13</v>
      </c>
      <c r="K17" s="41"/>
      <c r="L17" s="44"/>
    </row>
    <row r="18" spans="2:12" x14ac:dyDescent="0.25">
      <c r="B18" s="45"/>
      <c r="C18" s="41"/>
      <c r="D18" s="42"/>
      <c r="E18" s="47"/>
      <c r="F18" s="41"/>
      <c r="G18" s="41"/>
      <c r="H18" s="41"/>
      <c r="I18" s="41"/>
      <c r="J18" s="41" t="s">
        <v>34</v>
      </c>
      <c r="K18" s="41"/>
      <c r="L18" s="44"/>
    </row>
    <row r="19" spans="2:12" x14ac:dyDescent="0.25">
      <c r="B19" s="43" t="s">
        <v>18</v>
      </c>
      <c r="C19" s="41"/>
      <c r="D19" s="42"/>
      <c r="E19" s="47"/>
      <c r="F19" s="41"/>
      <c r="G19" s="41"/>
      <c r="H19" s="41"/>
      <c r="I19" s="41"/>
      <c r="J19" s="41"/>
      <c r="K19" s="41"/>
      <c r="L19" s="44"/>
    </row>
    <row r="20" spans="2:12" x14ac:dyDescent="0.25">
      <c r="B20" s="45" t="s">
        <v>19</v>
      </c>
      <c r="C20" s="41"/>
      <c r="D20" s="41"/>
      <c r="E20" s="47"/>
      <c r="F20" s="41"/>
      <c r="G20" s="41"/>
      <c r="H20" s="41"/>
      <c r="I20" s="41"/>
      <c r="J20" s="41"/>
      <c r="K20" s="41"/>
      <c r="L20" s="44"/>
    </row>
    <row r="21" spans="2:12" x14ac:dyDescent="0.25">
      <c r="B21" s="45" t="s">
        <v>39</v>
      </c>
      <c r="C21" s="41"/>
      <c r="D21" s="41"/>
      <c r="E21" s="47"/>
      <c r="F21" s="41"/>
      <c r="G21" s="41"/>
      <c r="H21" s="41"/>
      <c r="I21" s="41"/>
      <c r="J21" s="41"/>
      <c r="K21" s="41"/>
      <c r="L21" s="44"/>
    </row>
    <row r="22" spans="2:12" x14ac:dyDescent="0.25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50"/>
    </row>
    <row r="23" spans="2:12" x14ac:dyDescent="0.25">
      <c r="G23" s="5"/>
    </row>
    <row r="25" spans="2:12" x14ac:dyDescent="0.25">
      <c r="D25" s="5"/>
      <c r="E25" s="6"/>
    </row>
    <row r="26" spans="2:12" x14ac:dyDescent="0.25">
      <c r="B26" s="64" t="s">
        <v>69</v>
      </c>
      <c r="C26" s="39"/>
      <c r="D26" s="39"/>
      <c r="E26" s="39"/>
      <c r="F26" s="39"/>
      <c r="G26" s="39"/>
      <c r="H26" s="39"/>
    </row>
    <row r="27" spans="2:12" x14ac:dyDescent="0.25">
      <c r="B27" s="39"/>
      <c r="C27" s="39"/>
      <c r="D27" s="39"/>
      <c r="E27" s="39"/>
      <c r="F27" s="39"/>
      <c r="G27" s="39"/>
      <c r="H27" s="39"/>
    </row>
    <row r="28" spans="2:12" x14ac:dyDescent="0.25">
      <c r="B28" s="57" t="s">
        <v>22</v>
      </c>
      <c r="C28" s="66">
        <v>45583</v>
      </c>
      <c r="D28" s="39"/>
      <c r="E28" s="25" t="s">
        <v>30</v>
      </c>
      <c r="F28" s="25"/>
      <c r="G28" s="25" t="s">
        <v>17</v>
      </c>
      <c r="H28" s="25" t="s">
        <v>31</v>
      </c>
    </row>
    <row r="29" spans="2:12" x14ac:dyDescent="0.25">
      <c r="B29" s="57" t="s">
        <v>1</v>
      </c>
      <c r="C29" s="67">
        <v>25</v>
      </c>
      <c r="D29" s="40"/>
      <c r="E29" s="57" t="str">
        <f>"Max Loss (&gt; Strike " &amp; C29 &amp; "$)"</f>
        <v>Max Loss (&gt; Strike 25$)</v>
      </c>
      <c r="F29" s="59">
        <f>C29+2</f>
        <v>27</v>
      </c>
      <c r="G29" s="58">
        <f>IF(F29&gt;=C29,(C30*C33))</f>
        <v>-5000</v>
      </c>
      <c r="H29" s="59">
        <f>G29/$C$32</f>
        <v>-1</v>
      </c>
    </row>
    <row r="30" spans="2:12" x14ac:dyDescent="0.25">
      <c r="B30" s="57" t="s">
        <v>6</v>
      </c>
      <c r="C30" s="39">
        <v>1</v>
      </c>
      <c r="D30" s="40"/>
      <c r="E30" s="57" t="str">
        <f>"BE = Strike - Price"</f>
        <v>BE = Strike - Price</v>
      </c>
      <c r="F30" s="59">
        <f>C29-C30</f>
        <v>24</v>
      </c>
      <c r="G30" s="58">
        <f>($C$29-$C$30-F30)*$C$31*100</f>
        <v>0</v>
      </c>
      <c r="H30" s="59">
        <f t="shared" ref="H30:H33" si="1">G30/$C$32</f>
        <v>0</v>
      </c>
    </row>
    <row r="31" spans="2:12" x14ac:dyDescent="0.25">
      <c r="B31" s="57" t="s">
        <v>23</v>
      </c>
      <c r="C31" s="39">
        <v>50</v>
      </c>
      <c r="D31" s="40"/>
      <c r="E31" s="57" t="s">
        <v>27</v>
      </c>
      <c r="F31" s="68">
        <v>22</v>
      </c>
      <c r="G31" s="58">
        <f>IF(F31&lt;C29,((F31-C29-C30)*C33),G29)</f>
        <v>20000</v>
      </c>
      <c r="H31" s="59">
        <f t="shared" si="1"/>
        <v>4</v>
      </c>
    </row>
    <row r="32" spans="2:12" x14ac:dyDescent="0.25">
      <c r="B32" s="57" t="s">
        <v>26</v>
      </c>
      <c r="C32" s="57">
        <f>C30*C31*100</f>
        <v>5000</v>
      </c>
      <c r="D32" s="40"/>
      <c r="E32" s="57" t="s">
        <v>28</v>
      </c>
      <c r="F32" s="68">
        <v>19</v>
      </c>
      <c r="G32" s="58">
        <f>IF(F32&lt;C29,((F32-C29-C30)*C33),G29)</f>
        <v>35000</v>
      </c>
      <c r="H32" s="59">
        <f t="shared" si="1"/>
        <v>7</v>
      </c>
    </row>
    <row r="33" spans="2:8" x14ac:dyDescent="0.25">
      <c r="B33" s="57" t="s">
        <v>24</v>
      </c>
      <c r="C33" s="57">
        <f>-C31*100</f>
        <v>-5000</v>
      </c>
      <c r="D33" s="40"/>
      <c r="E33" s="57" t="s">
        <v>29</v>
      </c>
      <c r="F33" s="68">
        <v>10</v>
      </c>
      <c r="G33" s="58">
        <f>IF(F33&lt;C29,((F33-C29-C30)*C33),G29)</f>
        <v>80000</v>
      </c>
      <c r="H33" s="59">
        <f t="shared" si="1"/>
        <v>16</v>
      </c>
    </row>
    <row r="34" spans="2:8" x14ac:dyDescent="0.25">
      <c r="B34" s="57" t="s">
        <v>25</v>
      </c>
      <c r="C34" s="57">
        <f>C33*C29</f>
        <v>-125000</v>
      </c>
      <c r="D34" s="40"/>
      <c r="E34" s="47"/>
      <c r="F34" s="41"/>
      <c r="G34" s="41"/>
      <c r="H34" s="41"/>
    </row>
    <row r="35" spans="2:8" x14ac:dyDescent="0.25">
      <c r="B35" s="18"/>
      <c r="C35" s="18"/>
      <c r="D35" s="39"/>
      <c r="E35" s="18"/>
      <c r="F35" s="18"/>
      <c r="G35" s="18"/>
      <c r="H35" s="18"/>
    </row>
    <row r="36" spans="2:8" x14ac:dyDescent="0.25">
      <c r="D36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252-19CF-47DC-8BBD-EA6C72C2BE23}">
  <sheetPr>
    <tabColor theme="5" tint="0.79998168889431442"/>
  </sheetPr>
  <dimension ref="B2:M26"/>
  <sheetViews>
    <sheetView workbookViewId="0">
      <selection activeCell="E33" sqref="E33"/>
    </sheetView>
  </sheetViews>
  <sheetFormatPr defaultRowHeight="15" x14ac:dyDescent="0.25"/>
  <cols>
    <col min="2" max="2" width="17.28515625" customWidth="1"/>
    <col min="3" max="3" width="10.140625" bestFit="1" customWidth="1"/>
    <col min="4" max="4" width="4" customWidth="1"/>
    <col min="5" max="5" width="23.28515625" customWidth="1"/>
  </cols>
  <sheetData>
    <row r="2" spans="2:13" x14ac:dyDescent="0.25">
      <c r="B2" s="14" t="s">
        <v>41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2:13" x14ac:dyDescent="0.25">
      <c r="B4" s="20" t="s">
        <v>22</v>
      </c>
      <c r="C4" s="38">
        <v>45583</v>
      </c>
      <c r="D4" s="18"/>
      <c r="E4" s="25" t="s">
        <v>30</v>
      </c>
      <c r="F4" s="25"/>
      <c r="G4" s="25" t="s">
        <v>17</v>
      </c>
      <c r="H4" s="25" t="s">
        <v>31</v>
      </c>
      <c r="I4" s="18"/>
      <c r="J4" s="18"/>
      <c r="K4" s="18"/>
      <c r="L4" s="18"/>
      <c r="M4" s="19"/>
    </row>
    <row r="5" spans="2:13" x14ac:dyDescent="0.25">
      <c r="B5" s="20" t="s">
        <v>1</v>
      </c>
      <c r="C5" s="28">
        <v>50</v>
      </c>
      <c r="D5" s="18"/>
      <c r="E5" s="39" t="str">
        <f>"Max Profit (&gt; Strike " &amp; C5 &amp; "$)"</f>
        <v>Max Profit (&gt; Strike 50$)</v>
      </c>
      <c r="F5" s="29">
        <f>C5+2</f>
        <v>52</v>
      </c>
      <c r="G5" s="22">
        <f>IF(F5&gt;=C5,C8)</f>
        <v>200</v>
      </c>
      <c r="H5" s="29">
        <f>G5/$C$8</f>
        <v>1</v>
      </c>
      <c r="I5" s="18"/>
      <c r="J5" s="18"/>
      <c r="K5" s="18"/>
      <c r="L5" s="18"/>
      <c r="M5" s="19"/>
    </row>
    <row r="6" spans="2:13" x14ac:dyDescent="0.25">
      <c r="B6" s="20" t="s">
        <v>6</v>
      </c>
      <c r="C6" s="24">
        <v>2</v>
      </c>
      <c r="D6" s="18"/>
      <c r="E6" s="39" t="str">
        <f>"BE = Strike - Price"</f>
        <v>BE = Strike - Price</v>
      </c>
      <c r="F6" s="29">
        <f>C5-C6</f>
        <v>48</v>
      </c>
      <c r="G6" s="22">
        <f>-(($C$5-F6)-$C$6)*100</f>
        <v>0</v>
      </c>
      <c r="H6" s="29">
        <f t="shared" ref="H6:H9" si="0">G6/$C$8</f>
        <v>0</v>
      </c>
      <c r="I6" s="18"/>
      <c r="J6" s="18"/>
      <c r="K6" s="18"/>
      <c r="L6" s="18"/>
      <c r="M6" s="19"/>
    </row>
    <row r="7" spans="2:13" x14ac:dyDescent="0.25">
      <c r="B7" s="20" t="s">
        <v>23</v>
      </c>
      <c r="C7" s="24">
        <v>1</v>
      </c>
      <c r="D7" s="18"/>
      <c r="E7" s="39" t="s">
        <v>70</v>
      </c>
      <c r="F7" s="29">
        <v>46</v>
      </c>
      <c r="G7" s="22">
        <f>IF(F7&lt;C5,-((C5-F7-C6)*C9),G5)</f>
        <v>-200</v>
      </c>
      <c r="H7" s="29">
        <f t="shared" si="0"/>
        <v>-1</v>
      </c>
      <c r="I7" s="18"/>
      <c r="J7" s="18"/>
      <c r="K7" s="18"/>
      <c r="L7" s="18"/>
      <c r="M7" s="19"/>
    </row>
    <row r="8" spans="2:13" x14ac:dyDescent="0.25">
      <c r="B8" s="35" t="s">
        <v>48</v>
      </c>
      <c r="C8" s="36">
        <f>C6*C7*100</f>
        <v>200</v>
      </c>
      <c r="D8" s="22"/>
      <c r="E8" s="39" t="s">
        <v>71</v>
      </c>
      <c r="F8" s="29">
        <v>45</v>
      </c>
      <c r="G8" s="22">
        <f>IF(F8&lt;C5,-((C5-F8-C6)*C9),G5)</f>
        <v>-300</v>
      </c>
      <c r="H8" s="29">
        <f t="shared" si="0"/>
        <v>-1.5</v>
      </c>
      <c r="I8" s="18"/>
      <c r="J8" s="18"/>
      <c r="K8" s="18"/>
      <c r="L8" s="18"/>
      <c r="M8" s="19"/>
    </row>
    <row r="9" spans="2:13" x14ac:dyDescent="0.25">
      <c r="B9" s="20" t="s">
        <v>24</v>
      </c>
      <c r="C9" s="24">
        <v>100</v>
      </c>
      <c r="D9" s="22"/>
      <c r="E9" s="39" t="s">
        <v>72</v>
      </c>
      <c r="F9" s="29">
        <v>35</v>
      </c>
      <c r="G9" s="22">
        <f>IF(F9&lt;C5,-((C5-F9-C6)*C9),G5)</f>
        <v>-1300</v>
      </c>
      <c r="H9" s="29">
        <f t="shared" si="0"/>
        <v>-6.5</v>
      </c>
      <c r="I9" s="18"/>
      <c r="J9" s="18"/>
      <c r="K9" s="18"/>
      <c r="L9" s="18"/>
      <c r="M9" s="19"/>
    </row>
    <row r="10" spans="2:13" x14ac:dyDescent="0.25">
      <c r="B10" s="20" t="s">
        <v>25</v>
      </c>
      <c r="C10" s="24">
        <f>C9*C5</f>
        <v>5000</v>
      </c>
      <c r="D10" s="22"/>
      <c r="E10" s="23"/>
      <c r="F10" s="18"/>
      <c r="G10" s="18"/>
      <c r="H10" s="18"/>
      <c r="I10" s="18"/>
      <c r="J10" s="18"/>
      <c r="K10" s="18"/>
      <c r="L10" s="18"/>
      <c r="M10" s="19"/>
    </row>
    <row r="11" spans="2:13" x14ac:dyDescent="0.25">
      <c r="B11" s="69"/>
      <c r="C11" s="39"/>
      <c r="D11" s="22"/>
      <c r="E11" s="23"/>
      <c r="F11" s="18"/>
      <c r="G11" s="18"/>
      <c r="H11" s="18"/>
      <c r="I11" s="18"/>
      <c r="J11" s="18"/>
      <c r="K11" s="18"/>
      <c r="L11" s="18"/>
      <c r="M11" s="19"/>
    </row>
    <row r="12" spans="2:13" x14ac:dyDescent="0.25">
      <c r="B12" s="17"/>
      <c r="C12" s="18"/>
      <c r="D12" s="22"/>
      <c r="E12" s="23"/>
      <c r="F12" s="18"/>
      <c r="G12" s="18"/>
      <c r="H12" s="18"/>
      <c r="I12" s="18"/>
      <c r="J12" s="18"/>
      <c r="K12" s="18"/>
      <c r="L12" s="18"/>
      <c r="M12" s="19"/>
    </row>
    <row r="13" spans="2:13" x14ac:dyDescent="0.25">
      <c r="B13" s="37" t="s">
        <v>7</v>
      </c>
      <c r="C13" s="18"/>
      <c r="D13" s="22"/>
      <c r="E13" s="23"/>
      <c r="F13" s="18"/>
      <c r="G13" s="18"/>
      <c r="H13" s="18"/>
      <c r="I13" s="18"/>
      <c r="J13" s="18"/>
      <c r="K13" s="18"/>
      <c r="L13" s="18"/>
      <c r="M13" s="19"/>
    </row>
    <row r="14" spans="2:13" x14ac:dyDescent="0.25">
      <c r="B14" s="17" t="s">
        <v>42</v>
      </c>
      <c r="C14" s="18"/>
      <c r="D14" s="18"/>
      <c r="E14" s="18"/>
      <c r="F14" s="18"/>
      <c r="G14" s="18"/>
      <c r="H14" s="18"/>
      <c r="I14" s="18"/>
      <c r="J14" s="18" t="s">
        <v>8</v>
      </c>
      <c r="K14" s="18"/>
      <c r="L14" s="18"/>
      <c r="M14" s="19"/>
    </row>
    <row r="15" spans="2:13" x14ac:dyDescent="0.25">
      <c r="B15" s="17"/>
      <c r="C15" s="18"/>
      <c r="D15" s="18"/>
      <c r="E15" s="18"/>
      <c r="F15" s="18"/>
      <c r="G15" s="18"/>
      <c r="H15" s="18"/>
      <c r="I15" s="18"/>
      <c r="J15" s="18" t="s">
        <v>9</v>
      </c>
      <c r="K15" s="18"/>
      <c r="L15" s="18"/>
      <c r="M15" s="19"/>
    </row>
    <row r="16" spans="2:13" x14ac:dyDescent="0.25">
      <c r="B16" s="37" t="s">
        <v>21</v>
      </c>
      <c r="C16" s="18"/>
      <c r="D16" s="21"/>
      <c r="E16" s="18"/>
      <c r="F16" s="18"/>
      <c r="G16" s="18"/>
      <c r="H16" s="18"/>
      <c r="I16" s="18"/>
      <c r="J16" s="18" t="s">
        <v>10</v>
      </c>
      <c r="K16" s="18"/>
      <c r="L16" s="18"/>
      <c r="M16" s="19"/>
    </row>
    <row r="17" spans="2:13" x14ac:dyDescent="0.25">
      <c r="B17" s="17" t="s">
        <v>43</v>
      </c>
      <c r="C17" s="23"/>
      <c r="D17" s="18"/>
      <c r="E17" s="22"/>
      <c r="F17" s="18"/>
      <c r="G17" s="22"/>
      <c r="H17" s="18"/>
      <c r="I17" s="18"/>
      <c r="J17" s="18" t="s">
        <v>11</v>
      </c>
      <c r="K17" s="18"/>
      <c r="L17" s="18"/>
      <c r="M17" s="19"/>
    </row>
    <row r="18" spans="2:13" x14ac:dyDescent="0.25">
      <c r="B18" s="17" t="s">
        <v>44</v>
      </c>
      <c r="C18" s="18"/>
      <c r="D18" s="22"/>
      <c r="E18" s="23"/>
      <c r="F18" s="18"/>
      <c r="G18" s="18"/>
      <c r="H18" s="18"/>
      <c r="I18" s="18"/>
      <c r="J18" s="18" t="s">
        <v>40</v>
      </c>
      <c r="K18" s="18"/>
      <c r="L18" s="18"/>
      <c r="M18" s="19"/>
    </row>
    <row r="19" spans="2:13" x14ac:dyDescent="0.25">
      <c r="B19" s="17"/>
      <c r="C19" s="18"/>
      <c r="D19" s="22"/>
      <c r="E19" s="23"/>
      <c r="F19" s="18"/>
      <c r="G19" s="18"/>
      <c r="H19" s="18"/>
      <c r="I19" s="18"/>
      <c r="J19" s="18" t="s">
        <v>13</v>
      </c>
      <c r="K19" s="18"/>
      <c r="L19" s="18"/>
      <c r="M19" s="19"/>
    </row>
    <row r="20" spans="2:13" x14ac:dyDescent="0.25">
      <c r="B20" s="37" t="s">
        <v>18</v>
      </c>
      <c r="C20" s="18"/>
      <c r="D20" s="18"/>
      <c r="E20" s="23"/>
      <c r="F20" s="18"/>
      <c r="G20" s="18"/>
      <c r="H20" s="18"/>
      <c r="I20" s="18"/>
      <c r="J20" s="18" t="s">
        <v>34</v>
      </c>
      <c r="K20" s="18"/>
      <c r="L20" s="18"/>
      <c r="M20" s="19"/>
    </row>
    <row r="21" spans="2:13" x14ac:dyDescent="0.25">
      <c r="B21" s="17" t="s">
        <v>45</v>
      </c>
      <c r="C21" s="18"/>
      <c r="D21" s="18"/>
      <c r="E21" s="23"/>
      <c r="F21" s="18"/>
      <c r="G21" s="18"/>
      <c r="H21" s="18"/>
      <c r="I21" s="18"/>
      <c r="J21" s="18"/>
      <c r="K21" s="18"/>
      <c r="L21" s="18"/>
      <c r="M21" s="19"/>
    </row>
    <row r="22" spans="2:13" x14ac:dyDescent="0.25">
      <c r="B22" s="17" t="s">
        <v>46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</row>
    <row r="23" spans="2:13" x14ac:dyDescent="0.25">
      <c r="B23" s="17" t="s">
        <v>47</v>
      </c>
      <c r="C23" s="18"/>
      <c r="D23" s="18"/>
      <c r="E23" s="18"/>
      <c r="F23" s="18"/>
      <c r="G23" s="22"/>
      <c r="H23" s="18"/>
      <c r="I23" s="18"/>
      <c r="J23" s="18"/>
      <c r="K23" s="18"/>
      <c r="L23" s="18"/>
      <c r="M23" s="19"/>
    </row>
    <row r="24" spans="2:13" x14ac:dyDescent="0.25"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2"/>
    </row>
    <row r="26" spans="2:13" x14ac:dyDescent="0.25">
      <c r="D2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3BB4-CE91-4BAC-9645-C34F2DA9F9BE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3AB-889F-4981-8CA4-BF6999658CB5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B72-3B5B-45B5-95DD-D29AFD353593}">
  <sheetPr>
    <tabColor theme="4" tint="0.79998168889431442"/>
  </sheetPr>
  <dimension ref="B2:S44"/>
  <sheetViews>
    <sheetView workbookViewId="0">
      <selection activeCell="J9" sqref="J9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9" x14ac:dyDescent="0.25">
      <c r="B2" s="53" t="s">
        <v>50</v>
      </c>
      <c r="C2" s="51" t="s">
        <v>56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O2" s="18"/>
      <c r="P2" s="18"/>
      <c r="Q2" s="18"/>
      <c r="R2" s="18"/>
      <c r="S2" s="18"/>
    </row>
    <row r="3" spans="2:19" x14ac:dyDescent="0.25">
      <c r="B3" s="4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4"/>
      <c r="O3" s="18"/>
      <c r="P3" s="18"/>
      <c r="Q3" s="18"/>
      <c r="R3" s="18"/>
      <c r="S3" s="18"/>
    </row>
    <row r="4" spans="2:19" x14ac:dyDescent="0.25">
      <c r="B4" s="33" t="s">
        <v>57</v>
      </c>
      <c r="C4" s="34"/>
      <c r="D4" s="41"/>
      <c r="E4" s="34" t="s">
        <v>54</v>
      </c>
      <c r="F4" s="34"/>
      <c r="G4" s="41"/>
      <c r="H4" s="25" t="s">
        <v>30</v>
      </c>
      <c r="I4" s="25"/>
      <c r="J4" s="25" t="s">
        <v>17</v>
      </c>
      <c r="K4" s="25" t="s">
        <v>31</v>
      </c>
      <c r="L4" s="41"/>
      <c r="M4" s="41"/>
      <c r="N4" s="44"/>
      <c r="O4" s="18"/>
      <c r="P4" s="18"/>
      <c r="Q4" s="18"/>
      <c r="R4" s="18"/>
      <c r="S4" s="18"/>
    </row>
    <row r="5" spans="2:19" x14ac:dyDescent="0.25">
      <c r="B5" s="20" t="s">
        <v>22</v>
      </c>
      <c r="C5" s="38">
        <v>45583</v>
      </c>
      <c r="D5" s="41"/>
      <c r="E5" s="24" t="s">
        <v>22</v>
      </c>
      <c r="F5" s="38">
        <v>45583</v>
      </c>
      <c r="G5" s="41"/>
      <c r="H5" s="24" t="str">
        <f>"Max Loss (&lt;=Leg A Strike " &amp; C6 &amp; "$)"</f>
        <v>Max Loss (&lt;=Leg A Strike 50$)</v>
      </c>
      <c r="I5" s="27">
        <f>C6</f>
        <v>50</v>
      </c>
      <c r="J5" s="24">
        <f>IF(I5&lt;=C6,(-C7*C10+F7*F10))</f>
        <v>-150</v>
      </c>
      <c r="K5" s="27">
        <f>J5/$C$13</f>
        <v>-1</v>
      </c>
      <c r="L5" s="41"/>
      <c r="M5" s="41"/>
      <c r="N5" s="44"/>
      <c r="O5" s="18"/>
      <c r="P5" s="18"/>
      <c r="Q5" s="18"/>
      <c r="R5" s="18"/>
      <c r="S5" s="18"/>
    </row>
    <row r="6" spans="2:19" x14ac:dyDescent="0.25">
      <c r="B6" s="20" t="s">
        <v>1</v>
      </c>
      <c r="C6" s="28">
        <v>50</v>
      </c>
      <c r="D6" s="42"/>
      <c r="E6" s="24" t="s">
        <v>1</v>
      </c>
      <c r="F6" s="28">
        <v>53</v>
      </c>
      <c r="G6" s="41"/>
      <c r="H6" s="24" t="s">
        <v>66</v>
      </c>
      <c r="I6" s="27">
        <f>C6+C7-F7</f>
        <v>51.5</v>
      </c>
      <c r="J6" s="26">
        <f>(I6-$C$6-$C$7)*C10+F7*F10</f>
        <v>0</v>
      </c>
      <c r="K6" s="27">
        <f>J6/$C$13</f>
        <v>0</v>
      </c>
      <c r="L6" s="41"/>
      <c r="M6" s="41"/>
      <c r="N6" s="44"/>
      <c r="O6" s="18"/>
      <c r="P6" s="18"/>
      <c r="Q6" s="18"/>
      <c r="R6" s="18"/>
      <c r="S6" s="18"/>
    </row>
    <row r="7" spans="2:19" x14ac:dyDescent="0.25">
      <c r="B7" s="20" t="s">
        <v>6</v>
      </c>
      <c r="C7" s="24">
        <v>2</v>
      </c>
      <c r="D7" s="42"/>
      <c r="E7" s="24" t="s">
        <v>6</v>
      </c>
      <c r="F7" s="24">
        <v>0.5</v>
      </c>
      <c r="G7" s="41"/>
      <c r="H7" s="24" t="s">
        <v>27</v>
      </c>
      <c r="I7" s="27">
        <v>52.5</v>
      </c>
      <c r="J7" s="26">
        <f>IF(AND(I7&gt;C6,I7&lt;F6),(((I7-C6)*C10-C9+F9)),IF(I7&lt;=I5,J5,IF(I7&gt;=F6,J8)))</f>
        <v>100</v>
      </c>
      <c r="K7" s="27">
        <f>J7/$C$13</f>
        <v>0.66666666666666663</v>
      </c>
      <c r="L7" s="41"/>
      <c r="M7" s="41"/>
      <c r="N7" s="44"/>
      <c r="O7" s="18"/>
      <c r="P7" s="18"/>
      <c r="Q7" s="18"/>
      <c r="R7" s="18"/>
      <c r="S7" s="18"/>
    </row>
    <row r="8" spans="2:19" x14ac:dyDescent="0.25">
      <c r="B8" s="20" t="s">
        <v>23</v>
      </c>
      <c r="C8" s="24">
        <v>1</v>
      </c>
      <c r="D8" s="42"/>
      <c r="E8" s="24" t="s">
        <v>23</v>
      </c>
      <c r="F8" s="24">
        <v>1</v>
      </c>
      <c r="G8" s="41"/>
      <c r="H8" s="24" t="str">
        <f>"Max Profit (Leg B Strike " &amp; F6 &amp; "$)"</f>
        <v>Max Profit (Leg B Strike 53$)</v>
      </c>
      <c r="I8" s="27">
        <f>F6</f>
        <v>53</v>
      </c>
      <c r="J8" s="26">
        <f>(I8-C6-C7)*C8*100-(I8-F6-F7)*F8*100</f>
        <v>150</v>
      </c>
      <c r="K8" s="27">
        <f>J8/$C$13</f>
        <v>1</v>
      </c>
      <c r="L8" s="41"/>
      <c r="M8" s="41"/>
      <c r="N8" s="44"/>
      <c r="O8" s="18"/>
      <c r="P8" s="18"/>
      <c r="Q8" s="18"/>
      <c r="R8" s="18"/>
      <c r="S8" s="18"/>
    </row>
    <row r="9" spans="2:19" x14ac:dyDescent="0.25">
      <c r="B9" s="20" t="s">
        <v>26</v>
      </c>
      <c r="C9" s="24">
        <f>C7*C8*100</f>
        <v>200</v>
      </c>
      <c r="D9" s="42"/>
      <c r="E9" s="24" t="s">
        <v>53</v>
      </c>
      <c r="F9" s="24">
        <f>F7*F8*100</f>
        <v>50</v>
      </c>
      <c r="G9" s="41"/>
      <c r="H9" s="24" t="s">
        <v>67</v>
      </c>
      <c r="I9" s="27">
        <v>55</v>
      </c>
      <c r="J9" s="26">
        <f>IF(AND(I9&gt;C6,I9&lt;F6),(((I9-C6)*C10-C9+F9)),IF(I9&lt;=I5,J5,IF(I9&gt;=F6,J8)))</f>
        <v>150</v>
      </c>
      <c r="K9" s="27">
        <f>J9/$C$13</f>
        <v>1</v>
      </c>
      <c r="L9" s="41"/>
      <c r="M9" s="41"/>
      <c r="N9" s="44"/>
      <c r="O9" s="18"/>
      <c r="P9" s="18"/>
      <c r="Q9" s="18"/>
      <c r="R9" s="18"/>
      <c r="S9" s="18"/>
    </row>
    <row r="10" spans="2:19" x14ac:dyDescent="0.25">
      <c r="B10" s="20" t="s">
        <v>24</v>
      </c>
      <c r="C10" s="24">
        <f>C8*100</f>
        <v>100</v>
      </c>
      <c r="D10" s="42"/>
      <c r="E10" s="24" t="s">
        <v>24</v>
      </c>
      <c r="F10" s="24">
        <f>F8*100</f>
        <v>100</v>
      </c>
      <c r="G10" s="41"/>
      <c r="H10" s="24"/>
      <c r="I10" s="24"/>
      <c r="J10" s="24"/>
      <c r="K10" s="24"/>
      <c r="L10" s="41"/>
      <c r="M10" s="41"/>
      <c r="N10" s="44"/>
      <c r="O10" s="18"/>
      <c r="P10" s="18"/>
      <c r="Q10" s="18"/>
      <c r="R10" s="18"/>
      <c r="S10" s="18"/>
    </row>
    <row r="11" spans="2:19" x14ac:dyDescent="0.25">
      <c r="B11" s="20" t="s">
        <v>25</v>
      </c>
      <c r="C11" s="24">
        <f>C10*C6</f>
        <v>5000</v>
      </c>
      <c r="D11" s="42"/>
      <c r="E11" s="24" t="s">
        <v>25</v>
      </c>
      <c r="F11" s="24">
        <f>F10*F6</f>
        <v>5300</v>
      </c>
      <c r="G11" s="41"/>
      <c r="H11" s="24"/>
      <c r="I11" s="24"/>
      <c r="J11" s="24"/>
      <c r="K11" s="24"/>
      <c r="L11" s="41"/>
      <c r="M11" s="41"/>
      <c r="N11" s="44"/>
      <c r="O11" s="18"/>
      <c r="P11" s="18"/>
      <c r="Q11" s="18"/>
      <c r="R11" s="18"/>
      <c r="S11" s="18"/>
    </row>
    <row r="12" spans="2:19" ht="15.75" thickBot="1" x14ac:dyDescent="0.3">
      <c r="B12" s="61"/>
      <c r="C12" s="6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4"/>
      <c r="O12" s="18"/>
      <c r="P12" s="18"/>
      <c r="Q12" s="18"/>
      <c r="R12" s="18"/>
      <c r="S12" s="18"/>
    </row>
    <row r="13" spans="2:19" ht="15.75" thickTop="1" x14ac:dyDescent="0.25">
      <c r="B13" s="35" t="s">
        <v>55</v>
      </c>
      <c r="C13" s="36">
        <f>C9-F9</f>
        <v>150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4"/>
      <c r="O13" s="18"/>
      <c r="P13" s="18"/>
      <c r="Q13" s="18"/>
      <c r="R13" s="18"/>
      <c r="S13" s="18"/>
    </row>
    <row r="14" spans="2:19" x14ac:dyDescent="0.25">
      <c r="B14" s="43"/>
      <c r="C14" s="62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4"/>
      <c r="O14" s="18"/>
      <c r="P14" s="18"/>
      <c r="Q14" s="18"/>
      <c r="R14" s="18"/>
      <c r="S14" s="18"/>
    </row>
    <row r="15" spans="2:19" x14ac:dyDescent="0.25">
      <c r="B15" s="45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4"/>
      <c r="O15" s="18"/>
      <c r="P15" s="18"/>
      <c r="Q15" s="18"/>
      <c r="R15" s="18"/>
      <c r="S15" s="18"/>
    </row>
    <row r="16" spans="2:19" x14ac:dyDescent="0.25">
      <c r="B16" s="43" t="s">
        <v>7</v>
      </c>
      <c r="C16" s="41"/>
      <c r="D16" s="41"/>
      <c r="E16" s="41"/>
      <c r="F16" s="41"/>
      <c r="G16" s="41"/>
      <c r="H16" s="41"/>
      <c r="I16" s="41"/>
      <c r="J16" s="41"/>
      <c r="K16" s="41"/>
      <c r="L16" s="41" t="s">
        <v>8</v>
      </c>
      <c r="M16" s="41"/>
      <c r="N16" s="44"/>
      <c r="O16" s="18"/>
      <c r="P16" s="18"/>
      <c r="Q16" s="18"/>
      <c r="R16" s="18"/>
      <c r="S16" s="18"/>
    </row>
    <row r="17" spans="2:19" x14ac:dyDescent="0.25">
      <c r="B17" s="45" t="s">
        <v>58</v>
      </c>
      <c r="C17" s="41"/>
      <c r="D17" s="46"/>
      <c r="E17" s="41"/>
      <c r="F17" s="41"/>
      <c r="G17" s="41"/>
      <c r="H17" s="41"/>
      <c r="I17" s="41"/>
      <c r="J17" s="41"/>
      <c r="K17" s="41"/>
      <c r="L17" s="41" t="s">
        <v>9</v>
      </c>
      <c r="M17" s="41"/>
      <c r="N17" s="44"/>
      <c r="O17" s="18"/>
      <c r="P17" s="18"/>
      <c r="Q17" s="18"/>
      <c r="R17" s="18"/>
      <c r="S17" s="18"/>
    </row>
    <row r="18" spans="2:19" x14ac:dyDescent="0.25">
      <c r="B18" s="45" t="s">
        <v>15</v>
      </c>
      <c r="C18" s="47"/>
      <c r="D18" s="41"/>
      <c r="E18" s="41"/>
      <c r="F18" s="42"/>
      <c r="G18" s="41"/>
      <c r="H18" s="41"/>
      <c r="I18" s="41"/>
      <c r="J18" s="41"/>
      <c r="K18" s="41"/>
      <c r="L18" s="41" t="s">
        <v>10</v>
      </c>
      <c r="M18" s="41"/>
      <c r="N18" s="44"/>
      <c r="O18" s="18"/>
      <c r="P18" s="18"/>
      <c r="Q18" s="18"/>
      <c r="R18" s="18"/>
      <c r="S18" s="18"/>
    </row>
    <row r="19" spans="2:19" x14ac:dyDescent="0.25">
      <c r="B19" s="45"/>
      <c r="C19" s="41"/>
      <c r="D19" s="41"/>
      <c r="E19" s="41"/>
      <c r="F19" s="41"/>
      <c r="G19" s="41"/>
      <c r="H19" s="41"/>
      <c r="I19" s="41"/>
      <c r="J19" s="41"/>
      <c r="K19" s="41"/>
      <c r="L19" s="41" t="s">
        <v>51</v>
      </c>
      <c r="M19" s="41"/>
      <c r="N19" s="44"/>
      <c r="O19" s="18"/>
      <c r="P19" s="18"/>
      <c r="Q19" s="18"/>
      <c r="R19" s="18"/>
      <c r="S19" s="18"/>
    </row>
    <row r="20" spans="2:19" x14ac:dyDescent="0.25">
      <c r="B20" s="43" t="s">
        <v>21</v>
      </c>
      <c r="C20" s="41"/>
      <c r="D20" s="41"/>
      <c r="E20" s="41"/>
      <c r="F20" s="41"/>
      <c r="G20" s="41"/>
      <c r="H20" s="41"/>
      <c r="I20" s="41"/>
      <c r="J20" s="41"/>
      <c r="K20" s="41"/>
      <c r="L20" s="41" t="s">
        <v>52</v>
      </c>
      <c r="M20" s="41"/>
      <c r="N20" s="44"/>
      <c r="O20" s="18"/>
      <c r="P20" s="18"/>
      <c r="Q20" s="18"/>
      <c r="R20" s="18"/>
      <c r="S20" s="18"/>
    </row>
    <row r="21" spans="2:19" x14ac:dyDescent="0.25">
      <c r="B21" s="45" t="s">
        <v>59</v>
      </c>
      <c r="C21" s="41"/>
      <c r="D21" s="41"/>
      <c r="E21" s="41"/>
      <c r="F21" s="41"/>
      <c r="G21" s="41"/>
      <c r="H21" s="41"/>
      <c r="I21" s="41"/>
      <c r="J21" s="41"/>
      <c r="K21" s="41"/>
      <c r="L21" s="41" t="s">
        <v>13</v>
      </c>
      <c r="M21" s="41"/>
      <c r="N21" s="44"/>
      <c r="O21" s="18"/>
      <c r="P21" s="18"/>
      <c r="Q21" s="18"/>
      <c r="R21" s="18"/>
      <c r="S21" s="18"/>
    </row>
    <row r="22" spans="2:19" x14ac:dyDescent="0.25">
      <c r="B22" s="45" t="s">
        <v>60</v>
      </c>
      <c r="C22" s="41"/>
      <c r="D22" s="41"/>
      <c r="E22" s="41"/>
      <c r="F22" s="41"/>
      <c r="G22" s="41"/>
      <c r="H22" s="41"/>
      <c r="I22" s="41"/>
      <c r="J22" s="41"/>
      <c r="K22" s="41"/>
      <c r="L22" s="41" t="s">
        <v>34</v>
      </c>
      <c r="M22" s="41"/>
      <c r="N22" s="44"/>
      <c r="O22" s="18"/>
      <c r="P22" s="18"/>
      <c r="Q22" s="18"/>
      <c r="R22" s="18"/>
      <c r="S22" s="18"/>
    </row>
    <row r="23" spans="2:19" x14ac:dyDescent="0.25">
      <c r="B23" s="45" t="s">
        <v>61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4"/>
      <c r="O23" s="18"/>
      <c r="P23" s="18"/>
      <c r="Q23" s="18"/>
      <c r="R23" s="18"/>
      <c r="S23" s="18"/>
    </row>
    <row r="24" spans="2:19" x14ac:dyDescent="0.25">
      <c r="B24" s="45"/>
      <c r="C24" s="41"/>
      <c r="D24" s="41"/>
      <c r="E24" s="41"/>
      <c r="F24" s="42"/>
      <c r="G24" s="41"/>
      <c r="H24" s="41"/>
      <c r="I24" s="41"/>
      <c r="J24" s="41"/>
      <c r="K24" s="41"/>
      <c r="L24" s="41"/>
      <c r="M24" s="41"/>
      <c r="N24" s="44"/>
      <c r="O24" s="18"/>
      <c r="P24" s="18"/>
      <c r="Q24" s="18"/>
      <c r="R24" s="18"/>
      <c r="S24" s="18"/>
    </row>
    <row r="25" spans="2:19" x14ac:dyDescent="0.25">
      <c r="B25" s="43" t="s">
        <v>18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4"/>
      <c r="O25" s="18"/>
      <c r="P25" s="18"/>
      <c r="Q25" s="18"/>
      <c r="R25" s="18"/>
      <c r="S25" s="18"/>
    </row>
    <row r="26" spans="2:19" x14ac:dyDescent="0.25">
      <c r="B26" s="45" t="s">
        <v>62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4"/>
      <c r="O26" s="18"/>
      <c r="P26" s="18"/>
      <c r="Q26" s="18"/>
      <c r="R26" s="18"/>
      <c r="S26" s="18"/>
    </row>
    <row r="27" spans="2:19" x14ac:dyDescent="0.25">
      <c r="B27" s="45" t="s">
        <v>63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4"/>
      <c r="O27" s="18"/>
      <c r="P27" s="18"/>
      <c r="Q27" s="18"/>
      <c r="R27" s="18"/>
      <c r="S27" s="18"/>
    </row>
    <row r="28" spans="2:19" x14ac:dyDescent="0.25">
      <c r="B28" s="48" t="s">
        <v>64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O28" s="18"/>
      <c r="P28" s="18"/>
      <c r="Q28" s="18"/>
      <c r="R28" s="18"/>
      <c r="S28" s="18"/>
    </row>
    <row r="29" spans="2:19" x14ac:dyDescent="0.25">
      <c r="O29" s="18"/>
      <c r="P29" s="18"/>
      <c r="Q29" s="18"/>
      <c r="R29" s="18"/>
      <c r="S29" s="18"/>
    </row>
    <row r="30" spans="2:19" x14ac:dyDescent="0.25">
      <c r="O30" s="18"/>
      <c r="P30" s="18"/>
      <c r="Q30" s="18"/>
      <c r="R30" s="18"/>
      <c r="S30" s="18"/>
    </row>
    <row r="31" spans="2:19" x14ac:dyDescent="0.25">
      <c r="O31" s="18"/>
      <c r="P31" s="18"/>
      <c r="Q31" s="18"/>
      <c r="R31" s="18"/>
      <c r="S31" s="18"/>
    </row>
    <row r="32" spans="2:19" x14ac:dyDescent="0.25">
      <c r="B32" s="7" t="s">
        <v>65</v>
      </c>
    </row>
    <row r="34" spans="2:11" x14ac:dyDescent="0.25">
      <c r="B34" s="12" t="s">
        <v>57</v>
      </c>
      <c r="C34" s="12"/>
      <c r="E34" s="12" t="s">
        <v>54</v>
      </c>
      <c r="F34" s="12"/>
      <c r="H34" s="8" t="s">
        <v>30</v>
      </c>
      <c r="I34" s="8"/>
      <c r="J34" s="8" t="s">
        <v>17</v>
      </c>
      <c r="K34" s="8" t="s">
        <v>31</v>
      </c>
    </row>
    <row r="35" spans="2:11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17$)</v>
      </c>
      <c r="I35" s="9">
        <v>17</v>
      </c>
      <c r="J35" s="10">
        <f>IF(I35&lt;=C36,(-C37*C40+F37*F40))</f>
        <v>-6000</v>
      </c>
      <c r="K35" s="9">
        <f>J35/$C$43</f>
        <v>-0.99999999999999967</v>
      </c>
    </row>
    <row r="36" spans="2:11" x14ac:dyDescent="0.25">
      <c r="B36" s="10" t="s">
        <v>1</v>
      </c>
      <c r="C36" s="6">
        <v>17</v>
      </c>
      <c r="D36" s="5"/>
      <c r="E36" s="10" t="s">
        <v>1</v>
      </c>
      <c r="F36" s="6">
        <v>23</v>
      </c>
      <c r="H36" s="10" t="s">
        <v>66</v>
      </c>
      <c r="I36" s="9">
        <f>C36+C37-F37</f>
        <v>18.2</v>
      </c>
      <c r="J36" s="11">
        <f>(I36-$C$36-$C$37)*C40+F37*F40</f>
        <v>0</v>
      </c>
      <c r="K36" s="9">
        <f t="shared" ref="K36:K40" si="0">J36/$C$43</f>
        <v>0</v>
      </c>
    </row>
    <row r="37" spans="2:11" x14ac:dyDescent="0.25">
      <c r="B37" s="10" t="s">
        <v>6</v>
      </c>
      <c r="C37">
        <v>2.2000000000000002</v>
      </c>
      <c r="D37" s="5"/>
      <c r="E37" s="10" t="s">
        <v>6</v>
      </c>
      <c r="F37">
        <v>1</v>
      </c>
      <c r="H37" s="10" t="s">
        <v>27</v>
      </c>
      <c r="I37" s="4">
        <v>20</v>
      </c>
      <c r="J37" s="11">
        <f>IF(AND(I37&gt;C36,I37&lt;F36),(((I37-C36)*C40-C39+F39)),IF(I37&lt;=I35,J35,IF(I37&gt;=F36,J39)))</f>
        <v>8999.9999999999982</v>
      </c>
      <c r="K37" s="9">
        <f t="shared" si="0"/>
        <v>1.4999999999999993</v>
      </c>
    </row>
    <row r="38" spans="2:11" x14ac:dyDescent="0.25">
      <c r="B38" s="10" t="s">
        <v>23</v>
      </c>
      <c r="C38">
        <v>50</v>
      </c>
      <c r="D38" s="5"/>
      <c r="E38" s="10" t="s">
        <v>23</v>
      </c>
      <c r="F38">
        <v>50</v>
      </c>
      <c r="H38" s="10" t="s">
        <v>28</v>
      </c>
      <c r="I38" s="4">
        <v>22</v>
      </c>
      <c r="J38" s="11">
        <f>IF(AND(I38&gt;C36,I38&lt;F36),(((I38-C36)*C40-C39+F39)),IF(I38&lt;=I35,J35,IF(I38&gt;=F36,J39)))</f>
        <v>19000</v>
      </c>
      <c r="K38" s="9">
        <f t="shared" si="0"/>
        <v>3.1666666666666656</v>
      </c>
    </row>
    <row r="39" spans="2:11" x14ac:dyDescent="0.25">
      <c r="B39" s="10" t="s">
        <v>26</v>
      </c>
      <c r="C39" s="10">
        <f>C37*C38*100</f>
        <v>11000.000000000002</v>
      </c>
      <c r="D39" s="5"/>
      <c r="E39" s="10" t="s">
        <v>53</v>
      </c>
      <c r="F39" s="10">
        <f>F37*F38*100</f>
        <v>5000</v>
      </c>
      <c r="H39" s="10" t="str">
        <f>"Max Profit (Leg B Strike " &amp; F36 &amp; "$)"</f>
        <v>Max Profit (Leg B Strike 23$)</v>
      </c>
      <c r="I39" s="9">
        <f>F36</f>
        <v>23</v>
      </c>
      <c r="J39" s="11">
        <f>(I39-C36-C37)*C38*100-(I39-F36-F37)*F38*100</f>
        <v>24000</v>
      </c>
      <c r="K39" s="9">
        <f t="shared" si="0"/>
        <v>3.9999999999999987</v>
      </c>
    </row>
    <row r="40" spans="2:11" x14ac:dyDescent="0.25">
      <c r="B40" s="10" t="s">
        <v>24</v>
      </c>
      <c r="C40" s="10">
        <f>C38*100</f>
        <v>5000</v>
      </c>
      <c r="D40" s="5"/>
      <c r="E40" s="10" t="s">
        <v>24</v>
      </c>
      <c r="F40" s="10">
        <f>F38*100</f>
        <v>5000</v>
      </c>
      <c r="H40" s="10" t="s">
        <v>67</v>
      </c>
      <c r="I40" s="4">
        <v>26</v>
      </c>
      <c r="J40" s="11">
        <f>IF(AND(I40&gt;C36,I40&lt;F36),(((I40-C36)*C40-C39+F39)),IF(I40&lt;=I35,J35,IF(I40&gt;=F36,J39)))</f>
        <v>24000</v>
      </c>
      <c r="K40" s="9">
        <f t="shared" si="0"/>
        <v>3.9999999999999987</v>
      </c>
    </row>
    <row r="41" spans="2:11" x14ac:dyDescent="0.25">
      <c r="B41" s="10" t="s">
        <v>25</v>
      </c>
      <c r="C41" s="10">
        <f>C40*C36</f>
        <v>85000</v>
      </c>
      <c r="D41" s="5"/>
      <c r="E41" s="10" t="s">
        <v>25</v>
      </c>
      <c r="F41" s="10">
        <f>F40*F36</f>
        <v>115000</v>
      </c>
    </row>
    <row r="42" spans="2:11" ht="15.75" thickBot="1" x14ac:dyDescent="0.3">
      <c r="B42" s="63"/>
      <c r="C42" s="63"/>
    </row>
    <row r="43" spans="2:11" ht="15.75" thickTop="1" x14ac:dyDescent="0.25">
      <c r="B43" s="13" t="s">
        <v>55</v>
      </c>
      <c r="C43" s="13">
        <f>C39-F39</f>
        <v>6000.0000000000018</v>
      </c>
    </row>
    <row r="44" spans="2:11" x14ac:dyDescent="0.25">
      <c r="D44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DE54-D7F9-4B7C-B8FD-97EB76B45721}">
  <sheetPr>
    <tabColor theme="4" tint="0.79998168889431442"/>
  </sheetPr>
  <dimension ref="B2:S44"/>
  <sheetViews>
    <sheetView tabSelected="1" topLeftCell="A18" workbookViewId="0">
      <selection activeCell="Q33" sqref="Q33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9" x14ac:dyDescent="0.25">
      <c r="B2" s="53" t="s">
        <v>73</v>
      </c>
      <c r="C2" s="51" t="s">
        <v>75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O2" s="18"/>
      <c r="P2" s="18"/>
      <c r="Q2" s="18"/>
      <c r="R2" s="18"/>
      <c r="S2" s="18"/>
    </row>
    <row r="3" spans="2:19" x14ac:dyDescent="0.25">
      <c r="B3" s="4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4"/>
      <c r="O3" s="18"/>
      <c r="P3" s="18"/>
      <c r="Q3" s="18"/>
      <c r="R3" s="18"/>
      <c r="S3" s="18"/>
    </row>
    <row r="4" spans="2:19" x14ac:dyDescent="0.25">
      <c r="B4" s="33" t="s">
        <v>57</v>
      </c>
      <c r="C4" s="34"/>
      <c r="D4" s="41"/>
      <c r="E4" s="34" t="s">
        <v>54</v>
      </c>
      <c r="F4" s="34"/>
      <c r="G4" s="41"/>
      <c r="H4" s="25" t="s">
        <v>30</v>
      </c>
      <c r="I4" s="25"/>
      <c r="J4" s="25" t="s">
        <v>17</v>
      </c>
      <c r="K4" s="25" t="s">
        <v>31</v>
      </c>
      <c r="L4" s="41"/>
      <c r="M4" s="41"/>
      <c r="N4" s="44"/>
      <c r="O4" s="18"/>
      <c r="P4" s="18"/>
      <c r="Q4" s="18"/>
      <c r="R4" s="18"/>
      <c r="S4" s="18"/>
    </row>
    <row r="5" spans="2:19" x14ac:dyDescent="0.25">
      <c r="B5" s="20" t="s">
        <v>22</v>
      </c>
      <c r="C5" s="38">
        <v>45583</v>
      </c>
      <c r="D5" s="41"/>
      <c r="E5" s="24" t="s">
        <v>22</v>
      </c>
      <c r="F5" s="38">
        <v>45583</v>
      </c>
      <c r="G5" s="41"/>
      <c r="H5" s="24" t="str">
        <f>"Max Loss (&lt;=Leg A Strike " &amp; C6 &amp; "$)"</f>
        <v>Max Loss (&lt;=Leg A Strike 50$)</v>
      </c>
      <c r="I5" s="27">
        <f>C6</f>
        <v>50</v>
      </c>
      <c r="J5" s="24">
        <f>IF(I5&gt;=C6,(C7*C10-F7*F10))</f>
        <v>-150</v>
      </c>
      <c r="K5" s="27">
        <f>J5/$C$13</f>
        <v>-1</v>
      </c>
      <c r="L5" s="41"/>
      <c r="M5" s="41"/>
      <c r="N5" s="44"/>
      <c r="O5" s="18"/>
      <c r="P5" s="18"/>
      <c r="Q5" s="18"/>
      <c r="R5" s="18"/>
      <c r="S5" s="18"/>
    </row>
    <row r="6" spans="2:19" x14ac:dyDescent="0.25">
      <c r="B6" s="20" t="s">
        <v>1</v>
      </c>
      <c r="C6" s="28">
        <v>50</v>
      </c>
      <c r="D6" s="42"/>
      <c r="E6" s="24" t="s">
        <v>1</v>
      </c>
      <c r="F6" s="28">
        <v>47</v>
      </c>
      <c r="G6" s="41"/>
      <c r="H6" s="24" t="s">
        <v>66</v>
      </c>
      <c r="I6" s="27">
        <f>C6-C7+F7</f>
        <v>48.5</v>
      </c>
      <c r="J6" s="26">
        <f>($C$6-I6-$C$7)*C10+F7*F10</f>
        <v>0</v>
      </c>
      <c r="K6" s="27">
        <f>J6/$C$13</f>
        <v>0</v>
      </c>
      <c r="L6" s="41"/>
      <c r="M6" s="41"/>
      <c r="N6" s="44"/>
      <c r="O6" s="18"/>
      <c r="P6" s="18"/>
      <c r="Q6" s="18"/>
      <c r="R6" s="18"/>
      <c r="S6" s="18"/>
    </row>
    <row r="7" spans="2:19" x14ac:dyDescent="0.25">
      <c r="B7" s="20" t="s">
        <v>6</v>
      </c>
      <c r="C7" s="24">
        <v>2</v>
      </c>
      <c r="D7" s="42"/>
      <c r="E7" s="24" t="s">
        <v>6</v>
      </c>
      <c r="F7" s="24">
        <v>0.5</v>
      </c>
      <c r="G7" s="41"/>
      <c r="H7" s="24" t="s">
        <v>27</v>
      </c>
      <c r="I7" s="27">
        <v>47.5</v>
      </c>
      <c r="J7" s="26">
        <f>IF(AND(I7&lt;C6,I7&gt;F6),(((I7-C6)*C10-C9+F9)),IF(I7&gt;=I5,J5,IF(I7&lt;=F6,J8)))</f>
        <v>100</v>
      </c>
      <c r="K7" s="27">
        <f>J7/$C$13</f>
        <v>0.66666666666666663</v>
      </c>
      <c r="L7" s="41"/>
      <c r="M7" s="41"/>
      <c r="N7" s="44"/>
      <c r="O7" s="18"/>
      <c r="P7" s="18"/>
      <c r="Q7" s="18"/>
      <c r="R7" s="18"/>
      <c r="S7" s="18"/>
    </row>
    <row r="8" spans="2:19" x14ac:dyDescent="0.25">
      <c r="B8" s="20" t="s">
        <v>23</v>
      </c>
      <c r="C8" s="24">
        <v>1</v>
      </c>
      <c r="D8" s="42"/>
      <c r="E8" s="24" t="s">
        <v>23</v>
      </c>
      <c r="F8" s="24">
        <v>1</v>
      </c>
      <c r="G8" s="41"/>
      <c r="H8" s="24" t="str">
        <f>"Max Profit (Leg B Strike " &amp; F6 &amp; "$)"</f>
        <v>Max Profit (Leg B Strike 47$)</v>
      </c>
      <c r="I8" s="27">
        <v>47</v>
      </c>
      <c r="J8" s="26">
        <f>(C6-I8-C7)*C8*100-(F6-I8-F7)*F8*100</f>
        <v>150</v>
      </c>
      <c r="K8" s="27">
        <f>J8/$C$13</f>
        <v>1</v>
      </c>
      <c r="L8" s="41"/>
      <c r="M8" s="41"/>
      <c r="N8" s="44"/>
      <c r="O8" s="18"/>
      <c r="P8" s="18"/>
      <c r="Q8" s="18"/>
      <c r="R8" s="18"/>
      <c r="S8" s="18"/>
    </row>
    <row r="9" spans="2:19" x14ac:dyDescent="0.25">
      <c r="B9" s="20" t="s">
        <v>26</v>
      </c>
      <c r="C9" s="24">
        <f>C7*C8*100</f>
        <v>200</v>
      </c>
      <c r="D9" s="42"/>
      <c r="E9" s="24" t="s">
        <v>53</v>
      </c>
      <c r="F9" s="24">
        <f>F7*F8*100</f>
        <v>50</v>
      </c>
      <c r="G9" s="41"/>
      <c r="H9" s="24" t="s">
        <v>67</v>
      </c>
      <c r="I9" s="27">
        <v>40</v>
      </c>
      <c r="J9" s="26">
        <f>IF(AND(I9&lt;C6,I9&gt;F6),(((I9-C6)*C10-C9+F9)),IF(I9&gt;=I5,J5,IF(I9&lt;=F6,J8)))</f>
        <v>150</v>
      </c>
      <c r="K9" s="27">
        <f>J9/$C$13</f>
        <v>1</v>
      </c>
      <c r="L9" s="41"/>
      <c r="M9" s="41"/>
      <c r="N9" s="44"/>
      <c r="O9" s="18"/>
      <c r="P9" s="18"/>
      <c r="Q9" s="18"/>
      <c r="R9" s="18"/>
      <c r="S9" s="18"/>
    </row>
    <row r="10" spans="2:19" x14ac:dyDescent="0.25">
      <c r="B10" s="20" t="s">
        <v>24</v>
      </c>
      <c r="C10" s="24">
        <f>-C8*100</f>
        <v>-100</v>
      </c>
      <c r="D10" s="42"/>
      <c r="E10" s="24" t="s">
        <v>24</v>
      </c>
      <c r="F10" s="24">
        <f>-F8*100</f>
        <v>-100</v>
      </c>
      <c r="G10" s="41"/>
      <c r="H10" s="24"/>
      <c r="I10" s="24"/>
      <c r="J10" s="24"/>
      <c r="K10" s="24"/>
      <c r="L10" s="41"/>
      <c r="M10" s="41"/>
      <c r="N10" s="44"/>
      <c r="O10" s="18"/>
      <c r="P10" s="18"/>
      <c r="Q10" s="18"/>
      <c r="R10" s="18"/>
      <c r="S10" s="18"/>
    </row>
    <row r="11" spans="2:19" x14ac:dyDescent="0.25">
      <c r="B11" s="20" t="s">
        <v>25</v>
      </c>
      <c r="C11" s="24">
        <f>C10*C6</f>
        <v>-5000</v>
      </c>
      <c r="D11" s="42"/>
      <c r="E11" s="24" t="s">
        <v>25</v>
      </c>
      <c r="F11" s="24">
        <f>F10*F6</f>
        <v>-4700</v>
      </c>
      <c r="G11" s="41"/>
      <c r="H11" s="24"/>
      <c r="I11" s="24"/>
      <c r="J11" s="24"/>
      <c r="K11" s="24"/>
      <c r="L11" s="41"/>
      <c r="M11" s="41"/>
      <c r="N11" s="44"/>
      <c r="O11" s="18"/>
      <c r="P11" s="18"/>
      <c r="Q11" s="18"/>
      <c r="R11" s="18"/>
      <c r="S11" s="18"/>
    </row>
    <row r="12" spans="2:19" ht="15.75" thickBot="1" x14ac:dyDescent="0.3">
      <c r="B12" s="61"/>
      <c r="C12" s="6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4"/>
      <c r="O12" s="18"/>
      <c r="P12" s="18"/>
      <c r="Q12" s="18"/>
      <c r="R12" s="18"/>
      <c r="S12" s="18"/>
    </row>
    <row r="13" spans="2:19" ht="15.75" thickTop="1" x14ac:dyDescent="0.25">
      <c r="B13" s="35" t="s">
        <v>55</v>
      </c>
      <c r="C13" s="36">
        <f>C9-F9</f>
        <v>150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4"/>
      <c r="O13" s="18"/>
      <c r="P13" s="18"/>
      <c r="Q13" s="18"/>
      <c r="R13" s="18"/>
      <c r="S13" s="18"/>
    </row>
    <row r="14" spans="2:19" x14ac:dyDescent="0.25">
      <c r="B14" s="43"/>
      <c r="C14" s="62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4"/>
      <c r="O14" s="18"/>
      <c r="P14" s="18"/>
      <c r="Q14" s="18"/>
      <c r="R14" s="18"/>
      <c r="S14" s="18"/>
    </row>
    <row r="15" spans="2:19" x14ac:dyDescent="0.25">
      <c r="B15" s="45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4"/>
      <c r="O15" s="18"/>
      <c r="P15" s="18"/>
      <c r="Q15" s="18"/>
      <c r="R15" s="18"/>
      <c r="S15" s="18"/>
    </row>
    <row r="16" spans="2:19" x14ac:dyDescent="0.25">
      <c r="B16" s="43" t="s">
        <v>7</v>
      </c>
      <c r="C16" s="41"/>
      <c r="D16" s="41"/>
      <c r="E16" s="41"/>
      <c r="F16" s="41"/>
      <c r="G16" s="41"/>
      <c r="H16" s="41"/>
      <c r="I16" s="41"/>
      <c r="J16" s="41"/>
      <c r="K16" s="41"/>
      <c r="L16" s="41" t="s">
        <v>8</v>
      </c>
      <c r="M16" s="41"/>
      <c r="N16" s="44"/>
      <c r="O16" s="18"/>
      <c r="P16" s="18"/>
      <c r="Q16" s="18"/>
      <c r="R16" s="18"/>
      <c r="S16" s="18"/>
    </row>
    <row r="17" spans="2:19" x14ac:dyDescent="0.25">
      <c r="B17" s="45" t="s">
        <v>76</v>
      </c>
      <c r="C17" s="41"/>
      <c r="D17" s="46"/>
      <c r="E17" s="41"/>
      <c r="F17" s="41"/>
      <c r="G17" s="41"/>
      <c r="H17" s="41"/>
      <c r="I17" s="41"/>
      <c r="J17" s="41"/>
      <c r="K17" s="41"/>
      <c r="L17" s="41" t="s">
        <v>33</v>
      </c>
      <c r="M17" s="41"/>
      <c r="N17" s="44"/>
      <c r="O17" s="18"/>
      <c r="P17" s="18"/>
      <c r="Q17" s="18"/>
      <c r="R17" s="18"/>
      <c r="S17" s="18"/>
    </row>
    <row r="18" spans="2:19" x14ac:dyDescent="0.25">
      <c r="B18" s="45" t="s">
        <v>77</v>
      </c>
      <c r="C18" s="47"/>
      <c r="D18" s="41"/>
      <c r="E18" s="41"/>
      <c r="F18" s="42"/>
      <c r="G18" s="41"/>
      <c r="H18" s="41"/>
      <c r="I18" s="41"/>
      <c r="J18" s="41"/>
      <c r="K18" s="41"/>
      <c r="L18" s="41" t="s">
        <v>10</v>
      </c>
      <c r="M18" s="41"/>
      <c r="N18" s="44"/>
      <c r="O18" s="18"/>
      <c r="P18" s="18"/>
      <c r="Q18" s="18"/>
      <c r="R18" s="18"/>
      <c r="S18" s="18"/>
    </row>
    <row r="19" spans="2:19" x14ac:dyDescent="0.25">
      <c r="B19" s="45"/>
      <c r="C19" s="41"/>
      <c r="D19" s="41"/>
      <c r="E19" s="41"/>
      <c r="F19" s="41"/>
      <c r="G19" s="41"/>
      <c r="H19" s="41"/>
      <c r="I19" s="41"/>
      <c r="J19" s="41"/>
      <c r="K19" s="41"/>
      <c r="L19" s="41" t="s">
        <v>51</v>
      </c>
      <c r="M19" s="41"/>
      <c r="N19" s="44"/>
      <c r="O19" s="18"/>
      <c r="P19" s="18"/>
      <c r="Q19" s="18"/>
      <c r="R19" s="18"/>
      <c r="S19" s="18"/>
    </row>
    <row r="20" spans="2:19" x14ac:dyDescent="0.25">
      <c r="B20" s="43" t="s">
        <v>21</v>
      </c>
      <c r="C20" s="41"/>
      <c r="D20" s="41"/>
      <c r="E20" s="41"/>
      <c r="F20" s="41"/>
      <c r="G20" s="41"/>
      <c r="H20" s="41"/>
      <c r="I20" s="41"/>
      <c r="J20" s="41"/>
      <c r="K20" s="41"/>
      <c r="L20" s="41" t="s">
        <v>52</v>
      </c>
      <c r="M20" s="41"/>
      <c r="N20" s="44"/>
      <c r="O20" s="18"/>
      <c r="P20" s="18"/>
      <c r="Q20" s="18"/>
      <c r="R20" s="18"/>
      <c r="S20" s="18"/>
    </row>
    <row r="21" spans="2:19" x14ac:dyDescent="0.25">
      <c r="B21" s="45" t="s">
        <v>59</v>
      </c>
      <c r="C21" s="41"/>
      <c r="D21" s="41"/>
      <c r="E21" s="41"/>
      <c r="F21" s="41"/>
      <c r="G21" s="41"/>
      <c r="H21" s="41"/>
      <c r="I21" s="41"/>
      <c r="J21" s="41"/>
      <c r="K21" s="41"/>
      <c r="L21" s="41" t="s">
        <v>13</v>
      </c>
      <c r="M21" s="41"/>
      <c r="N21" s="44"/>
      <c r="O21" s="18"/>
      <c r="P21" s="18"/>
      <c r="Q21" s="18"/>
      <c r="R21" s="18"/>
      <c r="S21" s="18"/>
    </row>
    <row r="22" spans="2:19" x14ac:dyDescent="0.25">
      <c r="B22" s="45" t="s">
        <v>78</v>
      </c>
      <c r="C22" s="41"/>
      <c r="D22" s="41"/>
      <c r="E22" s="41"/>
      <c r="F22" s="41"/>
      <c r="G22" s="41"/>
      <c r="H22" s="41"/>
      <c r="I22" s="41"/>
      <c r="J22" s="41"/>
      <c r="K22" s="41"/>
      <c r="L22" s="41" t="s">
        <v>34</v>
      </c>
      <c r="M22" s="41"/>
      <c r="N22" s="44"/>
      <c r="O22" s="18"/>
      <c r="P22" s="18"/>
      <c r="Q22" s="18"/>
      <c r="R22" s="18"/>
      <c r="S22" s="18"/>
    </row>
    <row r="23" spans="2:19" x14ac:dyDescent="0.25">
      <c r="B23" s="45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4"/>
      <c r="O23" s="18"/>
      <c r="P23" s="18"/>
      <c r="Q23" s="18"/>
      <c r="R23" s="18"/>
      <c r="S23" s="18"/>
    </row>
    <row r="24" spans="2:19" x14ac:dyDescent="0.25">
      <c r="B24" s="45"/>
      <c r="C24" s="41"/>
      <c r="D24" s="41"/>
      <c r="E24" s="41"/>
      <c r="F24" s="42"/>
      <c r="G24" s="41"/>
      <c r="H24" s="41"/>
      <c r="I24" s="41"/>
      <c r="J24" s="41"/>
      <c r="K24" s="41"/>
      <c r="L24" s="41"/>
      <c r="M24" s="41"/>
      <c r="N24" s="44"/>
      <c r="O24" s="18"/>
      <c r="P24" s="18"/>
      <c r="Q24" s="18"/>
      <c r="R24" s="18"/>
      <c r="S24" s="18"/>
    </row>
    <row r="25" spans="2:19" x14ac:dyDescent="0.25">
      <c r="B25" s="43" t="s">
        <v>18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4"/>
      <c r="O25" s="18"/>
      <c r="P25" s="18"/>
      <c r="Q25" s="18"/>
      <c r="R25" s="18"/>
      <c r="S25" s="18"/>
    </row>
    <row r="26" spans="2:19" x14ac:dyDescent="0.25">
      <c r="B26" s="45" t="s">
        <v>62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4"/>
      <c r="O26" s="18"/>
      <c r="P26" s="18"/>
      <c r="Q26" s="18"/>
      <c r="R26" s="18"/>
      <c r="S26" s="18"/>
    </row>
    <row r="27" spans="2:19" x14ac:dyDescent="0.25">
      <c r="B27" s="45" t="s">
        <v>80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4"/>
      <c r="O27" s="18"/>
      <c r="P27" s="18"/>
      <c r="Q27" s="18"/>
      <c r="R27" s="18"/>
      <c r="S27" s="18"/>
    </row>
    <row r="28" spans="2:19" x14ac:dyDescent="0.25">
      <c r="B28" s="48" t="s">
        <v>81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O28" s="18"/>
      <c r="P28" s="18"/>
      <c r="Q28" s="18"/>
      <c r="R28" s="18"/>
      <c r="S28" s="18"/>
    </row>
    <row r="29" spans="2:19" x14ac:dyDescent="0.25">
      <c r="O29" s="18"/>
      <c r="P29" s="18"/>
      <c r="Q29" s="18"/>
      <c r="R29" s="18"/>
      <c r="S29" s="18"/>
    </row>
    <row r="30" spans="2:19" x14ac:dyDescent="0.25">
      <c r="O30" s="18"/>
      <c r="P30" s="18"/>
      <c r="Q30" s="18"/>
      <c r="R30" s="18"/>
      <c r="S30" s="18"/>
    </row>
    <row r="31" spans="2:19" x14ac:dyDescent="0.25">
      <c r="O31" s="18"/>
      <c r="P31" s="18"/>
      <c r="Q31" s="18"/>
      <c r="R31" s="18"/>
      <c r="S31" s="18"/>
    </row>
    <row r="32" spans="2:19" x14ac:dyDescent="0.25">
      <c r="B32" s="7" t="s">
        <v>74</v>
      </c>
    </row>
    <row r="33" spans="2:16" x14ac:dyDescent="0.25">
      <c r="L33" s="70"/>
      <c r="M33" s="70"/>
      <c r="N33" s="70"/>
      <c r="O33" s="70"/>
      <c r="P33" s="70"/>
    </row>
    <row r="34" spans="2:16" x14ac:dyDescent="0.25">
      <c r="B34" s="12" t="s">
        <v>57</v>
      </c>
      <c r="C34" s="12"/>
      <c r="E34" s="12" t="s">
        <v>54</v>
      </c>
      <c r="F34" s="12"/>
      <c r="H34" s="8" t="s">
        <v>30</v>
      </c>
      <c r="I34" s="8"/>
      <c r="J34" s="8" t="s">
        <v>17</v>
      </c>
      <c r="K34" s="8" t="s">
        <v>31</v>
      </c>
      <c r="L34" s="70"/>
      <c r="M34" s="70"/>
      <c r="N34" s="70"/>
      <c r="O34" s="70"/>
      <c r="P34" s="70"/>
    </row>
    <row r="35" spans="2:16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17$)</v>
      </c>
      <c r="I35" s="9">
        <v>17</v>
      </c>
      <c r="J35" s="10">
        <f>IF(I35&lt;=C36,(-C37*C40+F37*F40))</f>
        <v>-6000</v>
      </c>
      <c r="K35" s="9">
        <f>J35/$C$43</f>
        <v>-0.99999999999999967</v>
      </c>
      <c r="L35" s="70"/>
      <c r="M35" s="70"/>
      <c r="N35" s="70"/>
      <c r="O35" s="70"/>
      <c r="P35" s="70"/>
    </row>
    <row r="36" spans="2:16" x14ac:dyDescent="0.25">
      <c r="B36" s="10" t="s">
        <v>1</v>
      </c>
      <c r="C36" s="6">
        <v>17</v>
      </c>
      <c r="D36" s="5"/>
      <c r="E36" s="10" t="s">
        <v>1</v>
      </c>
      <c r="F36" s="6">
        <v>23</v>
      </c>
      <c r="H36" s="10" t="s">
        <v>66</v>
      </c>
      <c r="I36" s="9">
        <f>C36+C37-F37</f>
        <v>18.2</v>
      </c>
      <c r="J36" s="11">
        <f>(I36-$C$36-$C$37)*C40+F37*F40</f>
        <v>0</v>
      </c>
      <c r="K36" s="9">
        <f t="shared" ref="K36:K40" si="0">J36/$C$43</f>
        <v>0</v>
      </c>
      <c r="L36" s="70"/>
      <c r="M36" s="70"/>
      <c r="N36" s="70" t="s">
        <v>82</v>
      </c>
      <c r="O36" s="70"/>
      <c r="P36" s="70"/>
    </row>
    <row r="37" spans="2:16" x14ac:dyDescent="0.25">
      <c r="B37" s="10" t="s">
        <v>6</v>
      </c>
      <c r="C37">
        <v>2.2000000000000002</v>
      </c>
      <c r="D37" s="5"/>
      <c r="E37" s="10" t="s">
        <v>6</v>
      </c>
      <c r="F37">
        <v>1</v>
      </c>
      <c r="H37" s="10" t="s">
        <v>27</v>
      </c>
      <c r="I37" s="4">
        <v>20</v>
      </c>
      <c r="J37" s="11">
        <f>IF(AND(I37&gt;C36,I37&lt;F36),(((I37-C36)*C40-C39+F39)),IF(I37&lt;=I35,J35,IF(I37&gt;=F36,J39)))</f>
        <v>8999.9999999999982</v>
      </c>
      <c r="K37" s="9">
        <f t="shared" si="0"/>
        <v>1.4999999999999993</v>
      </c>
      <c r="L37" s="70"/>
      <c r="M37" s="70"/>
      <c r="N37" s="70"/>
      <c r="O37" s="70"/>
      <c r="P37" s="70"/>
    </row>
    <row r="38" spans="2:16" x14ac:dyDescent="0.25">
      <c r="B38" s="10" t="s">
        <v>23</v>
      </c>
      <c r="C38">
        <v>50</v>
      </c>
      <c r="D38" s="5"/>
      <c r="E38" s="10" t="s">
        <v>23</v>
      </c>
      <c r="F38">
        <v>50</v>
      </c>
      <c r="H38" s="10" t="s">
        <v>28</v>
      </c>
      <c r="I38" s="4">
        <v>22</v>
      </c>
      <c r="J38" s="11">
        <f>IF(AND(I38&gt;C36,I38&lt;F36),(((I38-C36)*C40-C39+F39)),IF(I38&lt;=I35,J35,IF(I38&gt;=F36,J39)))</f>
        <v>19000</v>
      </c>
      <c r="K38" s="9">
        <f t="shared" si="0"/>
        <v>3.1666666666666656</v>
      </c>
      <c r="L38" s="70"/>
      <c r="M38" s="70"/>
      <c r="N38" s="70"/>
      <c r="O38" s="70"/>
      <c r="P38" s="70"/>
    </row>
    <row r="39" spans="2:16" x14ac:dyDescent="0.25">
      <c r="B39" s="10" t="s">
        <v>26</v>
      </c>
      <c r="C39" s="10">
        <f>C37*C38*100</f>
        <v>11000.000000000002</v>
      </c>
      <c r="D39" s="5"/>
      <c r="E39" s="10" t="s">
        <v>53</v>
      </c>
      <c r="F39" s="10">
        <f>F37*F38*100</f>
        <v>5000</v>
      </c>
      <c r="H39" s="10" t="str">
        <f>"Max Profit (Leg B Strike " &amp; F36 &amp; "$)"</f>
        <v>Max Profit (Leg B Strike 23$)</v>
      </c>
      <c r="I39" s="9">
        <f>F36</f>
        <v>23</v>
      </c>
      <c r="J39" s="11">
        <f>(I39-C36-C37)*C38*100-(I39-F36-F37)*F38*100</f>
        <v>24000</v>
      </c>
      <c r="K39" s="9">
        <f t="shared" si="0"/>
        <v>3.9999999999999987</v>
      </c>
      <c r="L39" s="70"/>
      <c r="M39" s="70"/>
      <c r="N39" s="70"/>
      <c r="O39" s="70"/>
      <c r="P39" s="70"/>
    </row>
    <row r="40" spans="2:16" x14ac:dyDescent="0.25">
      <c r="B40" s="10" t="s">
        <v>24</v>
      </c>
      <c r="C40" s="10">
        <f>C38*100</f>
        <v>5000</v>
      </c>
      <c r="D40" s="5"/>
      <c r="E40" s="10" t="s">
        <v>24</v>
      </c>
      <c r="F40" s="10">
        <f>F38*100</f>
        <v>5000</v>
      </c>
      <c r="H40" s="10" t="s">
        <v>67</v>
      </c>
      <c r="I40" s="4">
        <v>26</v>
      </c>
      <c r="J40" s="11">
        <f>IF(AND(I40&gt;C36,I40&lt;F36),(((I40-C36)*C40-C39+F39)),IF(I40&lt;=I35,J35,IF(I40&gt;=F36,J39)))</f>
        <v>24000</v>
      </c>
      <c r="K40" s="9">
        <f t="shared" si="0"/>
        <v>3.9999999999999987</v>
      </c>
      <c r="L40" s="70"/>
      <c r="M40" s="70"/>
      <c r="N40" s="70"/>
      <c r="O40" s="70"/>
      <c r="P40" s="70"/>
    </row>
    <row r="41" spans="2:16" x14ac:dyDescent="0.25">
      <c r="B41" s="10" t="s">
        <v>25</v>
      </c>
      <c r="C41" s="10">
        <f>C40*C36</f>
        <v>85000</v>
      </c>
      <c r="D41" s="5"/>
      <c r="E41" s="10" t="s">
        <v>25</v>
      </c>
      <c r="F41" s="10">
        <f>F40*F36</f>
        <v>115000</v>
      </c>
      <c r="L41" s="70"/>
      <c r="M41" s="70"/>
      <c r="N41" s="70"/>
      <c r="O41" s="70"/>
      <c r="P41" s="70"/>
    </row>
    <row r="42" spans="2:16" ht="15.75" thickBot="1" x14ac:dyDescent="0.3">
      <c r="B42" s="63"/>
      <c r="C42" s="63"/>
      <c r="L42" s="70"/>
      <c r="M42" s="70"/>
      <c r="N42" s="70"/>
      <c r="O42" s="70"/>
      <c r="P42" s="70"/>
    </row>
    <row r="43" spans="2:16" ht="15.75" thickTop="1" x14ac:dyDescent="0.25">
      <c r="B43" s="13" t="s">
        <v>55</v>
      </c>
      <c r="C43" s="13">
        <f>C39-F39</f>
        <v>6000.0000000000018</v>
      </c>
      <c r="L43" s="70"/>
      <c r="M43" s="70"/>
      <c r="N43" s="70"/>
      <c r="O43" s="70"/>
      <c r="P43" s="70"/>
    </row>
    <row r="44" spans="2:16" x14ac:dyDescent="0.25">
      <c r="D44" s="1"/>
      <c r="L44" s="70"/>
      <c r="M44" s="70"/>
      <c r="N44" s="70"/>
      <c r="O44" s="70"/>
      <c r="P44" s="7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028-7EC5-4FF7-9AC8-5D41569CA178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 Long Call</vt:lpstr>
      <vt:lpstr>2 Long Put</vt:lpstr>
      <vt:lpstr>3 Short Put (naked)</vt:lpstr>
      <vt:lpstr>4 Covered Call</vt:lpstr>
      <vt:lpstr>5 Covered Call Collar</vt:lpstr>
      <vt:lpstr>6 Bull Call Spread</vt:lpstr>
      <vt:lpstr>7 Bear Put Spread</vt:lpstr>
      <vt:lpstr>8 Short Bull Ratio Spread</vt:lpstr>
      <vt:lpstr>9 Short Bear Ratio Spread</vt:lpstr>
      <vt:lpstr>10 Bull Call Ladder Spread</vt:lpstr>
      <vt:lpstr>11 Bear Put Ladder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2025-05-23T13:22:28Z</dcterms:modified>
</cp:coreProperties>
</file>