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imon\Documents\models\Automotive\"/>
    </mc:Choice>
  </mc:AlternateContent>
  <xr:revisionPtr revIDLastSave="0" documentId="13_ncr:1_{B16EC403-D189-496C-A304-4C726FFD7B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Model!$B$16</definedName>
    <definedName name="_xlchart.v1.1" hidden="1">Model!$B$17</definedName>
    <definedName name="_xlchart.v1.2" hidden="1">Model!$L$16:$T$16</definedName>
    <definedName name="_xlchart.v1.3" hidden="1">Model!$L$17:$T$17</definedName>
    <definedName name="_xlchart.v1.4" hidden="1">Model!$L$2:$T$2</definedName>
    <definedName name="_xlchart.v1.5" hidden="1">Model!$B$3</definedName>
    <definedName name="_xlchart.v1.6" hidden="1">Model!$B$4</definedName>
    <definedName name="_xlchart.v1.7" hidden="1">Model!$L$2:$T$2</definedName>
    <definedName name="_xlchart.v1.8" hidden="1">Model!$L$3:$T$3</definedName>
    <definedName name="_xlchart.v1.9" hidden="1">Model!$L$4:$T$4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6" l="1"/>
  <c r="O11" i="6"/>
  <c r="P11" i="6"/>
  <c r="Q11" i="6"/>
  <c r="R11" i="6"/>
  <c r="S11" i="6"/>
  <c r="T11" i="6"/>
  <c r="N11" i="6"/>
  <c r="N10" i="6"/>
  <c r="C35" i="1" l="1"/>
  <c r="C34" i="1"/>
  <c r="C33" i="1"/>
  <c r="C32" i="1"/>
  <c r="C31" i="1"/>
  <c r="C30" i="1"/>
  <c r="C29" i="1"/>
  <c r="C27" i="1"/>
  <c r="C25" i="1"/>
  <c r="C24" i="1"/>
  <c r="I25" i="2"/>
  <c r="H25" i="2"/>
  <c r="H21" i="2"/>
  <c r="C10" i="1"/>
  <c r="C9" i="1"/>
  <c r="C33" i="6"/>
  <c r="D37" i="6"/>
  <c r="D36" i="6"/>
  <c r="D35" i="6"/>
  <c r="D23" i="6"/>
  <c r="D22" i="6"/>
  <c r="F7" i="6"/>
  <c r="E7" i="6"/>
  <c r="D7" i="6"/>
  <c r="E35" i="6"/>
  <c r="F37" i="6"/>
  <c r="E37" i="6"/>
  <c r="F36" i="6"/>
  <c r="E36" i="6"/>
  <c r="F35" i="6"/>
  <c r="F33" i="6"/>
  <c r="E33" i="6"/>
  <c r="D33" i="6"/>
  <c r="E23" i="6"/>
  <c r="E22" i="6"/>
  <c r="E21" i="6"/>
  <c r="F22" i="6"/>
  <c r="N22" i="6"/>
  <c r="F23" i="6"/>
  <c r="F21" i="6"/>
  <c r="D19" i="6"/>
  <c r="C19" i="6"/>
  <c r="G19" i="6"/>
  <c r="F19" i="6"/>
  <c r="E19" i="6"/>
  <c r="V13" i="2"/>
  <c r="V14" i="2" s="1"/>
  <c r="V16" i="2" s="1"/>
  <c r="W16" i="2"/>
  <c r="W18" i="2"/>
  <c r="W19" i="2"/>
  <c r="W20" i="2"/>
  <c r="W21" i="2"/>
  <c r="W22" i="2"/>
  <c r="W23" i="2"/>
  <c r="W25" i="2"/>
  <c r="W14" i="2"/>
  <c r="W12" i="2"/>
  <c r="U16" i="2"/>
  <c r="T16" i="2"/>
  <c r="V12" i="2"/>
  <c r="V10" i="2"/>
  <c r="V9" i="2"/>
  <c r="V8" i="2"/>
  <c r="V7" i="2"/>
  <c r="V6" i="2"/>
  <c r="V5" i="2"/>
  <c r="V18" i="2" s="1"/>
  <c r="V3" i="2"/>
  <c r="F29" i="2"/>
  <c r="I29" i="2"/>
  <c r="H29" i="2"/>
  <c r="G29" i="2"/>
  <c r="E29" i="2"/>
  <c r="D29" i="2"/>
  <c r="C29" i="2"/>
  <c r="R29" i="2"/>
  <c r="Q29" i="2"/>
  <c r="P29" i="2"/>
  <c r="O29" i="2"/>
  <c r="T29" i="2"/>
  <c r="U29" i="2"/>
  <c r="V29" i="2"/>
  <c r="W29" i="2"/>
  <c r="X29" i="2"/>
  <c r="U37" i="2"/>
  <c r="U43" i="2" s="1"/>
  <c r="V37" i="2"/>
  <c r="V43" i="2" s="1"/>
  <c r="W37" i="2"/>
  <c r="W43" i="2" s="1"/>
  <c r="X37" i="2"/>
  <c r="X43" i="2"/>
  <c r="U48" i="2"/>
  <c r="U52" i="2" s="1"/>
  <c r="V48" i="2"/>
  <c r="V52" i="2" s="1"/>
  <c r="W48" i="2"/>
  <c r="W52" i="2" s="1"/>
  <c r="X48" i="2"/>
  <c r="X52" i="2"/>
  <c r="U18" i="2"/>
  <c r="U22" i="2"/>
  <c r="U10" i="2"/>
  <c r="U8" i="2"/>
  <c r="U9" i="2" s="1"/>
  <c r="U13" i="2"/>
  <c r="U7" i="2"/>
  <c r="U23" i="2" s="1"/>
  <c r="U6" i="2"/>
  <c r="U5" i="2"/>
  <c r="U3" i="2"/>
  <c r="U21" i="2" s="1"/>
  <c r="S10" i="6"/>
  <c r="S9" i="6"/>
  <c r="S32" i="6"/>
  <c r="S31" i="6"/>
  <c r="T31" i="6" s="1"/>
  <c r="S30" i="6"/>
  <c r="S29" i="6"/>
  <c r="T29" i="6" s="1"/>
  <c r="S28" i="6"/>
  <c r="T28" i="6" s="1"/>
  <c r="S27" i="6"/>
  <c r="S23" i="6"/>
  <c r="C21" i="1"/>
  <c r="C20" i="1"/>
  <c r="C17" i="1"/>
  <c r="C16" i="1"/>
  <c r="C15" i="1"/>
  <c r="C14" i="1"/>
  <c r="C13" i="1"/>
  <c r="N29" i="2"/>
  <c r="M29" i="2"/>
  <c r="L29" i="2"/>
  <c r="F11" i="2"/>
  <c r="F8" i="2"/>
  <c r="M16" i="2"/>
  <c r="L15" i="2"/>
  <c r="G11" i="2"/>
  <c r="G8" i="2"/>
  <c r="R6" i="2"/>
  <c r="S6" i="2" s="1"/>
  <c r="R5" i="2"/>
  <c r="S5" i="2" s="1"/>
  <c r="L32" i="6"/>
  <c r="M32" i="6" s="1"/>
  <c r="K32" i="6"/>
  <c r="K31" i="6"/>
  <c r="L31" i="6" s="1"/>
  <c r="M31" i="6" s="1"/>
  <c r="K30" i="6"/>
  <c r="L30" i="6" s="1"/>
  <c r="M30" i="6" s="1"/>
  <c r="K29" i="6"/>
  <c r="L29" i="6" s="1"/>
  <c r="M29" i="6" s="1"/>
  <c r="K28" i="6"/>
  <c r="L28" i="6" s="1"/>
  <c r="M28" i="6" s="1"/>
  <c r="K27" i="6"/>
  <c r="M13" i="2"/>
  <c r="N13" i="2" s="1"/>
  <c r="M11" i="2"/>
  <c r="N11" i="2" s="1"/>
  <c r="M10" i="2"/>
  <c r="N10" i="2" s="1"/>
  <c r="M8" i="2"/>
  <c r="N8" i="2" s="1"/>
  <c r="M7" i="2"/>
  <c r="N7" i="2" s="1"/>
  <c r="M6" i="2"/>
  <c r="N6" i="2" s="1"/>
  <c r="M5" i="2"/>
  <c r="N5" i="2" s="1"/>
  <c r="M3" i="2"/>
  <c r="N3" i="2" s="1"/>
  <c r="Q11" i="2"/>
  <c r="R11" i="2" s="1"/>
  <c r="Q10" i="2"/>
  <c r="R10" i="2" s="1"/>
  <c r="S10" i="2" s="1"/>
  <c r="Q16" i="2"/>
  <c r="R16" i="2" s="1"/>
  <c r="S16" i="2" s="1"/>
  <c r="Q13" i="2"/>
  <c r="R13" i="2" s="1"/>
  <c r="S13" i="2" s="1"/>
  <c r="Q6" i="2"/>
  <c r="Q8" i="2"/>
  <c r="R8" i="2" s="1"/>
  <c r="Q7" i="2"/>
  <c r="R7" i="2" s="1"/>
  <c r="Q5" i="2"/>
  <c r="Q3" i="2"/>
  <c r="R3" i="2" s="1"/>
  <c r="O32" i="6"/>
  <c r="P32" i="6" s="1"/>
  <c r="O31" i="6"/>
  <c r="P31" i="6" s="1"/>
  <c r="Q31" i="6" s="1"/>
  <c r="O30" i="6"/>
  <c r="P30" i="6" s="1"/>
  <c r="Q30" i="6" s="1"/>
  <c r="O29" i="6"/>
  <c r="P29" i="6" s="1"/>
  <c r="Q29" i="6" s="1"/>
  <c r="Q36" i="6" s="1"/>
  <c r="O28" i="6"/>
  <c r="P28" i="6" s="1"/>
  <c r="Q28" i="6" s="1"/>
  <c r="O27" i="6"/>
  <c r="P27" i="6" s="1"/>
  <c r="Q27" i="6" s="1"/>
  <c r="P21" i="6"/>
  <c r="M7" i="6"/>
  <c r="P10" i="6"/>
  <c r="O9" i="6"/>
  <c r="O51" i="2"/>
  <c r="O50" i="2"/>
  <c r="O49" i="2"/>
  <c r="O47" i="2"/>
  <c r="O46" i="2"/>
  <c r="O45" i="2"/>
  <c r="O44" i="2"/>
  <c r="O42" i="2"/>
  <c r="O41" i="2"/>
  <c r="O40" i="2"/>
  <c r="O39" i="2"/>
  <c r="O38" i="2"/>
  <c r="O36" i="2"/>
  <c r="O35" i="2"/>
  <c r="O34" i="2"/>
  <c r="O33" i="2"/>
  <c r="O32" i="2"/>
  <c r="O31" i="2"/>
  <c r="O30" i="2"/>
  <c r="S51" i="2"/>
  <c r="S50" i="2"/>
  <c r="S49" i="2"/>
  <c r="S47" i="2"/>
  <c r="S46" i="2"/>
  <c r="S45" i="2"/>
  <c r="S44" i="2"/>
  <c r="S42" i="2"/>
  <c r="S41" i="2"/>
  <c r="S40" i="2"/>
  <c r="S39" i="2"/>
  <c r="S38" i="2"/>
  <c r="S36" i="2"/>
  <c r="S35" i="2"/>
  <c r="S29" i="2" s="1"/>
  <c r="S34" i="2"/>
  <c r="S33" i="2"/>
  <c r="S32" i="2"/>
  <c r="S31" i="2"/>
  <c r="S30" i="2"/>
  <c r="T48" i="2"/>
  <c r="T37" i="2"/>
  <c r="T43" i="2" s="1"/>
  <c r="G23" i="2"/>
  <c r="G22" i="2"/>
  <c r="G21" i="2"/>
  <c r="T23" i="2"/>
  <c r="T22" i="2"/>
  <c r="T21" i="2"/>
  <c r="T18" i="2"/>
  <c r="R37" i="6"/>
  <c r="N37" i="6"/>
  <c r="R36" i="6"/>
  <c r="N36" i="6"/>
  <c r="R35" i="6"/>
  <c r="N35" i="6"/>
  <c r="R33" i="6"/>
  <c r="N33" i="6"/>
  <c r="J33" i="6"/>
  <c r="N23" i="6"/>
  <c r="N21" i="6"/>
  <c r="R23" i="6"/>
  <c r="R22" i="6"/>
  <c r="R21" i="6"/>
  <c r="N9" i="6"/>
  <c r="R10" i="6"/>
  <c r="R9" i="6"/>
  <c r="R19" i="6"/>
  <c r="N19" i="6"/>
  <c r="J19" i="6"/>
  <c r="N7" i="6"/>
  <c r="J7" i="6"/>
  <c r="U7" i="6"/>
  <c r="R7" i="6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L9" i="2"/>
  <c r="L12" i="2" s="1"/>
  <c r="L14" i="2" s="1"/>
  <c r="O9" i="2"/>
  <c r="O12" i="2" s="1"/>
  <c r="O14" i="2" s="1"/>
  <c r="O16" i="2" s="1"/>
  <c r="P9" i="2"/>
  <c r="P12" i="2" s="1"/>
  <c r="P14" i="2" s="1"/>
  <c r="P15" i="2" s="1"/>
  <c r="T9" i="2"/>
  <c r="T12" i="2" s="1"/>
  <c r="T14" i="2" s="1"/>
  <c r="H9" i="2"/>
  <c r="H12" i="2" s="1"/>
  <c r="I9" i="2"/>
  <c r="I12" i="2" s="1"/>
  <c r="P23" i="2"/>
  <c r="O23" i="2"/>
  <c r="L23" i="2"/>
  <c r="Q10" i="6" l="1"/>
  <c r="U22" i="6"/>
  <c r="T22" i="6"/>
  <c r="U21" i="6"/>
  <c r="P37" i="6"/>
  <c r="Q32" i="6"/>
  <c r="Q37" i="6" s="1"/>
  <c r="T23" i="6"/>
  <c r="U23" i="6"/>
  <c r="Q23" i="6"/>
  <c r="T21" i="6"/>
  <c r="S35" i="6"/>
  <c r="T27" i="6"/>
  <c r="S21" i="6"/>
  <c r="T10" i="6"/>
  <c r="S22" i="6"/>
  <c r="S36" i="6"/>
  <c r="T30" i="6"/>
  <c r="T36" i="6" s="1"/>
  <c r="Q19" i="6"/>
  <c r="S37" i="6"/>
  <c r="T32" i="6"/>
  <c r="T37" i="6" s="1"/>
  <c r="S7" i="6"/>
  <c r="C18" i="1"/>
  <c r="Q22" i="6"/>
  <c r="Q21" i="6"/>
  <c r="V19" i="2"/>
  <c r="V20" i="2"/>
  <c r="V23" i="2"/>
  <c r="V22" i="2"/>
  <c r="T19" i="6"/>
  <c r="T7" i="6"/>
  <c r="S3" i="2"/>
  <c r="V21" i="2"/>
  <c r="S8" i="2"/>
  <c r="S11" i="2"/>
  <c r="N9" i="2"/>
  <c r="R23" i="2"/>
  <c r="S7" i="2"/>
  <c r="S23" i="2" s="1"/>
  <c r="T52" i="2"/>
  <c r="T53" i="2" s="1"/>
  <c r="N16" i="2"/>
  <c r="X53" i="2"/>
  <c r="U53" i="2"/>
  <c r="W53" i="2"/>
  <c r="V53" i="2"/>
  <c r="U12" i="2"/>
  <c r="U14" i="2" s="1"/>
  <c r="O21" i="6"/>
  <c r="O10" i="6"/>
  <c r="S33" i="6"/>
  <c r="S19" i="6"/>
  <c r="M19" i="6"/>
  <c r="N12" i="2"/>
  <c r="N14" i="2" s="1"/>
  <c r="N23" i="2"/>
  <c r="R9" i="2"/>
  <c r="R12" i="2" s="1"/>
  <c r="R14" i="2" s="1"/>
  <c r="P36" i="6"/>
  <c r="O37" i="6"/>
  <c r="K33" i="6"/>
  <c r="L27" i="6"/>
  <c r="P33" i="6"/>
  <c r="P23" i="6"/>
  <c r="L19" i="6"/>
  <c r="P19" i="6"/>
  <c r="P22" i="6"/>
  <c r="L7" i="6"/>
  <c r="M9" i="2"/>
  <c r="M12" i="2" s="1"/>
  <c r="M14" i="2" s="1"/>
  <c r="M15" i="2" s="1"/>
  <c r="M23" i="2"/>
  <c r="Q23" i="2"/>
  <c r="Q9" i="2"/>
  <c r="Q12" i="2" s="1"/>
  <c r="Q14" i="2" s="1"/>
  <c r="Q15" i="2" s="1"/>
  <c r="O36" i="6"/>
  <c r="O33" i="6"/>
  <c r="O35" i="6"/>
  <c r="O23" i="6"/>
  <c r="K19" i="6"/>
  <c r="O19" i="6"/>
  <c r="O22" i="6"/>
  <c r="K7" i="6"/>
  <c r="O7" i="6"/>
  <c r="T25" i="2"/>
  <c r="T20" i="2"/>
  <c r="O20" i="2"/>
  <c r="P20" i="2"/>
  <c r="L20" i="2"/>
  <c r="T19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P9" i="6" l="1"/>
  <c r="Q33" i="6"/>
  <c r="L33" i="6"/>
  <c r="M27" i="6"/>
  <c r="P7" i="6"/>
  <c r="T33" i="6"/>
  <c r="T35" i="6"/>
  <c r="T9" i="6"/>
  <c r="U19" i="6"/>
  <c r="U19" i="2"/>
  <c r="U25" i="2"/>
  <c r="N15" i="2"/>
  <c r="R15" i="2"/>
  <c r="V25" i="2"/>
  <c r="U20" i="2"/>
  <c r="S9" i="2"/>
  <c r="S12" i="2" s="1"/>
  <c r="S14" i="2" s="1"/>
  <c r="S15" i="2" s="1"/>
  <c r="P35" i="6"/>
  <c r="N20" i="2"/>
  <c r="R20" i="2"/>
  <c r="M20" i="2"/>
  <c r="Q20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2" i="2" s="1"/>
  <c r="C14" i="2" s="1"/>
  <c r="D9" i="2"/>
  <c r="D12" i="2" s="1"/>
  <c r="D14" i="2" s="1"/>
  <c r="E9" i="2"/>
  <c r="E12" i="2" s="1"/>
  <c r="F9" i="2"/>
  <c r="F12" i="2" s="1"/>
  <c r="G9" i="2"/>
  <c r="L18" i="2"/>
  <c r="M18" i="2"/>
  <c r="N18" i="2"/>
  <c r="O18" i="2"/>
  <c r="P18" i="2"/>
  <c r="Q18" i="2"/>
  <c r="R18" i="2"/>
  <c r="S18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37" i="2"/>
  <c r="L43" i="2" s="1"/>
  <c r="M37" i="2"/>
  <c r="M43" i="2" s="1"/>
  <c r="N37" i="2"/>
  <c r="N43" i="2" s="1"/>
  <c r="O37" i="2"/>
  <c r="O43" i="2" s="1"/>
  <c r="P37" i="2"/>
  <c r="P43" i="2" s="1"/>
  <c r="Q37" i="2"/>
  <c r="Q43" i="2" s="1"/>
  <c r="R37" i="2"/>
  <c r="R43" i="2" s="1"/>
  <c r="S37" i="2"/>
  <c r="S43" i="2" s="1"/>
  <c r="L48" i="2"/>
  <c r="L52" i="2" s="1"/>
  <c r="M48" i="2"/>
  <c r="M52" i="2" s="1"/>
  <c r="N48" i="2"/>
  <c r="N52" i="2" s="1"/>
  <c r="O48" i="2"/>
  <c r="O52" i="2" s="1"/>
  <c r="P48" i="2"/>
  <c r="P52" i="2" s="1"/>
  <c r="Q48" i="2"/>
  <c r="Q52" i="2" s="1"/>
  <c r="R48" i="2"/>
  <c r="R52" i="2" s="1"/>
  <c r="S48" i="2"/>
  <c r="S52" i="2" s="1"/>
  <c r="C37" i="2"/>
  <c r="C43" i="2" s="1"/>
  <c r="D37" i="2"/>
  <c r="D43" i="2" s="1"/>
  <c r="E37" i="2"/>
  <c r="E43" i="2" s="1"/>
  <c r="I19" i="2"/>
  <c r="H19" i="2"/>
  <c r="I21" i="2"/>
  <c r="Q35" i="6" l="1"/>
  <c r="M33" i="6"/>
  <c r="Q7" i="6"/>
  <c r="Q9" i="6"/>
  <c r="S20" i="2"/>
  <c r="G12" i="2"/>
  <c r="C28" i="1"/>
  <c r="F14" i="2"/>
  <c r="F15" i="2" s="1"/>
  <c r="F20" i="2"/>
  <c r="E14" i="2"/>
  <c r="E15" i="2" s="1"/>
  <c r="E20" i="2"/>
  <c r="S53" i="2"/>
  <c r="P53" i="2"/>
  <c r="Q53" i="2"/>
  <c r="R53" i="2"/>
  <c r="O53" i="2"/>
  <c r="N53" i="2"/>
  <c r="M53" i="2"/>
  <c r="L53" i="2"/>
  <c r="K11" i="5"/>
  <c r="F23" i="2"/>
  <c r="E22" i="2"/>
  <c r="E23" i="2"/>
  <c r="D22" i="2"/>
  <c r="D23" i="2"/>
  <c r="C22" i="2"/>
  <c r="C23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19" i="2"/>
  <c r="P25" i="2"/>
  <c r="L19" i="2"/>
  <c r="O19" i="2"/>
  <c r="O25" i="2"/>
  <c r="S25" i="2"/>
  <c r="S19" i="2"/>
  <c r="R25" i="2"/>
  <c r="R19" i="2"/>
  <c r="Q19" i="2"/>
  <c r="Q25" i="2"/>
  <c r="N25" i="2"/>
  <c r="N19" i="2"/>
  <c r="M25" i="2"/>
  <c r="M19" i="2"/>
  <c r="C18" i="2"/>
  <c r="F18" i="2"/>
  <c r="F22" i="2"/>
  <c r="E18" i="2"/>
  <c r="D18" i="2"/>
  <c r="G18" i="2"/>
  <c r="G48" i="2"/>
  <c r="G52" i="2" s="1"/>
  <c r="G37" i="2"/>
  <c r="G43" i="2" s="1"/>
  <c r="E21" i="2"/>
  <c r="F21" i="2"/>
  <c r="D21" i="2"/>
  <c r="D48" i="2"/>
  <c r="D52" i="2" s="1"/>
  <c r="D53" i="2" s="1"/>
  <c r="E48" i="2"/>
  <c r="F37" i="2"/>
  <c r="F43" i="2" s="1"/>
  <c r="C23" i="1" l="1"/>
  <c r="C22" i="1"/>
  <c r="G20" i="2"/>
  <c r="G14" i="2"/>
  <c r="G15" i="2" s="1"/>
  <c r="G53" i="2"/>
  <c r="L25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48" i="2"/>
  <c r="F52" i="2" s="1"/>
  <c r="F53" i="2" s="1"/>
  <c r="E52" i="2"/>
  <c r="E53" i="2" s="1"/>
  <c r="C48" i="2"/>
  <c r="C52" i="2" s="1"/>
  <c r="C53" i="2" s="1"/>
  <c r="C16" i="2" l="1"/>
  <c r="D19" i="2"/>
  <c r="G25" i="2"/>
  <c r="G19" i="2"/>
  <c r="C19" i="2" l="1"/>
  <c r="D25" i="2"/>
  <c r="E19" i="2"/>
  <c r="F25" i="2"/>
  <c r="E25" i="2"/>
  <c r="D16" i="2"/>
  <c r="F19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<sst xmlns="http://schemas.openxmlformats.org/spreadsheetml/2006/main" count="227" uniqueCount="189">
  <si>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</si>
  <si>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</si>
  <si>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</si>
  <si>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</si>
  <si>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</si>
  <si>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</si>
  <si>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</si>
  <si>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</si>
  <si>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</si>
  <si>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</si>
  <si>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</si>
  <si>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</si>
  <si>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</si>
  <si>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</si>
  <si>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</si>
  <si>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</si>
  <si>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</si>
  <si>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</si>
  <si>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</si>
  <si>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</si>
  <si>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</si>
  <si>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</si>
  <si>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</si>
  <si>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</si>
  <si>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</si>
  <si>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</si>
  <si>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</si>
  <si>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</si>
  <si>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</si>
  <si>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</si>
  <si>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</si>
  <si>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</si>
  <si>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</si>
  <si>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</si>
  <si>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</si>
  <si>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</si>
  <si>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</si>
  <si>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</si>
  <si>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</si>
  <si>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</si>
  <si>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</si>
  <si>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</si>
  <si>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</si>
  <si>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</si>
  <si>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</si>
  <si>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</si>
  <si>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</si>
  <si>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</si>
  <si>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</si>
  <si>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</si>
  <si>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</si>
  <si>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</si>
  <si>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</si>
  <si>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</si>
  <si>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</si>
  <si>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</si>
  <si>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</si>
  <si>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</si>
  <si>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</si>
  <si>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</si>
  <si>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</si>
  <si>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</si>
  <si>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</si>
  <si>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</si>
  <si>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</si>
  <si>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</si>
  <si>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</si>
  <si>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Notes</t>
  </si>
  <si>
    <t>PP&amp;E</t>
  </si>
  <si>
    <t>Intangible Asset</t>
  </si>
  <si>
    <t>Equity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</si>
  <si>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</si>
  <si>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</si>
  <si>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</si>
  <si>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</si>
  <si>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</si>
  <si>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</si>
  <si>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</si>
  <si>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</si>
  <si>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</si>
  <si>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</si>
  <si>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</si>
  <si>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</si>
  <si>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</si>
  <si>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</si>
  <si>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</si>
  <si>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</si>
  <si>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</si>
  <si>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</si>
  <si>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</si>
  <si>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</si>
  <si>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</si>
  <si>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</si>
  <si>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</si>
  <si>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</si>
  <si>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</si>
  <si>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</si>
  <si>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</si>
  <si>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</si>
  <si>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</si>
  <si>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</si>
  <si>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</si>
  <si>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</si>
  <si>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</si>
  <si>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</si>
  <si>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</si>
  <si>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</si>
  <si>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</si>
  <si>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</si>
  <si>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</si>
  <si>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</si>
  <si>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</si>
  <si>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</si>
  <si>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</si>
  <si>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</si>
  <si>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</si>
  <si>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</si>
  <si>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</si>
  <si>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</si>
  <si>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</si>
  <si>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</si>
  <si>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</si>
  <si>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</si>
  <si>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</si>
  <si>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</si>
  <si>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</si>
  <si>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Q324</t>
  </si>
  <si>
    <t>Q424</t>
  </si>
  <si>
    <t>China</t>
  </si>
  <si>
    <t>Deliveries</t>
  </si>
  <si>
    <t>Macan</t>
  </si>
  <si>
    <t>Cayenne</t>
  </si>
  <si>
    <t>Panamera</t>
  </si>
  <si>
    <t>Taycan</t>
  </si>
  <si>
    <t>NA y/y</t>
  </si>
  <si>
    <t>China y/y</t>
  </si>
  <si>
    <t>911 y/y</t>
  </si>
  <si>
    <t>Taycan y/y</t>
  </si>
  <si>
    <t>SUVs y/y</t>
  </si>
  <si>
    <t>Sales</t>
  </si>
  <si>
    <t>Distribution Expense</t>
  </si>
  <si>
    <t>Administrative expense</t>
  </si>
  <si>
    <t>Investments</t>
  </si>
  <si>
    <t>Interest net</t>
  </si>
  <si>
    <t>Distribution Exp / REV</t>
  </si>
  <si>
    <t>Admin Exp / REV</t>
  </si>
  <si>
    <t>Tax Rate</t>
  </si>
  <si>
    <t>Financial Service Receivables</t>
  </si>
  <si>
    <t>Tax Receivables</t>
  </si>
  <si>
    <t>Securities</t>
  </si>
  <si>
    <t>Assets held for sale</t>
  </si>
  <si>
    <t>Leased assets</t>
  </si>
  <si>
    <t>Financial liabilities</t>
  </si>
  <si>
    <t>Trade payables</t>
  </si>
  <si>
    <t>Liabilities asset for sale</t>
  </si>
  <si>
    <t>Provisions</t>
  </si>
  <si>
    <t>Q125</t>
  </si>
  <si>
    <t>BMW</t>
  </si>
  <si>
    <t>Mr. Oliver Zipse</t>
  </si>
  <si>
    <t>Mr. Walter Mertl</t>
  </si>
  <si>
    <t>Jochen Goller</t>
  </si>
  <si>
    <t>Dr. Milan Nedeljkovic</t>
  </si>
  <si>
    <t>Ms. Ilka Horstmeier</t>
  </si>
  <si>
    <t>Mr. Frank Weber</t>
  </si>
  <si>
    <t>Dr. Joachim Post</t>
  </si>
  <si>
    <t>Mr. Adam Sykes</t>
  </si>
  <si>
    <t>Dr. Andreas Liepe</t>
  </si>
  <si>
    <t>General Counsel</t>
  </si>
  <si>
    <t>Mr. Alexander Bilgeri</t>
  </si>
  <si>
    <t>Seit  91 bei BMW, Informatik, Mathematik</t>
  </si>
  <si>
    <t>CEO</t>
  </si>
  <si>
    <t>CFO</t>
  </si>
  <si>
    <t>Brand &amp; Sales</t>
  </si>
  <si>
    <t>Produktion</t>
  </si>
  <si>
    <t>People, HR</t>
  </si>
  <si>
    <t>Entwicklung</t>
  </si>
  <si>
    <t>Einkauf</t>
  </si>
  <si>
    <t>Investor Relations</t>
  </si>
  <si>
    <t>HR</t>
  </si>
  <si>
    <t>Arbeiten an Hydrogen Fuel, erstes Auto soll 2028 kommen</t>
  </si>
  <si>
    <t>Europe</t>
  </si>
  <si>
    <t>Americas</t>
  </si>
  <si>
    <t>ROW</t>
  </si>
  <si>
    <t>Europe  y/y</t>
  </si>
  <si>
    <t>EV Deliveries</t>
  </si>
  <si>
    <t>EV y/y</t>
  </si>
  <si>
    <t>~30% Dividendenausschüttung</t>
  </si>
  <si>
    <t>Aktienrückkauf 10% bis 05/27</t>
  </si>
  <si>
    <t>2bn until 12/25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</si>
</sst>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51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167" fontId="0" fillId="0" borderId="0" xfId="1" applyNumberFormat="1" applyFont="1" applyAlignment="1">
      <alignment horizontal="right"/>
    </xf>
    <xf numFmtId="167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6" borderId="0" xfId="0" applyFill="1"/>
    <xf numFmtId="3" fontId="0" fillId="6" borderId="0" xfId="0" applyNumberFormat="1" applyFill="1"/>
    <xf numFmtId="9" fontId="0" fillId="7" borderId="0" xfId="0" applyNumberFormat="1" applyFill="1"/>
    <xf numFmtId="9" fontId="0" fillId="12" borderId="0" xfId="1" applyFont="1" applyFill="1"/>
    <xf numFmtId="9" fontId="0" fillId="0" borderId="0" xfId="1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2" xfId="0" applyBorder="1" applyAlignment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F-4E76-9108-FCC9A19297E0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F-4E76-9108-FCC9A19297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Model!$L$3:$T$3</c:f>
              <c:numCache>
                <c:formatCode>#,##0</c:formatCode>
                <c:ptCount val="9"/>
                <c:pt idx="0">
                  <c:v>8043</c:v>
                </c:pt>
                <c:pt idx="1">
                  <c:v>9879</c:v>
                </c:pt>
                <c:pt idx="2">
                  <c:v>8828</c:v>
                </c:pt>
                <c:pt idx="4">
                  <c:v>10097</c:v>
                </c:pt>
                <c:pt idx="5">
                  <c:v>10334</c:v>
                </c:pt>
                <c:pt idx="6">
                  <c:v>9701</c:v>
                </c:pt>
                <c:pt idx="7">
                  <c:v>10398</c:v>
                </c:pt>
                <c:pt idx="8">
                  <c:v>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Model!$L$21:$T$21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0.25537734676115886</c:v>
                </c:pt>
                <c:pt idx="5">
                  <c:v>4.6057293248304543E-2</c:v>
                </c:pt>
                <c:pt idx="6">
                  <c:v>9.8889895786135051E-2</c:v>
                </c:pt>
                <c:pt idx="7">
                  <c:v>0</c:v>
                </c:pt>
                <c:pt idx="8">
                  <c:v>-0.10755670000990392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Model!$C$3:$I$3</c:f>
              <c:numCache>
                <c:formatCode>#,##0</c:formatCode>
                <c:ptCount val="7"/>
                <c:pt idx="2">
                  <c:v>33138</c:v>
                </c:pt>
                <c:pt idx="3">
                  <c:v>37637</c:v>
                </c:pt>
                <c:pt idx="4">
                  <c:v>40530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Model!$C$21:$I$21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0.13576558633592861</c:v>
                </c:pt>
                <c:pt idx="4">
                  <c:v>7.6865850094322008E-2</c:v>
                </c:pt>
                <c:pt idx="5">
                  <c:v>-2.7633851468048309E-2</c:v>
                </c:pt>
                <c:pt idx="6">
                  <c:v>2.359807155544269E-2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99-4F42-9B2A-A3D3D02DA3F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99-4F42-9B2A-A3D3D02DA3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Model!$L$2:$T$2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Model!$L$14:$T$14</c:f>
              <c:numCache>
                <c:formatCode>#,##0</c:formatCode>
                <c:ptCount val="9"/>
                <c:pt idx="0">
                  <c:v>1011</c:v>
                </c:pt>
                <c:pt idx="1">
                  <c:v>1499</c:v>
                </c:pt>
                <c:pt idx="2">
                  <c:v>1191</c:v>
                </c:pt>
                <c:pt idx="3">
                  <c:v>0</c:v>
                </c:pt>
                <c:pt idx="4">
                  <c:v>1407</c:v>
                </c:pt>
                <c:pt idx="5">
                  <c:v>1360</c:v>
                </c:pt>
                <c:pt idx="6">
                  <c:v>1172</c:v>
                </c:pt>
                <c:pt idx="7">
                  <c:v>1217</c:v>
                </c:pt>
                <c:pt idx="8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Model!$B$18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Model!$L$18:$T$18</c:f>
              <c:numCache>
                <c:formatCode>0%</c:formatCode>
                <c:ptCount val="9"/>
                <c:pt idx="0">
                  <c:v>0.2719134651249534</c:v>
                </c:pt>
                <c:pt idx="1">
                  <c:v>0.29021155987448122</c:v>
                </c:pt>
                <c:pt idx="2">
                  <c:v>0.28738106026280019</c:v>
                </c:pt>
                <c:pt idx="3">
                  <c:v>0</c:v>
                </c:pt>
                <c:pt idx="4">
                  <c:v>0.27899376052292757</c:v>
                </c:pt>
                <c:pt idx="5">
                  <c:v>0.29920650280627059</c:v>
                </c:pt>
                <c:pt idx="6">
                  <c:v>0.27626017936295222</c:v>
                </c:pt>
                <c:pt idx="7">
                  <c:v>0.29015195229851898</c:v>
                </c:pt>
                <c:pt idx="8">
                  <c:v>0.25713017423149487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Model!$C$14:$I$14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4038</c:v>
                </c:pt>
                <c:pt idx="3">
                  <c:v>4967</c:v>
                </c:pt>
                <c:pt idx="4">
                  <c:v>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Model!$C$25:$I$25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0.23006438831104514</c:v>
                </c:pt>
                <c:pt idx="4">
                  <c:v>3.8051137507549848E-2</c:v>
                </c:pt>
                <c:pt idx="5">
                  <c:v>-0.22614840989399299</c:v>
                </c:pt>
                <c:pt idx="6">
                  <c:v>7.5342465753424737E-2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Model!$L$2:$R$2</c:f>
              <c:strCache>
                <c:ptCount val="7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</c:strCache>
            </c:strRef>
          </c:cat>
          <c:val>
            <c:numRef>
              <c:f>Model!$L$22:$R$22</c:f>
              <c:numCache>
                <c:formatCode>0%</c:formatCode>
                <c:ptCount val="7"/>
                <c:pt idx="0">
                  <c:v>5.2840979733930128E-2</c:v>
                </c:pt>
                <c:pt idx="1">
                  <c:v>5.3750379593076221E-2</c:v>
                </c:pt>
                <c:pt idx="2">
                  <c:v>6.196193928409606E-2</c:v>
                </c:pt>
                <c:pt idx="3">
                  <c:v>0</c:v>
                </c:pt>
                <c:pt idx="4">
                  <c:v>5.1599484995543232E-2</c:v>
                </c:pt>
                <c:pt idx="5">
                  <c:v>7.4704857751112838E-2</c:v>
                </c:pt>
                <c:pt idx="6">
                  <c:v>7.3909906195237601E-2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Model!$L$23:$S$23</c:f>
              <c:numCache>
                <c:formatCode>0%</c:formatCode>
                <c:ptCount val="8"/>
                <c:pt idx="0">
                  <c:v>4.7743379336068634E-2</c:v>
                </c:pt>
                <c:pt idx="1">
                  <c:v>3.8667881364510576E-2</c:v>
                </c:pt>
                <c:pt idx="2">
                  <c:v>4.6669687358405078E-2</c:v>
                </c:pt>
                <c:pt idx="3">
                  <c:v>0</c:v>
                </c:pt>
                <c:pt idx="4">
                  <c:v>5.0411013172229374E-2</c:v>
                </c:pt>
                <c:pt idx="5">
                  <c:v>3.5417069866460225E-2</c:v>
                </c:pt>
                <c:pt idx="6">
                  <c:v>5.1953406865271619E-2</c:v>
                </c:pt>
                <c:pt idx="7">
                  <c:v>3.9238315060588572E-2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Model!$L$24:$S$24</c:f>
              <c:numCache>
                <c:formatCode>0%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Distribution Exp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Model!$C$22:$G$22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6.3703301345886892E-2</c:v>
                </c:pt>
                <c:pt idx="3">
                  <c:v>6.2518266599357011E-2</c:v>
                </c:pt>
                <c:pt idx="4">
                  <c:v>7.078707130520602E-2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Admin Exp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Model!$C$23:$G$23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4.3032168507453679E-2</c:v>
                </c:pt>
                <c:pt idx="3">
                  <c:v>4.3972686452161437E-2</c:v>
                </c:pt>
                <c:pt idx="4">
                  <c:v>4.4090796940537871E-2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Model!$C$24:$G$24</c:f>
              <c:numCache>
                <c:formatCode>0%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  <c:pt idx="32">
                  <c:v>45180</c:v>
                </c:pt>
                <c:pt idx="33">
                  <c:v>45173</c:v>
                </c:pt>
                <c:pt idx="34">
                  <c:v>45166</c:v>
                </c:pt>
                <c:pt idx="35">
                  <c:v>45159</c:v>
                </c:pt>
                <c:pt idx="36">
                  <c:v>45152</c:v>
                </c:pt>
                <c:pt idx="37">
                  <c:v>45145</c:v>
                </c:pt>
                <c:pt idx="38">
                  <c:v>45138</c:v>
                </c:pt>
                <c:pt idx="39">
                  <c:v>45131</c:v>
                </c:pt>
                <c:pt idx="40">
                  <c:v>45124</c:v>
                </c:pt>
                <c:pt idx="41">
                  <c:v>45117</c:v>
                </c:pt>
                <c:pt idx="42">
                  <c:v>45110</c:v>
                </c:pt>
                <c:pt idx="43">
                  <c:v>45103</c:v>
                </c:pt>
                <c:pt idx="44">
                  <c:v>45096</c:v>
                </c:pt>
                <c:pt idx="45">
                  <c:v>45089</c:v>
                </c:pt>
                <c:pt idx="46">
                  <c:v>45082</c:v>
                </c:pt>
                <c:pt idx="47">
                  <c:v>45075</c:v>
                </c:pt>
                <c:pt idx="48">
                  <c:v>45068</c:v>
                </c:pt>
                <c:pt idx="49">
                  <c:v>45061</c:v>
                </c:pt>
                <c:pt idx="50">
                  <c:v>45054</c:v>
                </c:pt>
                <c:pt idx="51">
                  <c:v>45047</c:v>
                </c:pt>
                <c:pt idx="52">
                  <c:v>45040</c:v>
                </c:pt>
                <c:pt idx="53">
                  <c:v>45033</c:v>
                </c:pt>
                <c:pt idx="54">
                  <c:v>45026</c:v>
                </c:pt>
                <c:pt idx="55">
                  <c:v>45019</c:v>
                </c:pt>
                <c:pt idx="56">
                  <c:v>45012</c:v>
                </c:pt>
                <c:pt idx="57">
                  <c:v>45005</c:v>
                </c:pt>
                <c:pt idx="58">
                  <c:v>44998</c:v>
                </c:pt>
                <c:pt idx="59">
                  <c:v>44991</c:v>
                </c:pt>
                <c:pt idx="60">
                  <c:v>44984</c:v>
                </c:pt>
                <c:pt idx="61">
                  <c:v>44977</c:v>
                </c:pt>
                <c:pt idx="62">
                  <c:v>44970</c:v>
                </c:pt>
                <c:pt idx="63">
                  <c:v>44963</c:v>
                </c:pt>
                <c:pt idx="64">
                  <c:v>44956</c:v>
                </c:pt>
                <c:pt idx="65">
                  <c:v>44949</c:v>
                </c:pt>
                <c:pt idx="66">
                  <c:v>44942</c:v>
                </c:pt>
                <c:pt idx="67">
                  <c:v>44935</c:v>
                </c:pt>
                <c:pt idx="68">
                  <c:v>44928</c:v>
                </c:pt>
                <c:pt idx="69">
                  <c:v>44921</c:v>
                </c:pt>
                <c:pt idx="70">
                  <c:v>44914</c:v>
                </c:pt>
                <c:pt idx="71">
                  <c:v>44907</c:v>
                </c:pt>
                <c:pt idx="72">
                  <c:v>44900</c:v>
                </c:pt>
                <c:pt idx="73">
                  <c:v>44893</c:v>
                </c:pt>
                <c:pt idx="74">
                  <c:v>44886</c:v>
                </c:pt>
                <c:pt idx="75">
                  <c:v>44879</c:v>
                </c:pt>
                <c:pt idx="76">
                  <c:v>44872</c:v>
                </c:pt>
                <c:pt idx="77">
                  <c:v>44865</c:v>
                </c:pt>
                <c:pt idx="78">
                  <c:v>44858</c:v>
                </c:pt>
                <c:pt idx="79">
                  <c:v>44851</c:v>
                </c:pt>
                <c:pt idx="80">
                  <c:v>44844</c:v>
                </c:pt>
                <c:pt idx="81">
                  <c:v>44837</c:v>
                </c:pt>
                <c:pt idx="82">
                  <c:v>44830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89.800003000000004</c:v>
                </c:pt>
                <c:pt idx="1">
                  <c:v>89.919998000000007</c:v>
                </c:pt>
                <c:pt idx="2">
                  <c:v>92.839995999999999</c:v>
                </c:pt>
                <c:pt idx="3">
                  <c:v>93.099997999999999</c:v>
                </c:pt>
                <c:pt idx="4">
                  <c:v>92.279999000000004</c:v>
                </c:pt>
                <c:pt idx="5">
                  <c:v>93.519997000000004</c:v>
                </c:pt>
                <c:pt idx="6">
                  <c:v>88.360000999999997</c:v>
                </c:pt>
                <c:pt idx="7">
                  <c:v>82.120002999999997</c:v>
                </c:pt>
                <c:pt idx="8">
                  <c:v>86.459998999999996</c:v>
                </c:pt>
                <c:pt idx="9">
                  <c:v>82.660004000000001</c:v>
                </c:pt>
                <c:pt idx="10">
                  <c:v>80.620002999999997</c:v>
                </c:pt>
                <c:pt idx="11">
                  <c:v>80.239998</c:v>
                </c:pt>
                <c:pt idx="12">
                  <c:v>82</c:v>
                </c:pt>
                <c:pt idx="13">
                  <c:v>76.480002999999996</c:v>
                </c:pt>
                <c:pt idx="14">
                  <c:v>73.779999000000004</c:v>
                </c:pt>
                <c:pt idx="15">
                  <c:v>75.5</c:v>
                </c:pt>
                <c:pt idx="16">
                  <c:v>76.699996999999996</c:v>
                </c:pt>
                <c:pt idx="17">
                  <c:v>79.900002000000001</c:v>
                </c:pt>
                <c:pt idx="18">
                  <c:v>80.080001999999993</c:v>
                </c:pt>
                <c:pt idx="19">
                  <c:v>81</c:v>
                </c:pt>
                <c:pt idx="20">
                  <c:v>83.559997999999993</c:v>
                </c:pt>
                <c:pt idx="21">
                  <c:v>83.900002000000001</c:v>
                </c:pt>
                <c:pt idx="22">
                  <c:v>86.099997999999999</c:v>
                </c:pt>
                <c:pt idx="23">
                  <c:v>90.919998000000007</c:v>
                </c:pt>
                <c:pt idx="24">
                  <c:v>87.419998000000007</c:v>
                </c:pt>
                <c:pt idx="25">
                  <c:v>90.139999000000003</c:v>
                </c:pt>
                <c:pt idx="26">
                  <c:v>82.120002999999997</c:v>
                </c:pt>
                <c:pt idx="27">
                  <c:v>89.120002999999997</c:v>
                </c:pt>
                <c:pt idx="28">
                  <c:v>90.599997999999999</c:v>
                </c:pt>
                <c:pt idx="29">
                  <c:v>89.220000999999996</c:v>
                </c:pt>
                <c:pt idx="30">
                  <c:v>89</c:v>
                </c:pt>
                <c:pt idx="31">
                  <c:v>92.959998999999996</c:v>
                </c:pt>
                <c:pt idx="32">
                  <c:v>99.099997999999999</c:v>
                </c:pt>
                <c:pt idx="33">
                  <c:v>101.300003</c:v>
                </c:pt>
                <c:pt idx="34">
                  <c:v>98.160004000000001</c:v>
                </c:pt>
                <c:pt idx="35">
                  <c:v>100.050003</c:v>
                </c:pt>
                <c:pt idx="36">
                  <c:v>102.099998</c:v>
                </c:pt>
                <c:pt idx="37">
                  <c:v>104.699997</c:v>
                </c:pt>
                <c:pt idx="38">
                  <c:v>110.5</c:v>
                </c:pt>
                <c:pt idx="39">
                  <c:v>112.25</c:v>
                </c:pt>
                <c:pt idx="40">
                  <c:v>111.199997</c:v>
                </c:pt>
                <c:pt idx="41">
                  <c:v>114.699997</c:v>
                </c:pt>
                <c:pt idx="42">
                  <c:v>110.349998</c:v>
                </c:pt>
                <c:pt idx="43">
                  <c:v>112.699364</c:v>
                </c:pt>
                <c:pt idx="44">
                  <c:v>107.39877300000001</c:v>
                </c:pt>
                <c:pt idx="45">
                  <c:v>113.591049</c:v>
                </c:pt>
                <c:pt idx="46">
                  <c:v>115.622108</c:v>
                </c:pt>
                <c:pt idx="47">
                  <c:v>116.91010300000001</c:v>
                </c:pt>
                <c:pt idx="48">
                  <c:v>116.86056499999999</c:v>
                </c:pt>
                <c:pt idx="49">
                  <c:v>117.30641199999999</c:v>
                </c:pt>
                <c:pt idx="50">
                  <c:v>113.29381600000001</c:v>
                </c:pt>
                <c:pt idx="51">
                  <c:v>114.383652</c:v>
                </c:pt>
                <c:pt idx="52">
                  <c:v>112.352592</c:v>
                </c:pt>
                <c:pt idx="53">
                  <c:v>113.93781300000001</c:v>
                </c:pt>
                <c:pt idx="54">
                  <c:v>117.801796</c:v>
                </c:pt>
                <c:pt idx="55">
                  <c:v>116.81102799999999</c:v>
                </c:pt>
                <c:pt idx="56">
                  <c:v>116.91010300000001</c:v>
                </c:pt>
                <c:pt idx="57">
                  <c:v>111.36183200000001</c:v>
                </c:pt>
                <c:pt idx="58">
                  <c:v>113.541504</c:v>
                </c:pt>
                <c:pt idx="59">
                  <c:v>113.046127</c:v>
                </c:pt>
                <c:pt idx="60">
                  <c:v>113.640579</c:v>
                </c:pt>
                <c:pt idx="61">
                  <c:v>109.479378</c:v>
                </c:pt>
                <c:pt idx="62">
                  <c:v>113.046127</c:v>
                </c:pt>
                <c:pt idx="63">
                  <c:v>112.451668</c:v>
                </c:pt>
                <c:pt idx="64">
                  <c:v>113.640579</c:v>
                </c:pt>
                <c:pt idx="65">
                  <c:v>104.030182</c:v>
                </c:pt>
                <c:pt idx="66">
                  <c:v>101.751419</c:v>
                </c:pt>
                <c:pt idx="67">
                  <c:v>103.832031</c:v>
                </c:pt>
                <c:pt idx="68">
                  <c:v>94.865616000000003</c:v>
                </c:pt>
                <c:pt idx="69">
                  <c:v>93.874854999999997</c:v>
                </c:pt>
                <c:pt idx="70">
                  <c:v>91.269149999999996</c:v>
                </c:pt>
                <c:pt idx="71">
                  <c:v>92.775101000000006</c:v>
                </c:pt>
                <c:pt idx="72">
                  <c:v>100.463432</c:v>
                </c:pt>
                <c:pt idx="73">
                  <c:v>106.011703</c:v>
                </c:pt>
                <c:pt idx="74">
                  <c:v>106.259399</c:v>
                </c:pt>
                <c:pt idx="75">
                  <c:v>106.061249</c:v>
                </c:pt>
                <c:pt idx="76">
                  <c:v>98.580978000000002</c:v>
                </c:pt>
                <c:pt idx="77">
                  <c:v>99.076363000000001</c:v>
                </c:pt>
                <c:pt idx="78">
                  <c:v>98.997101000000001</c:v>
                </c:pt>
                <c:pt idx="79">
                  <c:v>95.192565999999999</c:v>
                </c:pt>
                <c:pt idx="80">
                  <c:v>86.691817999999998</c:v>
                </c:pt>
                <c:pt idx="81">
                  <c:v>91.269149999999996</c:v>
                </c:pt>
                <c:pt idx="82">
                  <c:v>81.737999000000002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-12,20%</c:v>
                </c:pt>
                <c:pt idx="1">
                  <c:v>-12,20% to -9,72%</c:v>
                </c:pt>
                <c:pt idx="2">
                  <c:v>-9,72% to -7,24%</c:v>
                </c:pt>
                <c:pt idx="3">
                  <c:v>-7,24% to -4,76%</c:v>
                </c:pt>
                <c:pt idx="4">
                  <c:v>-4,76% to -2,28%</c:v>
                </c:pt>
                <c:pt idx="5">
                  <c:v>-2,28% to 0,20%</c:v>
                </c:pt>
                <c:pt idx="6">
                  <c:v>0,20% to 2,68%</c:v>
                </c:pt>
                <c:pt idx="7">
                  <c:v>2,68% to 5,15%</c:v>
                </c:pt>
                <c:pt idx="8">
                  <c:v>5,15% to 7,63%</c:v>
                </c:pt>
                <c:pt idx="9">
                  <c:v>7,63% to 10,11%</c:v>
                </c:pt>
                <c:pt idx="10">
                  <c:v>10,11% to 12,59%</c:v>
                </c:pt>
                <c:pt idx="11">
                  <c:v>Greater than 12,59%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10</c:v>
                </c:pt>
                <c:pt idx="5">
                  <c:v>31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25</xdr:col>
      <xdr:colOff>285750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E32" sqref="E32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17.28515625" bestFit="1" customWidth="1"/>
    <col min="14" max="14" width="34.42578125" customWidth="1"/>
  </cols>
  <sheetData>
    <row r="2" spans="2:14" x14ac:dyDescent="0.25">
      <c r="B2" s="34" t="s">
        <v>157</v>
      </c>
      <c r="C2" s="19"/>
      <c r="E2" s="24" t="s">
        <v>44</v>
      </c>
      <c r="F2" s="58" t="s">
        <v>45</v>
      </c>
      <c r="G2" s="25"/>
      <c r="H2" s="26" t="s">
        <v>52</v>
      </c>
      <c r="I2" s="26" t="s">
        <v>1</v>
      </c>
      <c r="J2" s="27" t="s">
        <v>45</v>
      </c>
      <c r="L2" s="30" t="s">
        <v>38</v>
      </c>
      <c r="M2" s="31" t="s">
        <v>54</v>
      </c>
      <c r="N2" s="32" t="s">
        <v>53</v>
      </c>
    </row>
    <row r="3" spans="2:14" x14ac:dyDescent="0.25">
      <c r="B3" s="5" t="s">
        <v>37</v>
      </c>
      <c r="C3" s="20">
        <v>45690</v>
      </c>
      <c r="E3" s="5"/>
      <c r="F3" s="28"/>
      <c r="I3" s="10"/>
      <c r="J3" s="37"/>
      <c r="L3" s="5" t="s">
        <v>158</v>
      </c>
      <c r="M3" t="s">
        <v>170</v>
      </c>
      <c r="N3" s="150" t="s">
        <v>169</v>
      </c>
    </row>
    <row r="4" spans="2:14" x14ac:dyDescent="0.25">
      <c r="B4" s="5"/>
      <c r="C4" s="21">
        <v>0.10972222222222222</v>
      </c>
      <c r="E4" s="5"/>
      <c r="F4" s="28"/>
      <c r="I4" s="10"/>
      <c r="J4" s="37"/>
      <c r="L4" s="5" t="s">
        <v>159</v>
      </c>
      <c r="M4" t="s">
        <v>171</v>
      </c>
      <c r="N4" s="13"/>
    </row>
    <row r="5" spans="2:14" x14ac:dyDescent="0.25">
      <c r="B5" s="5"/>
      <c r="C5" s="13"/>
      <c r="E5" s="5"/>
      <c r="F5" s="123"/>
      <c r="I5" s="10"/>
      <c r="J5" s="37"/>
      <c r="L5" s="5" t="s">
        <v>160</v>
      </c>
      <c r="M5" t="s">
        <v>172</v>
      </c>
      <c r="N5" s="13"/>
    </row>
    <row r="6" spans="2:14" x14ac:dyDescent="0.25">
      <c r="B6" s="5" t="s">
        <v>0</v>
      </c>
      <c r="C6" s="13">
        <v>78.099999999999994</v>
      </c>
      <c r="E6" s="5"/>
      <c r="F6" s="123"/>
      <c r="I6" s="10"/>
      <c r="J6" s="37"/>
      <c r="L6" s="5" t="s">
        <v>161</v>
      </c>
      <c r="M6" t="s">
        <v>173</v>
      </c>
      <c r="N6" s="13"/>
    </row>
    <row r="7" spans="2:14" x14ac:dyDescent="0.25">
      <c r="B7" s="5" t="s">
        <v>1</v>
      </c>
      <c r="C7" s="15"/>
      <c r="E7" s="124"/>
      <c r="F7" s="123"/>
      <c r="I7" s="10"/>
      <c r="J7" s="37"/>
      <c r="L7" s="5" t="s">
        <v>162</v>
      </c>
      <c r="M7" t="s">
        <v>174</v>
      </c>
      <c r="N7" s="13"/>
    </row>
    <row r="8" spans="2:14" x14ac:dyDescent="0.25">
      <c r="B8" s="5" t="s">
        <v>2</v>
      </c>
      <c r="C8" s="15">
        <f>C6*C7</f>
        <v>0</v>
      </c>
      <c r="E8" s="5"/>
      <c r="F8" s="123"/>
      <c r="I8" s="10"/>
      <c r="J8" s="37"/>
      <c r="L8" s="5" t="s">
        <v>163</v>
      </c>
      <c r="M8" t="s">
        <v>175</v>
      </c>
      <c r="N8" s="13"/>
    </row>
    <row r="9" spans="2:14" x14ac:dyDescent="0.25">
      <c r="B9" s="5" t="s">
        <v>3</v>
      </c>
      <c r="C9" s="15">
        <f>Model!V35+Model!V34</f>
        <v>6452</v>
      </c>
      <c r="E9" s="5"/>
      <c r="F9" s="123"/>
      <c r="I9" s="10"/>
      <c r="J9" s="37"/>
      <c r="L9" s="5" t="s">
        <v>164</v>
      </c>
      <c r="M9" t="s">
        <v>176</v>
      </c>
      <c r="N9" s="13"/>
    </row>
    <row r="10" spans="2:14" x14ac:dyDescent="0.25">
      <c r="B10" s="5" t="s">
        <v>4</v>
      </c>
      <c r="C10" s="15">
        <f>Model!V44+Model!V45</f>
        <v>7748</v>
      </c>
      <c r="E10" s="5"/>
      <c r="F10" s="28"/>
      <c r="I10" s="10"/>
      <c r="J10" s="37"/>
      <c r="L10" s="5" t="s">
        <v>165</v>
      </c>
      <c r="M10" t="s">
        <v>177</v>
      </c>
      <c r="N10" s="13"/>
    </row>
    <row r="11" spans="2:14" x14ac:dyDescent="0.25">
      <c r="B11" s="5" t="s">
        <v>32</v>
      </c>
      <c r="C11" s="15">
        <f>C9-C10</f>
        <v>-1296</v>
      </c>
      <c r="E11" s="5"/>
      <c r="F11" s="28"/>
      <c r="I11" s="10"/>
      <c r="J11" s="37"/>
      <c r="L11" s="5" t="s">
        <v>166</v>
      </c>
      <c r="M11" t="s">
        <v>167</v>
      </c>
      <c r="N11" s="13"/>
    </row>
    <row r="12" spans="2:14" x14ac:dyDescent="0.25">
      <c r="B12" s="5" t="s">
        <v>5</v>
      </c>
      <c r="C12" s="15">
        <f>C8-C9+C10</f>
        <v>1296</v>
      </c>
      <c r="E12" s="5"/>
      <c r="F12" s="28"/>
      <c r="J12" s="13"/>
      <c r="L12" s="5" t="s">
        <v>168</v>
      </c>
      <c r="M12" t="s">
        <v>178</v>
      </c>
      <c r="N12" s="13"/>
    </row>
    <row r="13" spans="2:14" x14ac:dyDescent="0.25">
      <c r="B13" s="5" t="s">
        <v>43</v>
      </c>
      <c r="C13" s="36">
        <f>C6/Model!G16</f>
        <v>13.798586572438161</v>
      </c>
      <c r="E13" s="5"/>
      <c r="J13" s="13"/>
      <c r="L13" s="5"/>
      <c r="N13" s="13"/>
    </row>
    <row r="14" spans="2:14" x14ac:dyDescent="0.25">
      <c r="B14" s="5" t="s">
        <v>41</v>
      </c>
      <c r="C14" s="36">
        <f>C6/Model!H17</f>
        <v>17.831050228310502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42</v>
      </c>
      <c r="C15" s="36">
        <f>C6/Model!I17</f>
        <v>16.581740976645435</v>
      </c>
    </row>
    <row r="16" spans="2:14" x14ac:dyDescent="0.25">
      <c r="B16" s="5" t="s">
        <v>39</v>
      </c>
      <c r="C16" s="6">
        <f>Model!H17/Model!G16-1</f>
        <v>-0.22614840989399299</v>
      </c>
    </row>
    <row r="17" spans="2:14" x14ac:dyDescent="0.25">
      <c r="B17" s="5" t="s">
        <v>40</v>
      </c>
      <c r="C17" s="6">
        <f>Model!I17/Model!H17-1</f>
        <v>7.5342465753424737E-2</v>
      </c>
      <c r="E17" s="33" t="s">
        <v>50</v>
      </c>
      <c r="L17" s="131"/>
      <c r="M17" s="132"/>
      <c r="N17" s="133"/>
    </row>
    <row r="18" spans="2:14" x14ac:dyDescent="0.25">
      <c r="B18" s="5" t="s">
        <v>63</v>
      </c>
      <c r="C18" s="50">
        <f>C14/(C16*100)</f>
        <v>-0.78846675228310492</v>
      </c>
      <c r="L18" s="134"/>
      <c r="M18" s="135"/>
      <c r="N18" s="136"/>
    </row>
    <row r="19" spans="2:14" x14ac:dyDescent="0.25">
      <c r="B19" s="5" t="s">
        <v>64</v>
      </c>
      <c r="C19" s="50">
        <f>C15/(C17*100)</f>
        <v>2.2008492569002098</v>
      </c>
      <c r="L19" s="134"/>
      <c r="M19" s="135"/>
      <c r="N19" s="136"/>
    </row>
    <row r="20" spans="2:14" x14ac:dyDescent="0.25">
      <c r="B20" s="5" t="s">
        <v>73</v>
      </c>
      <c r="C20" s="6">
        <f>Model!H4/Model!G3-1</f>
        <v>-2.7633851468048309E-2</v>
      </c>
      <c r="L20" s="134"/>
      <c r="M20" s="135"/>
      <c r="N20" s="136"/>
    </row>
    <row r="21" spans="2:14" x14ac:dyDescent="0.25">
      <c r="B21" s="5" t="s">
        <v>74</v>
      </c>
      <c r="C21" s="6">
        <f>Model!I4/Model!H4-1</f>
        <v>2.359807155544269E-2</v>
      </c>
      <c r="L21" s="134"/>
      <c r="M21" s="135"/>
      <c r="N21" s="136"/>
    </row>
    <row r="22" spans="2:14" x14ac:dyDescent="0.25">
      <c r="B22" s="5" t="s">
        <v>65</v>
      </c>
      <c r="C22" s="15">
        <f>Model!G12+Model!G11</f>
        <v>7473</v>
      </c>
      <c r="L22" s="134"/>
      <c r="M22" s="135"/>
      <c r="N22" s="136"/>
    </row>
    <row r="23" spans="2:14" x14ac:dyDescent="0.25">
      <c r="B23" s="5" t="s">
        <v>16</v>
      </c>
      <c r="C23" s="15">
        <f>Model!G12</f>
        <v>7374</v>
      </c>
      <c r="L23" s="134"/>
      <c r="M23" s="135"/>
      <c r="N23" s="136"/>
    </row>
    <row r="24" spans="2:14" x14ac:dyDescent="0.25">
      <c r="B24" s="5" t="s">
        <v>25</v>
      </c>
      <c r="C24" s="7">
        <f>Model!V18</f>
        <v>0.22828593389700236</v>
      </c>
      <c r="L24" s="134"/>
      <c r="M24" s="135"/>
      <c r="N24" s="136"/>
    </row>
    <row r="25" spans="2:14" x14ac:dyDescent="0.25">
      <c r="B25" s="5" t="s">
        <v>26</v>
      </c>
      <c r="C25" s="7">
        <f>Model!V19</f>
        <v>6.7310859778192594E-2</v>
      </c>
      <c r="L25" s="134"/>
      <c r="M25" s="135"/>
      <c r="N25" s="136"/>
    </row>
    <row r="26" spans="2:14" x14ac:dyDescent="0.25">
      <c r="B26" s="5" t="s">
        <v>66</v>
      </c>
      <c r="C26" s="36">
        <f>C12/C23</f>
        <v>0.1757526444263629</v>
      </c>
      <c r="L26" s="134"/>
      <c r="M26" s="135"/>
      <c r="N26" s="136"/>
    </row>
    <row r="27" spans="2:14" x14ac:dyDescent="0.25">
      <c r="B27" s="5" t="s">
        <v>75</v>
      </c>
      <c r="C27" s="118">
        <f>(Model!V44+Model!V45)/Model!V53</f>
        <v>0.33174909013059301</v>
      </c>
      <c r="E27" t="s">
        <v>67</v>
      </c>
      <c r="L27" s="134"/>
      <c r="M27" s="135"/>
      <c r="N27" s="136"/>
    </row>
    <row r="28" spans="2:14" x14ac:dyDescent="0.25">
      <c r="B28" s="5" t="s">
        <v>76</v>
      </c>
      <c r="C28" s="36">
        <f>Model!G9/Model!G11</f>
        <v>73.575757575757578</v>
      </c>
      <c r="E28" t="s">
        <v>179</v>
      </c>
      <c r="L28" s="137"/>
      <c r="M28" s="138"/>
      <c r="N28" s="139"/>
    </row>
    <row r="29" spans="2:14" x14ac:dyDescent="0.25">
      <c r="B29" s="5" t="s">
        <v>77</v>
      </c>
      <c r="C29" s="36">
        <f>Model!V37/Model!V48</f>
        <v>1.4076233821646993</v>
      </c>
      <c r="E29" t="s">
        <v>186</v>
      </c>
    </row>
    <row r="30" spans="2:14" x14ac:dyDescent="0.25">
      <c r="B30" s="5" t="s">
        <v>78</v>
      </c>
      <c r="C30" s="36">
        <f>(Model!V35+Model!V34+Model!V31)/Model!V48</f>
        <v>0.58000284454558382</v>
      </c>
      <c r="E30" t="s">
        <v>187</v>
      </c>
    </row>
    <row r="31" spans="2:14" x14ac:dyDescent="0.25">
      <c r="B31" s="5" t="s">
        <v>79</v>
      </c>
      <c r="C31" s="6">
        <f>(Model!V37-Model!V48)/Model!V43</f>
        <v>0.11004031483970052</v>
      </c>
      <c r="E31" t="s">
        <v>188</v>
      </c>
    </row>
    <row r="32" spans="2:14" x14ac:dyDescent="0.25">
      <c r="B32" s="5" t="s">
        <v>80</v>
      </c>
      <c r="C32" s="36" t="e">
        <f>(Model!V43-Model!V52)/Main!C7</f>
        <v>#DIV/0!</v>
      </c>
    </row>
    <row r="33" spans="2:3" x14ac:dyDescent="0.25">
      <c r="B33" s="5" t="s">
        <v>81</v>
      </c>
      <c r="C33" s="36">
        <f>Model!V3/Model!V43</f>
        <v>0.17483202150124785</v>
      </c>
    </row>
    <row r="34" spans="2:3" x14ac:dyDescent="0.25">
      <c r="B34" s="5" t="s">
        <v>82</v>
      </c>
      <c r="C34" s="37">
        <f>Model!V14/Model!V43</f>
        <v>1.1768093684008447E-2</v>
      </c>
    </row>
    <row r="35" spans="2:3" x14ac:dyDescent="0.25">
      <c r="B35" s="5" t="s">
        <v>83</v>
      </c>
      <c r="C35" s="37">
        <f>Model!V14/Model!V53</f>
        <v>2.6247056304859774E-2</v>
      </c>
    </row>
    <row r="36" spans="2:3" x14ac:dyDescent="0.25">
      <c r="B36" s="22" t="s">
        <v>84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74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I26" sqref="I2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4" x14ac:dyDescent="0.25">
      <c r="A1" s="8" t="s">
        <v>33</v>
      </c>
    </row>
    <row r="2" spans="1:24" x14ac:dyDescent="0.25">
      <c r="C2" t="s">
        <v>29</v>
      </c>
      <c r="D2" t="s">
        <v>15</v>
      </c>
      <c r="E2" t="s">
        <v>11</v>
      </c>
      <c r="F2" t="s">
        <v>12</v>
      </c>
      <c r="G2" s="13" t="s">
        <v>13</v>
      </c>
      <c r="H2" t="s">
        <v>28</v>
      </c>
      <c r="I2" t="s">
        <v>62</v>
      </c>
      <c r="L2" t="s">
        <v>10</v>
      </c>
      <c r="M2" t="s">
        <v>6</v>
      </c>
      <c r="N2" t="s">
        <v>7</v>
      </c>
      <c r="O2" t="s">
        <v>8</v>
      </c>
      <c r="P2" t="s">
        <v>9</v>
      </c>
      <c r="Q2" t="s">
        <v>31</v>
      </c>
      <c r="R2" t="s">
        <v>35</v>
      </c>
      <c r="S2" t="s">
        <v>36</v>
      </c>
      <c r="T2" t="s">
        <v>58</v>
      </c>
      <c r="U2" t="s">
        <v>61</v>
      </c>
      <c r="V2" t="s">
        <v>126</v>
      </c>
      <c r="W2" s="13" t="s">
        <v>127</v>
      </c>
      <c r="X2" t="s">
        <v>156</v>
      </c>
    </row>
    <row r="3" spans="1:24" x14ac:dyDescent="0.25">
      <c r="B3" t="s">
        <v>14</v>
      </c>
      <c r="C3" s="10"/>
      <c r="D3" s="10"/>
      <c r="E3" s="10">
        <v>33138</v>
      </c>
      <c r="F3" s="10">
        <v>37637</v>
      </c>
      <c r="G3" s="15">
        <v>40530</v>
      </c>
      <c r="H3" s="39"/>
      <c r="I3" s="39"/>
      <c r="L3" s="10">
        <v>8043</v>
      </c>
      <c r="M3" s="10">
        <f>17922-L3</f>
        <v>9879</v>
      </c>
      <c r="N3" s="10">
        <f>26750-M3-L3</f>
        <v>8828</v>
      </c>
      <c r="O3" s="10"/>
      <c r="P3" s="10">
        <v>10097</v>
      </c>
      <c r="Q3" s="10">
        <f>20431-P3</f>
        <v>10334</v>
      </c>
      <c r="R3" s="10">
        <f>30132-Q3-P3</f>
        <v>9701</v>
      </c>
      <c r="S3" s="10">
        <f>G3-R3-Q3-P3</f>
        <v>10398</v>
      </c>
      <c r="T3" s="10">
        <v>9011</v>
      </c>
      <c r="U3" s="10">
        <f>19457-T3</f>
        <v>10446</v>
      </c>
      <c r="V3" s="10">
        <f>28564-U3-T3</f>
        <v>9107</v>
      </c>
    </row>
    <row r="4" spans="1:24" x14ac:dyDescent="0.25">
      <c r="B4" s="9" t="s">
        <v>60</v>
      </c>
      <c r="C4" s="10"/>
      <c r="D4" s="10"/>
      <c r="E4" s="10"/>
      <c r="F4" s="10"/>
      <c r="G4" s="15"/>
      <c r="H4" s="41">
        <v>39410</v>
      </c>
      <c r="I4" s="41">
        <v>40340</v>
      </c>
      <c r="L4" s="39"/>
      <c r="M4" s="39"/>
      <c r="N4" s="39"/>
      <c r="O4" s="39"/>
      <c r="P4" s="39"/>
      <c r="Q4" s="39"/>
      <c r="R4" s="39"/>
      <c r="S4" s="10"/>
      <c r="T4" s="10"/>
      <c r="U4" s="127">
        <v>8770</v>
      </c>
      <c r="V4" s="41">
        <v>10070</v>
      </c>
    </row>
    <row r="5" spans="1:24" x14ac:dyDescent="0.25">
      <c r="B5" t="s">
        <v>55</v>
      </c>
      <c r="C5" s="10"/>
      <c r="D5" s="10"/>
      <c r="E5" s="10">
        <v>24281</v>
      </c>
      <c r="F5" s="10">
        <v>27089</v>
      </c>
      <c r="G5" s="15">
        <v>28924</v>
      </c>
      <c r="H5" s="10"/>
      <c r="I5" s="10"/>
      <c r="L5" s="10">
        <v>5856</v>
      </c>
      <c r="M5" s="10">
        <f>12868-L5</f>
        <v>7012</v>
      </c>
      <c r="N5" s="10">
        <f>19159-M5-L5</f>
        <v>6291</v>
      </c>
      <c r="O5" s="10"/>
      <c r="P5" s="10">
        <v>7280</v>
      </c>
      <c r="Q5" s="10">
        <f>14522-P5</f>
        <v>7242</v>
      </c>
      <c r="R5" s="10">
        <f>21543-Q5-P5</f>
        <v>7021</v>
      </c>
      <c r="S5" s="10">
        <f>G5-R5-Q5-P5</f>
        <v>7381</v>
      </c>
      <c r="T5" s="10">
        <v>6694</v>
      </c>
      <c r="U5" s="10">
        <f>14251-T5</f>
        <v>7557</v>
      </c>
      <c r="V5" s="10">
        <f>21279-U5-T5</f>
        <v>7028</v>
      </c>
    </row>
    <row r="6" spans="1:24" x14ac:dyDescent="0.25">
      <c r="B6" t="s">
        <v>140</v>
      </c>
      <c r="C6" s="10"/>
      <c r="D6" s="10"/>
      <c r="E6" s="10">
        <v>2111</v>
      </c>
      <c r="F6" s="10">
        <v>2353</v>
      </c>
      <c r="G6" s="15">
        <v>2869</v>
      </c>
      <c r="H6" s="39"/>
      <c r="I6" s="39"/>
      <c r="L6" s="10">
        <v>425</v>
      </c>
      <c r="M6" s="10">
        <f>956-L6</f>
        <v>531</v>
      </c>
      <c r="N6" s="10">
        <f>1503-M6-L6</f>
        <v>547</v>
      </c>
      <c r="O6" s="10"/>
      <c r="P6" s="10">
        <v>521</v>
      </c>
      <c r="Q6" s="10">
        <f>1293-P6</f>
        <v>772</v>
      </c>
      <c r="R6" s="10">
        <f>2010-Q6-P6</f>
        <v>717</v>
      </c>
      <c r="S6" s="10">
        <f>G6-R6-Q6-P6</f>
        <v>859</v>
      </c>
      <c r="T6">
        <v>657</v>
      </c>
      <c r="U6">
        <f>1379-T6</f>
        <v>722</v>
      </c>
      <c r="V6">
        <f>2148-U6-T6</f>
        <v>769</v>
      </c>
    </row>
    <row r="7" spans="1:24" x14ac:dyDescent="0.25">
      <c r="B7" t="s">
        <v>141</v>
      </c>
      <c r="C7" s="10"/>
      <c r="D7" s="10"/>
      <c r="E7" s="10">
        <v>1426</v>
      </c>
      <c r="F7" s="10">
        <v>1655</v>
      </c>
      <c r="G7" s="15">
        <v>1787</v>
      </c>
      <c r="H7" s="39"/>
      <c r="I7" s="39"/>
      <c r="L7" s="10">
        <v>384</v>
      </c>
      <c r="M7" s="10">
        <f>766-L7</f>
        <v>382</v>
      </c>
      <c r="N7" s="10">
        <f>1178-M7-L7</f>
        <v>412</v>
      </c>
      <c r="O7" s="10"/>
      <c r="P7" s="10">
        <v>509</v>
      </c>
      <c r="Q7" s="10">
        <f>875-P7</f>
        <v>366</v>
      </c>
      <c r="R7" s="10">
        <f>1379-Q7-P7</f>
        <v>504</v>
      </c>
      <c r="S7" s="10">
        <f>G7-R7-Q7-P7</f>
        <v>408</v>
      </c>
      <c r="T7">
        <v>462</v>
      </c>
      <c r="U7">
        <f>952-T7</f>
        <v>490</v>
      </c>
      <c r="V7">
        <f>1368-U7-T7</f>
        <v>416</v>
      </c>
    </row>
    <row r="8" spans="1:24" x14ac:dyDescent="0.25">
      <c r="B8" t="s">
        <v>22</v>
      </c>
      <c r="C8" s="10"/>
      <c r="D8" s="10"/>
      <c r="E8" s="10">
        <v>6</v>
      </c>
      <c r="F8" s="10">
        <f>-1894+1662</f>
        <v>-232</v>
      </c>
      <c r="G8" s="15">
        <f>-1496+1162</f>
        <v>-334</v>
      </c>
      <c r="H8" s="10"/>
      <c r="I8" s="10"/>
      <c r="L8" s="10">
        <v>-89</v>
      </c>
      <c r="M8" s="10">
        <f>-149-L8</f>
        <v>-60</v>
      </c>
      <c r="N8" s="10">
        <f>-140-M8-L8</f>
        <v>9</v>
      </c>
      <c r="O8" s="10"/>
      <c r="P8" s="10">
        <v>-53</v>
      </c>
      <c r="Q8" s="10">
        <f>-111-P8</f>
        <v>-58</v>
      </c>
      <c r="R8" s="10">
        <f>-301-Q8-P8</f>
        <v>-190</v>
      </c>
      <c r="S8" s="10">
        <f>G8-R8-Q8-P8</f>
        <v>-33</v>
      </c>
      <c r="T8">
        <v>-84</v>
      </c>
      <c r="U8">
        <f>-187-T8</f>
        <v>-103</v>
      </c>
      <c r="V8">
        <f>-267-U8-T8</f>
        <v>-80</v>
      </c>
    </row>
    <row r="9" spans="1:24" s="1" customFormat="1" x14ac:dyDescent="0.25">
      <c r="B9" s="1" t="s">
        <v>20</v>
      </c>
      <c r="C9" s="11">
        <f t="shared" ref="C9:I9" si="0">C3-SUM(C5:C8)</f>
        <v>0</v>
      </c>
      <c r="D9" s="11">
        <f t="shared" si="0"/>
        <v>0</v>
      </c>
      <c r="E9" s="11">
        <f t="shared" si="0"/>
        <v>5314</v>
      </c>
      <c r="F9" s="11">
        <f t="shared" si="0"/>
        <v>6772</v>
      </c>
      <c r="G9" s="14">
        <f t="shared" si="0"/>
        <v>7284</v>
      </c>
      <c r="H9" s="11">
        <f t="shared" si="0"/>
        <v>0</v>
      </c>
      <c r="I9" s="11">
        <f t="shared" si="0"/>
        <v>0</v>
      </c>
      <c r="J9" s="11"/>
      <c r="K9" s="11"/>
      <c r="L9" s="11">
        <f t="shared" ref="L9:T9" si="1">L3-SUM(L5:L8)</f>
        <v>1467</v>
      </c>
      <c r="M9" s="11">
        <f t="shared" si="1"/>
        <v>2014</v>
      </c>
      <c r="N9" s="11">
        <f t="shared" si="1"/>
        <v>1569</v>
      </c>
      <c r="O9" s="11">
        <f t="shared" si="1"/>
        <v>0</v>
      </c>
      <c r="P9" s="11">
        <f t="shared" si="1"/>
        <v>1840</v>
      </c>
      <c r="Q9" s="11">
        <f t="shared" si="1"/>
        <v>2012</v>
      </c>
      <c r="R9" s="11">
        <f t="shared" si="1"/>
        <v>1649</v>
      </c>
      <c r="S9" s="11">
        <f t="shared" si="1"/>
        <v>1783</v>
      </c>
      <c r="T9" s="11">
        <f t="shared" si="1"/>
        <v>1282</v>
      </c>
      <c r="U9" s="11">
        <f>U3-SUM(U5:U8)</f>
        <v>1780</v>
      </c>
      <c r="V9" s="11">
        <f>V3-SUM(V5:V8)</f>
        <v>974</v>
      </c>
      <c r="W9" s="16"/>
    </row>
    <row r="10" spans="1:24" x14ac:dyDescent="0.25">
      <c r="B10" t="s">
        <v>142</v>
      </c>
      <c r="C10" s="10"/>
      <c r="D10" s="10"/>
      <c r="E10" s="10"/>
      <c r="F10" s="10">
        <v>-7</v>
      </c>
      <c r="G10" s="15">
        <v>-9</v>
      </c>
      <c r="H10" s="39"/>
      <c r="I10" s="39"/>
      <c r="L10" s="10">
        <v>-10</v>
      </c>
      <c r="M10" s="10">
        <f>-12-L10</f>
        <v>-2</v>
      </c>
      <c r="N10" s="10">
        <f>17-M10-L10</f>
        <v>29</v>
      </c>
      <c r="O10" s="10"/>
      <c r="P10" s="10">
        <v>-5</v>
      </c>
      <c r="Q10" s="10">
        <f>-7-P10</f>
        <v>-2</v>
      </c>
      <c r="R10" s="10">
        <f>-6-Q10-P10</f>
        <v>1</v>
      </c>
      <c r="S10" s="10">
        <f>G10-R10-Q10-P10</f>
        <v>-3</v>
      </c>
      <c r="T10">
        <v>50</v>
      </c>
      <c r="U10">
        <f>33-T10</f>
        <v>-17</v>
      </c>
      <c r="V10">
        <f>-49-U10-T10</f>
        <v>-82</v>
      </c>
    </row>
    <row r="11" spans="1:24" x14ac:dyDescent="0.25">
      <c r="B11" t="s">
        <v>143</v>
      </c>
      <c r="C11" s="10"/>
      <c r="D11" s="10"/>
      <c r="E11" s="10">
        <v>415</v>
      </c>
      <c r="F11" s="10">
        <f>461-105-40</f>
        <v>316</v>
      </c>
      <c r="G11" s="15">
        <f>264-184+19</f>
        <v>99</v>
      </c>
      <c r="H11" s="39"/>
      <c r="I11" s="39"/>
      <c r="L11" s="10">
        <v>54</v>
      </c>
      <c r="M11" s="10">
        <f>202-L11</f>
        <v>148</v>
      </c>
      <c r="N11" s="10">
        <f>249-M11-L11</f>
        <v>47</v>
      </c>
      <c r="O11" s="10"/>
      <c r="P11" s="10">
        <v>150</v>
      </c>
      <c r="Q11" s="10">
        <f>137-P11</f>
        <v>-13</v>
      </c>
      <c r="R11" s="10">
        <f>149-Q11-P11</f>
        <v>12</v>
      </c>
      <c r="S11" s="10">
        <f>G11-R11-Q11-P11</f>
        <v>-50</v>
      </c>
    </row>
    <row r="12" spans="1:24" s="1" customFormat="1" x14ac:dyDescent="0.25">
      <c r="B12" s="1" t="s">
        <v>16</v>
      </c>
      <c r="C12" s="11">
        <f t="shared" ref="C12:I12" si="2">C9+SUM(C10:C11)</f>
        <v>0</v>
      </c>
      <c r="D12" s="11">
        <f t="shared" si="2"/>
        <v>0</v>
      </c>
      <c r="E12" s="11">
        <f t="shared" si="2"/>
        <v>5729</v>
      </c>
      <c r="F12" s="11">
        <f t="shared" si="2"/>
        <v>7081</v>
      </c>
      <c r="G12" s="14">
        <f t="shared" si="2"/>
        <v>7374</v>
      </c>
      <c r="H12" s="11">
        <f t="shared" si="2"/>
        <v>0</v>
      </c>
      <c r="I12" s="11">
        <f t="shared" si="2"/>
        <v>0</v>
      </c>
      <c r="L12" s="11">
        <f t="shared" ref="L12:W12" si="3">L9+SUM(L10:L11)</f>
        <v>1511</v>
      </c>
      <c r="M12" s="11">
        <f t="shared" si="3"/>
        <v>2160</v>
      </c>
      <c r="N12" s="11">
        <f t="shared" si="3"/>
        <v>1645</v>
      </c>
      <c r="O12" s="11">
        <f t="shared" si="3"/>
        <v>0</v>
      </c>
      <c r="P12" s="11">
        <f t="shared" si="3"/>
        <v>1985</v>
      </c>
      <c r="Q12" s="11">
        <f t="shared" si="3"/>
        <v>1997</v>
      </c>
      <c r="R12" s="11">
        <f t="shared" si="3"/>
        <v>1662</v>
      </c>
      <c r="S12" s="11">
        <f t="shared" si="3"/>
        <v>1730</v>
      </c>
      <c r="T12" s="11">
        <f t="shared" si="3"/>
        <v>1332</v>
      </c>
      <c r="U12" s="11">
        <f t="shared" si="3"/>
        <v>1763</v>
      </c>
      <c r="V12" s="11">
        <f t="shared" si="3"/>
        <v>892</v>
      </c>
      <c r="W12" s="14">
        <f t="shared" si="3"/>
        <v>0</v>
      </c>
    </row>
    <row r="13" spans="1:24" x14ac:dyDescent="0.25">
      <c r="B13" t="s">
        <v>17</v>
      </c>
      <c r="C13" s="10"/>
      <c r="D13" s="10"/>
      <c r="E13" s="10">
        <v>1691</v>
      </c>
      <c r="F13" s="10">
        <v>2114</v>
      </c>
      <c r="G13" s="15">
        <v>2218</v>
      </c>
      <c r="H13" s="39"/>
      <c r="I13" s="39"/>
      <c r="L13" s="10">
        <v>500</v>
      </c>
      <c r="M13" s="10">
        <f>1161-L13</f>
        <v>661</v>
      </c>
      <c r="N13" s="10">
        <f>1615-M13-L13</f>
        <v>454</v>
      </c>
      <c r="O13" s="10"/>
      <c r="P13" s="10">
        <v>578</v>
      </c>
      <c r="Q13" s="10">
        <f>1215-P13</f>
        <v>637</v>
      </c>
      <c r="R13" s="10">
        <f>1705-Q13-P13</f>
        <v>490</v>
      </c>
      <c r="S13" s="10">
        <f>G13-R13-Q13-P13</f>
        <v>513</v>
      </c>
      <c r="T13">
        <v>406</v>
      </c>
      <c r="U13">
        <f>942-T13</f>
        <v>536</v>
      </c>
      <c r="V13">
        <f>1221-U13-T13</f>
        <v>279</v>
      </c>
    </row>
    <row r="14" spans="1:24" s="1" customFormat="1" x14ac:dyDescent="0.25">
      <c r="B14" s="1" t="s">
        <v>18</v>
      </c>
      <c r="C14" s="11">
        <f>C12-SUM(C13:C13)</f>
        <v>0</v>
      </c>
      <c r="D14" s="11">
        <f>D12-SUM(D13:D13)</f>
        <v>0</v>
      </c>
      <c r="E14" s="11">
        <f>E12-SUM(E13:E13)</f>
        <v>4038</v>
      </c>
      <c r="F14" s="11">
        <f>F12-SUM(F13:F13)</f>
        <v>4967</v>
      </c>
      <c r="G14" s="14">
        <f>G12-SUM(G13:G13)</f>
        <v>5156</v>
      </c>
      <c r="H14" s="57"/>
      <c r="I14" s="57"/>
      <c r="L14" s="11">
        <f t="shared" ref="L14:W14" si="4">L12-SUM(L13:L13)</f>
        <v>1011</v>
      </c>
      <c r="M14" s="11">
        <f t="shared" si="4"/>
        <v>1499</v>
      </c>
      <c r="N14" s="11">
        <f t="shared" si="4"/>
        <v>1191</v>
      </c>
      <c r="O14" s="11">
        <f t="shared" si="4"/>
        <v>0</v>
      </c>
      <c r="P14" s="11">
        <f t="shared" si="4"/>
        <v>1407</v>
      </c>
      <c r="Q14" s="11">
        <f t="shared" si="4"/>
        <v>1360</v>
      </c>
      <c r="R14" s="11">
        <f t="shared" si="4"/>
        <v>1172</v>
      </c>
      <c r="S14" s="11">
        <f t="shared" si="4"/>
        <v>1217</v>
      </c>
      <c r="T14" s="11">
        <f t="shared" si="4"/>
        <v>926</v>
      </c>
      <c r="U14" s="11">
        <f t="shared" si="4"/>
        <v>1227</v>
      </c>
      <c r="V14" s="11">
        <f t="shared" si="4"/>
        <v>613</v>
      </c>
      <c r="W14" s="14">
        <f t="shared" si="4"/>
        <v>0</v>
      </c>
    </row>
    <row r="15" spans="1:24" x14ac:dyDescent="0.25">
      <c r="B15" t="s">
        <v>1</v>
      </c>
      <c r="C15" s="10"/>
      <c r="D15" s="10"/>
      <c r="E15" s="10">
        <f>E14/E16</f>
        <v>911.51241534988719</v>
      </c>
      <c r="F15" s="10">
        <f>F14/F16</f>
        <v>913.05147058823525</v>
      </c>
      <c r="G15" s="15">
        <f>G14/G16</f>
        <v>910.95406360424022</v>
      </c>
      <c r="H15" s="39"/>
      <c r="I15" s="39"/>
      <c r="L15" s="10">
        <f>L14/L16</f>
        <v>919.09090909090901</v>
      </c>
      <c r="M15" s="10">
        <f>M14/M16</f>
        <v>914.02439024390242</v>
      </c>
      <c r="N15" s="10">
        <f>N14/N16</f>
        <v>902.27272727272771</v>
      </c>
      <c r="O15" s="10"/>
      <c r="P15" s="10">
        <f t="shared" ref="P15:R15" si="5">P14/P16</f>
        <v>907.74193548387098</v>
      </c>
      <c r="Q15" s="10">
        <f t="shared" si="5"/>
        <v>918.91891891891908</v>
      </c>
      <c r="R15" s="10">
        <f t="shared" si="5"/>
        <v>908.52713178294528</v>
      </c>
      <c r="S15" s="10">
        <f>S14/S16</f>
        <v>908.20895522388082</v>
      </c>
      <c r="T15" s="10">
        <v>909</v>
      </c>
      <c r="U15" s="10">
        <v>909</v>
      </c>
      <c r="V15" s="10">
        <v>909</v>
      </c>
      <c r="W15" s="15">
        <v>911</v>
      </c>
    </row>
    <row r="16" spans="1:24" s="1" customFormat="1" x14ac:dyDescent="0.25">
      <c r="B16" s="1" t="s">
        <v>19</v>
      </c>
      <c r="C16" s="2" t="e">
        <f>C14/C15</f>
        <v>#DIV/0!</v>
      </c>
      <c r="D16" s="2" t="e">
        <f>D14/D15</f>
        <v>#DIV/0!</v>
      </c>
      <c r="E16" s="2">
        <v>4.43</v>
      </c>
      <c r="F16" s="2">
        <v>5.44</v>
      </c>
      <c r="G16" s="53">
        <v>5.66</v>
      </c>
      <c r="H16" s="54"/>
      <c r="I16" s="55"/>
      <c r="L16" s="48">
        <v>1.1000000000000001</v>
      </c>
      <c r="M16" s="48">
        <f>2.74-L16</f>
        <v>1.6400000000000001</v>
      </c>
      <c r="N16" s="48">
        <f>4.06-M16-L16</f>
        <v>1.3199999999999994</v>
      </c>
      <c r="O16" s="48" t="e">
        <f t="shared" ref="O16" si="6">O14/O15</f>
        <v>#DIV/0!</v>
      </c>
      <c r="P16" s="48">
        <v>1.55</v>
      </c>
      <c r="Q16" s="48">
        <f>3.03-P16</f>
        <v>1.4799999999999998</v>
      </c>
      <c r="R16" s="48">
        <f>4.32-Q16-P16</f>
        <v>1.2900000000000007</v>
      </c>
      <c r="S16" s="48">
        <f>G16-R16-Q16-P16</f>
        <v>1.3399999999999996</v>
      </c>
      <c r="T16" s="48">
        <f>T14/T15</f>
        <v>1.0187018701870187</v>
      </c>
      <c r="U16" s="48">
        <f>U14/U15</f>
        <v>1.3498349834983498</v>
      </c>
      <c r="V16" s="48">
        <f>V14/V15</f>
        <v>0.67436743674367439</v>
      </c>
      <c r="W16" s="47">
        <f>W14/W15</f>
        <v>0</v>
      </c>
    </row>
    <row r="17" spans="2:24" s="1" customFormat="1" x14ac:dyDescent="0.25">
      <c r="B17" s="9" t="s">
        <v>59</v>
      </c>
      <c r="C17" s="2"/>
      <c r="D17" s="2"/>
      <c r="E17" s="2"/>
      <c r="F17" s="2"/>
      <c r="G17" s="35"/>
      <c r="H17" s="42">
        <v>4.38</v>
      </c>
      <c r="I17" s="43">
        <v>4.71</v>
      </c>
      <c r="L17" s="49"/>
      <c r="M17" s="49"/>
      <c r="N17" s="49"/>
      <c r="O17" s="49"/>
      <c r="P17" s="49"/>
      <c r="Q17" s="49"/>
      <c r="R17" s="49"/>
      <c r="S17" s="48"/>
      <c r="T17" s="48"/>
      <c r="U17" s="48">
        <v>0.94</v>
      </c>
      <c r="V17" s="1">
        <v>1.27</v>
      </c>
      <c r="W17" s="16">
        <v>1.27</v>
      </c>
    </row>
    <row r="18" spans="2:24" s="1" customFormat="1" x14ac:dyDescent="0.25">
      <c r="B18" t="s">
        <v>25</v>
      </c>
      <c r="C18" s="3" t="e">
        <f>1-C5/C3</f>
        <v>#DIV/0!</v>
      </c>
      <c r="D18" s="3" t="e">
        <f>1-D5/D3</f>
        <v>#DIV/0!</v>
      </c>
      <c r="E18" s="3">
        <f>1-E5/E3</f>
        <v>0.26727623875912854</v>
      </c>
      <c r="F18" s="3">
        <f>1-F5/F3</f>
        <v>0.28025613093498414</v>
      </c>
      <c r="G18" s="6">
        <f>1-G5/G3</f>
        <v>0.28635578583765109</v>
      </c>
      <c r="H18" s="44"/>
      <c r="I18" s="44"/>
      <c r="L18" s="3">
        <f t="shared" ref="L18:T18" si="7">1-L5/L3</f>
        <v>0.2719134651249534</v>
      </c>
      <c r="M18" s="3">
        <f t="shared" si="7"/>
        <v>0.29021155987448122</v>
      </c>
      <c r="N18" s="3">
        <f t="shared" si="7"/>
        <v>0.28738106026280019</v>
      </c>
      <c r="O18" s="3" t="e">
        <f t="shared" si="7"/>
        <v>#DIV/0!</v>
      </c>
      <c r="P18" s="3">
        <f t="shared" si="7"/>
        <v>0.27899376052292757</v>
      </c>
      <c r="Q18" s="3">
        <f t="shared" si="7"/>
        <v>0.29920650280627059</v>
      </c>
      <c r="R18" s="3">
        <f t="shared" si="7"/>
        <v>0.27626017936295222</v>
      </c>
      <c r="S18" s="38">
        <f t="shared" si="7"/>
        <v>0.29015195229851898</v>
      </c>
      <c r="T18" s="38">
        <f t="shared" si="7"/>
        <v>0.25713017423149487</v>
      </c>
      <c r="U18" s="38">
        <f t="shared" ref="U18:V18" si="8">1-U5/U3</f>
        <v>0.27656519241815047</v>
      </c>
      <c r="V18" s="38">
        <f t="shared" si="8"/>
        <v>0.22828593389700236</v>
      </c>
      <c r="W18" s="6" t="e">
        <f t="shared" ref="W18" si="9">1-W5/W3</f>
        <v>#DIV/0!</v>
      </c>
    </row>
    <row r="19" spans="2:24" x14ac:dyDescent="0.25">
      <c r="B19" t="s">
        <v>26</v>
      </c>
      <c r="C19" s="4" t="e">
        <f>C14/C3</f>
        <v>#DIV/0!</v>
      </c>
      <c r="D19" s="4" t="e">
        <f>D14/D3</f>
        <v>#DIV/0!</v>
      </c>
      <c r="E19" s="4">
        <f>E14/E3</f>
        <v>0.12185406481984429</v>
      </c>
      <c r="F19" s="4">
        <f>F14/F3</f>
        <v>0.13197119855461381</v>
      </c>
      <c r="G19" s="7">
        <f>G14/G3</f>
        <v>0.12721440907969406</v>
      </c>
      <c r="H19" s="45">
        <f>H14/H4</f>
        <v>0</v>
      </c>
      <c r="I19" s="45">
        <f>I14/I4</f>
        <v>0</v>
      </c>
      <c r="L19" s="4">
        <f t="shared" ref="L19:T19" si="10">L14/L3</f>
        <v>0.12569936590824318</v>
      </c>
      <c r="M19" s="4">
        <f t="shared" si="10"/>
        <v>0.15173600566858994</v>
      </c>
      <c r="N19" s="4">
        <f t="shared" si="10"/>
        <v>0.13491164476665157</v>
      </c>
      <c r="O19" s="4" t="e">
        <f t="shared" si="10"/>
        <v>#DIV/0!</v>
      </c>
      <c r="P19" s="4">
        <f t="shared" si="10"/>
        <v>0.13934832128354957</v>
      </c>
      <c r="Q19" s="4">
        <f t="shared" si="10"/>
        <v>0.13160441261854075</v>
      </c>
      <c r="R19" s="4">
        <f t="shared" si="10"/>
        <v>0.12081228739305226</v>
      </c>
      <c r="S19" s="4">
        <f t="shared" si="10"/>
        <v>0.11704173879592229</v>
      </c>
      <c r="T19" s="4">
        <f t="shared" si="10"/>
        <v>0.10276328931306182</v>
      </c>
      <c r="U19" s="4">
        <f t="shared" ref="U19:V19" si="11">U14/U3</f>
        <v>0.11746122917863297</v>
      </c>
      <c r="V19" s="4">
        <f t="shared" si="11"/>
        <v>6.7310859778192594E-2</v>
      </c>
      <c r="W19" s="7" t="e">
        <f t="shared" ref="W19" si="12">W14/W3</f>
        <v>#DIV/0!</v>
      </c>
    </row>
    <row r="20" spans="2:24" x14ac:dyDescent="0.25">
      <c r="B20" t="s">
        <v>146</v>
      </c>
      <c r="C20" s="4"/>
      <c r="D20" s="4"/>
      <c r="E20" s="4">
        <f>E13/E12</f>
        <v>0.29516495025309825</v>
      </c>
      <c r="F20" s="4">
        <f>F13/F12</f>
        <v>0.29854540319163958</v>
      </c>
      <c r="G20" s="7">
        <f>G13/G12</f>
        <v>0.30078654732845134</v>
      </c>
      <c r="H20" s="45"/>
      <c r="I20" s="45"/>
      <c r="L20" s="4">
        <f t="shared" ref="L20:S20" si="13">L13/L12</f>
        <v>0.33090668431502318</v>
      </c>
      <c r="M20" s="4">
        <f t="shared" si="13"/>
        <v>0.30601851851851852</v>
      </c>
      <c r="N20" s="4">
        <f t="shared" si="13"/>
        <v>0.27598784194528875</v>
      </c>
      <c r="O20" s="4" t="e">
        <f t="shared" si="13"/>
        <v>#DIV/0!</v>
      </c>
      <c r="P20" s="4">
        <f t="shared" si="13"/>
        <v>0.29118387909319898</v>
      </c>
      <c r="Q20" s="4">
        <f t="shared" si="13"/>
        <v>0.3189784677015523</v>
      </c>
      <c r="R20" s="4">
        <f t="shared" si="13"/>
        <v>0.29482551143200963</v>
      </c>
      <c r="S20" s="4">
        <f t="shared" si="13"/>
        <v>0.29653179190751444</v>
      </c>
      <c r="T20" s="4">
        <f>T13/T12</f>
        <v>0.30480480480480482</v>
      </c>
      <c r="U20" s="4">
        <f t="shared" ref="U20:V20" si="14">U13/U12</f>
        <v>0.30402722631877482</v>
      </c>
      <c r="V20" s="4">
        <f t="shared" si="14"/>
        <v>0.31278026905829598</v>
      </c>
      <c r="W20" s="7" t="e">
        <f t="shared" ref="W20" si="15">W13/W12</f>
        <v>#DIV/0!</v>
      </c>
    </row>
    <row r="21" spans="2:24" x14ac:dyDescent="0.25">
      <c r="B21" t="s">
        <v>27</v>
      </c>
      <c r="C21" s="3"/>
      <c r="D21" s="3" t="e">
        <f>D3/C3-1</f>
        <v>#DIV/0!</v>
      </c>
      <c r="E21" s="3" t="e">
        <f>E3/D3-1</f>
        <v>#DIV/0!</v>
      </c>
      <c r="F21" s="38">
        <f>F3/E3-1</f>
        <v>0.13576558633592861</v>
      </c>
      <c r="G21" s="6">
        <f>G3/F3-1</f>
        <v>7.6865850094322008E-2</v>
      </c>
      <c r="H21" s="46">
        <f>H4/G3-1</f>
        <v>-2.7633851468048309E-2</v>
      </c>
      <c r="I21" s="46">
        <f>I4/H4-1</f>
        <v>2.359807155544269E-2</v>
      </c>
      <c r="L21" s="4" t="e">
        <f>L3/#REF!-1</f>
        <v>#REF!</v>
      </c>
      <c r="M21" s="4" t="e">
        <f>M3/#REF!-1</f>
        <v>#REF!</v>
      </c>
      <c r="N21" s="4" t="e">
        <f>N3/#REF!-1</f>
        <v>#REF!</v>
      </c>
      <c r="O21" s="4" t="e">
        <f>O3/#REF!-1</f>
        <v>#REF!</v>
      </c>
      <c r="P21" s="4">
        <f t="shared" ref="P21:T21" si="16">P3/L3-1</f>
        <v>0.25537734676115886</v>
      </c>
      <c r="Q21" s="4">
        <f t="shared" si="16"/>
        <v>4.6057293248304543E-2</v>
      </c>
      <c r="R21" s="4">
        <f t="shared" si="16"/>
        <v>9.8889895786135051E-2</v>
      </c>
      <c r="S21" s="4" t="e">
        <f t="shared" si="16"/>
        <v>#DIV/0!</v>
      </c>
      <c r="T21" s="128">
        <f t="shared" si="16"/>
        <v>-0.10755670000990392</v>
      </c>
      <c r="U21" s="128">
        <f t="shared" ref="U21" si="17">U3/Q3-1</f>
        <v>1.0838010450938684E-2</v>
      </c>
      <c r="V21" s="4">
        <f t="shared" ref="V21:W21" si="18">V3/R3-1</f>
        <v>-6.1230800948355868E-2</v>
      </c>
      <c r="W21" s="7">
        <f t="shared" si="18"/>
        <v>-1</v>
      </c>
    </row>
    <row r="22" spans="2:24" x14ac:dyDescent="0.25">
      <c r="B22" t="s">
        <v>144</v>
      </c>
      <c r="C22" s="4" t="e">
        <f>C6/C3</f>
        <v>#DIV/0!</v>
      </c>
      <c r="D22" s="4" t="e">
        <f>D6/D3</f>
        <v>#DIV/0!</v>
      </c>
      <c r="E22" s="4">
        <f>E6/E3</f>
        <v>6.3703301345886892E-2</v>
      </c>
      <c r="F22" s="4">
        <f>F6/F3</f>
        <v>6.2518266599357011E-2</v>
      </c>
      <c r="G22" s="7">
        <f>G6/G3</f>
        <v>7.078707130520602E-2</v>
      </c>
      <c r="H22" s="119"/>
      <c r="I22" s="119"/>
      <c r="L22" s="4">
        <f t="shared" ref="L22:T22" si="19">L6/L3</f>
        <v>5.2840979733930128E-2</v>
      </c>
      <c r="M22" s="4">
        <f t="shared" si="19"/>
        <v>5.3750379593076221E-2</v>
      </c>
      <c r="N22" s="4">
        <f t="shared" si="19"/>
        <v>6.196193928409606E-2</v>
      </c>
      <c r="O22" s="4" t="e">
        <f t="shared" si="19"/>
        <v>#DIV/0!</v>
      </c>
      <c r="P22" s="4">
        <f t="shared" si="19"/>
        <v>5.1599484995543232E-2</v>
      </c>
      <c r="Q22" s="4">
        <f t="shared" si="19"/>
        <v>7.4704857751112838E-2</v>
      </c>
      <c r="R22" s="4">
        <f t="shared" si="19"/>
        <v>7.3909906195237601E-2</v>
      </c>
      <c r="S22" s="4">
        <f t="shared" si="19"/>
        <v>8.2612040777072515E-2</v>
      </c>
      <c r="T22" s="4">
        <f t="shared" si="19"/>
        <v>7.2910886694040611E-2</v>
      </c>
      <c r="U22" s="4">
        <f t="shared" ref="U22:V22" si="20">U6/U3</f>
        <v>6.9117365498755509E-2</v>
      </c>
      <c r="V22" s="4">
        <f t="shared" si="20"/>
        <v>8.4440540243768528E-2</v>
      </c>
      <c r="W22" s="7" t="e">
        <f t="shared" ref="W22" si="21">W6/W3</f>
        <v>#DIV/0!</v>
      </c>
    </row>
    <row r="23" spans="2:24" x14ac:dyDescent="0.25">
      <c r="B23" t="s">
        <v>145</v>
      </c>
      <c r="C23" s="4" t="e">
        <f>C7/C3</f>
        <v>#DIV/0!</v>
      </c>
      <c r="D23" s="4" t="e">
        <f>D7/D3</f>
        <v>#DIV/0!</v>
      </c>
      <c r="E23" s="4">
        <f>E7/E3</f>
        <v>4.3032168507453679E-2</v>
      </c>
      <c r="F23" s="4">
        <f>F7/F3</f>
        <v>4.3972686452161437E-2</v>
      </c>
      <c r="G23" s="7">
        <f>G7/G3</f>
        <v>4.4090796940537871E-2</v>
      </c>
      <c r="H23" s="119"/>
      <c r="I23" s="119"/>
      <c r="L23" s="4">
        <f t="shared" ref="L23:T23" si="22">L7/L3</f>
        <v>4.7743379336068634E-2</v>
      </c>
      <c r="M23" s="4">
        <f t="shared" si="22"/>
        <v>3.8667881364510576E-2</v>
      </c>
      <c r="N23" s="4">
        <f t="shared" si="22"/>
        <v>4.6669687358405078E-2</v>
      </c>
      <c r="O23" s="4" t="e">
        <f t="shared" si="22"/>
        <v>#DIV/0!</v>
      </c>
      <c r="P23" s="4">
        <f t="shared" si="22"/>
        <v>5.0411013172229374E-2</v>
      </c>
      <c r="Q23" s="4">
        <f t="shared" si="22"/>
        <v>3.5417069866460225E-2</v>
      </c>
      <c r="R23" s="4">
        <f t="shared" si="22"/>
        <v>5.1953406865271619E-2</v>
      </c>
      <c r="S23" s="4">
        <f t="shared" si="22"/>
        <v>3.9238315060588572E-2</v>
      </c>
      <c r="T23" s="4">
        <f t="shared" si="22"/>
        <v>5.1270669182110755E-2</v>
      </c>
      <c r="U23" s="4">
        <f t="shared" ref="U23:V23" si="23">U7/U3</f>
        <v>4.6907907332950409E-2</v>
      </c>
      <c r="V23" s="4">
        <f t="shared" si="23"/>
        <v>4.5679147908202482E-2</v>
      </c>
      <c r="W23" s="7" t="e">
        <f t="shared" ref="W23" si="24">W7/W3</f>
        <v>#DIV/0!</v>
      </c>
    </row>
    <row r="24" spans="2:24" x14ac:dyDescent="0.25">
      <c r="B24" t="s">
        <v>125</v>
      </c>
      <c r="C24" s="4"/>
      <c r="D24" s="4"/>
      <c r="E24" s="4"/>
      <c r="F24" s="4"/>
      <c r="G24" s="7"/>
      <c r="H24" s="119"/>
      <c r="I24" s="11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7"/>
    </row>
    <row r="25" spans="2:24" x14ac:dyDescent="0.25">
      <c r="B25" t="s">
        <v>30</v>
      </c>
      <c r="C25" s="3"/>
      <c r="D25" s="3" t="e">
        <f>-(D14/C14-1)</f>
        <v>#DIV/0!</v>
      </c>
      <c r="E25" s="3" t="e">
        <f>-(E14/D14-1)</f>
        <v>#DIV/0!</v>
      </c>
      <c r="F25" s="38">
        <f>F14/E14-1</f>
        <v>0.23006438831104514</v>
      </c>
      <c r="G25" s="6">
        <f>G14/F14-1</f>
        <v>3.8051137507549848E-2</v>
      </c>
      <c r="H25" s="56">
        <f>H17/G16-1</f>
        <v>-0.22614840989399299</v>
      </c>
      <c r="I25" s="56">
        <f>I17/H17-1</f>
        <v>7.5342465753424737E-2</v>
      </c>
      <c r="L25" s="4" t="e">
        <f>L14/#REF!-1</f>
        <v>#REF!</v>
      </c>
      <c r="M25" s="4" t="e">
        <f>M14/#REF!-1</f>
        <v>#REF!</v>
      </c>
      <c r="N25" s="4" t="e">
        <f>N14/#REF!-1</f>
        <v>#REF!</v>
      </c>
      <c r="O25" s="4" t="e">
        <f>O14/#REF!-1</f>
        <v>#REF!</v>
      </c>
      <c r="P25" s="4">
        <f t="shared" ref="P25:T25" si="25">P14/L14-1</f>
        <v>0.39169139465875369</v>
      </c>
      <c r="Q25" s="4">
        <f t="shared" si="25"/>
        <v>-9.2728485657104787E-2</v>
      </c>
      <c r="R25" s="4">
        <f t="shared" si="25"/>
        <v>-1.5952980688497043E-2</v>
      </c>
      <c r="S25" s="4" t="e">
        <f t="shared" si="25"/>
        <v>#DIV/0!</v>
      </c>
      <c r="T25" s="128">
        <f t="shared" si="25"/>
        <v>-0.341862117981521</v>
      </c>
      <c r="U25" s="128">
        <f t="shared" ref="U25" si="26">U14/Q14-1</f>
        <v>-9.7794117647058809E-2</v>
      </c>
      <c r="V25" s="4">
        <f t="shared" ref="V25:W25" si="27">V14/R14-1</f>
        <v>-0.476962457337884</v>
      </c>
      <c r="W25" s="7">
        <f t="shared" si="27"/>
        <v>-1</v>
      </c>
    </row>
    <row r="29" spans="2:24" s="1" customFormat="1" x14ac:dyDescent="0.25">
      <c r="B29" s="1" t="s">
        <v>34</v>
      </c>
      <c r="C29" s="11">
        <f t="shared" ref="C29:I29" si="28">C35+C34-C44-C50</f>
        <v>0</v>
      </c>
      <c r="D29" s="11">
        <f t="shared" si="28"/>
        <v>0</v>
      </c>
      <c r="E29" s="11">
        <f t="shared" si="28"/>
        <v>-4059</v>
      </c>
      <c r="F29" s="11">
        <f>F35+F34-F44-F50</f>
        <v>-4712</v>
      </c>
      <c r="G29" s="14">
        <f t="shared" si="28"/>
        <v>-2771</v>
      </c>
      <c r="H29" s="11">
        <f t="shared" si="28"/>
        <v>0</v>
      </c>
      <c r="I29" s="11">
        <f t="shared" si="28"/>
        <v>0</v>
      </c>
      <c r="L29" s="11">
        <f t="shared" ref="L29:N29" si="29">L35+L34-L44-L45</f>
        <v>0</v>
      </c>
      <c r="M29" s="11">
        <f t="shared" si="29"/>
        <v>0</v>
      </c>
      <c r="N29" s="11">
        <f t="shared" si="29"/>
        <v>0</v>
      </c>
      <c r="O29" s="11">
        <f t="shared" ref="O29:R29" si="30">O35+O34-O44-O50</f>
        <v>-4712</v>
      </c>
      <c r="P29" s="11">
        <f t="shared" si="30"/>
        <v>-5298</v>
      </c>
      <c r="Q29" s="11">
        <f t="shared" si="30"/>
        <v>-6177</v>
      </c>
      <c r="R29" s="11">
        <f t="shared" si="30"/>
        <v>-6573</v>
      </c>
      <c r="S29" s="11">
        <f>S35+S34-S44-S50</f>
        <v>-2771</v>
      </c>
      <c r="T29" s="11">
        <f t="shared" ref="T29:X29" si="31">T35+T34-T44-T50</f>
        <v>-2671</v>
      </c>
      <c r="U29" s="11">
        <f t="shared" si="31"/>
        <v>-4112</v>
      </c>
      <c r="V29" s="11">
        <f t="shared" si="31"/>
        <v>-4004</v>
      </c>
      <c r="W29" s="14">
        <f t="shared" si="31"/>
        <v>0</v>
      </c>
      <c r="X29" s="11">
        <f t="shared" si="31"/>
        <v>0</v>
      </c>
    </row>
    <row r="30" spans="2:24" x14ac:dyDescent="0.25">
      <c r="B30" t="s">
        <v>71</v>
      </c>
      <c r="C30" s="10"/>
      <c r="D30" s="10"/>
      <c r="E30" s="10">
        <v>4517</v>
      </c>
      <c r="F30" s="10">
        <v>5504</v>
      </c>
      <c r="G30" s="15">
        <v>5947</v>
      </c>
      <c r="L30" s="10"/>
      <c r="M30" s="10"/>
      <c r="N30" s="10"/>
      <c r="O30" s="10">
        <f t="shared" ref="O30:O36" si="32">F30</f>
        <v>5504</v>
      </c>
      <c r="P30" s="10">
        <v>6213</v>
      </c>
      <c r="Q30" s="10">
        <v>6501</v>
      </c>
      <c r="R30" s="10">
        <v>6108</v>
      </c>
      <c r="S30" s="10">
        <f t="shared" ref="S30:S36" si="33">G30</f>
        <v>5947</v>
      </c>
      <c r="T30" s="10">
        <v>6531</v>
      </c>
      <c r="U30" s="10">
        <v>6791</v>
      </c>
      <c r="V30" s="10">
        <v>6887</v>
      </c>
    </row>
    <row r="31" spans="2:24" x14ac:dyDescent="0.25">
      <c r="B31" t="s">
        <v>147</v>
      </c>
      <c r="C31" s="10"/>
      <c r="D31" s="10"/>
      <c r="E31" s="10">
        <v>1081</v>
      </c>
      <c r="F31" s="10">
        <v>1538</v>
      </c>
      <c r="G31" s="15">
        <v>1669</v>
      </c>
      <c r="L31" s="10"/>
      <c r="M31" s="10"/>
      <c r="N31" s="10"/>
      <c r="O31" s="10">
        <f t="shared" si="32"/>
        <v>1538</v>
      </c>
      <c r="P31" s="10">
        <v>1518</v>
      </c>
      <c r="Q31" s="10">
        <v>1551</v>
      </c>
      <c r="R31" s="10">
        <v>1608</v>
      </c>
      <c r="S31" s="10">
        <f t="shared" si="33"/>
        <v>1669</v>
      </c>
      <c r="T31" s="10">
        <v>1678</v>
      </c>
      <c r="U31" s="10">
        <v>1701</v>
      </c>
      <c r="V31" s="10">
        <v>1704</v>
      </c>
    </row>
    <row r="32" spans="2:24" x14ac:dyDescent="0.25">
      <c r="B32" t="s">
        <v>22</v>
      </c>
      <c r="C32" s="10"/>
      <c r="D32" s="10"/>
      <c r="E32" s="10">
        <v>7131</v>
      </c>
      <c r="F32" s="10">
        <v>7480</v>
      </c>
      <c r="G32" s="15">
        <v>4537</v>
      </c>
      <c r="L32" s="10"/>
      <c r="M32" s="10"/>
      <c r="N32" s="10"/>
      <c r="O32" s="10">
        <f t="shared" si="32"/>
        <v>7480</v>
      </c>
      <c r="P32" s="10">
        <v>6157</v>
      </c>
      <c r="Q32" s="10">
        <v>8206</v>
      </c>
      <c r="R32" s="10">
        <v>8192</v>
      </c>
      <c r="S32" s="10">
        <f t="shared" si="33"/>
        <v>4537</v>
      </c>
      <c r="T32" s="10">
        <v>4168</v>
      </c>
      <c r="U32" s="10">
        <v>4344</v>
      </c>
      <c r="V32" s="10">
        <v>4408</v>
      </c>
    </row>
    <row r="33" spans="2:24" x14ac:dyDescent="0.25">
      <c r="B33" t="s">
        <v>148</v>
      </c>
      <c r="C33" s="10"/>
      <c r="D33" s="10"/>
      <c r="E33" s="10">
        <v>155</v>
      </c>
      <c r="F33" s="10">
        <v>87</v>
      </c>
      <c r="G33" s="15">
        <v>235</v>
      </c>
      <c r="L33" s="10"/>
      <c r="M33" s="10"/>
      <c r="N33" s="10"/>
      <c r="O33" s="10">
        <f t="shared" si="32"/>
        <v>87</v>
      </c>
      <c r="P33" s="10">
        <v>72</v>
      </c>
      <c r="Q33" s="10">
        <v>116</v>
      </c>
      <c r="R33" s="10">
        <v>122</v>
      </c>
      <c r="S33" s="10">
        <f t="shared" si="33"/>
        <v>235</v>
      </c>
      <c r="T33" s="10">
        <v>350</v>
      </c>
      <c r="U33" s="10">
        <v>292</v>
      </c>
      <c r="V33" s="10">
        <v>337</v>
      </c>
    </row>
    <row r="34" spans="2:24" x14ac:dyDescent="0.25">
      <c r="B34" t="s">
        <v>149</v>
      </c>
      <c r="C34" s="10"/>
      <c r="D34" s="10"/>
      <c r="E34" s="10">
        <v>982</v>
      </c>
      <c r="F34" s="10">
        <v>1795</v>
      </c>
      <c r="G34" s="15">
        <v>1826</v>
      </c>
      <c r="L34" s="10"/>
      <c r="M34" s="10"/>
      <c r="N34" s="10"/>
      <c r="O34" s="10">
        <f t="shared" si="32"/>
        <v>1795</v>
      </c>
      <c r="P34" s="10">
        <v>1987</v>
      </c>
      <c r="Q34" s="10">
        <v>1788</v>
      </c>
      <c r="R34" s="10">
        <v>1777</v>
      </c>
      <c r="S34" s="10">
        <f t="shared" si="33"/>
        <v>1826</v>
      </c>
      <c r="T34" s="10">
        <v>1682</v>
      </c>
      <c r="U34" s="10">
        <v>1895</v>
      </c>
      <c r="V34" s="10">
        <v>1905</v>
      </c>
    </row>
    <row r="35" spans="2:24" x14ac:dyDescent="0.25">
      <c r="B35" t="s">
        <v>21</v>
      </c>
      <c r="C35" s="10"/>
      <c r="D35" s="10"/>
      <c r="E35" s="10">
        <v>4686</v>
      </c>
      <c r="F35" s="10">
        <v>3719</v>
      </c>
      <c r="G35" s="15">
        <v>5820</v>
      </c>
      <c r="L35" s="10"/>
      <c r="M35" s="10"/>
      <c r="N35" s="10"/>
      <c r="O35" s="10">
        <f t="shared" si="32"/>
        <v>3719</v>
      </c>
      <c r="P35" s="10">
        <v>2097</v>
      </c>
      <c r="Q35" s="10">
        <v>1646</v>
      </c>
      <c r="R35" s="10">
        <v>2093</v>
      </c>
      <c r="S35" s="10">
        <f t="shared" si="33"/>
        <v>5820</v>
      </c>
      <c r="T35" s="10">
        <v>6164</v>
      </c>
      <c r="U35" s="10">
        <v>4590</v>
      </c>
      <c r="V35" s="10">
        <v>4547</v>
      </c>
    </row>
    <row r="36" spans="2:24" x14ac:dyDescent="0.25">
      <c r="B36" t="s">
        <v>150</v>
      </c>
      <c r="C36" s="10"/>
      <c r="D36" s="10"/>
      <c r="E36" s="10">
        <v>0</v>
      </c>
      <c r="F36" s="10">
        <v>31</v>
      </c>
      <c r="G36" s="15">
        <v>6</v>
      </c>
      <c r="L36" s="10"/>
      <c r="M36" s="10"/>
      <c r="N36" s="10"/>
      <c r="O36" s="10">
        <f t="shared" si="32"/>
        <v>31</v>
      </c>
      <c r="P36" s="10">
        <v>25</v>
      </c>
      <c r="Q36" s="10">
        <v>17</v>
      </c>
      <c r="R36" s="10">
        <v>13</v>
      </c>
      <c r="S36" s="10">
        <f t="shared" si="33"/>
        <v>6</v>
      </c>
      <c r="T36" s="10">
        <v>6</v>
      </c>
      <c r="U36" s="10">
        <v>6</v>
      </c>
      <c r="V36" s="10">
        <v>6</v>
      </c>
    </row>
    <row r="37" spans="2:24" s="1" customFormat="1" x14ac:dyDescent="0.25">
      <c r="B37" s="1" t="s">
        <v>56</v>
      </c>
      <c r="C37" s="11">
        <f t="shared" ref="C37:D37" si="34">SUM(C30:C36)</f>
        <v>0</v>
      </c>
      <c r="D37" s="11">
        <f t="shared" si="34"/>
        <v>0</v>
      </c>
      <c r="E37" s="11">
        <f>SUM(E30:E36)</f>
        <v>18552</v>
      </c>
      <c r="F37" s="11">
        <f t="shared" ref="F37:G37" si="35">SUM(F30:F36)</f>
        <v>20154</v>
      </c>
      <c r="G37" s="14">
        <f t="shared" si="35"/>
        <v>20040</v>
      </c>
      <c r="L37" s="11">
        <f t="shared" ref="L37:X37" si="36">SUM(L30:L36)</f>
        <v>0</v>
      </c>
      <c r="M37" s="11">
        <f t="shared" si="36"/>
        <v>0</v>
      </c>
      <c r="N37" s="11">
        <f t="shared" si="36"/>
        <v>0</v>
      </c>
      <c r="O37" s="11">
        <f t="shared" si="36"/>
        <v>20154</v>
      </c>
      <c r="P37" s="11">
        <f t="shared" si="36"/>
        <v>18069</v>
      </c>
      <c r="Q37" s="11">
        <f t="shared" si="36"/>
        <v>19825</v>
      </c>
      <c r="R37" s="11">
        <f t="shared" si="36"/>
        <v>19913</v>
      </c>
      <c r="S37" s="11">
        <f t="shared" si="36"/>
        <v>20040</v>
      </c>
      <c r="T37" s="11">
        <f t="shared" si="36"/>
        <v>20579</v>
      </c>
      <c r="U37" s="11">
        <f t="shared" si="36"/>
        <v>19619</v>
      </c>
      <c r="V37" s="11">
        <f t="shared" si="36"/>
        <v>19794</v>
      </c>
      <c r="W37" s="14">
        <f t="shared" si="36"/>
        <v>0</v>
      </c>
      <c r="X37" s="11">
        <f t="shared" si="36"/>
        <v>0</v>
      </c>
    </row>
    <row r="38" spans="2:24" x14ac:dyDescent="0.25">
      <c r="B38" t="s">
        <v>69</v>
      </c>
      <c r="C38" s="10"/>
      <c r="D38" s="10"/>
      <c r="E38" s="10">
        <v>6190</v>
      </c>
      <c r="F38" s="10">
        <v>7473</v>
      </c>
      <c r="G38" s="15">
        <v>8554</v>
      </c>
      <c r="L38" s="10"/>
      <c r="M38" s="10"/>
      <c r="N38" s="10"/>
      <c r="O38" s="10">
        <f t="shared" ref="O38:O42" si="37">F38</f>
        <v>7473</v>
      </c>
      <c r="P38" s="10">
        <v>7790</v>
      </c>
      <c r="Q38" s="10">
        <v>8188</v>
      </c>
      <c r="R38" s="10">
        <v>8359</v>
      </c>
      <c r="S38" s="10">
        <f t="shared" ref="S38:S42" si="38">G38</f>
        <v>8554</v>
      </c>
      <c r="T38" s="10">
        <v>9041</v>
      </c>
      <c r="U38" s="10">
        <v>9110</v>
      </c>
      <c r="V38" s="10">
        <v>9178</v>
      </c>
    </row>
    <row r="39" spans="2:24" x14ac:dyDescent="0.25">
      <c r="B39" t="s">
        <v>68</v>
      </c>
      <c r="C39" s="10"/>
      <c r="D39" s="10"/>
      <c r="E39" s="10">
        <v>8763</v>
      </c>
      <c r="F39" s="10">
        <v>8924</v>
      </c>
      <c r="G39" s="15">
        <v>9394</v>
      </c>
      <c r="L39" s="10"/>
      <c r="M39" s="10"/>
      <c r="N39" s="10"/>
      <c r="O39" s="10">
        <f t="shared" si="37"/>
        <v>8924</v>
      </c>
      <c r="P39" s="10">
        <v>8894</v>
      </c>
      <c r="Q39" s="10">
        <v>9118</v>
      </c>
      <c r="R39" s="10">
        <v>9179</v>
      </c>
      <c r="S39" s="10">
        <f t="shared" si="38"/>
        <v>9394</v>
      </c>
      <c r="T39" s="10">
        <v>9454</v>
      </c>
      <c r="U39" s="10">
        <v>9570</v>
      </c>
      <c r="V39" s="10">
        <v>9793</v>
      </c>
    </row>
    <row r="40" spans="2:24" x14ac:dyDescent="0.25">
      <c r="B40" t="s">
        <v>151</v>
      </c>
      <c r="C40" s="10"/>
      <c r="D40" s="10"/>
      <c r="E40" s="10">
        <v>3954</v>
      </c>
      <c r="F40" s="10">
        <v>3854</v>
      </c>
      <c r="G40" s="15">
        <v>4190</v>
      </c>
      <c r="L40" s="10"/>
      <c r="M40" s="10"/>
      <c r="N40" s="10"/>
      <c r="O40" s="10">
        <f t="shared" si="37"/>
        <v>3854</v>
      </c>
      <c r="P40" s="10">
        <v>3885</v>
      </c>
      <c r="Q40" s="10">
        <v>4031</v>
      </c>
      <c r="R40" s="10">
        <v>4253</v>
      </c>
      <c r="S40" s="10">
        <f t="shared" si="38"/>
        <v>4190</v>
      </c>
      <c r="T40" s="10">
        <v>4260</v>
      </c>
      <c r="U40" s="10">
        <v>4491</v>
      </c>
      <c r="V40" s="10">
        <v>4650</v>
      </c>
    </row>
    <row r="41" spans="2:24" x14ac:dyDescent="0.25">
      <c r="B41" t="s">
        <v>147</v>
      </c>
      <c r="C41" s="10"/>
      <c r="D41" s="10"/>
      <c r="E41" s="10">
        <v>3461</v>
      </c>
      <c r="F41" s="10">
        <v>4382</v>
      </c>
      <c r="G41" s="15">
        <v>4676</v>
      </c>
      <c r="L41" s="10"/>
      <c r="M41" s="10"/>
      <c r="N41" s="10"/>
      <c r="O41" s="10">
        <f t="shared" si="37"/>
        <v>4382</v>
      </c>
      <c r="P41" s="10">
        <v>4421</v>
      </c>
      <c r="Q41" s="10">
        <v>4489</v>
      </c>
      <c r="R41" s="10">
        <v>4701</v>
      </c>
      <c r="S41" s="10">
        <f t="shared" si="38"/>
        <v>4676</v>
      </c>
      <c r="T41" s="10">
        <v>4728</v>
      </c>
      <c r="U41" s="10">
        <v>4744</v>
      </c>
      <c r="V41" s="10">
        <v>4755</v>
      </c>
    </row>
    <row r="42" spans="2:24" x14ac:dyDescent="0.25">
      <c r="B42" t="s">
        <v>70</v>
      </c>
      <c r="C42" s="10"/>
      <c r="D42" s="10"/>
      <c r="E42" s="10">
        <v>10462</v>
      </c>
      <c r="F42" s="10">
        <v>2855</v>
      </c>
      <c r="G42" s="15">
        <v>3592</v>
      </c>
      <c r="L42" s="10"/>
      <c r="M42" s="10"/>
      <c r="N42" s="10"/>
      <c r="O42" s="10">
        <f t="shared" si="37"/>
        <v>2855</v>
      </c>
      <c r="P42" s="10">
        <v>3031</v>
      </c>
      <c r="Q42" s="10">
        <v>3474</v>
      </c>
      <c r="R42" s="10">
        <v>3412</v>
      </c>
      <c r="S42" s="10">
        <f t="shared" si="38"/>
        <v>3592</v>
      </c>
      <c r="T42" s="10">
        <v>3901</v>
      </c>
      <c r="U42" s="10">
        <v>3934</v>
      </c>
      <c r="V42" s="10">
        <v>3920</v>
      </c>
    </row>
    <row r="43" spans="2:24" x14ac:dyDescent="0.25">
      <c r="B43" s="1" t="s">
        <v>23</v>
      </c>
      <c r="C43" s="11">
        <f>SUM(C37:C42)</f>
        <v>0</v>
      </c>
      <c r="D43" s="11">
        <f>SUM(D37:D42)</f>
        <v>0</v>
      </c>
      <c r="E43" s="11">
        <f>SUM(E37:E42)</f>
        <v>51382</v>
      </c>
      <c r="F43" s="11">
        <f>SUM(F37:F42)</f>
        <v>47642</v>
      </c>
      <c r="G43" s="14">
        <f>SUM(G37:G42)</f>
        <v>50446</v>
      </c>
      <c r="L43" s="11">
        <f t="shared" ref="L43:T43" si="39">SUM(L37:L42)</f>
        <v>0</v>
      </c>
      <c r="M43" s="11">
        <f t="shared" si="39"/>
        <v>0</v>
      </c>
      <c r="N43" s="11">
        <f t="shared" si="39"/>
        <v>0</v>
      </c>
      <c r="O43" s="11">
        <f t="shared" si="39"/>
        <v>47642</v>
      </c>
      <c r="P43" s="11">
        <f t="shared" si="39"/>
        <v>46090</v>
      </c>
      <c r="Q43" s="11">
        <f t="shared" si="39"/>
        <v>49125</v>
      </c>
      <c r="R43" s="11">
        <f t="shared" si="39"/>
        <v>49817</v>
      </c>
      <c r="S43" s="11">
        <f t="shared" si="39"/>
        <v>50446</v>
      </c>
      <c r="T43" s="11">
        <f t="shared" si="39"/>
        <v>51963</v>
      </c>
      <c r="U43" s="11">
        <f t="shared" ref="U43" si="40">SUM(U37:U42)</f>
        <v>51468</v>
      </c>
      <c r="V43" s="11">
        <f t="shared" ref="V43" si="41">SUM(V37:V42)</f>
        <v>52090</v>
      </c>
      <c r="W43" s="14">
        <f t="shared" ref="W43" si="42">SUM(W37:W42)</f>
        <v>0</v>
      </c>
      <c r="X43" s="11">
        <f t="shared" ref="X43" si="43">SUM(X37:X42)</f>
        <v>0</v>
      </c>
    </row>
    <row r="44" spans="2:24" x14ac:dyDescent="0.25">
      <c r="B44" t="s">
        <v>152</v>
      </c>
      <c r="C44" s="10"/>
      <c r="D44" s="10"/>
      <c r="E44" s="10">
        <v>3128</v>
      </c>
      <c r="F44" s="10">
        <v>3464</v>
      </c>
      <c r="G44" s="15">
        <v>3880</v>
      </c>
      <c r="L44" s="10"/>
      <c r="M44" s="10"/>
      <c r="N44" s="10"/>
      <c r="O44" s="10">
        <f t="shared" ref="O44:O47" si="44">F44</f>
        <v>3464</v>
      </c>
      <c r="P44" s="10">
        <v>3256</v>
      </c>
      <c r="Q44" s="10">
        <v>3315</v>
      </c>
      <c r="R44" s="10">
        <v>3681</v>
      </c>
      <c r="S44" s="10">
        <f t="shared" ref="S44:S47" si="45">G44</f>
        <v>3880</v>
      </c>
      <c r="T44" s="10">
        <v>3971</v>
      </c>
      <c r="U44" s="10">
        <v>4072</v>
      </c>
      <c r="V44" s="10">
        <v>3805</v>
      </c>
    </row>
    <row r="45" spans="2:24" x14ac:dyDescent="0.25">
      <c r="B45" t="s">
        <v>153</v>
      </c>
      <c r="C45" s="10"/>
      <c r="D45" s="10"/>
      <c r="E45" s="10">
        <v>2447</v>
      </c>
      <c r="F45" s="10">
        <v>2899</v>
      </c>
      <c r="G45" s="15">
        <v>3490</v>
      </c>
      <c r="L45" s="10"/>
      <c r="M45" s="10"/>
      <c r="N45" s="10"/>
      <c r="O45" s="10">
        <f t="shared" si="44"/>
        <v>2899</v>
      </c>
      <c r="P45" s="10">
        <v>3488</v>
      </c>
      <c r="Q45" s="10">
        <v>4347</v>
      </c>
      <c r="R45" s="10">
        <v>3922</v>
      </c>
      <c r="S45" s="10">
        <f t="shared" si="45"/>
        <v>3490</v>
      </c>
      <c r="T45" s="10">
        <v>3937</v>
      </c>
      <c r="U45" s="10">
        <v>3883</v>
      </c>
      <c r="V45" s="10">
        <v>3943</v>
      </c>
    </row>
    <row r="46" spans="2:24" x14ac:dyDescent="0.25">
      <c r="B46" t="s">
        <v>22</v>
      </c>
      <c r="C46" s="10"/>
      <c r="D46" s="10"/>
      <c r="E46" s="10">
        <v>7505</v>
      </c>
      <c r="F46" s="10">
        <v>10204</v>
      </c>
      <c r="G46" s="15">
        <v>6192</v>
      </c>
      <c r="L46" s="10"/>
      <c r="M46" s="10"/>
      <c r="N46" s="10"/>
      <c r="O46" s="10">
        <f t="shared" si="44"/>
        <v>10204</v>
      </c>
      <c r="P46" s="10">
        <v>6553</v>
      </c>
      <c r="Q46" s="10">
        <v>7152</v>
      </c>
      <c r="R46" s="10">
        <v>6564</v>
      </c>
      <c r="S46" s="10">
        <f t="shared" si="45"/>
        <v>6192</v>
      </c>
      <c r="T46" s="10">
        <v>6170</v>
      </c>
      <c r="U46" s="10">
        <v>6426</v>
      </c>
      <c r="V46" s="10">
        <v>6309</v>
      </c>
    </row>
    <row r="47" spans="2:24" x14ac:dyDescent="0.25">
      <c r="B47" t="s">
        <v>154</v>
      </c>
      <c r="C47" s="10"/>
      <c r="D47" s="10"/>
      <c r="E47" s="10">
        <v>0</v>
      </c>
      <c r="F47" s="10">
        <v>12</v>
      </c>
      <c r="G47" s="15">
        <v>5</v>
      </c>
      <c r="L47" s="10"/>
      <c r="M47" s="10"/>
      <c r="N47" s="10"/>
      <c r="O47" s="10">
        <f t="shared" si="44"/>
        <v>12</v>
      </c>
      <c r="P47" s="10">
        <v>11</v>
      </c>
      <c r="Q47" s="10">
        <v>5</v>
      </c>
      <c r="R47" s="10">
        <v>5</v>
      </c>
      <c r="S47" s="10">
        <f t="shared" si="45"/>
        <v>5</v>
      </c>
      <c r="T47" s="10">
        <v>5</v>
      </c>
      <c r="U47" s="10">
        <v>6</v>
      </c>
      <c r="V47" s="10">
        <v>5</v>
      </c>
    </row>
    <row r="48" spans="2:24" s="1" customFormat="1" x14ac:dyDescent="0.25">
      <c r="B48" s="1" t="s">
        <v>57</v>
      </c>
      <c r="C48" s="11">
        <f>SUM(C44:C47)</f>
        <v>0</v>
      </c>
      <c r="D48" s="11">
        <f>SUM(D44:D47)</f>
        <v>0</v>
      </c>
      <c r="E48" s="11">
        <f>SUM(E44:E47)</f>
        <v>13080</v>
      </c>
      <c r="F48" s="11">
        <f>SUM(F44:F47)</f>
        <v>16579</v>
      </c>
      <c r="G48" s="14">
        <f>SUM(G44:G47)</f>
        <v>13567</v>
      </c>
      <c r="L48" s="11">
        <f t="shared" ref="L48:T48" si="46">SUM(L44:L47)</f>
        <v>0</v>
      </c>
      <c r="M48" s="11">
        <f t="shared" si="46"/>
        <v>0</v>
      </c>
      <c r="N48" s="11">
        <f t="shared" si="46"/>
        <v>0</v>
      </c>
      <c r="O48" s="11">
        <f t="shared" si="46"/>
        <v>16579</v>
      </c>
      <c r="P48" s="11">
        <f t="shared" si="46"/>
        <v>13308</v>
      </c>
      <c r="Q48" s="11">
        <f t="shared" si="46"/>
        <v>14819</v>
      </c>
      <c r="R48" s="11">
        <f t="shared" si="46"/>
        <v>14172</v>
      </c>
      <c r="S48" s="11">
        <f t="shared" si="46"/>
        <v>13567</v>
      </c>
      <c r="T48" s="11">
        <f t="shared" si="46"/>
        <v>14083</v>
      </c>
      <c r="U48" s="11">
        <f t="shared" ref="U48" si="47">SUM(U44:U47)</f>
        <v>14387</v>
      </c>
      <c r="V48" s="11">
        <f t="shared" ref="V48" si="48">SUM(V44:V47)</f>
        <v>14062</v>
      </c>
      <c r="W48" s="14">
        <f t="shared" ref="W48" si="49">SUM(W44:W47)</f>
        <v>0</v>
      </c>
      <c r="X48" s="11">
        <f t="shared" ref="X48" si="50">SUM(X44:X47)</f>
        <v>0</v>
      </c>
    </row>
    <row r="49" spans="2:24" x14ac:dyDescent="0.25">
      <c r="B49" t="s">
        <v>155</v>
      </c>
      <c r="C49" s="10"/>
      <c r="D49" s="10"/>
      <c r="E49" s="10">
        <v>5525</v>
      </c>
      <c r="F49" s="10">
        <v>3668</v>
      </c>
      <c r="G49" s="15">
        <v>4315</v>
      </c>
      <c r="L49" s="10"/>
      <c r="M49" s="10"/>
      <c r="N49" s="10"/>
      <c r="O49" s="10">
        <f t="shared" ref="O49:O51" si="51">F49</f>
        <v>3668</v>
      </c>
      <c r="P49" s="10">
        <v>3725</v>
      </c>
      <c r="Q49" s="10">
        <v>3877</v>
      </c>
      <c r="R49" s="10">
        <v>3482</v>
      </c>
      <c r="S49" s="10">
        <f t="shared" ref="S49:S51" si="52">G49</f>
        <v>4315</v>
      </c>
      <c r="T49" s="10">
        <v>4287</v>
      </c>
      <c r="U49" s="10">
        <v>4187</v>
      </c>
      <c r="V49" s="10">
        <v>4348</v>
      </c>
    </row>
    <row r="50" spans="2:24" x14ac:dyDescent="0.25">
      <c r="B50" t="s">
        <v>152</v>
      </c>
      <c r="C50" s="10"/>
      <c r="D50" s="10"/>
      <c r="E50" s="10">
        <v>6599</v>
      </c>
      <c r="F50" s="10">
        <v>6762</v>
      </c>
      <c r="G50" s="15">
        <v>6537</v>
      </c>
      <c r="L50" s="10"/>
      <c r="M50" s="10"/>
      <c r="N50" s="10"/>
      <c r="O50" s="10">
        <f t="shared" si="51"/>
        <v>6762</v>
      </c>
      <c r="P50" s="10">
        <v>6126</v>
      </c>
      <c r="Q50" s="10">
        <v>6296</v>
      </c>
      <c r="R50" s="10">
        <v>6762</v>
      </c>
      <c r="S50" s="10">
        <f t="shared" si="52"/>
        <v>6537</v>
      </c>
      <c r="T50" s="10">
        <v>6546</v>
      </c>
      <c r="U50" s="10">
        <v>6525</v>
      </c>
      <c r="V50" s="10">
        <v>6651</v>
      </c>
    </row>
    <row r="51" spans="2:24" x14ac:dyDescent="0.25">
      <c r="B51" t="s">
        <v>22</v>
      </c>
      <c r="C51" s="10"/>
      <c r="D51" s="10"/>
      <c r="E51" s="10">
        <v>3244</v>
      </c>
      <c r="F51" s="10">
        <v>4633</v>
      </c>
      <c r="G51" s="15">
        <v>4360</v>
      </c>
      <c r="L51" s="10"/>
      <c r="M51" s="10"/>
      <c r="N51" s="10"/>
      <c r="O51" s="10">
        <f t="shared" si="51"/>
        <v>4633</v>
      </c>
      <c r="P51" s="10">
        <v>4331</v>
      </c>
      <c r="Q51" s="10">
        <v>4700</v>
      </c>
      <c r="R51" s="10">
        <v>4633</v>
      </c>
      <c r="S51" s="10">
        <f t="shared" si="52"/>
        <v>4360</v>
      </c>
      <c r="T51" s="10">
        <v>4519</v>
      </c>
      <c r="U51" s="10">
        <v>4596</v>
      </c>
      <c r="V51" s="10">
        <v>3674</v>
      </c>
    </row>
    <row r="52" spans="2:24" x14ac:dyDescent="0.25">
      <c r="B52" s="1" t="s">
        <v>24</v>
      </c>
      <c r="C52" s="11">
        <f>SUM(C48:C51)</f>
        <v>0</v>
      </c>
      <c r="D52" s="11">
        <f>SUM(D48:D51)</f>
        <v>0</v>
      </c>
      <c r="E52" s="11">
        <f>SUM(E48:E51)</f>
        <v>28448</v>
      </c>
      <c r="F52" s="11">
        <f>SUM(F48:F51)</f>
        <v>31642</v>
      </c>
      <c r="G52" s="14">
        <f>SUM(G48:G51)</f>
        <v>28779</v>
      </c>
      <c r="L52" s="11">
        <f t="shared" ref="L52:T52" si="53">SUM(L48:L51)</f>
        <v>0</v>
      </c>
      <c r="M52" s="11">
        <f t="shared" si="53"/>
        <v>0</v>
      </c>
      <c r="N52" s="11">
        <f t="shared" si="53"/>
        <v>0</v>
      </c>
      <c r="O52" s="11">
        <f t="shared" si="53"/>
        <v>31642</v>
      </c>
      <c r="P52" s="11">
        <f t="shared" si="53"/>
        <v>27490</v>
      </c>
      <c r="Q52" s="11">
        <f t="shared" si="53"/>
        <v>29692</v>
      </c>
      <c r="R52" s="11">
        <f t="shared" si="53"/>
        <v>29049</v>
      </c>
      <c r="S52" s="11">
        <f t="shared" si="53"/>
        <v>28779</v>
      </c>
      <c r="T52" s="11">
        <f t="shared" si="53"/>
        <v>29435</v>
      </c>
      <c r="U52" s="11">
        <f t="shared" ref="U52" si="54">SUM(U48:U51)</f>
        <v>29695</v>
      </c>
      <c r="V52" s="11">
        <f t="shared" ref="V52" si="55">SUM(V48:V51)</f>
        <v>28735</v>
      </c>
      <c r="W52" s="14">
        <f t="shared" ref="W52" si="56">SUM(W48:W51)</f>
        <v>0</v>
      </c>
      <c r="X52" s="11">
        <f t="shared" ref="X52" si="57">SUM(X48:X51)</f>
        <v>0</v>
      </c>
    </row>
    <row r="53" spans="2:24" x14ac:dyDescent="0.25">
      <c r="B53" t="s">
        <v>70</v>
      </c>
      <c r="C53" s="10">
        <f>C43-C52</f>
        <v>0</v>
      </c>
      <c r="D53" s="10">
        <f>D43-D52</f>
        <v>0</v>
      </c>
      <c r="E53" s="10">
        <f>E43-E52</f>
        <v>22934</v>
      </c>
      <c r="F53" s="10">
        <f>F43-F52</f>
        <v>16000</v>
      </c>
      <c r="G53" s="15">
        <f>G43-G52</f>
        <v>21667</v>
      </c>
      <c r="L53" s="10">
        <f t="shared" ref="L53:T53" si="58">L43-L52</f>
        <v>0</v>
      </c>
      <c r="M53" s="10">
        <f t="shared" si="58"/>
        <v>0</v>
      </c>
      <c r="N53" s="10">
        <f t="shared" si="58"/>
        <v>0</v>
      </c>
      <c r="O53" s="10">
        <f t="shared" si="58"/>
        <v>16000</v>
      </c>
      <c r="P53" s="10">
        <f t="shared" si="58"/>
        <v>18600</v>
      </c>
      <c r="Q53" s="10">
        <f t="shared" si="58"/>
        <v>19433</v>
      </c>
      <c r="R53" s="10">
        <f t="shared" si="58"/>
        <v>20768</v>
      </c>
      <c r="S53" s="10">
        <f t="shared" si="58"/>
        <v>21667</v>
      </c>
      <c r="T53" s="10">
        <f t="shared" si="58"/>
        <v>22528</v>
      </c>
      <c r="U53" s="10">
        <f t="shared" ref="U53" si="59">U43-U52</f>
        <v>21773</v>
      </c>
      <c r="V53" s="10">
        <f t="shared" ref="V53" si="60">V43-V52</f>
        <v>23355</v>
      </c>
      <c r="W53" s="15">
        <f t="shared" ref="W53" si="61">W43-W52</f>
        <v>0</v>
      </c>
      <c r="X53" s="10">
        <f t="shared" ref="X53" si="62">X43-X52</f>
        <v>0</v>
      </c>
    </row>
    <row r="55" spans="2:24" s="1" customFormat="1" x14ac:dyDescent="0.25">
      <c r="B55" s="1" t="s">
        <v>72</v>
      </c>
      <c r="C55" s="51"/>
      <c r="D55" s="51"/>
      <c r="E55" s="51"/>
      <c r="F55" s="51"/>
      <c r="G55" s="52"/>
      <c r="W55" s="16"/>
    </row>
    <row r="73" spans="7:23" s="9" customFormat="1" x14ac:dyDescent="0.25">
      <c r="G73" s="40"/>
      <c r="W73" s="40"/>
    </row>
    <row r="74" spans="7:23" s="1" customFormat="1" x14ac:dyDescent="0.25">
      <c r="G74" s="16"/>
      <c r="W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4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33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U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RowHeight="15" x14ac:dyDescent="0.25"/>
  <cols>
    <col min="1" max="1" width="23.5703125" bestFit="1" customWidth="1"/>
  </cols>
  <sheetData>
    <row r="1" spans="1:21" x14ac:dyDescent="0.25">
      <c r="B1">
        <v>2020</v>
      </c>
      <c r="C1">
        <v>2021</v>
      </c>
      <c r="D1">
        <v>2022</v>
      </c>
      <c r="E1">
        <v>2023</v>
      </c>
      <c r="F1">
        <v>2024</v>
      </c>
      <c r="J1" t="s">
        <v>10</v>
      </c>
      <c r="K1" t="s">
        <v>6</v>
      </c>
      <c r="L1" t="s">
        <v>7</v>
      </c>
      <c r="M1" t="s">
        <v>8</v>
      </c>
      <c r="N1" t="s">
        <v>9</v>
      </c>
      <c r="O1" t="s">
        <v>31</v>
      </c>
      <c r="P1" t="s">
        <v>35</v>
      </c>
      <c r="Q1" t="s">
        <v>36</v>
      </c>
      <c r="R1" t="s">
        <v>58</v>
      </c>
      <c r="S1" t="s">
        <v>61</v>
      </c>
      <c r="T1" t="s">
        <v>126</v>
      </c>
      <c r="U1" t="s">
        <v>127</v>
      </c>
    </row>
    <row r="2" spans="1:21" x14ac:dyDescent="0.25">
      <c r="A2" s="126" t="s">
        <v>129</v>
      </c>
    </row>
    <row r="3" spans="1:21" x14ac:dyDescent="0.25">
      <c r="A3" t="s">
        <v>180</v>
      </c>
      <c r="B3" s="10"/>
      <c r="C3" s="10"/>
      <c r="D3" s="10"/>
      <c r="E3" s="10"/>
      <c r="F3" s="10">
        <v>947235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t="s">
        <v>128</v>
      </c>
      <c r="B4" s="10"/>
      <c r="C4" s="10"/>
      <c r="D4" s="10"/>
      <c r="E4" s="10"/>
      <c r="F4" s="10">
        <v>714530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t="s">
        <v>181</v>
      </c>
      <c r="B5" s="10"/>
      <c r="C5" s="10"/>
      <c r="D5" s="10"/>
      <c r="E5" s="10"/>
      <c r="F5" s="10">
        <v>480994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5">
      <c r="A6" t="s">
        <v>182</v>
      </c>
      <c r="B6" s="10"/>
      <c r="C6" s="10"/>
      <c r="D6" s="10"/>
      <c r="E6" s="10"/>
      <c r="F6" s="10">
        <v>308045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s="1" customFormat="1" x14ac:dyDescent="0.25">
      <c r="A7" s="1" t="s">
        <v>129</v>
      </c>
      <c r="B7" s="11"/>
      <c r="C7" s="11"/>
      <c r="D7" s="11">
        <f>SUM(D3:D6)</f>
        <v>0</v>
      </c>
      <c r="E7" s="11">
        <f>SUM(E3:E6)</f>
        <v>0</v>
      </c>
      <c r="F7" s="11">
        <f>SUM(F3:F6)</f>
        <v>2450804</v>
      </c>
      <c r="G7" s="11"/>
      <c r="H7" s="11"/>
      <c r="I7" s="11"/>
      <c r="J7" s="11">
        <f>SUM(J3:J6)</f>
        <v>0</v>
      </c>
      <c r="K7" s="11">
        <f>SUM(K3:K6)</f>
        <v>0</v>
      </c>
      <c r="L7" s="11">
        <f>SUM(L3:L6)</f>
        <v>0</v>
      </c>
      <c r="M7" s="11">
        <f>SUM(M3:M6)</f>
        <v>0</v>
      </c>
      <c r="N7" s="11">
        <f>SUM(N3:N6)</f>
        <v>0</v>
      </c>
      <c r="O7" s="11">
        <f>SUM(O3:O6)</f>
        <v>0</v>
      </c>
      <c r="P7" s="11">
        <f>SUM(P3:P6)</f>
        <v>0</v>
      </c>
      <c r="Q7" s="11">
        <f>SUM(Q3:Q6)</f>
        <v>0</v>
      </c>
      <c r="R7" s="11">
        <f>SUM(R3:R6)</f>
        <v>0</v>
      </c>
      <c r="S7" s="11">
        <f>SUM(S3:S6)</f>
        <v>0</v>
      </c>
      <c r="T7" s="11">
        <f>SUM(T3:T6)</f>
        <v>0</v>
      </c>
      <c r="U7" s="11">
        <f>SUM(U3:U6)</f>
        <v>0</v>
      </c>
    </row>
    <row r="8" spans="1:21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t="s">
        <v>183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3" t="e">
        <f>N3/J3-1</f>
        <v>#DIV/0!</v>
      </c>
      <c r="O9" s="3" t="e">
        <f>O3/K3-1</f>
        <v>#DIV/0!</v>
      </c>
      <c r="P9" s="3" t="e">
        <f>P3/L3-1</f>
        <v>#DIV/0!</v>
      </c>
      <c r="Q9" s="3" t="e">
        <f>Q3/M3-1</f>
        <v>#DIV/0!</v>
      </c>
      <c r="R9" s="3" t="e">
        <f>R3/N3-1</f>
        <v>#DIV/0!</v>
      </c>
      <c r="S9" s="3" t="e">
        <f>S3/O3-1</f>
        <v>#DIV/0!</v>
      </c>
      <c r="T9" s="129" t="e">
        <f>T3/P3-1</f>
        <v>#DIV/0!</v>
      </c>
      <c r="U9" s="10"/>
    </row>
    <row r="10" spans="1:21" x14ac:dyDescent="0.25">
      <c r="A10" t="s">
        <v>134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3" t="e">
        <f>N5/J5-1</f>
        <v>#DIV/0!</v>
      </c>
      <c r="O10" s="3" t="e">
        <f>O5/K5-1</f>
        <v>#DIV/0!</v>
      </c>
      <c r="P10" s="3" t="e">
        <f>P5/L5-1</f>
        <v>#DIV/0!</v>
      </c>
      <c r="Q10" s="3" t="e">
        <f>Q5/M5-1</f>
        <v>#DIV/0!</v>
      </c>
      <c r="R10" s="3" t="e">
        <f t="shared" ref="R10:T11" si="0">R5/N5-1</f>
        <v>#DIV/0!</v>
      </c>
      <c r="S10" s="3" t="e">
        <f t="shared" si="0"/>
        <v>#DIV/0!</v>
      </c>
      <c r="T10" s="3" t="e">
        <f t="shared" si="0"/>
        <v>#DIV/0!</v>
      </c>
      <c r="U10" s="10"/>
    </row>
    <row r="11" spans="1:21" x14ac:dyDescent="0.25">
      <c r="A11" t="s">
        <v>135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3" t="e">
        <f>N4/J4-1</f>
        <v>#DIV/0!</v>
      </c>
      <c r="O11" s="3" t="e">
        <f t="shared" ref="O11:T11" si="1">O4/K4-1</f>
        <v>#DIV/0!</v>
      </c>
      <c r="P11" s="3" t="e">
        <f t="shared" si="1"/>
        <v>#DIV/0!</v>
      </c>
      <c r="Q11" s="3" t="e">
        <f t="shared" si="1"/>
        <v>#DIV/0!</v>
      </c>
      <c r="R11" s="3" t="e">
        <f t="shared" si="1"/>
        <v>#DIV/0!</v>
      </c>
      <c r="S11" s="3" t="e">
        <f t="shared" si="1"/>
        <v>#DIV/0!</v>
      </c>
      <c r="T11" s="3" t="e">
        <f t="shared" si="1"/>
        <v>#DIV/0!</v>
      </c>
      <c r="U11" s="10"/>
    </row>
    <row r="12" spans="1:21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25">
      <c r="A13" s="125" t="s">
        <v>184</v>
      </c>
      <c r="B13" s="10">
        <v>44541</v>
      </c>
      <c r="C13" s="10">
        <v>103854</v>
      </c>
      <c r="D13" s="10">
        <v>215752</v>
      </c>
      <c r="E13" s="10">
        <v>375716</v>
      </c>
      <c r="F13" s="10">
        <v>426594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125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25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s="1" customFormat="1" x14ac:dyDescent="0.25">
      <c r="A19" s="1" t="s">
        <v>129</v>
      </c>
      <c r="B19" s="11"/>
      <c r="C19" s="11">
        <f t="shared" ref="C19:D19" si="2">SUM(C13:C18)</f>
        <v>103854</v>
      </c>
      <c r="D19" s="11">
        <f t="shared" si="2"/>
        <v>215752</v>
      </c>
      <c r="E19" s="11">
        <f>SUM(E13:E18)</f>
        <v>375716</v>
      </c>
      <c r="F19" s="11">
        <f>SUM(F13:F18)</f>
        <v>426594</v>
      </c>
      <c r="G19" s="11">
        <f>SUM(G13:G18)</f>
        <v>0</v>
      </c>
      <c r="H19" s="11"/>
      <c r="I19" s="11"/>
      <c r="J19" s="11">
        <f>SUM(J13:J18)</f>
        <v>0</v>
      </c>
      <c r="K19" s="11">
        <f t="shared" ref="K19:U19" si="3">SUM(K13:K18)</f>
        <v>0</v>
      </c>
      <c r="L19" s="11">
        <f t="shared" si="3"/>
        <v>0</v>
      </c>
      <c r="M19" s="11">
        <f t="shared" si="3"/>
        <v>0</v>
      </c>
      <c r="N19" s="11">
        <f t="shared" si="3"/>
        <v>0</v>
      </c>
      <c r="O19" s="11">
        <f t="shared" si="3"/>
        <v>0</v>
      </c>
      <c r="P19" s="11">
        <f t="shared" si="3"/>
        <v>0</v>
      </c>
      <c r="Q19" s="11">
        <f t="shared" si="3"/>
        <v>0</v>
      </c>
      <c r="R19" s="11">
        <f t="shared" si="3"/>
        <v>0</v>
      </c>
      <c r="S19" s="11">
        <f t="shared" si="3"/>
        <v>0</v>
      </c>
      <c r="T19" s="11">
        <f t="shared" si="3"/>
        <v>0</v>
      </c>
      <c r="U19" s="11">
        <f t="shared" si="3"/>
        <v>0</v>
      </c>
    </row>
    <row r="21" spans="1:21" x14ac:dyDescent="0.25">
      <c r="A21" t="s">
        <v>185</v>
      </c>
      <c r="D21" s="3">
        <f>D13/C13-1</f>
        <v>1.0774548885936026</v>
      </c>
      <c r="E21" s="3">
        <f>E13/D13-1</f>
        <v>0.74142534020542095</v>
      </c>
      <c r="F21" s="3">
        <f>F13/E13-1</f>
        <v>0.13541611216983029</v>
      </c>
      <c r="N21" s="3" t="e">
        <f t="shared" ref="N21:Q21" si="4">N13/J13-1</f>
        <v>#DIV/0!</v>
      </c>
      <c r="O21" s="3" t="e">
        <f t="shared" si="4"/>
        <v>#DIV/0!</v>
      </c>
      <c r="P21" s="3" t="e">
        <f t="shared" si="4"/>
        <v>#DIV/0!</v>
      </c>
      <c r="Q21" s="3" t="e">
        <f t="shared" si="4"/>
        <v>#DIV/0!</v>
      </c>
      <c r="R21" s="3" t="e">
        <f>R13/N13-1</f>
        <v>#DIV/0!</v>
      </c>
      <c r="S21" s="3" t="e">
        <f>S13/O13-1</f>
        <v>#DIV/0!</v>
      </c>
      <c r="T21" s="129" t="e">
        <f>T13/P13-1</f>
        <v>#DIV/0!</v>
      </c>
      <c r="U21" s="129" t="e">
        <f>U13/Q13-1</f>
        <v>#DIV/0!</v>
      </c>
    </row>
    <row r="22" spans="1:21" x14ac:dyDescent="0.25">
      <c r="A22" t="s">
        <v>138</v>
      </c>
      <c r="D22" s="3" t="e">
        <f>((D15+D16)/(C15+C16))-1</f>
        <v>#DIV/0!</v>
      </c>
      <c r="E22" s="3" t="e">
        <f>((E15+E16)/(D15+D16))-1</f>
        <v>#DIV/0!</v>
      </c>
      <c r="F22" s="3" t="e">
        <f>((F15+F16)/(E15+E16))-1</f>
        <v>#DIV/0!</v>
      </c>
      <c r="N22" s="3" t="e">
        <f>((N15+N16)/(J15+J16))-1</f>
        <v>#DIV/0!</v>
      </c>
      <c r="O22" s="3" t="e">
        <f t="shared" ref="O22:Q22" si="5">((O15+O16)/(K15+K16))-1</f>
        <v>#DIV/0!</v>
      </c>
      <c r="P22" s="3" t="e">
        <f t="shared" si="5"/>
        <v>#DIV/0!</v>
      </c>
      <c r="Q22" s="3" t="e">
        <f t="shared" si="5"/>
        <v>#DIV/0!</v>
      </c>
      <c r="R22" s="3" t="e">
        <f>((R15+R16)/(N15+N16))-1</f>
        <v>#DIV/0!</v>
      </c>
      <c r="S22" s="3" t="e">
        <f>((S15+S16)/(O15+O16))-1</f>
        <v>#DIV/0!</v>
      </c>
      <c r="T22" s="3" t="e">
        <f>((T15+T16)/(P15+P16))-1</f>
        <v>#DIV/0!</v>
      </c>
      <c r="U22" s="3" t="e">
        <f>((U15+U16)/(Q15+Q16))-1</f>
        <v>#DIV/0!</v>
      </c>
    </row>
    <row r="23" spans="1:21" x14ac:dyDescent="0.25">
      <c r="A23" t="s">
        <v>137</v>
      </c>
      <c r="D23" s="130" t="e">
        <f>D18/C18-1</f>
        <v>#DIV/0!</v>
      </c>
      <c r="E23" s="130" t="e">
        <f>E18/D18-1</f>
        <v>#DIV/0!</v>
      </c>
      <c r="F23" s="129" t="e">
        <f>F18/E18-1</f>
        <v>#DIV/0!</v>
      </c>
      <c r="N23" s="3" t="e">
        <f t="shared" ref="N23:Q23" si="6">N18/J18-1</f>
        <v>#DIV/0!</v>
      </c>
      <c r="O23" s="3" t="e">
        <f t="shared" si="6"/>
        <v>#DIV/0!</v>
      </c>
      <c r="P23" s="3" t="e">
        <f t="shared" si="6"/>
        <v>#DIV/0!</v>
      </c>
      <c r="Q23" s="3" t="e">
        <f t="shared" si="6"/>
        <v>#DIV/0!</v>
      </c>
      <c r="R23" s="129" t="e">
        <f>R18/N18-1</f>
        <v>#DIV/0!</v>
      </c>
      <c r="S23" s="129" t="e">
        <f>S18/O18-1</f>
        <v>#DIV/0!</v>
      </c>
      <c r="T23" s="129" t="e">
        <f>T18/P18-1</f>
        <v>#DIV/0!</v>
      </c>
      <c r="U23" s="129" t="e">
        <f>U18/Q18-1</f>
        <v>#DIV/0!</v>
      </c>
    </row>
    <row r="26" spans="1:21" x14ac:dyDescent="0.25">
      <c r="A26" s="126" t="s">
        <v>139</v>
      </c>
    </row>
    <row r="27" spans="1:21" x14ac:dyDescent="0.25">
      <c r="A27" s="125">
        <v>911</v>
      </c>
      <c r="B27" s="10"/>
      <c r="C27" s="10">
        <v>39068</v>
      </c>
      <c r="D27" s="10">
        <v>40715</v>
      </c>
      <c r="E27" s="10">
        <v>53741</v>
      </c>
      <c r="F27" s="10"/>
      <c r="G27" s="10"/>
      <c r="H27" s="10"/>
      <c r="I27" s="10"/>
      <c r="J27" s="10">
        <v>9788</v>
      </c>
      <c r="K27" s="10">
        <f>21489-J27</f>
        <v>11701</v>
      </c>
      <c r="L27" s="10">
        <f>30588-K27-J27</f>
        <v>9099</v>
      </c>
      <c r="M27" s="10">
        <f>D27-L27-K27-J27</f>
        <v>10127</v>
      </c>
      <c r="N27" s="10">
        <v>12835</v>
      </c>
      <c r="O27" s="10">
        <f>27856-N27</f>
        <v>15021</v>
      </c>
      <c r="P27" s="10">
        <f>39816-O27-N27</f>
        <v>11960</v>
      </c>
      <c r="Q27" s="10">
        <f>E27-P27-O27-N27</f>
        <v>13925</v>
      </c>
      <c r="R27" s="10">
        <v>12919</v>
      </c>
      <c r="S27" s="10">
        <f>26346-R27</f>
        <v>13427</v>
      </c>
      <c r="T27" s="10">
        <f>38232-S27-R27</f>
        <v>11886</v>
      </c>
    </row>
    <row r="28" spans="1:21" x14ac:dyDescent="0.25">
      <c r="A28" s="125">
        <v>718</v>
      </c>
      <c r="B28" s="10"/>
      <c r="C28" s="10">
        <v>19250</v>
      </c>
      <c r="D28" s="10">
        <v>18392</v>
      </c>
      <c r="E28" s="10">
        <v>22395</v>
      </c>
      <c r="F28" s="10"/>
      <c r="G28" s="10"/>
      <c r="H28" s="10"/>
      <c r="I28" s="10"/>
      <c r="J28" s="10">
        <v>4641</v>
      </c>
      <c r="K28" s="10">
        <f>10091-J28</f>
        <v>5450</v>
      </c>
      <c r="L28" s="10">
        <f>13940-K28-J28</f>
        <v>3849</v>
      </c>
      <c r="M28" s="10">
        <f t="shared" ref="M28:M32" si="7">D28-L28-K28-J28</f>
        <v>4452</v>
      </c>
      <c r="N28" s="10">
        <v>5561</v>
      </c>
      <c r="O28" s="10">
        <f>11703-N28</f>
        <v>6142</v>
      </c>
      <c r="P28" s="10">
        <f>16874-O28-N28</f>
        <v>5171</v>
      </c>
      <c r="Q28" s="10">
        <f t="shared" ref="Q28:Q32" si="8">E28-P28-O28-N28</f>
        <v>5521</v>
      </c>
      <c r="R28" s="10">
        <v>6002</v>
      </c>
      <c r="S28" s="10">
        <f>11703-R28</f>
        <v>5701</v>
      </c>
      <c r="T28" s="10">
        <f>17851-S28-R28</f>
        <v>6148</v>
      </c>
    </row>
    <row r="29" spans="1:21" x14ac:dyDescent="0.25">
      <c r="A29" t="s">
        <v>130</v>
      </c>
      <c r="B29" s="10"/>
      <c r="C29" s="10">
        <v>86529</v>
      </c>
      <c r="D29" s="10">
        <v>89767</v>
      </c>
      <c r="E29" s="10">
        <v>90161</v>
      </c>
      <c r="F29" s="10"/>
      <c r="G29" s="10"/>
      <c r="H29" s="10"/>
      <c r="I29" s="10"/>
      <c r="J29" s="10">
        <v>17781</v>
      </c>
      <c r="K29" s="10">
        <f>39386-J29</f>
        <v>21605</v>
      </c>
      <c r="L29" s="10">
        <f>62678-K29-J29</f>
        <v>23292</v>
      </c>
      <c r="M29" s="10">
        <f t="shared" si="7"/>
        <v>27089</v>
      </c>
      <c r="N29" s="10">
        <v>24387</v>
      </c>
      <c r="O29" s="10">
        <f>46842-N29</f>
        <v>22455</v>
      </c>
      <c r="P29" s="10">
        <f>67353-O29-N29</f>
        <v>20511</v>
      </c>
      <c r="Q29" s="10">
        <f t="shared" si="8"/>
        <v>22808</v>
      </c>
      <c r="R29" s="10">
        <v>19323</v>
      </c>
      <c r="S29" s="10">
        <f>36600-R29</f>
        <v>17277</v>
      </c>
      <c r="T29" s="10">
        <f>55693-S29-R29</f>
        <v>19093</v>
      </c>
    </row>
    <row r="30" spans="1:21" x14ac:dyDescent="0.25">
      <c r="A30" t="s">
        <v>131</v>
      </c>
      <c r="B30" s="10"/>
      <c r="C30" s="10">
        <v>81541</v>
      </c>
      <c r="D30" s="10">
        <v>96800</v>
      </c>
      <c r="E30" s="10">
        <v>92866</v>
      </c>
      <c r="F30" s="10"/>
      <c r="G30" s="10"/>
      <c r="H30" s="10"/>
      <c r="I30" s="10"/>
      <c r="J30" s="10">
        <v>18161</v>
      </c>
      <c r="K30" s="10">
        <f>44600-J30</f>
        <v>26439</v>
      </c>
      <c r="L30" s="10">
        <f>66996-K30-J30</f>
        <v>22396</v>
      </c>
      <c r="M30" s="10">
        <f t="shared" si="7"/>
        <v>29804</v>
      </c>
      <c r="N30" s="10">
        <v>23707</v>
      </c>
      <c r="O30" s="10">
        <f>46399-N30</f>
        <v>22692</v>
      </c>
      <c r="P30" s="10">
        <f>69461-O30-N30</f>
        <v>23062</v>
      </c>
      <c r="Q30" s="10">
        <f t="shared" si="8"/>
        <v>23405</v>
      </c>
      <c r="R30" s="10">
        <v>23987</v>
      </c>
      <c r="S30" s="10">
        <f>52769-R30</f>
        <v>28782</v>
      </c>
      <c r="T30" s="10">
        <f>72743-S30-R30</f>
        <v>19974</v>
      </c>
    </row>
    <row r="31" spans="1:21" x14ac:dyDescent="0.25">
      <c r="A31" t="s">
        <v>132</v>
      </c>
      <c r="B31" s="10"/>
      <c r="C31" s="10">
        <v>31679</v>
      </c>
      <c r="D31" s="10">
        <v>33958</v>
      </c>
      <c r="E31" s="10">
        <v>34386</v>
      </c>
      <c r="F31" s="10"/>
      <c r="G31" s="10"/>
      <c r="H31" s="10"/>
      <c r="I31" s="10"/>
      <c r="J31" s="10">
        <v>6949</v>
      </c>
      <c r="K31" s="10">
        <f>15528-J31</f>
        <v>8579</v>
      </c>
      <c r="L31" s="10">
        <f>24639-K31-J31</f>
        <v>9111</v>
      </c>
      <c r="M31" s="10">
        <f t="shared" si="7"/>
        <v>9319</v>
      </c>
      <c r="N31" s="10">
        <v>9652</v>
      </c>
      <c r="O31" s="10">
        <f>18993-N31</f>
        <v>9341</v>
      </c>
      <c r="P31" s="10">
        <f>27484-O31-N31</f>
        <v>8491</v>
      </c>
      <c r="Q31" s="10">
        <f t="shared" si="8"/>
        <v>6902</v>
      </c>
      <c r="R31" s="10">
        <v>4101</v>
      </c>
      <c r="S31" s="10">
        <f>15092-R31</f>
        <v>10991</v>
      </c>
      <c r="T31" s="10">
        <f>21377-S31-R31</f>
        <v>6285</v>
      </c>
    </row>
    <row r="32" spans="1:21" x14ac:dyDescent="0.25">
      <c r="A32" t="s">
        <v>133</v>
      </c>
      <c r="B32" s="10"/>
      <c r="C32" s="10">
        <v>39222</v>
      </c>
      <c r="D32" s="10">
        <v>34089</v>
      </c>
      <c r="E32" s="10">
        <v>40056</v>
      </c>
      <c r="F32" s="10"/>
      <c r="G32" s="10"/>
      <c r="H32" s="10"/>
      <c r="I32" s="10"/>
      <c r="J32" s="10">
        <v>8281</v>
      </c>
      <c r="K32" s="10">
        <f>17474-J32</f>
        <v>9193</v>
      </c>
      <c r="L32" s="10">
        <f>21745-K32-J32</f>
        <v>4271</v>
      </c>
      <c r="M32" s="10">
        <f t="shared" si="7"/>
        <v>12344</v>
      </c>
      <c r="N32" s="10">
        <v>8595</v>
      </c>
      <c r="O32" s="10">
        <f>19009-N32</f>
        <v>10414</v>
      </c>
      <c r="P32" s="10">
        <f>29204-O32-N32</f>
        <v>10195</v>
      </c>
      <c r="Q32" s="10">
        <f t="shared" si="8"/>
        <v>10852</v>
      </c>
      <c r="R32" s="10">
        <v>4273</v>
      </c>
      <c r="S32" s="10">
        <f>9182-R32</f>
        <v>4909</v>
      </c>
      <c r="T32" s="10">
        <f>15408-S32-R32</f>
        <v>6226</v>
      </c>
    </row>
    <row r="33" spans="1:20" x14ac:dyDescent="0.25">
      <c r="A33" s="1" t="s">
        <v>139</v>
      </c>
      <c r="B33" s="11"/>
      <c r="C33" s="11">
        <f t="shared" ref="C33:F33" si="9">SUM(C27:C32)</f>
        <v>297289</v>
      </c>
      <c r="D33" s="11">
        <f t="shared" si="9"/>
        <v>313721</v>
      </c>
      <c r="E33" s="11">
        <f t="shared" si="9"/>
        <v>333605</v>
      </c>
      <c r="F33" s="11">
        <f t="shared" si="9"/>
        <v>0</v>
      </c>
      <c r="G33" s="11"/>
      <c r="H33" s="11"/>
      <c r="I33" s="11"/>
      <c r="J33" s="11">
        <f>SUM(J27:J32)</f>
        <v>65601</v>
      </c>
      <c r="K33" s="11">
        <f t="shared" ref="K33" si="10">SUM(K27:K32)</f>
        <v>82967</v>
      </c>
      <c r="L33" s="11">
        <f t="shared" ref="L33" si="11">SUM(L27:L32)</f>
        <v>72018</v>
      </c>
      <c r="M33" s="11">
        <f t="shared" ref="M33" si="12">SUM(M27:M32)</f>
        <v>93135</v>
      </c>
      <c r="N33" s="11">
        <f t="shared" ref="N33" si="13">SUM(N27:N32)</f>
        <v>84737</v>
      </c>
      <c r="O33" s="11">
        <f t="shared" ref="O33" si="14">SUM(O27:O32)</f>
        <v>86065</v>
      </c>
      <c r="P33" s="11">
        <f t="shared" ref="P33" si="15">SUM(P27:P32)</f>
        <v>79390</v>
      </c>
      <c r="Q33" s="11">
        <f t="shared" ref="Q33" si="16">SUM(Q27:Q32)</f>
        <v>83413</v>
      </c>
      <c r="R33" s="11">
        <f t="shared" ref="R33" si="17">SUM(R27:R32)</f>
        <v>70605</v>
      </c>
      <c r="S33" s="11">
        <f t="shared" ref="S33:T33" si="18">SUM(S27:S32)</f>
        <v>81087</v>
      </c>
      <c r="T33" s="11">
        <f t="shared" si="18"/>
        <v>69612</v>
      </c>
    </row>
    <row r="35" spans="1:20" x14ac:dyDescent="0.25">
      <c r="A35" t="s">
        <v>136</v>
      </c>
      <c r="D35" s="3">
        <f>D27/C27-1</f>
        <v>4.2157264257192573E-2</v>
      </c>
      <c r="E35" s="3">
        <f>E27/D27-1</f>
        <v>0.31993122927667939</v>
      </c>
      <c r="F35" s="3">
        <f>F27/E27-1</f>
        <v>-1</v>
      </c>
      <c r="N35" s="3">
        <f t="shared" ref="N35" si="19">N27/J27-1</f>
        <v>0.31129955046996316</v>
      </c>
      <c r="O35" s="3">
        <f t="shared" ref="O35" si="20">O27/K27-1</f>
        <v>0.28373643278352279</v>
      </c>
      <c r="P35" s="3">
        <f t="shared" ref="P35" si="21">P27/L27-1</f>
        <v>0.31443015716012757</v>
      </c>
      <c r="Q35" s="3">
        <f t="shared" ref="Q35" si="22">Q27/M27-1</f>
        <v>0.37503702972252384</v>
      </c>
      <c r="R35" s="3">
        <f>R27/N27-1</f>
        <v>6.5446045968056143E-3</v>
      </c>
      <c r="S35" s="129">
        <f>S27/O27-1</f>
        <v>-0.10611810132481192</v>
      </c>
      <c r="T35" s="129">
        <f>T27/P27-1</f>
        <v>-6.1872909698996725E-3</v>
      </c>
    </row>
    <row r="36" spans="1:20" x14ac:dyDescent="0.25">
      <c r="A36" t="s">
        <v>138</v>
      </c>
      <c r="D36" s="3">
        <f>((D29+D30)/(C29+C30))-1</f>
        <v>0.11005533408698764</v>
      </c>
      <c r="E36" s="3">
        <f>((E29+E30)/(D29+D30))-1</f>
        <v>-1.8974416697486673E-2</v>
      </c>
      <c r="F36" s="3">
        <f>((F29+F30)/(E29+E30))-1</f>
        <v>-1</v>
      </c>
      <c r="N36" s="3">
        <f t="shared" ref="N36" si="23">((N29+N30)/(J29+J30))-1</f>
        <v>0.3381002726615101</v>
      </c>
      <c r="O36" s="3">
        <f t="shared" ref="O36" si="24">((O29+O30)/(K29+K30))-1</f>
        <v>-6.0298892681708405E-2</v>
      </c>
      <c r="P36" s="3">
        <f t="shared" ref="P36" si="25">((P29+P30)/(L29+L30))-1</f>
        <v>-4.6292243039747882E-2</v>
      </c>
      <c r="Q36" s="3">
        <f t="shared" ref="Q36" si="26">((Q29+Q30)/(M29+M30))-1</f>
        <v>-0.18772080923839485</v>
      </c>
      <c r="R36" s="3">
        <f>((R29+R30)/(N29+N30))-1</f>
        <v>-9.9471867592631047E-2</v>
      </c>
      <c r="S36" s="3">
        <f>((S29+S30)/(O29+O30))-1</f>
        <v>2.0200677785899401E-2</v>
      </c>
      <c r="T36" s="129">
        <f>((T29+T30)/(P29+P30))-1</f>
        <v>-0.10341266380556768</v>
      </c>
    </row>
    <row r="37" spans="1:20" x14ac:dyDescent="0.25">
      <c r="A37" t="s">
        <v>137</v>
      </c>
      <c r="D37" s="130">
        <f>D32/C32-1</f>
        <v>-0.13087042986079245</v>
      </c>
      <c r="E37" s="130">
        <f>E32/D32-1</f>
        <v>0.17504180234093103</v>
      </c>
      <c r="F37" s="129">
        <f>F32/E32-1</f>
        <v>-1</v>
      </c>
      <c r="N37" s="3">
        <f t="shared" ref="N37" si="27">N32/J32-1</f>
        <v>3.79181258302137E-2</v>
      </c>
      <c r="O37" s="3">
        <f t="shared" ref="O37" si="28">O32/K32-1</f>
        <v>0.13281844881975413</v>
      </c>
      <c r="P37" s="3">
        <f t="shared" ref="P37" si="29">P32/L32-1</f>
        <v>1.3870287988761416</v>
      </c>
      <c r="Q37" s="3">
        <f t="shared" ref="Q37" si="30">Q32/M32-1</f>
        <v>-0.12086843810758263</v>
      </c>
      <c r="R37" s="129">
        <f>R32/N32-1</f>
        <v>-0.50285049447353114</v>
      </c>
      <c r="S37" s="129">
        <f>S32/O32-1</f>
        <v>-0.5286153255233339</v>
      </c>
      <c r="T37" s="129">
        <f>T32/P32-1</f>
        <v>-0.38930848455125067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J15" sqref="J1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33</v>
      </c>
      <c r="B1" t="s">
        <v>46</v>
      </c>
      <c r="C1" s="17" t="s">
        <v>47</v>
      </c>
    </row>
    <row r="2" spans="1:13" x14ac:dyDescent="0.25">
      <c r="B2" s="12">
        <v>45404</v>
      </c>
      <c r="C2" s="18">
        <v>89.800003000000004</v>
      </c>
      <c r="E2" t="s">
        <v>46</v>
      </c>
      <c r="F2" t="s">
        <v>48</v>
      </c>
      <c r="M2" t="s">
        <v>49</v>
      </c>
    </row>
    <row r="3" spans="1:13" x14ac:dyDescent="0.25">
      <c r="B3" s="12">
        <v>45397</v>
      </c>
      <c r="C3" s="18">
        <v>89.919998000000007</v>
      </c>
      <c r="E3" s="12">
        <v>45328</v>
      </c>
      <c r="F3" t="s">
        <v>51</v>
      </c>
      <c r="M3" s="12"/>
    </row>
    <row r="4" spans="1:13" x14ac:dyDescent="0.25">
      <c r="B4" s="12">
        <v>45390</v>
      </c>
      <c r="C4" s="18">
        <v>92.839995999999999</v>
      </c>
      <c r="E4" s="12">
        <v>45302</v>
      </c>
      <c r="F4" t="s">
        <v>51</v>
      </c>
      <c r="M4" s="12"/>
    </row>
    <row r="5" spans="1:13" x14ac:dyDescent="0.25">
      <c r="B5" s="12">
        <v>45383</v>
      </c>
      <c r="C5" s="18">
        <v>93.099997999999999</v>
      </c>
      <c r="M5" s="12"/>
    </row>
    <row r="6" spans="1:13" x14ac:dyDescent="0.25">
      <c r="B6" s="12">
        <v>45376</v>
      </c>
      <c r="C6" s="18">
        <v>92.279999000000004</v>
      </c>
      <c r="M6" s="12"/>
    </row>
    <row r="7" spans="1:13" x14ac:dyDescent="0.25">
      <c r="B7" s="12">
        <v>45369</v>
      </c>
      <c r="C7" s="18">
        <v>93.519997000000004</v>
      </c>
      <c r="M7" s="12"/>
    </row>
    <row r="8" spans="1:13" x14ac:dyDescent="0.25">
      <c r="B8" s="12">
        <v>45362</v>
      </c>
      <c r="C8" s="18">
        <v>88.360000999999997</v>
      </c>
      <c r="M8" s="12"/>
    </row>
    <row r="9" spans="1:13" x14ac:dyDescent="0.25">
      <c r="B9" s="12">
        <v>45355</v>
      </c>
      <c r="C9" s="18">
        <v>82.120002999999997</v>
      </c>
      <c r="M9" s="12"/>
    </row>
    <row r="10" spans="1:13" x14ac:dyDescent="0.25">
      <c r="B10" s="12">
        <v>45348</v>
      </c>
      <c r="C10" s="18">
        <v>86.459998999999996</v>
      </c>
      <c r="M10" s="12"/>
    </row>
    <row r="11" spans="1:13" x14ac:dyDescent="0.25">
      <c r="B11" s="12">
        <v>45341</v>
      </c>
      <c r="C11" s="18">
        <v>82.660004000000001</v>
      </c>
      <c r="M11" s="12"/>
    </row>
    <row r="12" spans="1:13" x14ac:dyDescent="0.25">
      <c r="B12" s="12">
        <v>45334</v>
      </c>
      <c r="C12" s="18">
        <v>80.620002999999997</v>
      </c>
      <c r="M12" s="12"/>
    </row>
    <row r="13" spans="1:13" x14ac:dyDescent="0.25">
      <c r="B13" s="12">
        <v>45327</v>
      </c>
      <c r="C13" s="18">
        <v>80.239998</v>
      </c>
    </row>
    <row r="14" spans="1:13" x14ac:dyDescent="0.25">
      <c r="B14" s="12">
        <v>45320</v>
      </c>
      <c r="C14" s="18">
        <v>82</v>
      </c>
    </row>
    <row r="15" spans="1:13" x14ac:dyDescent="0.25">
      <c r="B15" s="12">
        <v>45313</v>
      </c>
      <c r="C15" s="18">
        <v>76.480002999999996</v>
      </c>
    </row>
    <row r="16" spans="1:13" x14ac:dyDescent="0.25">
      <c r="B16" s="12">
        <v>45306</v>
      </c>
      <c r="C16" s="18">
        <v>73.779999000000004</v>
      </c>
    </row>
    <row r="17" spans="2:3" x14ac:dyDescent="0.25">
      <c r="B17" s="12">
        <v>45299</v>
      </c>
      <c r="C17" s="18">
        <v>75.5</v>
      </c>
    </row>
    <row r="18" spans="2:3" x14ac:dyDescent="0.25">
      <c r="B18" s="12">
        <v>45292</v>
      </c>
      <c r="C18" s="18">
        <v>76.699996999999996</v>
      </c>
    </row>
    <row r="19" spans="2:3" x14ac:dyDescent="0.25">
      <c r="B19" s="12">
        <v>45285</v>
      </c>
      <c r="C19" s="18">
        <v>79.900002000000001</v>
      </c>
    </row>
    <row r="20" spans="2:3" x14ac:dyDescent="0.25">
      <c r="B20" s="12">
        <v>45278</v>
      </c>
      <c r="C20" s="18">
        <v>80.080001999999993</v>
      </c>
    </row>
    <row r="21" spans="2:3" x14ac:dyDescent="0.25">
      <c r="B21" s="12">
        <v>45271</v>
      </c>
      <c r="C21" s="18">
        <v>81</v>
      </c>
    </row>
    <row r="22" spans="2:3" x14ac:dyDescent="0.25">
      <c r="B22" s="12">
        <v>45264</v>
      </c>
      <c r="C22" s="18">
        <v>83.559997999999993</v>
      </c>
    </row>
    <row r="23" spans="2:3" x14ac:dyDescent="0.25">
      <c r="B23" s="12">
        <v>45257</v>
      </c>
      <c r="C23" s="18">
        <v>83.900002000000001</v>
      </c>
    </row>
    <row r="24" spans="2:3" x14ac:dyDescent="0.25">
      <c r="B24" s="12">
        <v>45250</v>
      </c>
      <c r="C24" s="18">
        <v>86.099997999999999</v>
      </c>
    </row>
    <row r="25" spans="2:3" x14ac:dyDescent="0.25">
      <c r="B25" s="12">
        <v>45243</v>
      </c>
      <c r="C25" s="18">
        <v>90.919998000000007</v>
      </c>
    </row>
    <row r="26" spans="2:3" x14ac:dyDescent="0.25">
      <c r="B26" s="12">
        <v>45236</v>
      </c>
      <c r="C26" s="18">
        <v>87.419998000000007</v>
      </c>
    </row>
    <row r="27" spans="2:3" x14ac:dyDescent="0.25">
      <c r="B27" s="12">
        <v>45229</v>
      </c>
      <c r="C27" s="18">
        <v>90.139999000000003</v>
      </c>
    </row>
    <row r="28" spans="2:3" x14ac:dyDescent="0.25">
      <c r="B28" s="12">
        <v>45222</v>
      </c>
      <c r="C28" s="18">
        <v>82.120002999999997</v>
      </c>
    </row>
    <row r="29" spans="2:3" x14ac:dyDescent="0.25">
      <c r="B29" s="12">
        <v>45215</v>
      </c>
      <c r="C29" s="18">
        <v>89.120002999999997</v>
      </c>
    </row>
    <row r="30" spans="2:3" x14ac:dyDescent="0.25">
      <c r="B30" s="12">
        <v>45208</v>
      </c>
      <c r="C30" s="18">
        <v>90.599997999999999</v>
      </c>
    </row>
    <row r="31" spans="2:3" x14ac:dyDescent="0.25">
      <c r="B31" s="12">
        <v>45201</v>
      </c>
      <c r="C31" s="18">
        <v>89.220000999999996</v>
      </c>
    </row>
    <row r="32" spans="2:3" x14ac:dyDescent="0.25">
      <c r="B32" s="12">
        <v>45194</v>
      </c>
      <c r="C32" s="18">
        <v>89</v>
      </c>
    </row>
    <row r="33" spans="2:3" x14ac:dyDescent="0.25">
      <c r="B33" s="12">
        <v>45187</v>
      </c>
      <c r="C33" s="18">
        <v>92.959998999999996</v>
      </c>
    </row>
    <row r="34" spans="2:3" x14ac:dyDescent="0.25">
      <c r="B34" s="12">
        <v>45180</v>
      </c>
      <c r="C34" s="18">
        <v>99.099997999999999</v>
      </c>
    </row>
    <row r="35" spans="2:3" x14ac:dyDescent="0.25">
      <c r="B35" s="12">
        <v>45173</v>
      </c>
      <c r="C35" s="18">
        <v>101.300003</v>
      </c>
    </row>
    <row r="36" spans="2:3" x14ac:dyDescent="0.25">
      <c r="B36" s="12">
        <v>45166</v>
      </c>
      <c r="C36" s="18">
        <v>98.160004000000001</v>
      </c>
    </row>
    <row r="37" spans="2:3" x14ac:dyDescent="0.25">
      <c r="B37" s="12">
        <v>45159</v>
      </c>
      <c r="C37" s="18">
        <v>100.050003</v>
      </c>
    </row>
    <row r="38" spans="2:3" x14ac:dyDescent="0.25">
      <c r="B38" s="12">
        <v>45152</v>
      </c>
      <c r="C38" s="18">
        <v>102.099998</v>
      </c>
    </row>
    <row r="39" spans="2:3" x14ac:dyDescent="0.25">
      <c r="B39" s="12">
        <v>45145</v>
      </c>
      <c r="C39" s="18">
        <v>104.699997</v>
      </c>
    </row>
    <row r="40" spans="2:3" x14ac:dyDescent="0.25">
      <c r="B40" s="12">
        <v>45138</v>
      </c>
      <c r="C40" s="18">
        <v>110.5</v>
      </c>
    </row>
    <row r="41" spans="2:3" x14ac:dyDescent="0.25">
      <c r="B41" s="12">
        <v>45131</v>
      </c>
      <c r="C41" s="18">
        <v>112.25</v>
      </c>
    </row>
    <row r="42" spans="2:3" x14ac:dyDescent="0.25">
      <c r="B42" s="12">
        <v>45124</v>
      </c>
      <c r="C42" s="18">
        <v>111.199997</v>
      </c>
    </row>
    <row r="43" spans="2:3" x14ac:dyDescent="0.25">
      <c r="B43" s="12">
        <v>45117</v>
      </c>
      <c r="C43" s="18">
        <v>114.699997</v>
      </c>
    </row>
    <row r="44" spans="2:3" x14ac:dyDescent="0.25">
      <c r="B44" s="12">
        <v>45110</v>
      </c>
      <c r="C44" s="18">
        <v>110.349998</v>
      </c>
    </row>
    <row r="45" spans="2:3" x14ac:dyDescent="0.25">
      <c r="B45" s="12">
        <v>45103</v>
      </c>
      <c r="C45" s="18">
        <v>112.699364</v>
      </c>
    </row>
    <row r="46" spans="2:3" x14ac:dyDescent="0.25">
      <c r="B46" s="12">
        <v>45096</v>
      </c>
      <c r="C46" s="18">
        <v>107.39877300000001</v>
      </c>
    </row>
    <row r="47" spans="2:3" x14ac:dyDescent="0.25">
      <c r="B47" s="12">
        <v>45089</v>
      </c>
      <c r="C47" s="18">
        <v>113.591049</v>
      </c>
    </row>
    <row r="48" spans="2:3" x14ac:dyDescent="0.25">
      <c r="B48" s="12">
        <v>45082</v>
      </c>
      <c r="C48" s="18">
        <v>115.622108</v>
      </c>
    </row>
    <row r="49" spans="2:3" x14ac:dyDescent="0.25">
      <c r="B49" s="12">
        <v>45075</v>
      </c>
      <c r="C49" s="18">
        <v>116.91010300000001</v>
      </c>
    </row>
    <row r="50" spans="2:3" x14ac:dyDescent="0.25">
      <c r="B50" s="12">
        <v>45068</v>
      </c>
      <c r="C50" s="18">
        <v>116.86056499999999</v>
      </c>
    </row>
    <row r="51" spans="2:3" x14ac:dyDescent="0.25">
      <c r="B51" s="12">
        <v>45061</v>
      </c>
      <c r="C51" s="18">
        <v>117.30641199999999</v>
      </c>
    </row>
    <row r="52" spans="2:3" x14ac:dyDescent="0.25">
      <c r="B52" s="12">
        <v>45054</v>
      </c>
      <c r="C52" s="18">
        <v>113.29381600000001</v>
      </c>
    </row>
    <row r="53" spans="2:3" x14ac:dyDescent="0.25">
      <c r="B53" s="12">
        <v>45047</v>
      </c>
      <c r="C53" s="18">
        <v>114.383652</v>
      </c>
    </row>
    <row r="54" spans="2:3" x14ac:dyDescent="0.25">
      <c r="B54" s="12">
        <v>45040</v>
      </c>
      <c r="C54" s="18">
        <v>112.352592</v>
      </c>
    </row>
    <row r="55" spans="2:3" x14ac:dyDescent="0.25">
      <c r="B55" s="12">
        <v>45033</v>
      </c>
      <c r="C55" s="18">
        <v>113.93781300000001</v>
      </c>
    </row>
    <row r="56" spans="2:3" x14ac:dyDescent="0.25">
      <c r="B56" s="12">
        <v>45026</v>
      </c>
      <c r="C56" s="18">
        <v>117.801796</v>
      </c>
    </row>
    <row r="57" spans="2:3" x14ac:dyDescent="0.25">
      <c r="B57" s="12">
        <v>45019</v>
      </c>
      <c r="C57" s="18">
        <v>116.81102799999999</v>
      </c>
    </row>
    <row r="58" spans="2:3" x14ac:dyDescent="0.25">
      <c r="B58" s="12">
        <v>45012</v>
      </c>
      <c r="C58" s="18">
        <v>116.91010300000001</v>
      </c>
    </row>
    <row r="59" spans="2:3" x14ac:dyDescent="0.25">
      <c r="B59" s="12">
        <v>45005</v>
      </c>
      <c r="C59" s="18">
        <v>111.36183200000001</v>
      </c>
    </row>
    <row r="60" spans="2:3" x14ac:dyDescent="0.25">
      <c r="B60" s="12">
        <v>44998</v>
      </c>
      <c r="C60" s="18">
        <v>113.541504</v>
      </c>
    </row>
    <row r="61" spans="2:3" x14ac:dyDescent="0.25">
      <c r="B61" s="12">
        <v>44991</v>
      </c>
      <c r="C61" s="18">
        <v>113.046127</v>
      </c>
    </row>
    <row r="62" spans="2:3" x14ac:dyDescent="0.25">
      <c r="B62" s="12">
        <v>44984</v>
      </c>
      <c r="C62" s="18">
        <v>113.640579</v>
      </c>
    </row>
    <row r="63" spans="2:3" x14ac:dyDescent="0.25">
      <c r="B63" s="12">
        <v>44977</v>
      </c>
      <c r="C63" s="18">
        <v>109.479378</v>
      </c>
    </row>
    <row r="64" spans="2:3" x14ac:dyDescent="0.25">
      <c r="B64" s="12">
        <v>44970</v>
      </c>
      <c r="C64" s="18">
        <v>113.046127</v>
      </c>
    </row>
    <row r="65" spans="2:3" x14ac:dyDescent="0.25">
      <c r="B65" s="12">
        <v>44963</v>
      </c>
      <c r="C65" s="18">
        <v>112.451668</v>
      </c>
    </row>
    <row r="66" spans="2:3" x14ac:dyDescent="0.25">
      <c r="B66" s="12">
        <v>44956</v>
      </c>
      <c r="C66" s="18">
        <v>113.640579</v>
      </c>
    </row>
    <row r="67" spans="2:3" x14ac:dyDescent="0.25">
      <c r="B67" s="12">
        <v>44949</v>
      </c>
      <c r="C67" s="18">
        <v>104.030182</v>
      </c>
    </row>
    <row r="68" spans="2:3" x14ac:dyDescent="0.25">
      <c r="B68" s="12">
        <v>44942</v>
      </c>
      <c r="C68" s="18">
        <v>101.751419</v>
      </c>
    </row>
    <row r="69" spans="2:3" x14ac:dyDescent="0.25">
      <c r="B69" s="12">
        <v>44935</v>
      </c>
      <c r="C69" s="18">
        <v>103.832031</v>
      </c>
    </row>
    <row r="70" spans="2:3" x14ac:dyDescent="0.25">
      <c r="B70" s="12">
        <v>44928</v>
      </c>
      <c r="C70" s="18">
        <v>94.865616000000003</v>
      </c>
    </row>
    <row r="71" spans="2:3" x14ac:dyDescent="0.25">
      <c r="B71" s="12">
        <v>44921</v>
      </c>
      <c r="C71" s="18">
        <v>93.874854999999997</v>
      </c>
    </row>
    <row r="72" spans="2:3" x14ac:dyDescent="0.25">
      <c r="B72" s="12">
        <v>44914</v>
      </c>
      <c r="C72" s="18">
        <v>91.269149999999996</v>
      </c>
    </row>
    <row r="73" spans="2:3" x14ac:dyDescent="0.25">
      <c r="B73" s="12">
        <v>44907</v>
      </c>
      <c r="C73" s="18">
        <v>92.775101000000006</v>
      </c>
    </row>
    <row r="74" spans="2:3" x14ac:dyDescent="0.25">
      <c r="B74" s="12">
        <v>44900</v>
      </c>
      <c r="C74" s="18">
        <v>100.463432</v>
      </c>
    </row>
    <row r="75" spans="2:3" x14ac:dyDescent="0.25">
      <c r="B75" s="12">
        <v>44893</v>
      </c>
      <c r="C75" s="18">
        <v>106.011703</v>
      </c>
    </row>
    <row r="76" spans="2:3" x14ac:dyDescent="0.25">
      <c r="B76" s="12">
        <v>44886</v>
      </c>
      <c r="C76" s="18">
        <v>106.259399</v>
      </c>
    </row>
    <row r="77" spans="2:3" x14ac:dyDescent="0.25">
      <c r="B77" s="12">
        <v>44879</v>
      </c>
      <c r="C77" s="18">
        <v>106.061249</v>
      </c>
    </row>
    <row r="78" spans="2:3" x14ac:dyDescent="0.25">
      <c r="B78" s="12">
        <v>44872</v>
      </c>
      <c r="C78" s="18">
        <v>98.580978000000002</v>
      </c>
    </row>
    <row r="79" spans="2:3" x14ac:dyDescent="0.25">
      <c r="B79" s="12">
        <v>44865</v>
      </c>
      <c r="C79" s="18">
        <v>99.076363000000001</v>
      </c>
    </row>
    <row r="80" spans="2:3" x14ac:dyDescent="0.25">
      <c r="B80" s="12">
        <v>44858</v>
      </c>
      <c r="C80" s="18">
        <v>98.997101000000001</v>
      </c>
    </row>
    <row r="81" spans="2:3" x14ac:dyDescent="0.25">
      <c r="B81" s="12">
        <v>44851</v>
      </c>
      <c r="C81" s="18">
        <v>95.192565999999999</v>
      </c>
    </row>
    <row r="82" spans="2:3" x14ac:dyDescent="0.25">
      <c r="B82" s="12">
        <v>44844</v>
      </c>
      <c r="C82" s="18">
        <v>86.691817999999998</v>
      </c>
    </row>
    <row r="83" spans="2:3" x14ac:dyDescent="0.25">
      <c r="B83" s="12">
        <v>44837</v>
      </c>
      <c r="C83" s="18">
        <v>91.269149999999996</v>
      </c>
    </row>
    <row r="84" spans="2:3" x14ac:dyDescent="0.25">
      <c r="B84" s="12">
        <v>44830</v>
      </c>
      <c r="C84" s="18">
        <v>81.737999000000002</v>
      </c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84"/>
  <sheetViews>
    <sheetView workbookViewId="0">
      <selection activeCell="B84" sqref="B2:C84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33</v>
      </c>
      <c r="B1" s="1" t="s">
        <v>46</v>
      </c>
      <c r="C1" s="1" t="s">
        <v>0</v>
      </c>
      <c r="D1" s="1" t="s">
        <v>85</v>
      </c>
      <c r="H1" s="140" t="s">
        <v>86</v>
      </c>
      <c r="I1" s="141"/>
      <c r="J1" s="141"/>
      <c r="K1" s="141"/>
      <c r="L1" s="141"/>
      <c r="M1" s="142"/>
    </row>
    <row r="2" spans="1:13" ht="15.75" thickBot="1" x14ac:dyDescent="0.3">
      <c r="B2" s="12">
        <v>45404</v>
      </c>
      <c r="C2" s="18">
        <v>89.800003000000004</v>
      </c>
      <c r="D2" s="122">
        <f>C2/C3-1</f>
        <v>-1.3344639976526906E-3</v>
      </c>
      <c r="H2" s="59"/>
      <c r="I2" s="60"/>
      <c r="J2" s="60"/>
      <c r="K2" s="60"/>
      <c r="L2" s="60"/>
      <c r="M2" s="61"/>
    </row>
    <row r="3" spans="1:13" ht="15.75" thickBot="1" x14ac:dyDescent="0.3">
      <c r="B3" s="12">
        <v>45397</v>
      </c>
      <c r="C3" s="18">
        <v>89.919998000000007</v>
      </c>
      <c r="D3" s="122">
        <f t="shared" ref="D3:D66" si="0">C3/C4-1</f>
        <v>-3.1451940174577309E-2</v>
      </c>
      <c r="H3" s="62" t="s">
        <v>87</v>
      </c>
      <c r="I3" s="63" t="s">
        <v>88</v>
      </c>
      <c r="J3" s="64" t="s">
        <v>89</v>
      </c>
      <c r="K3" s="65" t="s">
        <v>90</v>
      </c>
      <c r="L3" s="65" t="s">
        <v>91</v>
      </c>
      <c r="M3" s="66" t="s">
        <v>92</v>
      </c>
    </row>
    <row r="4" spans="1:13" x14ac:dyDescent="0.25">
      <c r="B4" s="12">
        <v>45390</v>
      </c>
      <c r="C4" s="18">
        <v>92.839995999999999</v>
      </c>
      <c r="D4" s="122">
        <f t="shared" si="0"/>
        <v>-2.792717568049774E-3</v>
      </c>
      <c r="H4" s="67">
        <f>$I$19-3*$I$23</f>
        <v>-0.12195315560700047</v>
      </c>
      <c r="I4" s="68">
        <f>H4</f>
        <v>-0.12195315560700047</v>
      </c>
      <c r="J4" s="69">
        <f>COUNTIF(D:D,"&lt;="&amp;H4)</f>
        <v>0</v>
      </c>
      <c r="K4" s="69" t="str">
        <f>"Less than "&amp;TEXT(H4,"0,00%")</f>
        <v>Less than -12,20%</v>
      </c>
      <c r="L4" s="70">
        <f>J4/$I$31</f>
        <v>0</v>
      </c>
      <c r="M4" s="71">
        <f>L4</f>
        <v>0</v>
      </c>
    </row>
    <row r="5" spans="1:13" x14ac:dyDescent="0.25">
      <c r="B5" s="12">
        <v>45383</v>
      </c>
      <c r="C5" s="18">
        <v>93.099997999999999</v>
      </c>
      <c r="D5" s="122">
        <f t="shared" si="0"/>
        <v>8.8859883927827621E-3</v>
      </c>
      <c r="H5" s="72">
        <f>$I$19-2.4*$I$23</f>
        <v>-9.7167607070187553E-2</v>
      </c>
      <c r="I5" s="73">
        <f>H5</f>
        <v>-9.7167607070187553E-2</v>
      </c>
      <c r="J5" s="74">
        <f>COUNTIFS(D:D,"&lt;="&amp;H5,D:D,"&gt;"&amp;H4)</f>
        <v>0</v>
      </c>
      <c r="K5" s="75" t="str">
        <f t="shared" ref="K5:K14" si="1">TEXT(H4,"0,00%")&amp;" to "&amp;TEXT(H5,"0,00%")</f>
        <v>-12,20% to -9,72%</v>
      </c>
      <c r="L5" s="76">
        <f>J5/$I$31</f>
        <v>0</v>
      </c>
      <c r="M5" s="77">
        <f>M4+L5</f>
        <v>0</v>
      </c>
    </row>
    <row r="6" spans="1:13" x14ac:dyDescent="0.25">
      <c r="B6" s="12">
        <v>45376</v>
      </c>
      <c r="C6" s="18">
        <v>92.279999000000004</v>
      </c>
      <c r="D6" s="122">
        <f t="shared" si="0"/>
        <v>-1.3259174933463735E-2</v>
      </c>
      <c r="H6" s="72">
        <f>$I$19-1.8*$I$23</f>
        <v>-7.2382058533374649E-2</v>
      </c>
      <c r="I6" s="73">
        <f t="shared" ref="I6:I14" si="2">H6</f>
        <v>-7.2382058533374649E-2</v>
      </c>
      <c r="J6" s="74">
        <f t="shared" ref="J6:J14" si="3">COUNTIFS(D:D,"&lt;="&amp;H6,D:D,"&gt;"&amp;H5)</f>
        <v>2</v>
      </c>
      <c r="K6" s="75" t="str">
        <f t="shared" si="1"/>
        <v>-9,72% to -7,24%</v>
      </c>
      <c r="L6" s="76">
        <f t="shared" ref="L6:L15" si="4">J6/$I$31</f>
        <v>2.4390243902439025E-2</v>
      </c>
      <c r="M6" s="77">
        <f t="shared" ref="M6:M15" si="5">M5+L6</f>
        <v>2.4390243902439025E-2</v>
      </c>
    </row>
    <row r="7" spans="1:13" x14ac:dyDescent="0.25">
      <c r="B7" s="12">
        <v>45369</v>
      </c>
      <c r="C7" s="18">
        <v>93.519997000000004</v>
      </c>
      <c r="D7" s="122">
        <f t="shared" si="0"/>
        <v>5.8397418985995708E-2</v>
      </c>
      <c r="H7" s="72">
        <f>$I$19-1.2*$I$23</f>
        <v>-4.7596509996561724E-2</v>
      </c>
      <c r="I7" s="73">
        <f t="shared" si="2"/>
        <v>-4.7596509996561724E-2</v>
      </c>
      <c r="J7" s="74">
        <f t="shared" si="3"/>
        <v>7</v>
      </c>
      <c r="K7" s="75" t="str">
        <f t="shared" si="1"/>
        <v>-7,24% to -4,76%</v>
      </c>
      <c r="L7" s="76">
        <f t="shared" si="4"/>
        <v>8.5365853658536592E-2</v>
      </c>
      <c r="M7" s="77">
        <f t="shared" si="5"/>
        <v>0.10975609756097562</v>
      </c>
    </row>
    <row r="8" spans="1:13" x14ac:dyDescent="0.25">
      <c r="B8" s="12">
        <v>45362</v>
      </c>
      <c r="C8" s="18">
        <v>88.360000999999997</v>
      </c>
      <c r="D8" s="122">
        <f t="shared" si="0"/>
        <v>7.5986334291780366E-2</v>
      </c>
      <c r="H8" s="72">
        <f>$I$19-0.6*$I$23</f>
        <v>-2.281096145974881E-2</v>
      </c>
      <c r="I8" s="73">
        <f t="shared" si="2"/>
        <v>-2.281096145974881E-2</v>
      </c>
      <c r="J8" s="74">
        <f t="shared" si="3"/>
        <v>10</v>
      </c>
      <c r="K8" s="75" t="str">
        <f t="shared" si="1"/>
        <v>-4,76% to -2,28%</v>
      </c>
      <c r="L8" s="76">
        <f t="shared" si="4"/>
        <v>0.12195121951219512</v>
      </c>
      <c r="M8" s="77">
        <f t="shared" si="5"/>
        <v>0.23170731707317074</v>
      </c>
    </row>
    <row r="9" spans="1:13" x14ac:dyDescent="0.25">
      <c r="B9" s="12">
        <v>45355</v>
      </c>
      <c r="C9" s="18">
        <v>82.120002999999997</v>
      </c>
      <c r="D9" s="122">
        <f t="shared" si="0"/>
        <v>-5.0196577032113998E-2</v>
      </c>
      <c r="H9" s="72">
        <f>$I$19</f>
        <v>1.974587077064105E-3</v>
      </c>
      <c r="I9" s="73">
        <f t="shared" si="2"/>
        <v>1.974587077064105E-3</v>
      </c>
      <c r="J9" s="74">
        <f t="shared" si="3"/>
        <v>31</v>
      </c>
      <c r="K9" s="75" t="str">
        <f t="shared" si="1"/>
        <v>-2,28% to 0,20%</v>
      </c>
      <c r="L9" s="76">
        <f t="shared" si="4"/>
        <v>0.37804878048780488</v>
      </c>
      <c r="M9" s="77">
        <f t="shared" si="5"/>
        <v>0.6097560975609756</v>
      </c>
    </row>
    <row r="10" spans="1:13" x14ac:dyDescent="0.25">
      <c r="B10" s="12">
        <v>45348</v>
      </c>
      <c r="C10" s="18">
        <v>86.459998999999996</v>
      </c>
      <c r="D10" s="122">
        <f t="shared" si="0"/>
        <v>4.5971386597077668E-2</v>
      </c>
      <c r="H10" s="72">
        <f>$I$19+0.6*$I$23</f>
        <v>2.676013561387702E-2</v>
      </c>
      <c r="I10" s="73">
        <f t="shared" si="2"/>
        <v>2.676013561387702E-2</v>
      </c>
      <c r="J10" s="74">
        <f t="shared" si="3"/>
        <v>12</v>
      </c>
      <c r="K10" s="75" t="str">
        <f t="shared" si="1"/>
        <v>0,20% to 2,68%</v>
      </c>
      <c r="L10" s="76">
        <f t="shared" si="4"/>
        <v>0.14634146341463414</v>
      </c>
      <c r="M10" s="77">
        <f t="shared" si="5"/>
        <v>0.75609756097560976</v>
      </c>
    </row>
    <row r="11" spans="1:13" x14ac:dyDescent="0.25">
      <c r="B11" s="12">
        <v>45341</v>
      </c>
      <c r="C11" s="18">
        <v>82.660004000000001</v>
      </c>
      <c r="D11" s="122">
        <f t="shared" si="0"/>
        <v>2.5303906277453381E-2</v>
      </c>
      <c r="H11" s="72">
        <f>$I$19+1.2*$I$23</f>
        <v>5.1545684150689934E-2</v>
      </c>
      <c r="I11" s="73">
        <f t="shared" si="2"/>
        <v>5.1545684150689934E-2</v>
      </c>
      <c r="J11" s="74">
        <f t="shared" si="3"/>
        <v>11</v>
      </c>
      <c r="K11" s="75" t="str">
        <f t="shared" si="1"/>
        <v>2,68% to 5,15%</v>
      </c>
      <c r="L11" s="76">
        <f t="shared" si="4"/>
        <v>0.13414634146341464</v>
      </c>
      <c r="M11" s="77">
        <f t="shared" si="5"/>
        <v>0.8902439024390244</v>
      </c>
    </row>
    <row r="12" spans="1:13" x14ac:dyDescent="0.25">
      <c r="B12" s="12">
        <v>45334</v>
      </c>
      <c r="C12" s="18">
        <v>80.620002999999997</v>
      </c>
      <c r="D12" s="122">
        <f t="shared" si="0"/>
        <v>4.7358550532365928E-3</v>
      </c>
      <c r="H12" s="72">
        <f>$I$19+1.8*$I$23</f>
        <v>7.6331232687502859E-2</v>
      </c>
      <c r="I12" s="73">
        <f t="shared" si="2"/>
        <v>7.6331232687502859E-2</v>
      </c>
      <c r="J12" s="74">
        <f t="shared" si="3"/>
        <v>4</v>
      </c>
      <c r="K12" s="75" t="str">
        <f t="shared" si="1"/>
        <v>5,15% to 7,63%</v>
      </c>
      <c r="L12" s="76">
        <f t="shared" si="4"/>
        <v>4.878048780487805E-2</v>
      </c>
      <c r="M12" s="77">
        <f t="shared" si="5"/>
        <v>0.9390243902439025</v>
      </c>
    </row>
    <row r="13" spans="1:13" x14ac:dyDescent="0.25">
      <c r="B13" s="12">
        <v>45327</v>
      </c>
      <c r="C13" s="18">
        <v>80.239998</v>
      </c>
      <c r="D13" s="122">
        <f t="shared" si="0"/>
        <v>-2.1463439024390296E-2</v>
      </c>
      <c r="H13" s="72">
        <f>$I$19+2.4*$I$23</f>
        <v>0.10111678122431576</v>
      </c>
      <c r="I13" s="73">
        <f t="shared" si="2"/>
        <v>0.10111678122431576</v>
      </c>
      <c r="J13" s="74">
        <f t="shared" si="3"/>
        <v>4</v>
      </c>
      <c r="K13" s="75" t="str">
        <f t="shared" si="1"/>
        <v>7,63% to 10,11%</v>
      </c>
      <c r="L13" s="76">
        <f t="shared" si="4"/>
        <v>4.878048780487805E-2</v>
      </c>
      <c r="M13" s="77">
        <f t="shared" si="5"/>
        <v>0.98780487804878059</v>
      </c>
    </row>
    <row r="14" spans="1:13" x14ac:dyDescent="0.25">
      <c r="B14" s="12">
        <v>45320</v>
      </c>
      <c r="C14" s="18">
        <v>82</v>
      </c>
      <c r="D14" s="122">
        <f t="shared" si="0"/>
        <v>7.2175690160472428E-2</v>
      </c>
      <c r="H14" s="72">
        <f>$I$19+3*$I$23</f>
        <v>0.1259023297611287</v>
      </c>
      <c r="I14" s="73">
        <f t="shared" si="2"/>
        <v>0.1259023297611287</v>
      </c>
      <c r="J14" s="74">
        <f t="shared" si="3"/>
        <v>1</v>
      </c>
      <c r="K14" s="75" t="str">
        <f t="shared" si="1"/>
        <v>10,11% to 12,59%</v>
      </c>
      <c r="L14" s="76">
        <f t="shared" si="4"/>
        <v>1.2195121951219513E-2</v>
      </c>
      <c r="M14" s="77">
        <f t="shared" si="5"/>
        <v>1</v>
      </c>
    </row>
    <row r="15" spans="1:13" ht="15.75" thickBot="1" x14ac:dyDescent="0.3">
      <c r="B15" s="12">
        <v>45313</v>
      </c>
      <c r="C15" s="18">
        <v>76.480002999999996</v>
      </c>
      <c r="D15" s="122">
        <f t="shared" si="0"/>
        <v>3.6595337985840803E-2</v>
      </c>
      <c r="H15" s="78"/>
      <c r="I15" s="79" t="s">
        <v>93</v>
      </c>
      <c r="J15" s="79">
        <f>COUNTIF(D:D,"&gt;"&amp;H14)</f>
        <v>0</v>
      </c>
      <c r="K15" s="79" t="str">
        <f>"Greater than "&amp;TEXT(H14,"0,00%")</f>
        <v>Greater than 12,59%</v>
      </c>
      <c r="L15" s="80">
        <f t="shared" si="4"/>
        <v>0</v>
      </c>
      <c r="M15" s="80">
        <f t="shared" si="5"/>
        <v>1</v>
      </c>
    </row>
    <row r="16" spans="1:13" ht="15.75" thickBot="1" x14ac:dyDescent="0.3">
      <c r="B16" s="12">
        <v>45306</v>
      </c>
      <c r="C16" s="18">
        <v>73.779999000000004</v>
      </c>
      <c r="D16" s="122">
        <f t="shared" si="0"/>
        <v>-2.2781470198675491E-2</v>
      </c>
      <c r="H16" s="81"/>
      <c r="M16" s="82"/>
    </row>
    <row r="17" spans="2:13" x14ac:dyDescent="0.25">
      <c r="B17" s="12">
        <v>45299</v>
      </c>
      <c r="C17" s="18">
        <v>75.5</v>
      </c>
      <c r="D17" s="122">
        <f t="shared" si="0"/>
        <v>-1.5645333076088619E-2</v>
      </c>
      <c r="H17" s="143" t="s">
        <v>124</v>
      </c>
      <c r="I17" s="144"/>
      <c r="M17" s="82"/>
    </row>
    <row r="18" spans="2:13" x14ac:dyDescent="0.25">
      <c r="B18" s="12">
        <v>45292</v>
      </c>
      <c r="C18" s="18">
        <v>76.699996999999996</v>
      </c>
      <c r="D18" s="122">
        <f t="shared" si="0"/>
        <v>-4.0050124153939382E-2</v>
      </c>
      <c r="H18" s="145"/>
      <c r="I18" s="146"/>
      <c r="M18" s="82"/>
    </row>
    <row r="19" spans="2:13" x14ac:dyDescent="0.25">
      <c r="B19" s="12">
        <v>45285</v>
      </c>
      <c r="C19" s="18">
        <v>79.900002000000001</v>
      </c>
      <c r="D19" s="122">
        <f t="shared" si="0"/>
        <v>-2.2477521916144383E-3</v>
      </c>
      <c r="H19" s="83" t="s">
        <v>94</v>
      </c>
      <c r="I19" s="120">
        <f>AVERAGE(D:D)</f>
        <v>1.974587077064105E-3</v>
      </c>
      <c r="M19" s="82"/>
    </row>
    <row r="20" spans="2:13" x14ac:dyDescent="0.25">
      <c r="B20" s="12">
        <v>45278</v>
      </c>
      <c r="C20" s="18">
        <v>80.080001999999993</v>
      </c>
      <c r="D20" s="122">
        <f t="shared" si="0"/>
        <v>-1.135800000000009E-2</v>
      </c>
      <c r="H20" s="83" t="s">
        <v>95</v>
      </c>
      <c r="I20" s="120">
        <f>_xlfn.STDEV.S(D:D)/SQRT(COUNT(D:D))</f>
        <v>4.5618432492040501E-3</v>
      </c>
      <c r="M20" s="82"/>
    </row>
    <row r="21" spans="2:13" x14ac:dyDescent="0.25">
      <c r="B21" s="12">
        <v>45271</v>
      </c>
      <c r="C21" s="18">
        <v>81</v>
      </c>
      <c r="D21" s="122">
        <f t="shared" si="0"/>
        <v>-3.0636645060714285E-2</v>
      </c>
      <c r="H21" s="83" t="s">
        <v>96</v>
      </c>
      <c r="I21" s="120">
        <f>MEDIAN(D:D)</f>
        <v>-3.9265976981327499E-3</v>
      </c>
      <c r="M21" s="82"/>
    </row>
    <row r="22" spans="2:13" x14ac:dyDescent="0.25">
      <c r="B22" s="12">
        <v>45264</v>
      </c>
      <c r="C22" s="18">
        <v>83.559997999999993</v>
      </c>
      <c r="D22" s="122">
        <f t="shared" si="0"/>
        <v>-4.0524909641838081E-3</v>
      </c>
      <c r="H22" s="83" t="s">
        <v>97</v>
      </c>
      <c r="I22" s="120" t="e">
        <f>MODE(D:D)</f>
        <v>#N/A</v>
      </c>
      <c r="M22" s="82"/>
    </row>
    <row r="23" spans="2:13" x14ac:dyDescent="0.25">
      <c r="B23" s="12">
        <v>45257</v>
      </c>
      <c r="C23" s="18">
        <v>83.900002000000001</v>
      </c>
      <c r="D23" s="122">
        <f t="shared" si="0"/>
        <v>-2.5551638224196038E-2</v>
      </c>
      <c r="H23" s="83" t="s">
        <v>98</v>
      </c>
      <c r="I23" s="120">
        <f>_xlfn.STDEV.S(D:D)</f>
        <v>4.1309247561354859E-2</v>
      </c>
      <c r="M23" s="82"/>
    </row>
    <row r="24" spans="2:13" x14ac:dyDescent="0.25">
      <c r="B24" s="12">
        <v>45250</v>
      </c>
      <c r="C24" s="18">
        <v>86.099997999999999</v>
      </c>
      <c r="D24" s="122">
        <f t="shared" si="0"/>
        <v>-5.3013639529556622E-2</v>
      </c>
      <c r="H24" s="83" t="s">
        <v>99</v>
      </c>
      <c r="I24" s="120">
        <f>_xlfn.VAR.S(D:D)</f>
        <v>1.7064539340853023E-3</v>
      </c>
      <c r="M24" s="82"/>
    </row>
    <row r="25" spans="2:13" x14ac:dyDescent="0.25">
      <c r="B25" s="12">
        <v>45243</v>
      </c>
      <c r="C25" s="18">
        <v>90.919998000000007</v>
      </c>
      <c r="D25" s="122">
        <f t="shared" si="0"/>
        <v>4.0036605811864634E-2</v>
      </c>
      <c r="H25" s="83" t="s">
        <v>100</v>
      </c>
      <c r="I25" s="121">
        <f>KURT(D:D)</f>
        <v>0.39782837420295225</v>
      </c>
      <c r="M25" s="82"/>
    </row>
    <row r="26" spans="2:13" x14ac:dyDescent="0.25">
      <c r="B26" s="12">
        <v>45236</v>
      </c>
      <c r="C26" s="18">
        <v>87.419998000000007</v>
      </c>
      <c r="D26" s="122">
        <f t="shared" si="0"/>
        <v>-3.0175294321891366E-2</v>
      </c>
      <c r="H26" s="83" t="s">
        <v>101</v>
      </c>
      <c r="I26" s="121">
        <f>SKEW(D:D)</f>
        <v>0.72131975054090247</v>
      </c>
      <c r="M26" s="82"/>
    </row>
    <row r="27" spans="2:13" x14ac:dyDescent="0.25">
      <c r="B27" s="12">
        <v>45229</v>
      </c>
      <c r="C27" s="18">
        <v>90.139999000000003</v>
      </c>
      <c r="D27" s="122">
        <f t="shared" si="0"/>
        <v>9.7661905833101414E-2</v>
      </c>
      <c r="H27" s="83" t="s">
        <v>90</v>
      </c>
      <c r="I27" s="120">
        <f>I29-I28</f>
        <v>0.19515189930473487</v>
      </c>
      <c r="M27" s="82"/>
    </row>
    <row r="28" spans="2:13" x14ac:dyDescent="0.25">
      <c r="B28" s="12">
        <v>45222</v>
      </c>
      <c r="C28" s="18">
        <v>82.120002999999997</v>
      </c>
      <c r="D28" s="122">
        <f t="shared" si="0"/>
        <v>-7.8545778325433857E-2</v>
      </c>
      <c r="H28" s="83" t="s">
        <v>102</v>
      </c>
      <c r="I28" s="120">
        <f>MIN(D:D)</f>
        <v>-7.8545778325433857E-2</v>
      </c>
      <c r="M28" s="82"/>
    </row>
    <row r="29" spans="2:13" x14ac:dyDescent="0.25">
      <c r="B29" s="12">
        <v>45215</v>
      </c>
      <c r="C29" s="18">
        <v>89.120002999999997</v>
      </c>
      <c r="D29" s="122">
        <f t="shared" si="0"/>
        <v>-1.6335486011820888E-2</v>
      </c>
      <c r="H29" s="83" t="s">
        <v>103</v>
      </c>
      <c r="I29" s="120">
        <f>MAX(D:D)</f>
        <v>0.11660612097930101</v>
      </c>
      <c r="M29" s="82"/>
    </row>
    <row r="30" spans="2:13" x14ac:dyDescent="0.25">
      <c r="B30" s="12">
        <v>45208</v>
      </c>
      <c r="C30" s="18">
        <v>90.599997999999999</v>
      </c>
      <c r="D30" s="122">
        <f t="shared" si="0"/>
        <v>1.5467350196510354E-2</v>
      </c>
      <c r="H30" s="83" t="s">
        <v>104</v>
      </c>
      <c r="I30" s="121">
        <f>SUM(D:D)</f>
        <v>0.16191614031925661</v>
      </c>
      <c r="M30" s="82"/>
    </row>
    <row r="31" spans="2:13" ht="15.75" thickBot="1" x14ac:dyDescent="0.3">
      <c r="B31" s="12">
        <v>45201</v>
      </c>
      <c r="C31" s="18">
        <v>89.220000999999996</v>
      </c>
      <c r="D31" s="122">
        <f t="shared" si="0"/>
        <v>2.4719213483146429E-3</v>
      </c>
      <c r="H31" s="84" t="s">
        <v>105</v>
      </c>
      <c r="I31" s="61">
        <f>COUNT(D:D)</f>
        <v>82</v>
      </c>
      <c r="M31" s="82"/>
    </row>
    <row r="32" spans="2:13" ht="15.75" thickBot="1" x14ac:dyDescent="0.3">
      <c r="B32" s="12">
        <v>45194</v>
      </c>
      <c r="C32" s="18">
        <v>89</v>
      </c>
      <c r="D32" s="122">
        <f t="shared" si="0"/>
        <v>-4.2598956998697868E-2</v>
      </c>
      <c r="H32" s="86"/>
      <c r="M32" s="82"/>
    </row>
    <row r="33" spans="2:13" x14ac:dyDescent="0.25">
      <c r="B33" s="12">
        <v>45187</v>
      </c>
      <c r="C33" s="18">
        <v>92.959998999999996</v>
      </c>
      <c r="D33" s="122">
        <f t="shared" si="0"/>
        <v>-6.1957609726692509E-2</v>
      </c>
      <c r="H33" s="87"/>
      <c r="I33" s="88" t="s">
        <v>106</v>
      </c>
      <c r="J33" s="88" t="s">
        <v>105</v>
      </c>
      <c r="K33" s="88" t="s">
        <v>107</v>
      </c>
      <c r="L33" s="89" t="s">
        <v>108</v>
      </c>
      <c r="M33" s="82"/>
    </row>
    <row r="34" spans="2:13" x14ac:dyDescent="0.25">
      <c r="B34" s="12">
        <v>45180</v>
      </c>
      <c r="C34" s="18">
        <v>99.099997999999999</v>
      </c>
      <c r="D34" s="122">
        <f t="shared" si="0"/>
        <v>-2.1717719001449587E-2</v>
      </c>
      <c r="H34" s="90" t="s">
        <v>109</v>
      </c>
      <c r="I34" s="76">
        <f>AVERAGEIF(D:D,"&gt;0")</f>
        <v>3.8724876897246789E-2</v>
      </c>
      <c r="J34" s="74">
        <f>COUNTIF(D:D,"&gt;0")</f>
        <v>35</v>
      </c>
      <c r="K34" s="76">
        <f>J34/$I$31</f>
        <v>0.42682926829268292</v>
      </c>
      <c r="L34" s="77">
        <f>K34*I34</f>
        <v>1.6528910870776067E-2</v>
      </c>
      <c r="M34" s="82"/>
    </row>
    <row r="35" spans="2:13" x14ac:dyDescent="0.25">
      <c r="B35" s="12">
        <v>45173</v>
      </c>
      <c r="C35" s="18">
        <v>101.300003</v>
      </c>
      <c r="D35" s="122">
        <f t="shared" si="0"/>
        <v>3.1988578566072734E-2</v>
      </c>
      <c r="H35" s="90" t="s">
        <v>110</v>
      </c>
      <c r="I35" s="76">
        <f>AVERAGEIF(D:D,"&lt;0")</f>
        <v>-2.5392650023071933E-2</v>
      </c>
      <c r="J35" s="74">
        <f>COUNTIF(D:D,"&lt;0")</f>
        <v>47</v>
      </c>
      <c r="K35" s="76">
        <f>J35/$I$31</f>
        <v>0.57317073170731703</v>
      </c>
      <c r="L35" s="77">
        <f t="shared" ref="L35:L36" si="6">K35*I35</f>
        <v>-1.455432379371196E-2</v>
      </c>
      <c r="M35" s="82"/>
    </row>
    <row r="36" spans="2:13" ht="15.75" thickBot="1" x14ac:dyDescent="0.3">
      <c r="B36" s="12">
        <v>45166</v>
      </c>
      <c r="C36" s="18">
        <v>98.160004000000001</v>
      </c>
      <c r="D36" s="122">
        <f t="shared" si="0"/>
        <v>-1.889054416120306E-2</v>
      </c>
      <c r="H36" s="91" t="s">
        <v>111</v>
      </c>
      <c r="I36" s="79">
        <v>0</v>
      </c>
      <c r="J36" s="79">
        <f>COUNTIF(D:D,"0")</f>
        <v>0</v>
      </c>
      <c r="K36" s="92">
        <f>J36/$I$31</f>
        <v>0</v>
      </c>
      <c r="L36" s="80">
        <f t="shared" si="6"/>
        <v>0</v>
      </c>
      <c r="M36" s="82"/>
    </row>
    <row r="37" spans="2:13" ht="15.75" thickBot="1" x14ac:dyDescent="0.3">
      <c r="B37" s="12">
        <v>45159</v>
      </c>
      <c r="C37" s="18">
        <v>100.050003</v>
      </c>
      <c r="D37" s="122">
        <f t="shared" si="0"/>
        <v>-2.0078305976068633E-2</v>
      </c>
      <c r="H37" s="86"/>
      <c r="I37" s="93"/>
      <c r="J37" s="93"/>
      <c r="K37" s="93"/>
      <c r="L37" s="93"/>
      <c r="M37" s="82"/>
    </row>
    <row r="38" spans="2:13" x14ac:dyDescent="0.25">
      <c r="B38" s="12">
        <v>45152</v>
      </c>
      <c r="C38" s="18">
        <v>102.099998</v>
      </c>
      <c r="D38" s="122">
        <f t="shared" si="0"/>
        <v>-2.483284693885901E-2</v>
      </c>
      <c r="H38" s="67" t="s">
        <v>112</v>
      </c>
      <c r="I38" s="88" t="s">
        <v>113</v>
      </c>
      <c r="J38" s="88" t="s">
        <v>114</v>
      </c>
      <c r="K38" s="88" t="s">
        <v>115</v>
      </c>
      <c r="L38" s="88" t="s">
        <v>116</v>
      </c>
      <c r="M38" s="89" t="s">
        <v>117</v>
      </c>
    </row>
    <row r="39" spans="2:13" x14ac:dyDescent="0.25">
      <c r="B39" s="12">
        <v>45145</v>
      </c>
      <c r="C39" s="18">
        <v>104.699997</v>
      </c>
      <c r="D39" s="122">
        <f t="shared" si="0"/>
        <v>-5.2488714932126701E-2</v>
      </c>
      <c r="H39" s="94">
        <v>1</v>
      </c>
      <c r="I39" s="76">
        <f>$I$19+($H39*$I$23)</f>
        <v>4.3283834638418964E-2</v>
      </c>
      <c r="J39" s="76">
        <f>$I$19-($H39*$I$23)</f>
        <v>-3.9334660484290754E-2</v>
      </c>
      <c r="K39" s="74">
        <f>COUNTIFS(D:D,"&lt;"&amp;I39,D:D,"&gt;"&amp;J39)</f>
        <v>59</v>
      </c>
      <c r="L39" s="76">
        <f>K39/$I$31</f>
        <v>0.71951219512195119</v>
      </c>
      <c r="M39" s="77">
        <v>0.68269999999999997</v>
      </c>
    </row>
    <row r="40" spans="2:13" x14ac:dyDescent="0.25">
      <c r="B40" s="12">
        <v>45138</v>
      </c>
      <c r="C40" s="18">
        <v>110.5</v>
      </c>
      <c r="D40" s="122">
        <f t="shared" si="0"/>
        <v>-1.5590200445434244E-2</v>
      </c>
      <c r="H40" s="94">
        <v>2</v>
      </c>
      <c r="I40" s="76">
        <f>$I$19+($H40*$I$23)</f>
        <v>8.4593082199773822E-2</v>
      </c>
      <c r="J40" s="76">
        <f>$I$19-($H40*$I$23)</f>
        <v>-8.0643908045645613E-2</v>
      </c>
      <c r="K40" s="74">
        <f>COUNTIFS(D:D,"&lt;"&amp;I40,D:D,"&gt;"&amp;J40)</f>
        <v>77</v>
      </c>
      <c r="L40" s="76">
        <f>K40/$I$31</f>
        <v>0.93902439024390238</v>
      </c>
      <c r="M40" s="77">
        <v>0.95450000000000002</v>
      </c>
    </row>
    <row r="41" spans="2:13" x14ac:dyDescent="0.25">
      <c r="B41" s="12">
        <v>45131</v>
      </c>
      <c r="C41" s="18">
        <v>112.25</v>
      </c>
      <c r="D41" s="122">
        <f t="shared" si="0"/>
        <v>9.4424732763258579E-3</v>
      </c>
      <c r="H41" s="94">
        <v>3</v>
      </c>
      <c r="I41" s="76">
        <f>$I$19+($H41*$I$23)</f>
        <v>0.1259023297611287</v>
      </c>
      <c r="J41" s="76">
        <f>$I$19-($H41*$I$23)</f>
        <v>-0.12195315560700047</v>
      </c>
      <c r="K41" s="74">
        <f>COUNTIFS(D:D,"&lt;"&amp;I41,D:D,"&gt;"&amp;J41)</f>
        <v>82</v>
      </c>
      <c r="L41" s="76">
        <f>K41/$I$31</f>
        <v>1</v>
      </c>
      <c r="M41" s="95">
        <v>0.99729999999999996</v>
      </c>
    </row>
    <row r="42" spans="2:13" ht="15.75" thickBot="1" x14ac:dyDescent="0.3">
      <c r="B42" s="12">
        <v>45124</v>
      </c>
      <c r="C42" s="18">
        <v>111.199997</v>
      </c>
      <c r="D42" s="122">
        <f t="shared" si="0"/>
        <v>-3.0514386151204498E-2</v>
      </c>
      <c r="H42" s="72"/>
      <c r="M42" s="95"/>
    </row>
    <row r="43" spans="2:13" ht="15.75" thickBot="1" x14ac:dyDescent="0.3">
      <c r="B43" s="12">
        <v>45117</v>
      </c>
      <c r="C43" s="18">
        <v>114.699997</v>
      </c>
      <c r="D43" s="122">
        <f t="shared" si="0"/>
        <v>3.9420018838604687E-2</v>
      </c>
      <c r="H43" s="147" t="s">
        <v>118</v>
      </c>
      <c r="I43" s="148"/>
      <c r="J43" s="148"/>
      <c r="K43" s="148"/>
      <c r="L43" s="148"/>
      <c r="M43" s="149"/>
    </row>
    <row r="44" spans="2:13" x14ac:dyDescent="0.25">
      <c r="B44" s="12">
        <v>45110</v>
      </c>
      <c r="C44" s="18">
        <v>110.349998</v>
      </c>
      <c r="D44" s="122">
        <f t="shared" si="0"/>
        <v>-2.0846311075899293E-2</v>
      </c>
      <c r="H44" s="96">
        <v>0.01</v>
      </c>
      <c r="I44" s="97">
        <f t="shared" ref="I44:I58" si="7">_xlfn.PERCENTILE.INC(D:D,H44)</f>
        <v>-7.6911905790158608E-2</v>
      </c>
      <c r="J44" s="98">
        <v>0.2</v>
      </c>
      <c r="K44" s="97">
        <f t="shared" ref="K44:K56" si="8">_xlfn.PERCENTILE.INC(D:D,J44)</f>
        <v>-2.9250563102352304E-2</v>
      </c>
      <c r="L44" s="98">
        <v>0.85</v>
      </c>
      <c r="M44" s="99">
        <f t="shared" ref="M44:M58" si="9">_xlfn.PERCENTILE.INC(D:D,L44)</f>
        <v>4.0026123520902068E-2</v>
      </c>
    </row>
    <row r="45" spans="2:13" x14ac:dyDescent="0.25">
      <c r="B45" s="12">
        <v>45103</v>
      </c>
      <c r="C45" s="18">
        <v>112.699364</v>
      </c>
      <c r="D45" s="122">
        <f t="shared" si="0"/>
        <v>4.9354297557943294E-2</v>
      </c>
      <c r="H45" s="100">
        <v>0.02</v>
      </c>
      <c r="I45" s="101">
        <f t="shared" si="7"/>
        <v>-6.7494605691245588E-2</v>
      </c>
      <c r="J45" s="102">
        <v>0.25</v>
      </c>
      <c r="K45" s="101">
        <f t="shared" si="8"/>
        <v>-2.1654149007184764E-2</v>
      </c>
      <c r="L45" s="102">
        <v>0.86</v>
      </c>
      <c r="M45" s="103">
        <f t="shared" si="9"/>
        <v>4.3953561130105213E-2</v>
      </c>
    </row>
    <row r="46" spans="2:13" x14ac:dyDescent="0.25">
      <c r="B46" s="12">
        <v>45096</v>
      </c>
      <c r="C46" s="18">
        <v>107.39877300000001</v>
      </c>
      <c r="D46" s="122">
        <f t="shared" si="0"/>
        <v>-5.4513767189525608E-2</v>
      </c>
      <c r="H46" s="100">
        <v>0.03</v>
      </c>
      <c r="I46" s="101">
        <f t="shared" si="7"/>
        <v>-5.8756757435710745E-2</v>
      </c>
      <c r="J46" s="102">
        <v>0.3</v>
      </c>
      <c r="K46" s="101">
        <f t="shared" si="8"/>
        <v>-1.9785915292817622E-2</v>
      </c>
      <c r="L46" s="102">
        <v>0.87</v>
      </c>
      <c r="M46" s="103">
        <f t="shared" si="9"/>
        <v>4.756135474868451E-2</v>
      </c>
    </row>
    <row r="47" spans="2:13" x14ac:dyDescent="0.25">
      <c r="B47" s="12">
        <v>45089</v>
      </c>
      <c r="C47" s="18">
        <v>113.591049</v>
      </c>
      <c r="D47" s="122">
        <f t="shared" si="0"/>
        <v>-1.7566355043448945E-2</v>
      </c>
      <c r="H47" s="100">
        <v>0.04</v>
      </c>
      <c r="I47" s="101">
        <f t="shared" si="7"/>
        <v>-5.415373655113305E-2</v>
      </c>
      <c r="J47" s="102">
        <v>0.35</v>
      </c>
      <c r="K47" s="101">
        <f t="shared" si="8"/>
        <v>-1.6299362336560597E-2</v>
      </c>
      <c r="L47" s="102">
        <v>0.88</v>
      </c>
      <c r="M47" s="103">
        <f t="shared" si="9"/>
        <v>4.9485258782834114E-2</v>
      </c>
    </row>
    <row r="48" spans="2:13" x14ac:dyDescent="0.25">
      <c r="B48" s="12">
        <v>45082</v>
      </c>
      <c r="C48" s="18">
        <v>115.622108</v>
      </c>
      <c r="D48" s="122">
        <f t="shared" si="0"/>
        <v>-1.1016969166471546E-2</v>
      </c>
      <c r="H48" s="100">
        <v>0.05</v>
      </c>
      <c r="I48" s="101">
        <f t="shared" si="7"/>
        <v>-5.2987393299685125E-2</v>
      </c>
      <c r="J48" s="102">
        <v>0.4</v>
      </c>
      <c r="K48" s="101">
        <f t="shared" si="8"/>
        <v>-1.3651492131425337E-2</v>
      </c>
      <c r="L48" s="102">
        <v>0.89</v>
      </c>
      <c r="M48" s="103">
        <f t="shared" si="9"/>
        <v>5.0593802467363204E-2</v>
      </c>
    </row>
    <row r="49" spans="2:13" x14ac:dyDescent="0.25">
      <c r="B49" s="12">
        <v>45075</v>
      </c>
      <c r="C49" s="18">
        <v>116.91010300000001</v>
      </c>
      <c r="D49" s="122">
        <f t="shared" si="0"/>
        <v>4.2390690135718501E-4</v>
      </c>
      <c r="H49" s="100">
        <v>0.06</v>
      </c>
      <c r="I49" s="101">
        <f t="shared" si="7"/>
        <v>-5.2562204375766891E-2</v>
      </c>
      <c r="J49" s="102">
        <v>0.45</v>
      </c>
      <c r="K49" s="101">
        <f t="shared" si="8"/>
        <v>-1.0041670798221772E-2</v>
      </c>
      <c r="L49" s="102">
        <v>0.9</v>
      </c>
      <c r="M49" s="103">
        <f t="shared" si="9"/>
        <v>5.7539878709222954E-2</v>
      </c>
    </row>
    <row r="50" spans="2:13" x14ac:dyDescent="0.25">
      <c r="B50" s="12">
        <v>45068</v>
      </c>
      <c r="C50" s="18">
        <v>116.86056499999999</v>
      </c>
      <c r="D50" s="122">
        <f t="shared" si="0"/>
        <v>-3.8007044320816918E-3</v>
      </c>
      <c r="H50" s="100">
        <v>7.0000000000000007E-2</v>
      </c>
      <c r="I50" s="101">
        <f t="shared" si="7"/>
        <v>-5.2386664604548196E-2</v>
      </c>
      <c r="J50" s="102">
        <v>0.5</v>
      </c>
      <c r="K50" s="101">
        <f t="shared" si="8"/>
        <v>-3.9265976981327499E-3</v>
      </c>
      <c r="L50" s="102">
        <v>0.91</v>
      </c>
      <c r="M50" s="103">
        <f t="shared" si="9"/>
        <v>6.8179991519874292E-2</v>
      </c>
    </row>
    <row r="51" spans="2:13" x14ac:dyDescent="0.25">
      <c r="B51" s="12">
        <v>45061</v>
      </c>
      <c r="C51" s="18">
        <v>117.30641199999999</v>
      </c>
      <c r="D51" s="122">
        <f t="shared" si="0"/>
        <v>3.5417608318533356E-2</v>
      </c>
      <c r="H51" s="100">
        <v>0.08</v>
      </c>
      <c r="I51" s="101">
        <f t="shared" si="7"/>
        <v>-5.1309285500805941E-2</v>
      </c>
      <c r="J51" s="102">
        <v>0.55000000000000004</v>
      </c>
      <c r="K51" s="101">
        <f t="shared" si="8"/>
        <v>-1.7454436849354731E-3</v>
      </c>
      <c r="L51" s="102">
        <v>0.92</v>
      </c>
      <c r="M51" s="103">
        <f t="shared" si="9"/>
        <v>7.4101648488872698E-2</v>
      </c>
    </row>
    <row r="52" spans="2:13" x14ac:dyDescent="0.25">
      <c r="B52" s="12">
        <v>45054</v>
      </c>
      <c r="C52" s="18">
        <v>113.29381600000001</v>
      </c>
      <c r="D52" s="122">
        <f t="shared" si="0"/>
        <v>-9.5279000184396168E-3</v>
      </c>
      <c r="H52" s="100">
        <v>0.09</v>
      </c>
      <c r="I52" s="101">
        <f t="shared" si="7"/>
        <v>-5.0183654742349433E-2</v>
      </c>
      <c r="J52" s="102">
        <v>0.6</v>
      </c>
      <c r="K52" s="101">
        <f t="shared" si="8"/>
        <v>1.4412159450729615E-3</v>
      </c>
      <c r="L52" s="102">
        <v>0.93</v>
      </c>
      <c r="M52" s="103">
        <f t="shared" si="9"/>
        <v>7.5914725954627421E-2</v>
      </c>
    </row>
    <row r="53" spans="2:13" x14ac:dyDescent="0.25">
      <c r="B53" s="12">
        <v>45047</v>
      </c>
      <c r="C53" s="18">
        <v>114.383652</v>
      </c>
      <c r="D53" s="122">
        <f t="shared" si="0"/>
        <v>1.807755356458518E-2</v>
      </c>
      <c r="H53" s="100">
        <v>0.1</v>
      </c>
      <c r="I53" s="101">
        <f t="shared" si="7"/>
        <v>-4.9396711370882355E-2</v>
      </c>
      <c r="J53" s="102">
        <v>0.65</v>
      </c>
      <c r="K53" s="101">
        <f t="shared" si="8"/>
        <v>5.0936774904036244E-3</v>
      </c>
      <c r="L53" s="102">
        <v>0.94</v>
      </c>
      <c r="M53" s="103">
        <f t="shared" si="9"/>
        <v>7.828156697700106E-2</v>
      </c>
    </row>
    <row r="54" spans="2:13" x14ac:dyDescent="0.25">
      <c r="B54" s="12">
        <v>45040</v>
      </c>
      <c r="C54" s="18">
        <v>112.352592</v>
      </c>
      <c r="D54" s="122">
        <f t="shared" si="0"/>
        <v>-1.3913036930066403E-2</v>
      </c>
      <c r="H54" s="100">
        <v>0.11</v>
      </c>
      <c r="I54" s="101">
        <f t="shared" si="7"/>
        <v>-4.3278732435916317E-2</v>
      </c>
      <c r="J54" s="102">
        <v>0.7</v>
      </c>
      <c r="K54" s="101">
        <f t="shared" si="8"/>
        <v>1.0220585085291861E-2</v>
      </c>
      <c r="L54" s="102">
        <v>0.95</v>
      </c>
      <c r="M54" s="103">
        <f t="shared" si="9"/>
        <v>9.1561127512920809E-2</v>
      </c>
    </row>
    <row r="55" spans="2:13" x14ac:dyDescent="0.25">
      <c r="B55" s="12">
        <v>45033</v>
      </c>
      <c r="C55" s="18">
        <v>113.93781300000001</v>
      </c>
      <c r="D55" s="122">
        <f t="shared" si="0"/>
        <v>-3.2800713836315332E-2</v>
      </c>
      <c r="H55" s="100">
        <v>0.12</v>
      </c>
      <c r="I55" s="101">
        <f t="shared" si="7"/>
        <v>-4.076379735047176E-2</v>
      </c>
      <c r="J55" s="102">
        <v>0.75</v>
      </c>
      <c r="K55" s="101">
        <f t="shared" si="8"/>
        <v>2.4576777916781867E-2</v>
      </c>
      <c r="L55" s="102">
        <v>0.96</v>
      </c>
      <c r="M55" s="103">
        <f t="shared" si="9"/>
        <v>9.4004337431307497E-2</v>
      </c>
    </row>
    <row r="56" spans="2:13" x14ac:dyDescent="0.25">
      <c r="B56" s="12">
        <v>45026</v>
      </c>
      <c r="C56" s="18">
        <v>117.801796</v>
      </c>
      <c r="D56" s="122">
        <f t="shared" si="0"/>
        <v>8.4818019065802108E-3</v>
      </c>
      <c r="H56" s="100">
        <v>0.13</v>
      </c>
      <c r="I56" s="101">
        <f t="shared" si="7"/>
        <v>-3.620793668559863E-2</v>
      </c>
      <c r="J56" s="102">
        <v>0.8</v>
      </c>
      <c r="K56" s="101">
        <f t="shared" si="8"/>
        <v>3.6359792052379311E-2</v>
      </c>
      <c r="L56" s="102">
        <v>0.97</v>
      </c>
      <c r="M56" s="103">
        <f t="shared" si="9"/>
        <v>9.6309603452708892E-2</v>
      </c>
    </row>
    <row r="57" spans="2:13" x14ac:dyDescent="0.25">
      <c r="B57" s="12">
        <v>45019</v>
      </c>
      <c r="C57" s="18">
        <v>116.81102799999999</v>
      </c>
      <c r="D57" s="122">
        <f t="shared" si="0"/>
        <v>-8.4744600729680375E-4</v>
      </c>
      <c r="H57" s="100">
        <v>0.14000000000000001</v>
      </c>
      <c r="I57" s="101">
        <f t="shared" si="7"/>
        <v>-3.2375903306623682E-2</v>
      </c>
      <c r="J57" s="102"/>
      <c r="K57" s="101"/>
      <c r="L57" s="102">
        <v>0.98</v>
      </c>
      <c r="M57" s="103">
        <f t="shared" si="9"/>
        <v>9.781207844701266E-2</v>
      </c>
    </row>
    <row r="58" spans="2:13" ht="15.75" thickBot="1" x14ac:dyDescent="0.3">
      <c r="B58" s="12">
        <v>45012</v>
      </c>
      <c r="C58" s="18">
        <v>116.91010300000001</v>
      </c>
      <c r="D58" s="122">
        <f t="shared" si="0"/>
        <v>4.9822016218267651E-2</v>
      </c>
      <c r="H58" s="104">
        <v>0.15</v>
      </c>
      <c r="I58" s="105">
        <f t="shared" si="7"/>
        <v>-3.1536371462825501E-2</v>
      </c>
      <c r="J58" s="106"/>
      <c r="K58" s="85"/>
      <c r="L58" s="107">
        <v>0.99</v>
      </c>
      <c r="M58" s="108">
        <f t="shared" si="9"/>
        <v>0.1015814114931638</v>
      </c>
    </row>
    <row r="59" spans="2:13" ht="15.75" thickBot="1" x14ac:dyDescent="0.3">
      <c r="B59" s="12">
        <v>45005</v>
      </c>
      <c r="C59" s="18">
        <v>111.36183200000001</v>
      </c>
      <c r="D59" s="122">
        <f t="shared" si="0"/>
        <v>-1.9197138695643767E-2</v>
      </c>
    </row>
    <row r="60" spans="2:13" x14ac:dyDescent="0.25">
      <c r="B60" s="12">
        <v>44998</v>
      </c>
      <c r="C60" s="18">
        <v>113.541504</v>
      </c>
      <c r="D60" s="122">
        <f t="shared" si="0"/>
        <v>4.3820784766912535E-3</v>
      </c>
      <c r="H60" s="109" t="s">
        <v>119</v>
      </c>
      <c r="I60" s="110"/>
    </row>
    <row r="61" spans="2:13" ht="15.75" thickBot="1" x14ac:dyDescent="0.3">
      <c r="B61" s="12">
        <v>44991</v>
      </c>
      <c r="C61" s="18">
        <v>113.046127</v>
      </c>
      <c r="D61" s="122">
        <f t="shared" si="0"/>
        <v>-5.2309835556187956E-3</v>
      </c>
      <c r="H61" s="111" t="s">
        <v>120</v>
      </c>
      <c r="I61" s="112"/>
    </row>
    <row r="62" spans="2:13" ht="15.75" thickBot="1" x14ac:dyDescent="0.3">
      <c r="B62" s="12">
        <v>44984</v>
      </c>
      <c r="C62" s="18">
        <v>113.640579</v>
      </c>
      <c r="D62" s="122">
        <f t="shared" si="0"/>
        <v>3.8008993803380964E-2</v>
      </c>
      <c r="H62" s="113"/>
    </row>
    <row r="63" spans="2:13" x14ac:dyDescent="0.25">
      <c r="B63" s="12">
        <v>44977</v>
      </c>
      <c r="C63" s="18">
        <v>109.479378</v>
      </c>
      <c r="D63" s="122">
        <f t="shared" si="0"/>
        <v>-3.1551271101928124E-2</v>
      </c>
      <c r="H63" s="109" t="s">
        <v>121</v>
      </c>
      <c r="I63" s="114"/>
    </row>
    <row r="64" spans="2:13" x14ac:dyDescent="0.25">
      <c r="B64" s="12">
        <v>44970</v>
      </c>
      <c r="C64" s="18">
        <v>113.046127</v>
      </c>
      <c r="D64" s="122">
        <f t="shared" si="0"/>
        <v>5.2863511104166427E-3</v>
      </c>
      <c r="H64" s="115" t="s">
        <v>122</v>
      </c>
      <c r="I64" s="116">
        <f>I63*(1-I60)</f>
        <v>0</v>
      </c>
    </row>
    <row r="65" spans="2:9" ht="15.75" thickBot="1" x14ac:dyDescent="0.3">
      <c r="B65" s="12">
        <v>44963</v>
      </c>
      <c r="C65" s="18">
        <v>112.451668</v>
      </c>
      <c r="D65" s="122">
        <f t="shared" si="0"/>
        <v>-1.0462028708952631E-2</v>
      </c>
      <c r="H65" s="111" t="s">
        <v>123</v>
      </c>
      <c r="I65" s="117">
        <f>I63*(1+I61)</f>
        <v>0</v>
      </c>
    </row>
    <row r="66" spans="2:9" x14ac:dyDescent="0.25">
      <c r="B66" s="12">
        <v>44956</v>
      </c>
      <c r="C66" s="18">
        <v>113.640579</v>
      </c>
      <c r="D66" s="122">
        <f t="shared" si="0"/>
        <v>9.2380853471928148E-2</v>
      </c>
    </row>
    <row r="67" spans="2:9" x14ac:dyDescent="0.25">
      <c r="B67" s="12">
        <v>44949</v>
      </c>
      <c r="C67" s="18">
        <v>104.030182</v>
      </c>
      <c r="D67" s="122">
        <f t="shared" ref="D67:D83" si="10">C67/C68-1</f>
        <v>2.2395392834767325E-2</v>
      </c>
    </row>
    <row r="68" spans="2:9" x14ac:dyDescent="0.25">
      <c r="B68" s="12">
        <v>44942</v>
      </c>
      <c r="C68" s="18">
        <v>101.751419</v>
      </c>
      <c r="D68" s="122">
        <f t="shared" si="10"/>
        <v>-2.0038248120177848E-2</v>
      </c>
    </row>
    <row r="69" spans="2:9" x14ac:dyDescent="0.25">
      <c r="B69" s="12">
        <v>44935</v>
      </c>
      <c r="C69" s="18">
        <v>103.832031</v>
      </c>
      <c r="D69" s="122">
        <f t="shared" si="10"/>
        <v>9.4517016576374679E-2</v>
      </c>
    </row>
    <row r="70" spans="2:9" x14ac:dyDescent="0.25">
      <c r="B70" s="12">
        <v>44928</v>
      </c>
      <c r="C70" s="18">
        <v>94.865616000000003</v>
      </c>
      <c r="D70" s="122">
        <f t="shared" si="10"/>
        <v>1.0554061574848728E-2</v>
      </c>
    </row>
    <row r="71" spans="2:9" x14ac:dyDescent="0.25">
      <c r="B71" s="12">
        <v>44921</v>
      </c>
      <c r="C71" s="18">
        <v>93.874854999999997</v>
      </c>
      <c r="D71" s="122">
        <f t="shared" si="10"/>
        <v>2.8549679711052489E-2</v>
      </c>
    </row>
    <row r="72" spans="2:9" x14ac:dyDescent="0.25">
      <c r="B72" s="12">
        <v>44914</v>
      </c>
      <c r="C72" s="18">
        <v>91.269149999999996</v>
      </c>
      <c r="D72" s="122">
        <f t="shared" si="10"/>
        <v>-1.6232275511077199E-2</v>
      </c>
    </row>
    <row r="73" spans="2:9" x14ac:dyDescent="0.25">
      <c r="B73" s="12">
        <v>44907</v>
      </c>
      <c r="C73" s="18">
        <v>92.775101000000006</v>
      </c>
      <c r="D73" s="122">
        <f t="shared" si="10"/>
        <v>-7.6528651738674291E-2</v>
      </c>
    </row>
    <row r="74" spans="2:9" x14ac:dyDescent="0.25">
      <c r="B74" s="12">
        <v>44900</v>
      </c>
      <c r="C74" s="18">
        <v>100.463432</v>
      </c>
      <c r="D74" s="122">
        <f t="shared" si="10"/>
        <v>-5.2336401010367739E-2</v>
      </c>
    </row>
    <row r="75" spans="2:9" x14ac:dyDescent="0.25">
      <c r="B75" s="12">
        <v>44893</v>
      </c>
      <c r="C75" s="18">
        <v>106.011703</v>
      </c>
      <c r="D75" s="122">
        <f t="shared" si="10"/>
        <v>-2.3310502631396224E-3</v>
      </c>
    </row>
    <row r="76" spans="2:9" x14ac:dyDescent="0.25">
      <c r="B76" s="12">
        <v>44886</v>
      </c>
      <c r="C76" s="18">
        <v>106.259399</v>
      </c>
      <c r="D76" s="122">
        <f t="shared" si="10"/>
        <v>1.8682601031787538E-3</v>
      </c>
    </row>
    <row r="77" spans="2:9" x14ac:dyDescent="0.25">
      <c r="B77" s="12">
        <v>44879</v>
      </c>
      <c r="C77" s="18">
        <v>106.061249</v>
      </c>
      <c r="D77" s="122">
        <f t="shared" si="10"/>
        <v>7.5879456176626725E-2</v>
      </c>
    </row>
    <row r="78" spans="2:9" x14ac:dyDescent="0.25">
      <c r="B78" s="12">
        <v>44872</v>
      </c>
      <c r="C78" s="18">
        <v>98.580978000000002</v>
      </c>
      <c r="D78" s="122">
        <f t="shared" si="10"/>
        <v>-5.0000321469207964E-3</v>
      </c>
    </row>
    <row r="79" spans="2:9" x14ac:dyDescent="0.25">
      <c r="B79" s="12">
        <v>44865</v>
      </c>
      <c r="C79" s="18">
        <v>99.076363000000001</v>
      </c>
      <c r="D79" s="122">
        <f t="shared" si="10"/>
        <v>8.0064970791426937E-4</v>
      </c>
    </row>
    <row r="80" spans="2:9" x14ac:dyDescent="0.25">
      <c r="B80" s="12">
        <v>44858</v>
      </c>
      <c r="C80" s="18">
        <v>98.997101000000001</v>
      </c>
      <c r="D80" s="122">
        <f t="shared" si="10"/>
        <v>3.9966723872114196E-2</v>
      </c>
    </row>
    <row r="81" spans="2:4" x14ac:dyDescent="0.25">
      <c r="B81" s="12">
        <v>44851</v>
      </c>
      <c r="C81" s="18">
        <v>95.192565999999999</v>
      </c>
      <c r="D81" s="122">
        <f t="shared" si="10"/>
        <v>9.8057096922341547E-2</v>
      </c>
    </row>
    <row r="82" spans="2:4" x14ac:dyDescent="0.25">
      <c r="B82" s="12">
        <v>44844</v>
      </c>
      <c r="C82" s="18">
        <v>86.691817999999998</v>
      </c>
      <c r="D82" s="122">
        <f t="shared" si="10"/>
        <v>-5.0152017412236183E-2</v>
      </c>
    </row>
    <row r="83" spans="2:4" x14ac:dyDescent="0.25">
      <c r="B83" s="12">
        <v>44837</v>
      </c>
      <c r="C83" s="18">
        <v>91.269149999999996</v>
      </c>
      <c r="D83" s="122">
        <f t="shared" si="10"/>
        <v>0.11660612097930101</v>
      </c>
    </row>
    <row r="84" spans="2:4" x14ac:dyDescent="0.25">
      <c r="B84" s="12">
        <v>44830</v>
      </c>
      <c r="C84" s="18">
        <v>81.737999000000002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2025-02-02T02:40:35Z</dcterms:modified>
</cp:coreProperties>
</file>