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2A465D8B-9B66-4BBE-A6C3-364CBB3F8D8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Main" sheetId="1" r:id="rId1"/>
    <sheet name="Model" sheetId="2" r:id="rId2"/>
    <sheet name="Model-graph" sheetId="3" r:id="rId3"/>
    <sheet name="Analysts" sheetId="7" r:id="rId4"/>
    <sheet name="KPIs" sheetId="6" r:id="rId5"/>
    <sheet name="Catalysts" sheetId="4" r:id="rId6"/>
    <sheet name="DoR" sheetId="5" r:id="rId7"/>
  </sheets>
  <externalReferences>
    <externalReference r:id="rId8"/>
  </externalReferences>
  <definedNames>
    <definedName name="_xlchart.v1.0" hidden="1">Model!$B$8</definedName>
    <definedName name="_xlchart.v1.1" hidden="1">Model!$B$9</definedName>
    <definedName name="_xlchart.v1.2" hidden="1">Model!$M$2:$Q$2</definedName>
    <definedName name="_xlchart.v1.3" hidden="1">Model!$M$8:$Q$8</definedName>
    <definedName name="_xlchart.v1.4" hidden="1">Model!$M$9:$Q$9</definedName>
    <definedName name="_xlchart.v1.5" hidden="1">Model!$B$21</definedName>
    <definedName name="_xlchart.v1.6" hidden="1">Model!$B$25</definedName>
    <definedName name="_xlchart.v1.7" hidden="1">Model!$M$21:$Q$21</definedName>
    <definedName name="_xlchart.v1.8" hidden="1">Model!$M$25:$Q$25</definedName>
    <definedName name="_xlchart.v1.9" hidden="1">Model!$M$2:$Q$2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1" i="1"/>
  <c r="C20" i="1"/>
  <c r="C19" i="1"/>
  <c r="C18" i="1"/>
  <c r="C17" i="1"/>
  <c r="C16" i="1"/>
  <c r="C15" i="1"/>
  <c r="C14" i="1"/>
  <c r="C13" i="1"/>
  <c r="C9" i="1"/>
  <c r="C7" i="1"/>
  <c r="I32" i="2"/>
  <c r="T22" i="2"/>
  <c r="T23" i="2"/>
  <c r="T24" i="2" s="1"/>
  <c r="U23" i="2"/>
  <c r="U24" i="2" s="1"/>
  <c r="V23" i="2"/>
  <c r="V24" i="2"/>
  <c r="T21" i="2"/>
  <c r="T18" i="2"/>
  <c r="T17" i="2"/>
  <c r="T15" i="2"/>
  <c r="T13" i="2"/>
  <c r="T31" i="2" s="1"/>
  <c r="T12" i="2"/>
  <c r="T29" i="2" s="1"/>
  <c r="T11" i="2"/>
  <c r="T30" i="2" s="1"/>
  <c r="U21" i="2"/>
  <c r="V21" i="2"/>
  <c r="U19" i="2"/>
  <c r="V19" i="2"/>
  <c r="U16" i="2"/>
  <c r="V16" i="2"/>
  <c r="U14" i="2"/>
  <c r="V14" i="2"/>
  <c r="U8" i="2"/>
  <c r="V8" i="2"/>
  <c r="T8" i="2"/>
  <c r="T7" i="2"/>
  <c r="T6" i="2"/>
  <c r="T5" i="2"/>
  <c r="T4" i="2"/>
  <c r="T3" i="2"/>
  <c r="P18" i="2"/>
  <c r="P17" i="2"/>
  <c r="P15" i="2"/>
  <c r="P13" i="2"/>
  <c r="P12" i="2"/>
  <c r="P11" i="2"/>
  <c r="P10" i="2"/>
  <c r="P7" i="2"/>
  <c r="P6" i="2"/>
  <c r="P5" i="2"/>
  <c r="P4" i="2"/>
  <c r="P8" i="2" s="1"/>
  <c r="P30" i="2" s="1"/>
  <c r="P3" i="2"/>
  <c r="G50" i="2"/>
  <c r="G48" i="2"/>
  <c r="G49" i="2" s="1"/>
  <c r="G47" i="2"/>
  <c r="G45" i="2"/>
  <c r="G44" i="2"/>
  <c r="G42" i="2"/>
  <c r="G41" i="2"/>
  <c r="G40" i="2"/>
  <c r="G39" i="2"/>
  <c r="G38" i="2"/>
  <c r="I27" i="2"/>
  <c r="I28" i="2"/>
  <c r="H29" i="2"/>
  <c r="I29" i="2"/>
  <c r="H30" i="2"/>
  <c r="I30" i="2"/>
  <c r="H31" i="2"/>
  <c r="I31" i="2"/>
  <c r="H33" i="2"/>
  <c r="I33" i="2"/>
  <c r="H34" i="2"/>
  <c r="I34" i="2"/>
  <c r="G31" i="2"/>
  <c r="G33" i="2"/>
  <c r="G26" i="2"/>
  <c r="E8" i="2"/>
  <c r="E29" i="2" s="1"/>
  <c r="G8" i="2"/>
  <c r="G29" i="2" s="1"/>
  <c r="F8" i="2"/>
  <c r="F30" i="2" s="1"/>
  <c r="L7" i="6"/>
  <c r="L8" i="6" s="1"/>
  <c r="S7" i="2"/>
  <c r="S8" i="2" s="1"/>
  <c r="S30" i="2" s="1"/>
  <c r="O8" i="2"/>
  <c r="O31" i="2" s="1"/>
  <c r="N8" i="2"/>
  <c r="N30" i="2" s="1"/>
  <c r="M8" i="2"/>
  <c r="M29" i="2" s="1"/>
  <c r="R8" i="2"/>
  <c r="R29" i="2" s="1"/>
  <c r="Q8" i="2"/>
  <c r="Q30" i="2" s="1"/>
  <c r="R22" i="2"/>
  <c r="M8" i="6"/>
  <c r="J8" i="6"/>
  <c r="I8" i="6"/>
  <c r="H8" i="6"/>
  <c r="G8" i="6"/>
  <c r="F8" i="6"/>
  <c r="K8" i="6"/>
  <c r="Q22" i="2"/>
  <c r="F31" i="2"/>
  <c r="D31" i="2"/>
  <c r="C31" i="2"/>
  <c r="D30" i="2"/>
  <c r="C30" i="2"/>
  <c r="F29" i="2"/>
  <c r="D29" i="2"/>
  <c r="C29" i="2"/>
  <c r="P50" i="2"/>
  <c r="P48" i="2"/>
  <c r="P47" i="2"/>
  <c r="P45" i="2"/>
  <c r="P44" i="2"/>
  <c r="P42" i="2"/>
  <c r="P41" i="2"/>
  <c r="P40" i="2"/>
  <c r="P39" i="2"/>
  <c r="P38" i="2"/>
  <c r="T37" i="2"/>
  <c r="S37" i="2"/>
  <c r="R37" i="2"/>
  <c r="Q37" i="2"/>
  <c r="O37" i="2"/>
  <c r="N37" i="2"/>
  <c r="M37" i="2"/>
  <c r="E37" i="2"/>
  <c r="D37" i="2"/>
  <c r="C37" i="2"/>
  <c r="F37" i="2"/>
  <c r="T49" i="2"/>
  <c r="T51" i="2" s="1"/>
  <c r="S49" i="2"/>
  <c r="S51" i="2" s="1"/>
  <c r="R49" i="2"/>
  <c r="R51" i="2" s="1"/>
  <c r="Q49" i="2"/>
  <c r="Q51" i="2" s="1"/>
  <c r="T43" i="2"/>
  <c r="T46" i="2" s="1"/>
  <c r="S43" i="2"/>
  <c r="S46" i="2" s="1"/>
  <c r="R43" i="2"/>
  <c r="R46" i="2" s="1"/>
  <c r="Q43" i="2"/>
  <c r="Q46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G14" i="2"/>
  <c r="G16" i="2" s="1"/>
  <c r="G19" i="2" s="1"/>
  <c r="G21" i="2" s="1"/>
  <c r="H14" i="2"/>
  <c r="H16" i="2" s="1"/>
  <c r="G51" i="2" l="1"/>
  <c r="G34" i="2"/>
  <c r="G30" i="2"/>
  <c r="G43" i="2"/>
  <c r="G46" i="2" s="1"/>
  <c r="G52" i="2" s="1"/>
  <c r="G37" i="2"/>
  <c r="E31" i="2"/>
  <c r="E30" i="2"/>
  <c r="M31" i="2"/>
  <c r="M30" i="2"/>
  <c r="C29" i="1"/>
  <c r="C30" i="1"/>
  <c r="C31" i="1"/>
  <c r="S31" i="2"/>
  <c r="S29" i="2"/>
  <c r="R31" i="2"/>
  <c r="R30" i="2"/>
  <c r="P29" i="2"/>
  <c r="P31" i="2"/>
  <c r="N29" i="2"/>
  <c r="N31" i="2"/>
  <c r="O30" i="2"/>
  <c r="O29" i="2"/>
  <c r="Q31" i="2"/>
  <c r="Q29" i="2"/>
  <c r="P37" i="2"/>
  <c r="T52" i="2"/>
  <c r="M14" i="2"/>
  <c r="M16" i="2" s="1"/>
  <c r="M19" i="2" s="1"/>
  <c r="M21" i="2" s="1"/>
  <c r="Q26" i="2"/>
  <c r="S52" i="2"/>
  <c r="N14" i="2"/>
  <c r="N16" i="2" s="1"/>
  <c r="N19" i="2" s="1"/>
  <c r="N21" i="2" s="1"/>
  <c r="R26" i="2"/>
  <c r="Q52" i="2"/>
  <c r="P14" i="2"/>
  <c r="P16" i="2" s="1"/>
  <c r="P19" i="2" s="1"/>
  <c r="P21" i="2" s="1"/>
  <c r="R52" i="2"/>
  <c r="Q14" i="2"/>
  <c r="Q16" i="2" s="1"/>
  <c r="Q19" i="2" s="1"/>
  <c r="Q23" i="2" s="1"/>
  <c r="Q24" i="2" s="1"/>
  <c r="Q28" i="2"/>
  <c r="R14" i="2"/>
  <c r="R16" i="2" s="1"/>
  <c r="R19" i="2" s="1"/>
  <c r="R23" i="2" s="1"/>
  <c r="R24" i="2" s="1"/>
  <c r="R28" i="2"/>
  <c r="S28" i="2"/>
  <c r="T28" i="2"/>
  <c r="O14" i="2"/>
  <c r="O16" i="2" s="1"/>
  <c r="O1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O21" i="2" l="1"/>
  <c r="O23" i="2"/>
  <c r="O24" i="2" s="1"/>
  <c r="T10" i="2"/>
  <c r="R32" i="2"/>
  <c r="R27" i="2"/>
  <c r="R21" i="2"/>
  <c r="Q21" i="2"/>
  <c r="Q32" i="2"/>
  <c r="Q27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4" i="2"/>
  <c r="C16" i="2" s="1"/>
  <c r="C19" i="2" s="1"/>
  <c r="D14" i="2"/>
  <c r="D16" i="2" s="1"/>
  <c r="D19" i="2" s="1"/>
  <c r="E14" i="2"/>
  <c r="E16" i="2" s="1"/>
  <c r="E19" i="2" s="1"/>
  <c r="F14" i="2"/>
  <c r="F16" i="2" s="1"/>
  <c r="F19" i="2" s="1"/>
  <c r="M26" i="2"/>
  <c r="N26" i="2"/>
  <c r="O26" i="2"/>
  <c r="P26" i="2"/>
  <c r="M43" i="2"/>
  <c r="M46" i="2" s="1"/>
  <c r="N43" i="2"/>
  <c r="N46" i="2" s="1"/>
  <c r="O43" i="2"/>
  <c r="O46" i="2" s="1"/>
  <c r="P43" i="2"/>
  <c r="P46" i="2" s="1"/>
  <c r="M49" i="2"/>
  <c r="M51" i="2" s="1"/>
  <c r="N49" i="2"/>
  <c r="N51" i="2" s="1"/>
  <c r="O49" i="2"/>
  <c r="O51" i="2" s="1"/>
  <c r="P49" i="2"/>
  <c r="P51" i="2" s="1"/>
  <c r="C43" i="2"/>
  <c r="C46" i="2" s="1"/>
  <c r="D43" i="2"/>
  <c r="D46" i="2" s="1"/>
  <c r="H27" i="2"/>
  <c r="G27" i="2"/>
  <c r="H28" i="2"/>
  <c r="T14" i="2" l="1"/>
  <c r="T16" i="2" s="1"/>
  <c r="T19" i="2" s="1"/>
  <c r="T26" i="2"/>
  <c r="S26" i="2"/>
  <c r="S14" i="2"/>
  <c r="S16" i="2" s="1"/>
  <c r="S19" i="2" s="1"/>
  <c r="S23" i="2" s="1"/>
  <c r="S24" i="2" s="1"/>
  <c r="N52" i="2"/>
  <c r="O52" i="2"/>
  <c r="M52" i="2"/>
  <c r="P52" i="2"/>
  <c r="K11" i="5"/>
  <c r="E3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M27" i="2"/>
  <c r="P27" i="2"/>
  <c r="O27" i="2"/>
  <c r="N27" i="2"/>
  <c r="F33" i="2"/>
  <c r="C33" i="2"/>
  <c r="D33" i="2"/>
  <c r="G28" i="2"/>
  <c r="E26" i="2"/>
  <c r="D26" i="2"/>
  <c r="C26" i="2"/>
  <c r="F26" i="2"/>
  <c r="F28" i="2"/>
  <c r="F49" i="2"/>
  <c r="F51" i="2" s="1"/>
  <c r="F43" i="2"/>
  <c r="F46" i="2" s="1"/>
  <c r="D28" i="2"/>
  <c r="E28" i="2"/>
  <c r="C28" i="2"/>
  <c r="C49" i="2"/>
  <c r="C51" i="2" s="1"/>
  <c r="C52" i="2" s="1"/>
  <c r="D49" i="2"/>
  <c r="E43" i="2"/>
  <c r="E46" i="2" s="1"/>
  <c r="T27" i="2" l="1"/>
  <c r="T32" i="2"/>
  <c r="S21" i="2"/>
  <c r="S32" i="2"/>
  <c r="S27" i="2"/>
  <c r="F52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4" i="2"/>
  <c r="E34" i="2"/>
  <c r="F34" i="2"/>
  <c r="D34" i="2"/>
  <c r="E49" i="2"/>
  <c r="E51" i="2" s="1"/>
  <c r="E52" i="2" s="1"/>
  <c r="D51" i="2"/>
  <c r="D52" i="2" s="1"/>
  <c r="D21" i="2" l="1"/>
  <c r="C27" i="2"/>
  <c r="F21" i="2"/>
  <c r="G32" i="2" s="1"/>
  <c r="F27" i="2"/>
  <c r="D27" i="2" l="1"/>
  <c r="E21" i="2"/>
  <c r="E32" i="2" s="1"/>
  <c r="C21" i="2"/>
  <c r="C32" i="2" s="1"/>
  <c r="E27" i="2"/>
  <c r="C11" i="1" s="1"/>
  <c r="D32" i="2" l="1"/>
  <c r="F32" i="2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<sst xmlns="http://schemas.openxmlformats.org/spreadsheetml/2006/main" count="252" uniqueCount="216">
  <si>
    <t>Price</t>
  </si>
  <si>
    <t>Shares</t>
  </si>
  <si>
    <t>MC</t>
  </si>
  <si>
    <t>CASH</t>
  </si>
  <si>
    <t>DEBT</t>
  </si>
  <si>
    <t>EV</t>
  </si>
  <si>
    <t>Q123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</si>
  <si>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</si>
  <si>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</si>
  <si>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</si>
  <si>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</si>
  <si>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</si>
  <si>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</si>
  <si>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</si>
  <si>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</si>
  <si>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</si>
  <si>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</si>
  <si>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</si>
  <si>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</si>
  <si>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</si>
  <si>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</si>
  <si>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</si>
  <si>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</si>
  <si>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</si>
  <si>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</si>
  <si>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</si>
  <si>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</si>
  <si>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</si>
  <si>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</si>
  <si>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</si>
  <si>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</si>
  <si>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</si>
  <si>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</si>
  <si>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</si>
  <si>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</si>
  <si>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</si>
  <si>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</si>
  <si>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</si>
  <si>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</si>
  <si>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</si>
  <si>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</si>
  <si>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</si>
  <si>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</si>
  <si>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</si>
  <si>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</si>
  <si>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</si>
  <si>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</si>
  <si>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</si>
  <si>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</si>
  <si>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</si>
  <si>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</si>
  <si>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</si>
  <si>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</si>
  <si>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</si>
  <si>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</si>
  <si>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</si>
  <si>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</si>
  <si>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</si>
  <si>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</si>
  <si>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</si>
  <si>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</si>
  <si>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</si>
  <si>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</si>
  <si>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</si>
  <si>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</si>
  <si>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</si>
  <si>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</si>
  <si>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</si>
  <si>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</si>
  <si>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</si>
  <si>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</si>
  <si>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</si>
  <si>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</si>
  <si>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</si>
  <si>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</si>
  <si>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</si>
  <si>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</si>
  <si>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</si>
  <si>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</si>
  <si>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</si>
  <si>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</si>
  <si>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</si>
  <si>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</si>
  <si>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</si>
  <si>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</si>
  <si>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</si>
  <si>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</si>
  <si>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</si>
  <si>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</si>
  <si>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</si>
  <si>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</si>
  <si>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</si>
  <si>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</si>
  <si>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</si>
  <si>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</si>
  <si>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</si>
  <si>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</si>
  <si>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</si>
  <si>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</si>
  <si>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</si>
  <si>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</si>
  <si>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</si>
  <si>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</si>
  <si>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</si>
  <si>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</si>
  <si>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</si>
  <si>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</si>
  <si>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</si>
  <si>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</si>
  <si>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</si>
  <si>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</si>
  <si>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</si>
  <si>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</si>
  <si>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</si>
  <si>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</si>
  <si>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</si>
  <si>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</si>
  <si>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</si>
  <si>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</si>
  <si>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</si>
  <si>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</si>
  <si>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</si>
  <si>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</si>
  <si>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</si>
  <si>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</si>
  <si>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</si>
  <si>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Net Income before Tax</t>
  </si>
  <si>
    <t>ALAB</t>
  </si>
  <si>
    <t>EPS Growth</t>
  </si>
  <si>
    <t>Q324</t>
  </si>
  <si>
    <t>Q424</t>
  </si>
  <si>
    <t>MS</t>
  </si>
  <si>
    <t>Inventory</t>
  </si>
  <si>
    <t>Accrued Expense</t>
  </si>
  <si>
    <t>S&amp;M</t>
  </si>
  <si>
    <t>Interest Income</t>
  </si>
  <si>
    <t>FMR, LLC</t>
  </si>
  <si>
    <t>14.91%</t>
  </si>
  <si>
    <t>Intel Corporation</t>
  </si>
  <si>
    <t>3.77%</t>
  </si>
  <si>
    <t>Atreides Management, LP</t>
  </si>
  <si>
    <t>1.77%</t>
  </si>
  <si>
    <t>Vanguard Group Inc</t>
  </si>
  <si>
    <t>1.28%</t>
  </si>
  <si>
    <t>Blackrock Inc.</t>
  </si>
  <si>
    <t>0.95%</t>
  </si>
  <si>
    <t>Invesco Ltd.</t>
  </si>
  <si>
    <t>0.92%</t>
  </si>
  <si>
    <t>JP Morgan Chase &amp; Company</t>
  </si>
  <si>
    <t>0.91%</t>
  </si>
  <si>
    <t>Goldman Sachs Group Inc</t>
  </si>
  <si>
    <t>0.66%</t>
  </si>
  <si>
    <t>Maverick Capital Ltd.</t>
  </si>
  <si>
    <t>0.64%</t>
  </si>
  <si>
    <t>Summit Partners Public Asset Management LLC</t>
  </si>
  <si>
    <t>0.60%</t>
  </si>
  <si>
    <t>ALBA MANUELDirector</t>
  </si>
  <si>
    <t>DYCKERHOFF STEFAN ADirector and Beneficial Owner of more than 10% of a Class of Security</t>
  </si>
  <si>
    <t>GAJENDRA SANJAYPresident</t>
  </si>
  <si>
    <t>HURLSTON MICHAEL EDirector</t>
  </si>
  <si>
    <t>LAZAR JACK RDirector</t>
  </si>
  <si>
    <t>MAYER BETHANY JDirector</t>
  </si>
  <si>
    <t>MAZZARA PHILIPGeneral Counsel</t>
  </si>
  <si>
    <t>MOHAN JITENDRAChief Executive Officer</t>
  </si>
  <si>
    <t>SUTTER HILL VENTURESBeneficial Owner of more than 10% of a Class of Security</t>
  </si>
  <si>
    <t>TATE MICHAEL TRUETTChief Financial Officer</t>
  </si>
  <si>
    <t>-</t>
  </si>
  <si>
    <t>GAAP EPS</t>
  </si>
  <si>
    <t>SBC</t>
  </si>
  <si>
    <t>Non-Gap Net Income</t>
  </si>
  <si>
    <t>Non Gap EPS</t>
  </si>
  <si>
    <t>Geographic Revenues</t>
  </si>
  <si>
    <t>Taiwan</t>
  </si>
  <si>
    <t>United States</t>
  </si>
  <si>
    <t>Netherlands</t>
  </si>
  <si>
    <t>Total</t>
  </si>
  <si>
    <t>Mr. Jitendra Mohan</t>
  </si>
  <si>
    <t>Co-Founder, CEO &amp; Executive Director</t>
  </si>
  <si>
    <t>Mr. Philip Mazzara</t>
  </si>
  <si>
    <t>General Counsel &amp; Secretary</t>
  </si>
  <si>
    <t>Mr. Sanjay Gajendra</t>
  </si>
  <si>
    <t>Co-Founder, President, COO &amp; Director</t>
  </si>
  <si>
    <t>Mr. Casey Morrison</t>
  </si>
  <si>
    <t>Co-Founder &amp; Chief Product Officer</t>
  </si>
  <si>
    <t>Mr. Michael T. Tate CPA</t>
  </si>
  <si>
    <t>Chief Financial Officer</t>
  </si>
  <si>
    <t>Mr. Nicholas H. Aberle</t>
  </si>
  <si>
    <t>VP, Treasurer &amp; Head of Investor Relations</t>
  </si>
  <si>
    <t>Mr. Kelvin Khoo</t>
  </si>
  <si>
    <t>Senior Vice President of Corporate Development</t>
  </si>
  <si>
    <t>Mr. Patrick Henderson</t>
  </si>
  <si>
    <t>Senior Vice President of Sales</t>
  </si>
  <si>
    <t>Ms. Paroma Sen</t>
  </si>
  <si>
    <t>Vice president of Corporate Marketing</t>
  </si>
  <si>
    <t>Mr. Kush Saxena</t>
  </si>
  <si>
    <t>Chief Human Resources Officer</t>
  </si>
  <si>
    <t>Ex Texas Instruments</t>
  </si>
  <si>
    <t>Ex Net Iwas that was exited to Broadcom</t>
  </si>
  <si>
    <t>Astera Labs, Inc. designs, manufactures, and sells semiconductor-based connectivity solutions for cloud and AI infrastructure. Its Intelligent Connectivity Platform is comprised of a portfolio of data, network, and memory connectivity products, which are built on a unifying software-defined architecture that enables customers to deploy and operate high performance cloud and AI infrastructure at scale. The company was incorporated in 2017 and is based in Santa Clara, California.</t>
  </si>
  <si>
    <t>Rückenwind von Analysten-Upgrades</t>
  </si>
  <si>
    <t>Sehr abhängig von Taiwan</t>
  </si>
  <si>
    <t>Sehr abhängig von einzelnen großen Kunden</t>
  </si>
  <si>
    <t>China</t>
  </si>
  <si>
    <t>Q125</t>
  </si>
  <si>
    <t>Q225</t>
  </si>
  <si>
    <t>FY26</t>
  </si>
  <si>
    <t>Shares (diluted)</t>
  </si>
  <si>
    <t>Sell</t>
  </si>
  <si>
    <t>Underperform</t>
  </si>
  <si>
    <t>Hold</t>
  </si>
  <si>
    <t>Buy</t>
  </si>
  <si>
    <t>Strong buy</t>
  </si>
  <si>
    <t>Price Targets</t>
  </si>
  <si>
    <t>Goldman Sachs</t>
  </si>
  <si>
    <t>Wells Fargo</t>
  </si>
  <si>
    <t>TD Cowen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</si>
</sst>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%"/>
    <numFmt numFmtId="166" formatCode="0.0000"/>
    <numFmt numFmtId="167" formatCode="0.0"/>
    <numFmt numFmtId="168" formatCode="[$-407]mmm/\ 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32A31"/>
      <name val="Arial"/>
      <family val="2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8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2" fontId="2" fillId="3" borderId="2" xfId="0" applyNumberFormat="1" applyFont="1" applyFill="1" applyBorder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9" fontId="5" fillId="0" borderId="2" xfId="1" applyFont="1" applyBorder="1"/>
    <xf numFmtId="2" fontId="2" fillId="0" borderId="0" xfId="0" applyNumberFormat="1" applyFont="1" applyAlignment="1">
      <alignment horizontal="right"/>
    </xf>
    <xf numFmtId="4" fontId="2" fillId="0" borderId="0" xfId="0" applyNumberFormat="1" applyFont="1"/>
    <xf numFmtId="4" fontId="5" fillId="0" borderId="0" xfId="0" applyNumberFormat="1" applyFont="1"/>
    <xf numFmtId="4" fontId="0" fillId="0" borderId="0" xfId="0" applyNumberFormat="1"/>
    <xf numFmtId="0" fontId="14" fillId="12" borderId="0" xfId="0" applyFont="1" applyFill="1" applyAlignment="1">
      <alignment horizontal="right" vertical="center"/>
    </xf>
    <xf numFmtId="0" fontId="5" fillId="13" borderId="0" xfId="0" applyFont="1" applyFill="1"/>
    <xf numFmtId="2" fontId="2" fillId="13" borderId="0" xfId="0" applyNumberFormat="1" applyFont="1" applyFill="1"/>
    <xf numFmtId="0" fontId="6" fillId="13" borderId="0" xfId="0" applyFont="1" applyFill="1"/>
    <xf numFmtId="0" fontId="2" fillId="13" borderId="0" xfId="0" applyFont="1" applyFill="1"/>
    <xf numFmtId="2" fontId="5" fillId="13" borderId="0" xfId="0" applyNumberFormat="1" applyFont="1" applyFill="1"/>
    <xf numFmtId="2" fontId="2" fillId="13" borderId="0" xfId="0" applyNumberFormat="1" applyFont="1" applyFill="1" applyAlignment="1">
      <alignment horizontal="right"/>
    </xf>
    <xf numFmtId="2" fontId="2" fillId="13" borderId="2" xfId="0" applyNumberFormat="1" applyFont="1" applyFill="1" applyBorder="1" applyAlignment="1">
      <alignment horizontal="right"/>
    </xf>
    <xf numFmtId="0" fontId="15" fillId="0" borderId="0" xfId="0" applyFont="1"/>
    <xf numFmtId="167" fontId="0" fillId="0" borderId="0" xfId="0" applyNumberFormat="1"/>
    <xf numFmtId="167" fontId="0" fillId="0" borderId="2" xfId="0" applyNumberForma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167" fontId="0" fillId="0" borderId="0" xfId="0" applyNumberFormat="1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/>
    <xf numFmtId="2" fontId="2" fillId="13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2" fontId="2" fillId="3" borderId="0" xfId="0" applyNumberFormat="1" applyFont="1" applyFill="1" applyBorder="1"/>
    <xf numFmtId="2" fontId="2" fillId="13" borderId="0" xfId="0" applyNumberFormat="1" applyFont="1" applyFill="1" applyBorder="1"/>
    <xf numFmtId="10" fontId="2" fillId="0" borderId="0" xfId="1" applyNumberFormat="1" applyFont="1" applyBorder="1"/>
    <xf numFmtId="3" fontId="5" fillId="6" borderId="2" xfId="0" applyNumberFormat="1" applyFont="1" applyFill="1" applyBorder="1"/>
    <xf numFmtId="3" fontId="5" fillId="0" borderId="2" xfId="0" applyNumberFormat="1" applyFont="1" applyBorder="1"/>
    <xf numFmtId="2" fontId="6" fillId="13" borderId="2" xfId="0" applyNumberFormat="1" applyFont="1" applyFill="1" applyBorder="1"/>
    <xf numFmtId="2" fontId="6" fillId="6" borderId="2" xfId="0" applyNumberFormat="1" applyFont="1" applyFill="1" applyBorder="1"/>
    <xf numFmtId="9" fontId="5" fillId="6" borderId="2" xfId="1" applyFont="1" applyFill="1" applyBorder="1"/>
    <xf numFmtId="9" fontId="5" fillId="6" borderId="2" xfId="0" applyNumberFormat="1" applyFont="1" applyFill="1" applyBorder="1"/>
    <xf numFmtId="1" fontId="0" fillId="0" borderId="2" xfId="0" applyNumberFormat="1" applyBorder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6" borderId="0" xfId="0" applyFill="1"/>
    <xf numFmtId="0" fontId="2" fillId="6" borderId="0" xfId="0" applyFont="1" applyFill="1"/>
    <xf numFmtId="168" fontId="0" fillId="0" borderId="0" xfId="0" applyNumberForma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Model!$M$2:$Q$2</c:f>
              <c:strCache>
                <c:ptCount val="5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  <c:pt idx="3">
                  <c:v>Q423</c:v>
                </c:pt>
                <c:pt idx="4">
                  <c:v>Q124</c:v>
                </c:pt>
              </c:strCache>
            </c:strRef>
          </c:cat>
          <c:val>
            <c:numRef>
              <c:f>Model!$M$8:$Q$8</c:f>
              <c:numCache>
                <c:formatCode>#,##0</c:formatCode>
                <c:ptCount val="5"/>
                <c:pt idx="0">
                  <c:v>17.664000000000001</c:v>
                </c:pt>
                <c:pt idx="1">
                  <c:v>10.687999999999999</c:v>
                </c:pt>
                <c:pt idx="2">
                  <c:v>36.927999999999997</c:v>
                </c:pt>
                <c:pt idx="3">
                  <c:v>50.51400000000001</c:v>
                </c:pt>
                <c:pt idx="4">
                  <c:v>65.257999999999996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Model!$M$28:$Q$28</c:f>
              <c:numCache>
                <c:formatCode>0%</c:formatCode>
                <c:ptCount val="5"/>
                <c:pt idx="4">
                  <c:v>2.6944067028985503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7-4043-9EFA-38773737EDD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Model!$C$8:$H$8</c:f>
              <c:numCache>
                <c:formatCode>#,##0</c:formatCode>
                <c:ptCount val="6"/>
                <c:pt idx="2">
                  <c:v>79.872</c:v>
                </c:pt>
                <c:pt idx="3">
                  <c:v>115.79400000000001</c:v>
                </c:pt>
                <c:pt idx="4">
                  <c:v>396.28999999999996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Model!$C$28:$H$28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0.44974459134615397</c:v>
                </c:pt>
                <c:pt idx="4">
                  <c:v>2.3090661001433577</c:v>
                </c:pt>
                <c:pt idx="5">
                  <c:v>0.76253360127358616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Model!$M$2:$Q$2</c:f>
              <c:strCache>
                <c:ptCount val="5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  <c:pt idx="3">
                  <c:v>Q423</c:v>
                </c:pt>
                <c:pt idx="4">
                  <c:v>Q124</c:v>
                </c:pt>
              </c:strCache>
            </c:strRef>
          </c:cat>
          <c:val>
            <c:numRef>
              <c:f>Model!$M$19:$Q$19</c:f>
              <c:numCache>
                <c:formatCode>#,##0</c:formatCode>
                <c:ptCount val="5"/>
                <c:pt idx="0" formatCode="#,##0.00">
                  <c:v>-17.245999999999999</c:v>
                </c:pt>
                <c:pt idx="1">
                  <c:v>-20.216000000000001</c:v>
                </c:pt>
                <c:pt idx="2">
                  <c:v>-3.1240000000000041</c:v>
                </c:pt>
                <c:pt idx="3">
                  <c:v>14.32900000000001</c:v>
                </c:pt>
                <c:pt idx="4">
                  <c:v>-93.313000000000002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Model!$M$26:$Q$26</c:f>
              <c:numCache>
                <c:formatCode>0%</c:formatCode>
                <c:ptCount val="5"/>
                <c:pt idx="0">
                  <c:v>0.24105525362318847</c:v>
                </c:pt>
                <c:pt idx="1">
                  <c:v>0.7895770958083832</c:v>
                </c:pt>
                <c:pt idx="2">
                  <c:v>0.76107560658578854</c:v>
                </c:pt>
                <c:pt idx="3">
                  <c:v>0.77255810270420089</c:v>
                </c:pt>
                <c:pt idx="4">
                  <c:v>0.7741579576450397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-58.345000000000006</c:v>
                </c:pt>
                <c:pt idx="3">
                  <c:v>-26.256999999999987</c:v>
                </c:pt>
                <c:pt idx="4">
                  <c:v>-83.421000000000035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Model!$C$32:$H$32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-0.58584538727707347</c:v>
                </c:pt>
                <c:pt idx="4">
                  <c:v>-0.10127273774233747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Model!$B$29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Model!$M$2:$O$2</c:f>
              <c:strCache>
                <c:ptCount val="3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</c:strCache>
            </c:strRef>
          </c:cat>
          <c:val>
            <c:numRef>
              <c:f>Model!$M$29:$O$29</c:f>
              <c:numCache>
                <c:formatCode>0%</c:formatCode>
                <c:ptCount val="3"/>
                <c:pt idx="0">
                  <c:v>0.24869791666666663</c:v>
                </c:pt>
                <c:pt idx="1">
                  <c:v>0.47688997005988032</c:v>
                </c:pt>
                <c:pt idx="2">
                  <c:v>0.14912803292894281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Model!$B$30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Model!$M$30:$P$30</c:f>
              <c:numCache>
                <c:formatCode>0%</c:formatCode>
                <c:ptCount val="4"/>
                <c:pt idx="0">
                  <c:v>0.86430027173913038</c:v>
                </c:pt>
                <c:pt idx="1">
                  <c:v>1.6710329341317367</c:v>
                </c:pt>
                <c:pt idx="2">
                  <c:v>0.55854636048526873</c:v>
                </c:pt>
                <c:pt idx="3">
                  <c:v>0.38908025497881754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Model!$M$31:$P$31</c:f>
              <c:numCache>
                <c:formatCode>0%</c:formatCode>
                <c:ptCount val="4"/>
                <c:pt idx="0">
                  <c:v>0.19955842391304346</c:v>
                </c:pt>
                <c:pt idx="1">
                  <c:v>0.28957709580838326</c:v>
                </c:pt>
                <c:pt idx="2">
                  <c:v>0.10693782495667245</c:v>
                </c:pt>
                <c:pt idx="3">
                  <c:v>0.10603001148196538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Model!$B$29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Model!$C$29:$F$29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0.30557642227564102</c:v>
                </c:pt>
                <c:pt idx="3">
                  <c:v>0.17265143271672106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Model!$B$30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Model!$C$30:$F$30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0.92286408253205121</c:v>
                </c:pt>
                <c:pt idx="3">
                  <c:v>0.63394476397740807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Model!$C$31:$F$31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0.25987830528846156</c:v>
                </c:pt>
                <c:pt idx="3">
                  <c:v>0.13752871478660378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CB5-48BF-8766-E0273FF748A0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CB5-48BF-8766-E0273FF748A0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5-48BF-8766-E0273FF748A0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B5-48BF-8766-E0273FF748A0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B5-48BF-8766-E0273FF74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0D9-932B-72450ABF26FC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6-40D9-932B-72450ABF26FC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  <c:pt idx="7">
                  <c:v>40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6-40D9-932B-72450ABF2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GAAP 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109537</xdr:rowOff>
    </xdr:from>
    <xdr:to>
      <xdr:col>7</xdr:col>
      <xdr:colOff>609599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B6DD2-D2AF-419A-AFEA-8EA8EE387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B2BA8-F836-46A5-B7A4-4DD5CBD92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x_template.xlsx" TargetMode="External"/><Relationship Id="rId1" Type="http://schemas.openxmlformats.org/officeDocument/2006/relationships/externalLinkPath" Target="/Users/simon/Documents/models/x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nalysts"/>
      <sheetName val="Model-graph"/>
      <sheetName val="KPIs"/>
      <sheetName val="Catalysts"/>
      <sheetName val="DoR"/>
    </sheetNames>
    <sheetDataSet>
      <sheetData sheetId="0"/>
      <sheetData sheetId="1"/>
      <sheetData sheetId="2">
        <row r="1">
          <cell r="B1">
            <v>45413</v>
          </cell>
          <cell r="C1">
            <v>45444</v>
          </cell>
          <cell r="D1">
            <v>45474</v>
          </cell>
          <cell r="E1">
            <v>45505</v>
          </cell>
          <cell r="F1">
            <v>45536</v>
          </cell>
          <cell r="G1">
            <v>45566</v>
          </cell>
          <cell r="H1">
            <v>45597</v>
          </cell>
          <cell r="I1">
            <v>45627</v>
          </cell>
          <cell r="J1">
            <v>45658</v>
          </cell>
          <cell r="K1">
            <v>45689</v>
          </cell>
          <cell r="L1">
            <v>45717</v>
          </cell>
        </row>
        <row r="2">
          <cell r="A2" t="str">
            <v>Sell</v>
          </cell>
          <cell r="I2">
            <v>3</v>
          </cell>
          <cell r="J2">
            <v>3</v>
          </cell>
          <cell r="K2">
            <v>3</v>
          </cell>
        </row>
        <row r="3">
          <cell r="A3" t="str">
            <v>Underperform</v>
          </cell>
          <cell r="I3">
            <v>1</v>
          </cell>
          <cell r="J3">
            <v>1</v>
          </cell>
          <cell r="K3">
            <v>1</v>
          </cell>
        </row>
        <row r="4">
          <cell r="A4" t="str">
            <v>Hold</v>
          </cell>
          <cell r="I4">
            <v>3</v>
          </cell>
          <cell r="J4">
            <v>3</v>
          </cell>
          <cell r="K4">
            <v>3</v>
          </cell>
        </row>
        <row r="5">
          <cell r="A5" t="str">
            <v>Buy</v>
          </cell>
          <cell r="I5">
            <v>3</v>
          </cell>
          <cell r="J5">
            <v>3</v>
          </cell>
          <cell r="K5">
            <v>3</v>
          </cell>
        </row>
        <row r="6">
          <cell r="A6" t="str">
            <v>Strong buy</v>
          </cell>
          <cell r="I6">
            <v>2</v>
          </cell>
          <cell r="J6">
            <v>2</v>
          </cell>
          <cell r="K6">
            <v>2</v>
          </cell>
        </row>
        <row r="10">
          <cell r="A10" t="str">
            <v>Goldman Sachs</v>
          </cell>
          <cell r="I10">
            <v>80</v>
          </cell>
          <cell r="J10">
            <v>80</v>
          </cell>
          <cell r="K10">
            <v>80</v>
          </cell>
        </row>
        <row r="11">
          <cell r="A11" t="str">
            <v>Wells Fargo</v>
          </cell>
          <cell r="I11">
            <v>90</v>
          </cell>
          <cell r="J11">
            <v>90</v>
          </cell>
          <cell r="K11">
            <v>90</v>
          </cell>
        </row>
        <row r="12">
          <cell r="A12" t="str">
            <v>TD Cowen</v>
          </cell>
          <cell r="I12">
            <v>40</v>
          </cell>
          <cell r="J12">
            <v>40</v>
          </cell>
          <cell r="K12">
            <v>60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E18" sqref="E1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 t="s">
        <v>127</v>
      </c>
      <c r="C2" s="19"/>
      <c r="E2" s="24" t="s">
        <v>39</v>
      </c>
      <c r="F2" s="58" t="s">
        <v>40</v>
      </c>
      <c r="G2" s="25"/>
      <c r="H2" s="26" t="s">
        <v>47</v>
      </c>
      <c r="I2" s="26" t="s">
        <v>1</v>
      </c>
      <c r="J2" s="27" t="s">
        <v>40</v>
      </c>
      <c r="L2" s="29" t="s">
        <v>33</v>
      </c>
      <c r="M2" s="30" t="s">
        <v>49</v>
      </c>
      <c r="N2" s="31" t="s">
        <v>48</v>
      </c>
    </row>
    <row r="3" spans="2:14" x14ac:dyDescent="0.25">
      <c r="B3" s="5" t="s">
        <v>32</v>
      </c>
      <c r="C3" s="20">
        <v>45707</v>
      </c>
      <c r="E3" s="5" t="s">
        <v>136</v>
      </c>
      <c r="F3" s="126" t="s">
        <v>137</v>
      </c>
      <c r="H3" t="s">
        <v>156</v>
      </c>
      <c r="I3" s="10" t="s">
        <v>166</v>
      </c>
      <c r="J3" s="37"/>
      <c r="L3" s="5" t="s">
        <v>176</v>
      </c>
      <c r="M3" t="s">
        <v>177</v>
      </c>
      <c r="N3" s="36" t="s">
        <v>196</v>
      </c>
    </row>
    <row r="4" spans="2:14" x14ac:dyDescent="0.25">
      <c r="B4" s="5"/>
      <c r="C4" s="21">
        <v>0.75208333333333333</v>
      </c>
      <c r="E4" s="5" t="s">
        <v>138</v>
      </c>
      <c r="F4" s="126" t="s">
        <v>139</v>
      </c>
      <c r="H4" t="s">
        <v>157</v>
      </c>
      <c r="I4" s="10" t="s">
        <v>166</v>
      </c>
      <c r="J4" s="37"/>
      <c r="L4" s="5" t="s">
        <v>178</v>
      </c>
      <c r="M4" t="s">
        <v>179</v>
      </c>
      <c r="N4" s="13"/>
    </row>
    <row r="5" spans="2:14" x14ac:dyDescent="0.25">
      <c r="B5" s="5"/>
      <c r="C5" s="13"/>
      <c r="E5" s="5" t="s">
        <v>140</v>
      </c>
      <c r="F5" s="126" t="s">
        <v>141</v>
      </c>
      <c r="H5" t="s">
        <v>158</v>
      </c>
      <c r="I5" s="10" t="s">
        <v>166</v>
      </c>
      <c r="J5" s="37"/>
      <c r="L5" s="5" t="s">
        <v>180</v>
      </c>
      <c r="M5" t="s">
        <v>181</v>
      </c>
      <c r="N5" s="36" t="s">
        <v>196</v>
      </c>
    </row>
    <row r="6" spans="2:14" x14ac:dyDescent="0.25">
      <c r="B6" s="5" t="s">
        <v>0</v>
      </c>
      <c r="C6" s="13">
        <v>89.2</v>
      </c>
      <c r="E6" s="5" t="s">
        <v>142</v>
      </c>
      <c r="F6" s="126" t="s">
        <v>143</v>
      </c>
      <c r="H6" t="s">
        <v>159</v>
      </c>
      <c r="I6" s="10">
        <v>161.74700000000001</v>
      </c>
      <c r="J6" s="37"/>
      <c r="L6" s="5" t="s">
        <v>182</v>
      </c>
      <c r="M6" t="s">
        <v>183</v>
      </c>
      <c r="N6" s="36" t="s">
        <v>196</v>
      </c>
    </row>
    <row r="7" spans="2:14" x14ac:dyDescent="0.25">
      <c r="B7" s="5" t="s">
        <v>1</v>
      </c>
      <c r="C7" s="15">
        <f>Model!T20</f>
        <v>157</v>
      </c>
      <c r="E7" s="5" t="s">
        <v>144</v>
      </c>
      <c r="F7" s="126" t="s">
        <v>145</v>
      </c>
      <c r="H7" t="s">
        <v>160</v>
      </c>
      <c r="I7" s="10">
        <v>165</v>
      </c>
      <c r="J7" s="37"/>
      <c r="L7" s="5" t="s">
        <v>184</v>
      </c>
      <c r="M7" t="s">
        <v>185</v>
      </c>
      <c r="N7" s="13" t="s">
        <v>197</v>
      </c>
    </row>
    <row r="8" spans="2:14" x14ac:dyDescent="0.25">
      <c r="B8" s="5" t="s">
        <v>2</v>
      </c>
      <c r="C8" s="15">
        <f>C6*C7</f>
        <v>14004.4</v>
      </c>
      <c r="E8" s="5" t="s">
        <v>146</v>
      </c>
      <c r="F8" s="126" t="s">
        <v>147</v>
      </c>
      <c r="H8" t="s">
        <v>161</v>
      </c>
      <c r="I8" s="10">
        <v>4.5730000000000004</v>
      </c>
      <c r="J8" s="37"/>
      <c r="L8" s="5" t="s">
        <v>186</v>
      </c>
      <c r="M8" t="s">
        <v>187</v>
      </c>
      <c r="N8" s="13"/>
    </row>
    <row r="9" spans="2:14" x14ac:dyDescent="0.25">
      <c r="B9" s="5" t="s">
        <v>3</v>
      </c>
      <c r="C9" s="15">
        <f>Model!T38+Model!T39</f>
        <v>914.30100000000004</v>
      </c>
      <c r="E9" s="5" t="s">
        <v>148</v>
      </c>
      <c r="F9" s="126" t="s">
        <v>149</v>
      </c>
      <c r="H9" t="s">
        <v>162</v>
      </c>
      <c r="I9" s="10">
        <v>325.47399999999999</v>
      </c>
      <c r="J9" s="37"/>
      <c r="L9" s="5" t="s">
        <v>188</v>
      </c>
      <c r="M9" t="s">
        <v>189</v>
      </c>
      <c r="N9" s="13"/>
    </row>
    <row r="10" spans="2:14" x14ac:dyDescent="0.25">
      <c r="B10" s="5" t="s">
        <v>4</v>
      </c>
      <c r="C10" s="15">
        <v>0</v>
      </c>
      <c r="E10" s="5" t="s">
        <v>150</v>
      </c>
      <c r="F10" s="126" t="s">
        <v>151</v>
      </c>
      <c r="H10" t="s">
        <v>163</v>
      </c>
      <c r="I10" s="10" t="s">
        <v>166</v>
      </c>
      <c r="J10" s="37"/>
      <c r="L10" s="5" t="s">
        <v>190</v>
      </c>
      <c r="M10" t="s">
        <v>191</v>
      </c>
      <c r="N10" s="13"/>
    </row>
    <row r="11" spans="2:14" x14ac:dyDescent="0.25">
      <c r="B11" s="5" t="s">
        <v>27</v>
      </c>
      <c r="C11" s="15">
        <f>C9-C10</f>
        <v>914.30100000000004</v>
      </c>
      <c r="E11" s="5" t="s">
        <v>152</v>
      </c>
      <c r="F11" s="126" t="s">
        <v>153</v>
      </c>
      <c r="H11" t="s">
        <v>164</v>
      </c>
      <c r="I11" s="10" t="s">
        <v>166</v>
      </c>
      <c r="J11" s="37"/>
      <c r="L11" s="5" t="s">
        <v>192</v>
      </c>
      <c r="M11" t="s">
        <v>193</v>
      </c>
      <c r="N11" s="13"/>
    </row>
    <row r="12" spans="2:14" x14ac:dyDescent="0.25">
      <c r="B12" s="5" t="s">
        <v>5</v>
      </c>
      <c r="C12" s="15">
        <f>C8-C9+C10</f>
        <v>13090.099</v>
      </c>
      <c r="E12" s="5" t="s">
        <v>154</v>
      </c>
      <c r="F12" s="126" t="s">
        <v>155</v>
      </c>
      <c r="H12" t="s">
        <v>165</v>
      </c>
      <c r="I12" t="s">
        <v>166</v>
      </c>
      <c r="J12" s="13"/>
      <c r="L12" s="5" t="s">
        <v>194</v>
      </c>
      <c r="M12" t="s">
        <v>195</v>
      </c>
      <c r="N12" s="13"/>
    </row>
    <row r="13" spans="2:14" x14ac:dyDescent="0.25">
      <c r="B13" s="5" t="s">
        <v>38</v>
      </c>
      <c r="C13" s="35">
        <f>C6/Model!G21</f>
        <v>-140.35519113892178</v>
      </c>
      <c r="E13" s="5"/>
      <c r="J13" s="13"/>
      <c r="L13" s="5"/>
      <c r="N13" s="13"/>
    </row>
    <row r="14" spans="2:14" x14ac:dyDescent="0.25">
      <c r="B14" s="5" t="s">
        <v>36</v>
      </c>
      <c r="C14" s="35">
        <f>C6/Model!H25</f>
        <v>70.793650793650798</v>
      </c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37</v>
      </c>
      <c r="C15" s="35">
        <f>C6/Model!I25</f>
        <v>51.860465116279073</v>
      </c>
    </row>
    <row r="16" spans="2:14" x14ac:dyDescent="0.25">
      <c r="B16" s="5" t="s">
        <v>34</v>
      </c>
      <c r="C16" s="6">
        <f>Model!H32</f>
        <v>1</v>
      </c>
    </row>
    <row r="17" spans="2:14" x14ac:dyDescent="0.25">
      <c r="B17" s="5" t="s">
        <v>35</v>
      </c>
      <c r="C17" s="6">
        <f>Model!I32</f>
        <v>0.36507936507936511</v>
      </c>
      <c r="E17" s="32" t="s">
        <v>45</v>
      </c>
      <c r="L17" s="137" t="s">
        <v>198</v>
      </c>
      <c r="M17" s="138"/>
      <c r="N17" s="139"/>
    </row>
    <row r="18" spans="2:14" x14ac:dyDescent="0.25">
      <c r="B18" s="5" t="s">
        <v>59</v>
      </c>
      <c r="C18" s="49">
        <f>C14/(C16*100)</f>
        <v>0.70793650793650797</v>
      </c>
      <c r="L18" s="140"/>
      <c r="M18" s="141"/>
      <c r="N18" s="142"/>
    </row>
    <row r="19" spans="2:14" x14ac:dyDescent="0.25">
      <c r="B19" s="5" t="s">
        <v>60</v>
      </c>
      <c r="C19" s="49">
        <f>C15/(C17*100)</f>
        <v>1.420525783619818</v>
      </c>
      <c r="L19" s="140"/>
      <c r="M19" s="141"/>
      <c r="N19" s="142"/>
    </row>
    <row r="20" spans="2:14" x14ac:dyDescent="0.25">
      <c r="B20" s="5" t="s">
        <v>71</v>
      </c>
      <c r="C20" s="6">
        <f>Model!H9/Model!G8-1</f>
        <v>0.7041812813848447</v>
      </c>
      <c r="L20" s="140"/>
      <c r="M20" s="141"/>
      <c r="N20" s="142"/>
    </row>
    <row r="21" spans="2:14" x14ac:dyDescent="0.25">
      <c r="B21" s="5" t="s">
        <v>72</v>
      </c>
      <c r="C21" s="6">
        <f>Model!I9/Model!H9-1</f>
        <v>0.31154216332272155</v>
      </c>
      <c r="L21" s="140"/>
      <c r="M21" s="141"/>
      <c r="N21" s="142"/>
    </row>
    <row r="22" spans="2:14" x14ac:dyDescent="0.25">
      <c r="B22" s="5" t="s">
        <v>61</v>
      </c>
      <c r="C22" s="15"/>
      <c r="L22" s="140"/>
      <c r="M22" s="141"/>
      <c r="N22" s="142"/>
    </row>
    <row r="23" spans="2:14" x14ac:dyDescent="0.25">
      <c r="B23" s="5" t="s">
        <v>12</v>
      </c>
      <c r="C23" s="15">
        <f>Model!G14</f>
        <v>-116.06600000000003</v>
      </c>
      <c r="L23" s="140"/>
      <c r="M23" s="141"/>
      <c r="N23" s="142"/>
    </row>
    <row r="24" spans="2:14" x14ac:dyDescent="0.25">
      <c r="B24" s="5" t="s">
        <v>22</v>
      </c>
      <c r="C24" s="7">
        <f>Model!T26</f>
        <v>0.83350758772231248</v>
      </c>
      <c r="L24" s="140"/>
      <c r="M24" s="141"/>
      <c r="N24" s="142"/>
    </row>
    <row r="25" spans="2:14" x14ac:dyDescent="0.25">
      <c r="B25" s="5" t="s">
        <v>23</v>
      </c>
      <c r="C25" s="7">
        <f>Model!T27</f>
        <v>0.27272627570779739</v>
      </c>
      <c r="L25" s="140"/>
      <c r="M25" s="141"/>
      <c r="N25" s="142"/>
    </row>
    <row r="26" spans="2:14" x14ac:dyDescent="0.25">
      <c r="B26" s="5" t="s">
        <v>62</v>
      </c>
      <c r="C26" s="35">
        <f>C12/C23</f>
        <v>-112.7815122430341</v>
      </c>
      <c r="L26" s="140"/>
      <c r="M26" s="141"/>
      <c r="N26" s="142"/>
    </row>
    <row r="27" spans="2:14" x14ac:dyDescent="0.25">
      <c r="B27" s="5" t="s">
        <v>73</v>
      </c>
      <c r="C27" s="118">
        <v>0</v>
      </c>
      <c r="E27" t="s">
        <v>64</v>
      </c>
      <c r="L27" s="140"/>
      <c r="M27" s="141"/>
      <c r="N27" s="142"/>
    </row>
    <row r="28" spans="2:14" x14ac:dyDescent="0.25">
      <c r="B28" s="5" t="s">
        <v>74</v>
      </c>
      <c r="C28" s="35">
        <v>0</v>
      </c>
      <c r="E28" t="s">
        <v>199</v>
      </c>
      <c r="L28" s="143"/>
      <c r="M28" s="144"/>
      <c r="N28" s="145"/>
    </row>
    <row r="29" spans="2:14" x14ac:dyDescent="0.25">
      <c r="B29" s="5" t="s">
        <v>75</v>
      </c>
      <c r="C29" s="35">
        <f>Model!R43/Model!R49</f>
        <v>13.909837216924444</v>
      </c>
      <c r="E29" t="s">
        <v>200</v>
      </c>
    </row>
    <row r="30" spans="2:14" x14ac:dyDescent="0.25">
      <c r="B30" s="5" t="s">
        <v>76</v>
      </c>
      <c r="C30" s="35">
        <f>(Model!R38+Model!R39+Model!R40)/Model!R49</f>
        <v>13.316498369047803</v>
      </c>
      <c r="E30" t="s">
        <v>201</v>
      </c>
    </row>
    <row r="31" spans="2:14" x14ac:dyDescent="0.25">
      <c r="B31" s="5" t="s">
        <v>77</v>
      </c>
      <c r="C31" s="6">
        <f>(Model!R43-Model!R49)/Model!R46</f>
        <v>0.90350458485114937</v>
      </c>
    </row>
    <row r="32" spans="2:14" x14ac:dyDescent="0.25">
      <c r="B32" s="5" t="s">
        <v>78</v>
      </c>
      <c r="C32" s="35"/>
    </row>
    <row r="33" spans="2:3" x14ac:dyDescent="0.25">
      <c r="B33" s="5" t="s">
        <v>79</v>
      </c>
      <c r="C33" s="35"/>
    </row>
    <row r="34" spans="2:3" x14ac:dyDescent="0.25">
      <c r="B34" s="5" t="s">
        <v>80</v>
      </c>
      <c r="C34" s="37"/>
    </row>
    <row r="35" spans="2:3" x14ac:dyDescent="0.25">
      <c r="B35" s="5" t="s">
        <v>81</v>
      </c>
      <c r="C35" s="37"/>
    </row>
    <row r="36" spans="2:3" x14ac:dyDescent="0.25">
      <c r="B36" s="22" t="s">
        <v>82</v>
      </c>
      <c r="C36" s="23"/>
    </row>
  </sheetData>
  <mergeCells count="1">
    <mergeCell ref="L17:N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V73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H33" sqref="H33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56"/>
    <col min="7" max="7" width="11.42578125" style="13"/>
    <col min="19" max="19" width="11.42578125" style="156"/>
    <col min="20" max="20" width="11.42578125" style="13"/>
  </cols>
  <sheetData>
    <row r="1" spans="1:22" x14ac:dyDescent="0.25">
      <c r="A1" s="8" t="s">
        <v>28</v>
      </c>
    </row>
    <row r="2" spans="1:22" x14ac:dyDescent="0.25">
      <c r="C2" t="s">
        <v>11</v>
      </c>
      <c r="D2" t="s">
        <v>7</v>
      </c>
      <c r="E2" t="s">
        <v>8</v>
      </c>
      <c r="F2" s="156" t="s">
        <v>9</v>
      </c>
      <c r="G2" s="13" t="s">
        <v>25</v>
      </c>
      <c r="H2" t="s">
        <v>58</v>
      </c>
      <c r="I2" t="s">
        <v>205</v>
      </c>
      <c r="M2" t="s">
        <v>6</v>
      </c>
      <c r="N2" t="s">
        <v>26</v>
      </c>
      <c r="O2" t="s">
        <v>30</v>
      </c>
      <c r="P2" t="s">
        <v>31</v>
      </c>
      <c r="Q2" t="s">
        <v>53</v>
      </c>
      <c r="R2" t="s">
        <v>57</v>
      </c>
      <c r="S2" s="156" t="s">
        <v>129</v>
      </c>
      <c r="T2" s="13" t="s">
        <v>130</v>
      </c>
      <c r="U2" t="s">
        <v>203</v>
      </c>
      <c r="V2" t="s">
        <v>204</v>
      </c>
    </row>
    <row r="3" spans="1:22" x14ac:dyDescent="0.25">
      <c r="B3" t="s">
        <v>172</v>
      </c>
      <c r="E3" s="176">
        <v>61.776000000000003</v>
      </c>
      <c r="F3" s="177">
        <v>72.174000000000007</v>
      </c>
      <c r="G3" s="175">
        <v>269.935</v>
      </c>
      <c r="M3" s="135">
        <v>9.734</v>
      </c>
      <c r="N3" s="135">
        <v>0.56899999999999995</v>
      </c>
      <c r="O3" s="135">
        <v>22.251999999999999</v>
      </c>
      <c r="P3" s="135">
        <f>F3-O3-N3-M3</f>
        <v>39.619000000000007</v>
      </c>
      <c r="Q3" s="135">
        <v>59.573</v>
      </c>
      <c r="R3" s="135">
        <v>63.954999999999998</v>
      </c>
      <c r="S3" s="157">
        <v>76.900999999999996</v>
      </c>
      <c r="T3" s="136">
        <f>G3-S3-R3-Q3</f>
        <v>69.506</v>
      </c>
    </row>
    <row r="4" spans="1:22" x14ac:dyDescent="0.25">
      <c r="B4" t="s">
        <v>202</v>
      </c>
      <c r="E4" s="176">
        <v>1.4870000000000001</v>
      </c>
      <c r="F4" s="177">
        <v>5.54</v>
      </c>
      <c r="G4" s="175">
        <v>72.671999999999997</v>
      </c>
      <c r="M4" s="135"/>
      <c r="N4" s="135"/>
      <c r="O4" s="135">
        <v>2.6389999999999998</v>
      </c>
      <c r="P4" s="135">
        <f t="shared" ref="P4:P7" si="0">F4-O4-N4-M4</f>
        <v>2.9010000000000002</v>
      </c>
      <c r="Q4" s="135"/>
      <c r="R4" s="135"/>
      <c r="S4" s="157">
        <v>16.507000000000001</v>
      </c>
      <c r="T4" s="136">
        <f t="shared" ref="T4:T7" si="1">G4-S4-R4-Q4</f>
        <v>56.164999999999992</v>
      </c>
    </row>
    <row r="5" spans="1:22" x14ac:dyDescent="0.25">
      <c r="B5" t="s">
        <v>173</v>
      </c>
      <c r="E5" s="176">
        <v>4.7789999999999999</v>
      </c>
      <c r="F5" s="177">
        <v>30.664000000000001</v>
      </c>
      <c r="G5" s="175">
        <v>11.295999999999999</v>
      </c>
      <c r="M5" s="135">
        <v>5.37</v>
      </c>
      <c r="N5" s="135">
        <v>6.2220000000000004</v>
      </c>
      <c r="O5" s="135">
        <v>11.441000000000001</v>
      </c>
      <c r="P5" s="135">
        <f t="shared" si="0"/>
        <v>7.6309999999999976</v>
      </c>
      <c r="Q5" s="135">
        <v>0</v>
      </c>
      <c r="R5" s="135">
        <v>4.4989999999999997</v>
      </c>
      <c r="S5" s="157">
        <v>5.3879999999999999</v>
      </c>
      <c r="T5" s="136">
        <f t="shared" si="1"/>
        <v>1.4089999999999998</v>
      </c>
    </row>
    <row r="6" spans="1:22" x14ac:dyDescent="0.25">
      <c r="B6" t="s">
        <v>174</v>
      </c>
      <c r="E6" s="176"/>
      <c r="F6" s="177"/>
      <c r="G6" s="175"/>
      <c r="M6" s="135">
        <v>2.5070000000000001</v>
      </c>
      <c r="N6" s="135">
        <v>2.4119999999999999</v>
      </c>
      <c r="O6" s="135"/>
      <c r="P6" s="135">
        <f t="shared" si="0"/>
        <v>-4.9190000000000005</v>
      </c>
      <c r="Q6" s="135">
        <v>0.85699999999999998</v>
      </c>
      <c r="R6" s="135">
        <v>0</v>
      </c>
      <c r="S6" s="157"/>
      <c r="T6" s="136">
        <f t="shared" si="1"/>
        <v>-0.85699999999999998</v>
      </c>
    </row>
    <row r="7" spans="1:22" x14ac:dyDescent="0.25">
      <c r="B7" t="s">
        <v>18</v>
      </c>
      <c r="E7" s="176">
        <v>11.83</v>
      </c>
      <c r="F7" s="178">
        <v>7.4160000000000004</v>
      </c>
      <c r="G7" s="175">
        <v>42.387</v>
      </c>
      <c r="M7" s="135">
        <v>5.2999999999999999E-2</v>
      </c>
      <c r="N7" s="135">
        <v>1.4850000000000001</v>
      </c>
      <c r="O7" s="135">
        <v>0.59599999999999997</v>
      </c>
      <c r="P7" s="135">
        <f t="shared" si="0"/>
        <v>5.282</v>
      </c>
      <c r="Q7" s="135">
        <v>4.8280000000000003</v>
      </c>
      <c r="R7" s="135">
        <v>8.3960000000000008</v>
      </c>
      <c r="S7" s="157">
        <f>11.972+2.318</f>
        <v>14.29</v>
      </c>
      <c r="T7" s="136">
        <f t="shared" si="1"/>
        <v>14.873000000000001</v>
      </c>
    </row>
    <row r="8" spans="1:22" s="1" customFormat="1" x14ac:dyDescent="0.25">
      <c r="B8" s="1" t="s">
        <v>10</v>
      </c>
      <c r="C8" s="11"/>
      <c r="D8" s="11"/>
      <c r="E8" s="159">
        <f>SUM(E3:E7)</f>
        <v>79.872</v>
      </c>
      <c r="F8" s="159">
        <f>SUM(F3:F7)</f>
        <v>115.79400000000001</v>
      </c>
      <c r="G8" s="14">
        <f>SUM(G3:G7)</f>
        <v>396.28999999999996</v>
      </c>
      <c r="H8" s="42"/>
      <c r="M8" s="11">
        <f t="shared" ref="M8:P8" si="2">SUM(M3:M7)</f>
        <v>17.664000000000001</v>
      </c>
      <c r="N8" s="11">
        <f t="shared" si="2"/>
        <v>10.687999999999999</v>
      </c>
      <c r="O8" s="11">
        <f t="shared" si="2"/>
        <v>36.927999999999997</v>
      </c>
      <c r="P8" s="11">
        <f t="shared" si="2"/>
        <v>50.51400000000001</v>
      </c>
      <c r="Q8" s="11">
        <f>SUM(Q3:Q7)</f>
        <v>65.257999999999996</v>
      </c>
      <c r="R8" s="11">
        <f>SUM(R3:R7)</f>
        <v>76.849999999999994</v>
      </c>
      <c r="S8" s="11">
        <f>SUM(S3:S7)</f>
        <v>113.08600000000001</v>
      </c>
      <c r="T8" s="14">
        <f>SUM(T3:T7)</f>
        <v>141.096</v>
      </c>
      <c r="U8" s="11">
        <f t="shared" ref="U8:V8" si="3">SUM(U3:U7)</f>
        <v>0</v>
      </c>
      <c r="V8" s="159">
        <f t="shared" si="3"/>
        <v>0</v>
      </c>
    </row>
    <row r="9" spans="1:22" x14ac:dyDescent="0.25">
      <c r="B9" s="9" t="s">
        <v>55</v>
      </c>
      <c r="C9" s="10"/>
      <c r="D9" s="10"/>
      <c r="E9" s="10"/>
      <c r="F9" s="158"/>
      <c r="G9" s="169">
        <v>383.17</v>
      </c>
      <c r="H9" s="41">
        <v>675.35</v>
      </c>
      <c r="I9" s="179">
        <v>885.75</v>
      </c>
      <c r="M9" s="124"/>
      <c r="N9" s="39"/>
      <c r="O9" s="39"/>
      <c r="P9" s="10"/>
      <c r="Q9" s="10">
        <v>56.7</v>
      </c>
      <c r="R9" s="10">
        <v>72.411000000000001</v>
      </c>
      <c r="S9" s="158">
        <v>95.66</v>
      </c>
      <c r="T9" s="15">
        <v>106.22</v>
      </c>
      <c r="U9" s="10">
        <v>151.4</v>
      </c>
      <c r="V9" s="158">
        <v>159.36000000000001</v>
      </c>
    </row>
    <row r="10" spans="1:22" s="1" customFormat="1" x14ac:dyDescent="0.25">
      <c r="B10" s="1" t="s">
        <v>50</v>
      </c>
      <c r="C10" s="11"/>
      <c r="D10" s="11"/>
      <c r="E10" s="11">
        <v>21.190999999999999</v>
      </c>
      <c r="F10" s="159">
        <v>35.966999999999999</v>
      </c>
      <c r="G10" s="14">
        <v>93.590999999999994</v>
      </c>
      <c r="H10" s="11"/>
      <c r="M10" s="123">
        <v>13.406000000000001</v>
      </c>
      <c r="N10" s="11">
        <v>2.2490000000000001</v>
      </c>
      <c r="O10" s="11">
        <v>8.8230000000000004</v>
      </c>
      <c r="P10" s="135">
        <f t="shared" ref="P10:P13" si="4">F10-O10-N10-M10</f>
        <v>11.488999999999999</v>
      </c>
      <c r="Q10" s="11">
        <v>14.738</v>
      </c>
      <c r="R10" s="11">
        <v>16.995999999999999</v>
      </c>
      <c r="S10" s="159">
        <v>25.209</v>
      </c>
      <c r="T10" s="14">
        <f>T9*(1-R26)</f>
        <v>23.491413402732597</v>
      </c>
      <c r="V10" s="164"/>
    </row>
    <row r="11" spans="1:22" x14ac:dyDescent="0.25">
      <c r="B11" t="s">
        <v>63</v>
      </c>
      <c r="C11" s="10"/>
      <c r="D11" s="10"/>
      <c r="E11" s="10">
        <v>73.710999999999999</v>
      </c>
      <c r="F11" s="158">
        <v>73.406999999999996</v>
      </c>
      <c r="G11" s="170">
        <v>200.83</v>
      </c>
      <c r="H11" s="39"/>
      <c r="M11" s="125">
        <v>15.266999999999999</v>
      </c>
      <c r="N11" s="10">
        <v>17.86</v>
      </c>
      <c r="O11" s="10">
        <v>20.626000000000001</v>
      </c>
      <c r="P11" s="135">
        <f t="shared" si="4"/>
        <v>19.653999999999993</v>
      </c>
      <c r="Q11" s="10">
        <v>53.558</v>
      </c>
      <c r="R11" s="10">
        <v>40.088999999999999</v>
      </c>
      <c r="S11" s="158">
        <v>50.658999999999999</v>
      </c>
      <c r="T11" s="136">
        <f t="shared" ref="T11:T13" si="5">G11-S11-R11-Q11</f>
        <v>56.524000000000022</v>
      </c>
      <c r="V11" s="156"/>
    </row>
    <row r="12" spans="1:22" x14ac:dyDescent="0.25">
      <c r="B12" t="s">
        <v>134</v>
      </c>
      <c r="C12" s="10"/>
      <c r="D12" s="10"/>
      <c r="E12" s="10">
        <v>24.407</v>
      </c>
      <c r="F12" s="158">
        <v>19.992000000000001</v>
      </c>
      <c r="G12" s="170">
        <v>123.652</v>
      </c>
      <c r="H12" s="39"/>
      <c r="M12" s="125">
        <v>4.3929999999999998</v>
      </c>
      <c r="N12" s="10">
        <v>5.0970000000000004</v>
      </c>
      <c r="O12" s="10">
        <v>5.5069999999999997</v>
      </c>
      <c r="P12" s="135">
        <f t="shared" si="4"/>
        <v>4.9950000000000019</v>
      </c>
      <c r="Q12" s="10">
        <v>55.51</v>
      </c>
      <c r="R12" s="10">
        <v>22.076000000000001</v>
      </c>
      <c r="S12" s="158">
        <v>23.248000000000001</v>
      </c>
      <c r="T12" s="136">
        <f t="shared" si="5"/>
        <v>22.818000000000005</v>
      </c>
      <c r="V12" s="156"/>
    </row>
    <row r="13" spans="1:22" x14ac:dyDescent="0.25">
      <c r="B13" t="s">
        <v>125</v>
      </c>
      <c r="C13" s="10"/>
      <c r="D13" s="10"/>
      <c r="E13" s="10">
        <v>20.757000000000001</v>
      </c>
      <c r="F13" s="158">
        <v>15.925000000000001</v>
      </c>
      <c r="G13" s="15">
        <v>94.283000000000001</v>
      </c>
      <c r="H13" s="10"/>
      <c r="M13" s="125">
        <v>3.5249999999999999</v>
      </c>
      <c r="N13" s="10">
        <v>3.0950000000000002</v>
      </c>
      <c r="O13" s="10">
        <v>3.9489999999999998</v>
      </c>
      <c r="P13" s="135">
        <f t="shared" si="4"/>
        <v>5.3559999999999999</v>
      </c>
      <c r="Q13" s="10">
        <v>24.419</v>
      </c>
      <c r="R13" s="10">
        <v>22.036000000000001</v>
      </c>
      <c r="S13" s="158">
        <v>22.866</v>
      </c>
      <c r="T13" s="136">
        <f t="shared" si="5"/>
        <v>24.962</v>
      </c>
      <c r="V13" s="156"/>
    </row>
    <row r="14" spans="1:22" s="1" customFormat="1" x14ac:dyDescent="0.25">
      <c r="B14" s="1" t="s">
        <v>15</v>
      </c>
      <c r="C14" s="11">
        <f t="shared" ref="C14:H14" si="6">C8-SUM(C10:C13)</f>
        <v>0</v>
      </c>
      <c r="D14" s="11">
        <f t="shared" si="6"/>
        <v>0</v>
      </c>
      <c r="E14" s="11">
        <f t="shared" si="6"/>
        <v>-60.194000000000003</v>
      </c>
      <c r="F14" s="159">
        <f t="shared" si="6"/>
        <v>-29.496999999999986</v>
      </c>
      <c r="G14" s="14">
        <f t="shared" si="6"/>
        <v>-116.06600000000003</v>
      </c>
      <c r="H14" s="11">
        <f t="shared" si="6"/>
        <v>0</v>
      </c>
      <c r="I14" s="11"/>
      <c r="J14" s="11"/>
      <c r="K14" s="11"/>
      <c r="L14" s="11"/>
      <c r="M14" s="123">
        <f t="shared" ref="M14:V14" si="7">M8-SUM(M10:M13)</f>
        <v>-18.927</v>
      </c>
      <c r="N14" s="11">
        <f t="shared" si="7"/>
        <v>-17.613</v>
      </c>
      <c r="O14" s="11">
        <f t="shared" si="7"/>
        <v>-1.9770000000000039</v>
      </c>
      <c r="P14" s="11">
        <f t="shared" si="7"/>
        <v>9.0200000000000102</v>
      </c>
      <c r="Q14" s="11">
        <f t="shared" si="7"/>
        <v>-82.966999999999999</v>
      </c>
      <c r="R14" s="11">
        <f t="shared" si="7"/>
        <v>-24.347000000000008</v>
      </c>
      <c r="S14" s="159">
        <f t="shared" si="7"/>
        <v>-8.8959999999999866</v>
      </c>
      <c r="T14" s="14">
        <f t="shared" si="7"/>
        <v>13.300586597267383</v>
      </c>
      <c r="U14" s="159">
        <f t="shared" si="7"/>
        <v>0</v>
      </c>
      <c r="V14" s="159">
        <f t="shared" si="7"/>
        <v>0</v>
      </c>
    </row>
    <row r="15" spans="1:22" x14ac:dyDescent="0.25">
      <c r="B15" t="s">
        <v>135</v>
      </c>
      <c r="C15" s="10"/>
      <c r="D15" s="10"/>
      <c r="E15" s="10">
        <v>2.613</v>
      </c>
      <c r="F15" s="158">
        <v>6.5490000000000004</v>
      </c>
      <c r="G15" s="170">
        <v>34.287999999999997</v>
      </c>
      <c r="H15" s="39"/>
      <c r="M15" s="125">
        <v>1.5960000000000001</v>
      </c>
      <c r="N15" s="10">
        <v>1.5549999999999999</v>
      </c>
      <c r="O15" s="10">
        <v>1.724</v>
      </c>
      <c r="P15" s="135">
        <f t="shared" ref="P15" si="8">F15-O15-N15-M15</f>
        <v>1.6740000000000004</v>
      </c>
      <c r="Q15" s="10">
        <v>2.5539999999999998</v>
      </c>
      <c r="R15" s="10">
        <v>10.263999999999999</v>
      </c>
      <c r="S15" s="158">
        <v>10.912000000000001</v>
      </c>
      <c r="T15" s="136">
        <f t="shared" ref="T15" si="9">G15-S15-R15-Q15</f>
        <v>10.557999999999998</v>
      </c>
      <c r="V15" s="156"/>
    </row>
    <row r="16" spans="1:22" s="1" customFormat="1" x14ac:dyDescent="0.25">
      <c r="B16" s="1" t="s">
        <v>126</v>
      </c>
      <c r="C16" s="11">
        <f t="shared" ref="C16:H16" si="10">C14+SUM(C15:C15)</f>
        <v>0</v>
      </c>
      <c r="D16" s="11">
        <f t="shared" si="10"/>
        <v>0</v>
      </c>
      <c r="E16" s="11">
        <f t="shared" si="10"/>
        <v>-57.581000000000003</v>
      </c>
      <c r="F16" s="159">
        <f t="shared" si="10"/>
        <v>-22.947999999999986</v>
      </c>
      <c r="G16" s="14">
        <f t="shared" si="10"/>
        <v>-81.778000000000034</v>
      </c>
      <c r="H16" s="11">
        <f t="shared" si="10"/>
        <v>0</v>
      </c>
      <c r="M16" s="123">
        <f t="shared" ref="M16:V16" si="11">M14+SUM(M15:M15)</f>
        <v>-17.331</v>
      </c>
      <c r="N16" s="11">
        <f t="shared" si="11"/>
        <v>-16.058</v>
      </c>
      <c r="O16" s="11">
        <f t="shared" si="11"/>
        <v>-0.25300000000000389</v>
      </c>
      <c r="P16" s="11">
        <f t="shared" si="11"/>
        <v>10.69400000000001</v>
      </c>
      <c r="Q16" s="11">
        <f t="shared" si="11"/>
        <v>-80.412999999999997</v>
      </c>
      <c r="R16" s="11">
        <f t="shared" si="11"/>
        <v>-14.083000000000009</v>
      </c>
      <c r="S16" s="159">
        <f t="shared" si="11"/>
        <v>2.0160000000000142</v>
      </c>
      <c r="T16" s="14">
        <f t="shared" si="11"/>
        <v>23.858586597267383</v>
      </c>
      <c r="U16" s="159">
        <f t="shared" si="11"/>
        <v>0</v>
      </c>
      <c r="V16" s="159">
        <f t="shared" si="11"/>
        <v>0</v>
      </c>
    </row>
    <row r="17" spans="2:22" x14ac:dyDescent="0.25">
      <c r="B17" t="s">
        <v>13</v>
      </c>
      <c r="C17" s="10"/>
      <c r="D17" s="10"/>
      <c r="E17" s="10">
        <v>0.76400000000000001</v>
      </c>
      <c r="F17" s="158">
        <v>3.3090000000000002</v>
      </c>
      <c r="G17" s="170">
        <v>1.643</v>
      </c>
      <c r="H17" s="39"/>
      <c r="M17" s="125">
        <v>0.123</v>
      </c>
      <c r="N17" s="10">
        <v>3.9460000000000002</v>
      </c>
      <c r="O17" s="10">
        <v>2.871</v>
      </c>
      <c r="P17" s="135">
        <f t="shared" ref="P17:P18" si="12">F17-O17-N17-M17</f>
        <v>-3.6310000000000002</v>
      </c>
      <c r="Q17" s="10">
        <v>12.582000000000001</v>
      </c>
      <c r="R17" s="10">
        <v>-6.5369999999999999</v>
      </c>
      <c r="S17" s="158">
        <v>9.609</v>
      </c>
      <c r="T17" s="136">
        <f t="shared" ref="T17:T18" si="13">G17-S17-R17-Q17</f>
        <v>-14.011000000000001</v>
      </c>
      <c r="V17" s="156"/>
    </row>
    <row r="18" spans="2:22" x14ac:dyDescent="0.25">
      <c r="B18" t="s">
        <v>18</v>
      </c>
      <c r="C18" s="10"/>
      <c r="D18" s="10"/>
      <c r="E18" s="10"/>
      <c r="F18" s="158"/>
      <c r="G18" s="170"/>
      <c r="H18" s="39"/>
      <c r="M18" s="125">
        <v>-0.20799999999999999</v>
      </c>
      <c r="N18" s="10">
        <v>0.21199999999999999</v>
      </c>
      <c r="O18" s="10"/>
      <c r="P18" s="135">
        <f t="shared" si="12"/>
        <v>-4.0000000000000036E-3</v>
      </c>
      <c r="Q18" s="10">
        <v>0.318</v>
      </c>
      <c r="R18" s="10">
        <v>0.29299999999999998</v>
      </c>
      <c r="S18" s="158"/>
      <c r="T18" s="136">
        <f t="shared" si="13"/>
        <v>-0.61099999999999999</v>
      </c>
      <c r="V18" s="156"/>
    </row>
    <row r="19" spans="2:22" s="1" customFormat="1" x14ac:dyDescent="0.25">
      <c r="B19" s="1" t="s">
        <v>14</v>
      </c>
      <c r="C19" s="11">
        <f t="shared" ref="C19:G19" si="14">C16-SUM(C17:C18)</f>
        <v>0</v>
      </c>
      <c r="D19" s="11">
        <f t="shared" si="14"/>
        <v>0</v>
      </c>
      <c r="E19" s="11">
        <f t="shared" si="14"/>
        <v>-58.345000000000006</v>
      </c>
      <c r="F19" s="159">
        <f t="shared" si="14"/>
        <v>-26.256999999999987</v>
      </c>
      <c r="G19" s="14">
        <f t="shared" si="14"/>
        <v>-83.421000000000035</v>
      </c>
      <c r="H19" s="57"/>
      <c r="I19" s="180"/>
      <c r="M19" s="123">
        <f t="shared" ref="M19" si="15">M16-SUM(M17:M18)</f>
        <v>-17.245999999999999</v>
      </c>
      <c r="N19" s="11">
        <f t="shared" ref="N19" si="16">N16-SUM(N17:N18)</f>
        <v>-20.216000000000001</v>
      </c>
      <c r="O19" s="11">
        <f t="shared" ref="O19" si="17">O16-SUM(O17:O18)</f>
        <v>-3.1240000000000041</v>
      </c>
      <c r="P19" s="11">
        <f t="shared" ref="P19:V19" si="18">P16-SUM(P17:P18)</f>
        <v>14.32900000000001</v>
      </c>
      <c r="Q19" s="11">
        <f t="shared" si="18"/>
        <v>-93.313000000000002</v>
      </c>
      <c r="R19" s="11">
        <f>R16-SUM(R17:R18)</f>
        <v>-7.8390000000000093</v>
      </c>
      <c r="S19" s="159">
        <f t="shared" si="18"/>
        <v>-7.5929999999999858</v>
      </c>
      <c r="T19" s="14">
        <f t="shared" si="18"/>
        <v>38.480586597267383</v>
      </c>
      <c r="U19" s="159">
        <f t="shared" si="18"/>
        <v>0</v>
      </c>
      <c r="V19" s="159">
        <f t="shared" si="18"/>
        <v>0</v>
      </c>
    </row>
    <row r="20" spans="2:22" x14ac:dyDescent="0.25">
      <c r="B20" t="s">
        <v>206</v>
      </c>
      <c r="C20" s="10"/>
      <c r="D20" s="10"/>
      <c r="E20" s="10">
        <v>34.170999999999999</v>
      </c>
      <c r="F20" s="158">
        <v>37.131</v>
      </c>
      <c r="G20" s="170">
        <v>131.262</v>
      </c>
      <c r="H20" s="39"/>
      <c r="M20" s="10">
        <v>35.826000000000001</v>
      </c>
      <c r="N20" s="10">
        <v>36.567</v>
      </c>
      <c r="O20" s="10">
        <v>37.47</v>
      </c>
      <c r="P20" s="10">
        <v>37</v>
      </c>
      <c r="Q20" s="10">
        <v>52.531999999999996</v>
      </c>
      <c r="R20" s="10">
        <v>155.19900000000001</v>
      </c>
      <c r="S20" s="158">
        <v>156</v>
      </c>
      <c r="T20" s="15">
        <v>157</v>
      </c>
      <c r="V20" s="156"/>
    </row>
    <row r="21" spans="2:22" s="1" customFormat="1" x14ac:dyDescent="0.25">
      <c r="B21" s="1" t="s">
        <v>167</v>
      </c>
      <c r="C21" s="2" t="e">
        <f>C19/C20</f>
        <v>#DIV/0!</v>
      </c>
      <c r="D21" s="2" t="e">
        <f>D19/D20</f>
        <v>#DIV/0!</v>
      </c>
      <c r="E21" s="2">
        <f>E19/E20</f>
        <v>-1.7074419829680141</v>
      </c>
      <c r="F21" s="166">
        <f>F19/F20</f>
        <v>-0.70714497320298364</v>
      </c>
      <c r="G21" s="54">
        <f>G19/G20</f>
        <v>-0.6355304657859856</v>
      </c>
      <c r="H21" s="55"/>
      <c r="M21" s="2">
        <f t="shared" ref="M21:V21" si="19">M19/M20</f>
        <v>-0.48138223636465133</v>
      </c>
      <c r="N21" s="2">
        <f t="shared" si="19"/>
        <v>-0.55284819646129024</v>
      </c>
      <c r="O21" s="2">
        <f t="shared" si="19"/>
        <v>-8.3373365358953941E-2</v>
      </c>
      <c r="P21" s="2">
        <f t="shared" si="19"/>
        <v>0.3872702702702705</v>
      </c>
      <c r="Q21" s="2">
        <f t="shared" si="19"/>
        <v>-1.7763077743089928</v>
      </c>
      <c r="R21" s="2">
        <f t="shared" si="19"/>
        <v>-5.0509346065374189E-2</v>
      </c>
      <c r="S21" s="160">
        <f t="shared" si="19"/>
        <v>-4.8673076923076833E-2</v>
      </c>
      <c r="T21" s="34">
        <f>T19/T20</f>
        <v>0.24509927768960116</v>
      </c>
      <c r="U21" s="160" t="e">
        <f t="shared" si="19"/>
        <v>#DIV/0!</v>
      </c>
      <c r="V21" s="160" t="e">
        <f t="shared" si="19"/>
        <v>#DIV/0!</v>
      </c>
    </row>
    <row r="22" spans="2:22" s="130" customFormat="1" x14ac:dyDescent="0.25">
      <c r="B22" s="127" t="s">
        <v>168</v>
      </c>
      <c r="C22" s="128"/>
      <c r="D22" s="128"/>
      <c r="E22" s="128"/>
      <c r="F22" s="167"/>
      <c r="G22" s="171"/>
      <c r="H22" s="129"/>
      <c r="M22" s="131"/>
      <c r="N22" s="131"/>
      <c r="O22" s="131">
        <v>2.7109999999999999</v>
      </c>
      <c r="P22" s="132"/>
      <c r="Q22" s="132">
        <f>88.873+8.895+1.072+8.485</f>
        <v>107.325</v>
      </c>
      <c r="R22" s="132">
        <f>43.067-13.296</f>
        <v>29.771000000000001</v>
      </c>
      <c r="S22" s="161">
        <v>45.534999999999997</v>
      </c>
      <c r="T22" s="133">
        <f>233.743-S22-R22-Q22</f>
        <v>51.112000000000009</v>
      </c>
    </row>
    <row r="23" spans="2:22" s="130" customFormat="1" x14ac:dyDescent="0.25">
      <c r="B23" s="127" t="s">
        <v>169</v>
      </c>
      <c r="C23" s="128"/>
      <c r="D23" s="128"/>
      <c r="E23" s="128"/>
      <c r="F23" s="167"/>
      <c r="G23" s="171"/>
      <c r="H23" s="129"/>
      <c r="M23" s="131"/>
      <c r="N23" s="131"/>
      <c r="O23" s="132">
        <f>O19+O22</f>
        <v>-0.41300000000000425</v>
      </c>
      <c r="P23" s="132"/>
      <c r="Q23" s="132">
        <f>Q19+Q22</f>
        <v>14.012</v>
      </c>
      <c r="R23" s="132">
        <f>R19+R22</f>
        <v>21.931999999999992</v>
      </c>
      <c r="S23" s="132">
        <f>S19+S22</f>
        <v>37.942000000000007</v>
      </c>
      <c r="T23" s="132">
        <f t="shared" ref="T23:V23" si="20">T19+T22</f>
        <v>89.592586597267399</v>
      </c>
      <c r="U23" s="132">
        <f t="shared" si="20"/>
        <v>0</v>
      </c>
      <c r="V23" s="132">
        <f t="shared" si="20"/>
        <v>0</v>
      </c>
    </row>
    <row r="24" spans="2:22" s="130" customFormat="1" x14ac:dyDescent="0.25">
      <c r="B24" s="127" t="s">
        <v>170</v>
      </c>
      <c r="C24" s="128"/>
      <c r="D24" s="128"/>
      <c r="E24" s="128"/>
      <c r="F24" s="167"/>
      <c r="G24" s="171"/>
      <c r="H24" s="129"/>
      <c r="M24" s="131"/>
      <c r="N24" s="131"/>
      <c r="O24" s="132">
        <f>O23/O20</f>
        <v>-1.1022151054176789E-2</v>
      </c>
      <c r="P24" s="132"/>
      <c r="Q24" s="132">
        <f>Q23/Q20</f>
        <v>0.26673265818929415</v>
      </c>
      <c r="R24" s="132">
        <f>R23/R20</f>
        <v>0.14131534352669792</v>
      </c>
      <c r="S24" s="132">
        <f>S23/S20</f>
        <v>0.24321794871794877</v>
      </c>
      <c r="T24" s="132">
        <f t="shared" ref="T24:V24" si="21">T23/T20</f>
        <v>0.57065341781698975</v>
      </c>
      <c r="U24" s="132" t="e">
        <f t="shared" si="21"/>
        <v>#DIV/0!</v>
      </c>
      <c r="V24" s="132" t="e">
        <f t="shared" si="21"/>
        <v>#DIV/0!</v>
      </c>
    </row>
    <row r="25" spans="2:22" s="1" customFormat="1" x14ac:dyDescent="0.25">
      <c r="B25" s="9" t="s">
        <v>54</v>
      </c>
      <c r="C25" s="2"/>
      <c r="D25" s="2"/>
      <c r="E25" s="2"/>
      <c r="F25" s="160"/>
      <c r="G25" s="172">
        <v>0.74</v>
      </c>
      <c r="H25" s="43">
        <v>1.26</v>
      </c>
      <c r="I25" s="43">
        <v>1.72</v>
      </c>
      <c r="M25" s="48"/>
      <c r="N25" s="48"/>
      <c r="O25" s="48"/>
      <c r="P25" s="122"/>
      <c r="Q25" s="122">
        <v>0.04</v>
      </c>
      <c r="R25" s="122">
        <v>0.11</v>
      </c>
      <c r="S25" s="162">
        <v>0.16</v>
      </c>
      <c r="T25" s="47">
        <v>0.17</v>
      </c>
      <c r="U25" s="1">
        <v>0.28000000000000003</v>
      </c>
      <c r="V25" s="1">
        <v>0.3</v>
      </c>
    </row>
    <row r="26" spans="2:22" s="1" customFormat="1" x14ac:dyDescent="0.25">
      <c r="B26" t="s">
        <v>22</v>
      </c>
      <c r="C26" s="3" t="e">
        <f>1-C10/C8</f>
        <v>#DIV/0!</v>
      </c>
      <c r="D26" s="3" t="e">
        <f>1-D10/D8</f>
        <v>#DIV/0!</v>
      </c>
      <c r="E26" s="3">
        <f>1-E10/E8</f>
        <v>0.73468800080128205</v>
      </c>
      <c r="F26" s="38">
        <f>1-F10/F8</f>
        <v>0.68938805119436242</v>
      </c>
      <c r="G26" s="6">
        <f>1-G10/G8</f>
        <v>0.7638320421913245</v>
      </c>
      <c r="H26" s="44"/>
      <c r="I26" s="44"/>
      <c r="M26" s="3">
        <f t="shared" ref="M26:T26" si="22">1-M10/M8</f>
        <v>0.24105525362318847</v>
      </c>
      <c r="N26" s="3">
        <f t="shared" si="22"/>
        <v>0.7895770958083832</v>
      </c>
      <c r="O26" s="3">
        <f t="shared" si="22"/>
        <v>0.76107560658578854</v>
      </c>
      <c r="P26" s="38">
        <f t="shared" si="22"/>
        <v>0.77255810270420089</v>
      </c>
      <c r="Q26" s="38">
        <f t="shared" si="22"/>
        <v>0.7741579576450397</v>
      </c>
      <c r="R26" s="38">
        <f t="shared" si="22"/>
        <v>0.77884189980481455</v>
      </c>
      <c r="S26" s="38">
        <f t="shared" si="22"/>
        <v>0.77708115947155265</v>
      </c>
      <c r="T26" s="6">
        <f t="shared" si="22"/>
        <v>0.83350758772231248</v>
      </c>
    </row>
    <row r="27" spans="2:22" x14ac:dyDescent="0.25">
      <c r="B27" t="s">
        <v>23</v>
      </c>
      <c r="C27" s="4" t="e">
        <f>C19/C8</f>
        <v>#DIV/0!</v>
      </c>
      <c r="D27" s="4" t="e">
        <f>D19/D8</f>
        <v>#DIV/0!</v>
      </c>
      <c r="E27" s="4">
        <f>E19/E8</f>
        <v>-0.73048127003205132</v>
      </c>
      <c r="F27" s="163">
        <f>F19/F8</f>
        <v>-0.22675613589650573</v>
      </c>
      <c r="G27" s="174">
        <f>G19/G9</f>
        <v>-0.21771276456925132</v>
      </c>
      <c r="H27" s="45">
        <f>H19/H9</f>
        <v>0</v>
      </c>
      <c r="I27" s="45">
        <f>I19/I9</f>
        <v>0</v>
      </c>
      <c r="M27" s="4">
        <f t="shared" ref="M27:T27" si="23">M19/M8</f>
        <v>-0.97633605072463747</v>
      </c>
      <c r="N27" s="4">
        <f t="shared" si="23"/>
        <v>-1.8914670658682637</v>
      </c>
      <c r="O27" s="4">
        <f t="shared" si="23"/>
        <v>-8.4597053726169963E-2</v>
      </c>
      <c r="P27" s="4">
        <f t="shared" si="23"/>
        <v>0.28366393475076229</v>
      </c>
      <c r="Q27" s="4">
        <f t="shared" si="23"/>
        <v>-1.4299089766771891</v>
      </c>
      <c r="R27" s="4">
        <f t="shared" si="23"/>
        <v>-0.10200390370852322</v>
      </c>
      <c r="S27" s="163">
        <f t="shared" si="23"/>
        <v>-6.7143589834285283E-2</v>
      </c>
      <c r="T27" s="7">
        <f t="shared" si="23"/>
        <v>0.27272627570779739</v>
      </c>
    </row>
    <row r="28" spans="2:22" x14ac:dyDescent="0.25">
      <c r="B28" t="s">
        <v>24</v>
      </c>
      <c r="C28" s="3" t="e">
        <f>C8/#REF!-1</f>
        <v>#REF!</v>
      </c>
      <c r="D28" s="3" t="e">
        <f>D8/C8-1</f>
        <v>#DIV/0!</v>
      </c>
      <c r="E28" s="38" t="e">
        <f>E8/D8-1</f>
        <v>#DIV/0!</v>
      </c>
      <c r="F28" s="38">
        <f>F8/E8-1</f>
        <v>0.44974459134615397</v>
      </c>
      <c r="G28" s="173">
        <f>G9/F8-1</f>
        <v>2.3090661001433577</v>
      </c>
      <c r="H28" s="46">
        <f>H9/G9-1</f>
        <v>0.76253360127358616</v>
      </c>
      <c r="I28" s="46">
        <f>I9/H9-1</f>
        <v>0.31154216332272155</v>
      </c>
      <c r="M28" s="4"/>
      <c r="N28" s="4"/>
      <c r="O28" s="4"/>
      <c r="P28" s="4"/>
      <c r="Q28" s="4">
        <f t="shared" ref="Q28:T28" si="24">Q8/M8-1</f>
        <v>2.6944067028985503</v>
      </c>
      <c r="R28" s="4">
        <f t="shared" si="24"/>
        <v>6.1903068862275452</v>
      </c>
      <c r="S28" s="163">
        <f t="shared" si="24"/>
        <v>2.0623375216637787</v>
      </c>
      <c r="T28" s="7">
        <f t="shared" si="24"/>
        <v>1.793205843924456</v>
      </c>
    </row>
    <row r="29" spans="2:22" x14ac:dyDescent="0.25">
      <c r="B29" t="s">
        <v>56</v>
      </c>
      <c r="C29" s="4" t="e">
        <f>C12/C8</f>
        <v>#DIV/0!</v>
      </c>
      <c r="D29" s="4" t="e">
        <f>D12/D8</f>
        <v>#DIV/0!</v>
      </c>
      <c r="E29" s="4">
        <f>E12/E8</f>
        <v>0.30557642227564102</v>
      </c>
      <c r="F29" s="163">
        <f>F12/F8</f>
        <v>0.17265143271672106</v>
      </c>
      <c r="G29" s="7">
        <f>G12/G8</f>
        <v>0.31202402281157743</v>
      </c>
      <c r="H29" s="163" t="e">
        <f t="shared" ref="H29:I29" si="25">H12/H8</f>
        <v>#DIV/0!</v>
      </c>
      <c r="I29" s="163" t="e">
        <f t="shared" si="25"/>
        <v>#DIV/0!</v>
      </c>
      <c r="M29" s="4">
        <f t="shared" ref="M29:T29" si="26">M12/M8</f>
        <v>0.24869791666666663</v>
      </c>
      <c r="N29" s="4">
        <f t="shared" si="26"/>
        <v>0.47688997005988032</v>
      </c>
      <c r="O29" s="4">
        <f t="shared" si="26"/>
        <v>0.14912803292894281</v>
      </c>
      <c r="P29" s="4">
        <f t="shared" si="26"/>
        <v>9.8883477847725401E-2</v>
      </c>
      <c r="Q29" s="4">
        <f t="shared" si="26"/>
        <v>0.85062367832296426</v>
      </c>
      <c r="R29" s="4">
        <f t="shared" si="26"/>
        <v>0.28726089785296033</v>
      </c>
      <c r="S29" s="163">
        <f t="shared" si="26"/>
        <v>0.20557805563907114</v>
      </c>
      <c r="T29" s="7">
        <f t="shared" si="26"/>
        <v>0.16171968021772412</v>
      </c>
    </row>
    <row r="30" spans="2:22" x14ac:dyDescent="0.25">
      <c r="B30" t="s">
        <v>123</v>
      </c>
      <c r="C30" s="4" t="e">
        <f>C11/C8</f>
        <v>#DIV/0!</v>
      </c>
      <c r="D30" s="4" t="e">
        <f>D11/D8</f>
        <v>#DIV/0!</v>
      </c>
      <c r="E30" s="4">
        <f>E11/E8</f>
        <v>0.92286408253205121</v>
      </c>
      <c r="F30" s="163">
        <f>F11/F8</f>
        <v>0.63394476397740807</v>
      </c>
      <c r="G30" s="7">
        <f>G11/G8</f>
        <v>0.50677534129046919</v>
      </c>
      <c r="H30" s="163" t="e">
        <f t="shared" ref="H30:I30" si="27">H11/H8</f>
        <v>#DIV/0!</v>
      </c>
      <c r="I30" s="163" t="e">
        <f t="shared" si="27"/>
        <v>#DIV/0!</v>
      </c>
      <c r="M30" s="4">
        <f t="shared" ref="M30:T30" si="28">M11/M8</f>
        <v>0.86430027173913038</v>
      </c>
      <c r="N30" s="4">
        <f t="shared" si="28"/>
        <v>1.6710329341317367</v>
      </c>
      <c r="O30" s="4">
        <f t="shared" si="28"/>
        <v>0.55854636048526873</v>
      </c>
      <c r="P30" s="4">
        <f t="shared" si="28"/>
        <v>0.38908025497881754</v>
      </c>
      <c r="Q30" s="4">
        <f t="shared" si="28"/>
        <v>0.82071163688743143</v>
      </c>
      <c r="R30" s="4">
        <f t="shared" si="28"/>
        <v>0.52165256994144438</v>
      </c>
      <c r="S30" s="163">
        <f t="shared" si="28"/>
        <v>0.44796880250428872</v>
      </c>
      <c r="T30" s="7">
        <f t="shared" si="28"/>
        <v>0.40060667914044351</v>
      </c>
    </row>
    <row r="31" spans="2:22" x14ac:dyDescent="0.25">
      <c r="B31" t="s">
        <v>124</v>
      </c>
      <c r="C31" s="4" t="e">
        <f>C13/C8</f>
        <v>#DIV/0!</v>
      </c>
      <c r="D31" s="4" t="e">
        <f>D13/D8</f>
        <v>#DIV/0!</v>
      </c>
      <c r="E31" s="4">
        <f>E13/E8</f>
        <v>0.25987830528846156</v>
      </c>
      <c r="F31" s="163">
        <f>F13/F8</f>
        <v>0.13752871478660378</v>
      </c>
      <c r="G31" s="7">
        <f>G13/G8</f>
        <v>0.23791415377627498</v>
      </c>
      <c r="H31" s="163" t="e">
        <f t="shared" ref="H31:I31" si="29">H13/H8</f>
        <v>#DIV/0!</v>
      </c>
      <c r="I31" s="163" t="e">
        <f t="shared" si="29"/>
        <v>#DIV/0!</v>
      </c>
      <c r="M31" s="4">
        <f t="shared" ref="M31:T31" si="30">M13/M8</f>
        <v>0.19955842391304346</v>
      </c>
      <c r="N31" s="4">
        <f t="shared" si="30"/>
        <v>0.28957709580838326</v>
      </c>
      <c r="O31" s="4">
        <f t="shared" si="30"/>
        <v>0.10693782495667245</v>
      </c>
      <c r="P31" s="4">
        <f t="shared" si="30"/>
        <v>0.10603001148196538</v>
      </c>
      <c r="Q31" s="4">
        <f t="shared" si="30"/>
        <v>0.37419166998682157</v>
      </c>
      <c r="R31" s="4">
        <f t="shared" si="30"/>
        <v>0.2867404033832141</v>
      </c>
      <c r="S31" s="163">
        <f t="shared" si="30"/>
        <v>0.20220009550253787</v>
      </c>
      <c r="T31" s="7">
        <f t="shared" si="30"/>
        <v>0.17691500822135284</v>
      </c>
    </row>
    <row r="32" spans="2:22" x14ac:dyDescent="0.25">
      <c r="B32" t="s">
        <v>128</v>
      </c>
      <c r="C32" s="56" t="e">
        <f>C21/#REF!-1</f>
        <v>#DIV/0!</v>
      </c>
      <c r="D32" s="56" t="e">
        <f>D21/C21-1</f>
        <v>#DIV/0!</v>
      </c>
      <c r="E32" s="56" t="e">
        <f>E21/D21-1</f>
        <v>#DIV/0!</v>
      </c>
      <c r="F32" s="56">
        <f>F21/E21-1</f>
        <v>-0.58584538727707347</v>
      </c>
      <c r="G32" s="121">
        <f>G21/F21-1</f>
        <v>-0.10127273774233747</v>
      </c>
      <c r="H32" s="56">
        <v>1</v>
      </c>
      <c r="I32" s="56">
        <f>I25/H25-1</f>
        <v>0.36507936507936511</v>
      </c>
      <c r="M32" s="4"/>
      <c r="N32" s="4"/>
      <c r="O32" s="4"/>
      <c r="P32" s="4"/>
      <c r="Q32" s="4">
        <f t="shared" ref="Q32:T32" si="31">Q19/M19-1</f>
        <v>4.4107039313463998</v>
      </c>
      <c r="R32" s="4">
        <f t="shared" si="31"/>
        <v>-0.61223783142065646</v>
      </c>
      <c r="S32" s="163">
        <f t="shared" si="31"/>
        <v>1.4305377720870602</v>
      </c>
      <c r="T32" s="7">
        <f t="shared" si="31"/>
        <v>1.685503984734968</v>
      </c>
    </row>
    <row r="33" spans="2:20" x14ac:dyDescent="0.25">
      <c r="B33" t="s">
        <v>68</v>
      </c>
      <c r="C33" s="50" t="e">
        <f>C15/C8</f>
        <v>#DIV/0!</v>
      </c>
      <c r="D33" s="50" t="e">
        <f>D15/D8</f>
        <v>#DIV/0!</v>
      </c>
      <c r="E33" s="50">
        <f>E15/E8</f>
        <v>3.271484375E-2</v>
      </c>
      <c r="F33" s="50">
        <f>F15/F8</f>
        <v>5.6557334576921081E-2</v>
      </c>
      <c r="G33" s="51">
        <f>G15/G8</f>
        <v>8.6522496151808015E-2</v>
      </c>
      <c r="H33" s="50" t="e">
        <f t="shared" ref="H33:I33" si="32">H15/H8</f>
        <v>#DIV/0!</v>
      </c>
      <c r="I33" s="50" t="e">
        <f t="shared" si="32"/>
        <v>#DIV/0!</v>
      </c>
      <c r="M33" s="4"/>
      <c r="N33" s="4"/>
      <c r="O33" s="4"/>
      <c r="P33" s="4"/>
      <c r="Q33" s="4"/>
      <c r="R33" s="4"/>
      <c r="S33" s="163"/>
      <c r="T33" s="7"/>
    </row>
    <row r="34" spans="2:20" x14ac:dyDescent="0.25">
      <c r="B34" t="s">
        <v>69</v>
      </c>
      <c r="C34" s="52" t="e">
        <f t="shared" ref="C34:F34" si="33">-C15/C14</f>
        <v>#DIV/0!</v>
      </c>
      <c r="D34" s="52" t="e">
        <f t="shared" si="33"/>
        <v>#DIV/0!</v>
      </c>
      <c r="E34" s="52">
        <f t="shared" si="33"/>
        <v>4.3409642157025613E-2</v>
      </c>
      <c r="F34" s="50">
        <f t="shared" si="33"/>
        <v>0.22202257856731206</v>
      </c>
      <c r="G34" s="51">
        <f t="shared" ref="G34:I34" si="34">-G15/G14</f>
        <v>0.29541812417073032</v>
      </c>
      <c r="H34" s="50" t="e">
        <f t="shared" si="34"/>
        <v>#DIV/0!</v>
      </c>
      <c r="I34" s="50" t="e">
        <f t="shared" si="34"/>
        <v>#DIV/0!</v>
      </c>
      <c r="M34" s="4"/>
      <c r="N34" s="4"/>
      <c r="O34" s="4"/>
      <c r="P34" s="4"/>
      <c r="Q34" s="4"/>
      <c r="R34" s="4"/>
      <c r="S34" s="163"/>
      <c r="T34" s="7"/>
    </row>
    <row r="37" spans="2:20" s="1" customFormat="1" x14ac:dyDescent="0.25">
      <c r="B37" s="1" t="s">
        <v>29</v>
      </c>
      <c r="C37" s="11">
        <f t="shared" ref="C37:E37" si="35">C38+C39</f>
        <v>0</v>
      </c>
      <c r="D37" s="11">
        <f t="shared" si="35"/>
        <v>0</v>
      </c>
      <c r="E37" s="11">
        <f t="shared" si="35"/>
        <v>0</v>
      </c>
      <c r="F37" s="159">
        <f>F38+F39</f>
        <v>149.31299999999999</v>
      </c>
      <c r="G37" s="14">
        <f>G38+G39</f>
        <v>914.30100000000004</v>
      </c>
      <c r="M37" s="11">
        <f t="shared" ref="M37" si="36">M38+M39</f>
        <v>0</v>
      </c>
      <c r="N37" s="11">
        <f t="shared" ref="N37" si="37">N38+N39</f>
        <v>0</v>
      </c>
      <c r="O37" s="11">
        <f t="shared" ref="O37" si="38">O38+O39</f>
        <v>0</v>
      </c>
      <c r="P37" s="11">
        <f t="shared" ref="P37" si="39">P38+P39</f>
        <v>149.31299999999999</v>
      </c>
      <c r="Q37" s="11">
        <f t="shared" ref="Q37" si="40">Q38+Q39</f>
        <v>801.39099999999996</v>
      </c>
      <c r="R37" s="11">
        <f t="shared" ref="R37" si="41">R38+R39</f>
        <v>830.995</v>
      </c>
      <c r="S37" s="159">
        <f t="shared" ref="S37" si="42">S38+S39</f>
        <v>886.80099999999993</v>
      </c>
      <c r="T37" s="14">
        <f t="shared" ref="T37" si="43">T38+T39</f>
        <v>914.30100000000004</v>
      </c>
    </row>
    <row r="38" spans="2:20" x14ac:dyDescent="0.25">
      <c r="B38" t="s">
        <v>16</v>
      </c>
      <c r="C38" s="10"/>
      <c r="D38" s="10"/>
      <c r="E38" s="10"/>
      <c r="F38" s="158">
        <v>45.097999999999999</v>
      </c>
      <c r="G38" s="15">
        <f>T38</f>
        <v>79.551000000000002</v>
      </c>
      <c r="M38" s="10"/>
      <c r="N38" s="10"/>
      <c r="O38" s="10"/>
      <c r="P38" s="10">
        <f>F38</f>
        <v>45.097999999999999</v>
      </c>
      <c r="Q38" s="10">
        <v>696.077</v>
      </c>
      <c r="R38" s="10">
        <v>421.07600000000002</v>
      </c>
      <c r="S38" s="158">
        <v>126.117</v>
      </c>
      <c r="T38" s="15">
        <v>79.551000000000002</v>
      </c>
    </row>
    <row r="39" spans="2:20" x14ac:dyDescent="0.25">
      <c r="B39" t="s">
        <v>131</v>
      </c>
      <c r="C39" s="10"/>
      <c r="D39" s="10"/>
      <c r="E39" s="10"/>
      <c r="F39" s="158">
        <v>104.215</v>
      </c>
      <c r="G39" s="15">
        <f t="shared" ref="G39:G42" si="44">T39</f>
        <v>834.75</v>
      </c>
      <c r="M39" s="10"/>
      <c r="N39" s="10"/>
      <c r="O39" s="10"/>
      <c r="P39" s="10">
        <f>F39</f>
        <v>104.215</v>
      </c>
      <c r="Q39" s="10">
        <v>105.31399999999999</v>
      </c>
      <c r="R39" s="10">
        <v>409.91899999999998</v>
      </c>
      <c r="S39" s="158">
        <v>760.68399999999997</v>
      </c>
      <c r="T39" s="15">
        <v>834.75</v>
      </c>
    </row>
    <row r="40" spans="2:20" x14ac:dyDescent="0.25">
      <c r="B40" t="s">
        <v>17</v>
      </c>
      <c r="C40" s="10"/>
      <c r="D40" s="10"/>
      <c r="E40" s="10"/>
      <c r="F40" s="158">
        <v>8.3350000000000009</v>
      </c>
      <c r="G40" s="15">
        <f t="shared" si="44"/>
        <v>38.811</v>
      </c>
      <c r="M40" s="10"/>
      <c r="N40" s="10"/>
      <c r="O40" s="10"/>
      <c r="P40" s="10">
        <f>F40</f>
        <v>8.3350000000000009</v>
      </c>
      <c r="Q40" s="10">
        <v>16.757000000000001</v>
      </c>
      <c r="R40" s="10">
        <v>22.233000000000001</v>
      </c>
      <c r="S40" s="158">
        <v>25.385999999999999</v>
      </c>
      <c r="T40" s="15">
        <v>38.811</v>
      </c>
    </row>
    <row r="41" spans="2:20" x14ac:dyDescent="0.25">
      <c r="B41" t="s">
        <v>132</v>
      </c>
      <c r="C41" s="10"/>
      <c r="D41" s="10"/>
      <c r="E41" s="10"/>
      <c r="F41" s="158">
        <v>24.094999999999999</v>
      </c>
      <c r="G41" s="15">
        <f t="shared" si="44"/>
        <v>43.215000000000003</v>
      </c>
      <c r="M41" s="10"/>
      <c r="N41" s="10"/>
      <c r="O41" s="10"/>
      <c r="P41" s="10">
        <f>F41</f>
        <v>24.094999999999999</v>
      </c>
      <c r="Q41" s="10">
        <v>29.567</v>
      </c>
      <c r="R41" s="10">
        <v>28.571999999999999</v>
      </c>
      <c r="S41" s="158">
        <v>24.414999999999999</v>
      </c>
      <c r="T41" s="15">
        <v>43.215000000000003</v>
      </c>
    </row>
    <row r="42" spans="2:20" x14ac:dyDescent="0.25">
      <c r="B42" t="s">
        <v>65</v>
      </c>
      <c r="C42" s="10"/>
      <c r="D42" s="10"/>
      <c r="E42" s="10"/>
      <c r="F42" s="158">
        <v>4.0640000000000001</v>
      </c>
      <c r="G42" s="15">
        <f t="shared" si="44"/>
        <v>16.652000000000001</v>
      </c>
      <c r="M42" s="10"/>
      <c r="N42" s="10"/>
      <c r="O42" s="10"/>
      <c r="P42" s="10">
        <f>F42</f>
        <v>4.0640000000000001</v>
      </c>
      <c r="Q42" s="10">
        <v>6.7249999999999996</v>
      </c>
      <c r="R42" s="10">
        <v>9.4450000000000003</v>
      </c>
      <c r="S42" s="158">
        <v>8.9870000000000001</v>
      </c>
      <c r="T42" s="15">
        <v>16.652000000000001</v>
      </c>
    </row>
    <row r="43" spans="2:20" s="1" customFormat="1" x14ac:dyDescent="0.25">
      <c r="B43" s="1" t="s">
        <v>51</v>
      </c>
      <c r="C43" s="11">
        <f>SUM(C38:C42)</f>
        <v>0</v>
      </c>
      <c r="D43" s="11">
        <f>SUM(D38:D42)</f>
        <v>0</v>
      </c>
      <c r="E43" s="11">
        <f>SUM(E38:E42)</f>
        <v>0</v>
      </c>
      <c r="F43" s="159">
        <f>SUM(F38:F42)</f>
        <v>185.80699999999999</v>
      </c>
      <c r="G43" s="14">
        <f>SUM(G38:G42)</f>
        <v>1012.9790000000002</v>
      </c>
      <c r="M43" s="11">
        <f t="shared" ref="M43:T43" si="45">SUM(M38:M42)</f>
        <v>0</v>
      </c>
      <c r="N43" s="11">
        <f t="shared" si="45"/>
        <v>0</v>
      </c>
      <c r="O43" s="11">
        <f t="shared" si="45"/>
        <v>0</v>
      </c>
      <c r="P43" s="11">
        <f t="shared" si="45"/>
        <v>185.80699999999999</v>
      </c>
      <c r="Q43" s="11">
        <f t="shared" si="45"/>
        <v>854.43999999999994</v>
      </c>
      <c r="R43" s="11">
        <f t="shared" si="45"/>
        <v>891.245</v>
      </c>
      <c r="S43" s="159">
        <f t="shared" si="45"/>
        <v>945.58899999999983</v>
      </c>
      <c r="T43" s="14">
        <f t="shared" si="45"/>
        <v>1012.9790000000002</v>
      </c>
    </row>
    <row r="44" spans="2:20" x14ac:dyDescent="0.25">
      <c r="B44" t="s">
        <v>66</v>
      </c>
      <c r="C44" s="10"/>
      <c r="D44" s="10"/>
      <c r="E44" s="10"/>
      <c r="F44" s="158">
        <v>4.7119999999999997</v>
      </c>
      <c r="G44" s="15">
        <f t="shared" ref="G44:G45" si="46">T44</f>
        <v>35.651000000000003</v>
      </c>
      <c r="M44" s="10"/>
      <c r="N44" s="10"/>
      <c r="O44" s="10"/>
      <c r="P44" s="10">
        <f>F44</f>
        <v>4.7119999999999997</v>
      </c>
      <c r="Q44" s="10">
        <v>7.5810000000000004</v>
      </c>
      <c r="R44" s="10">
        <v>21.821000000000002</v>
      </c>
      <c r="S44" s="158">
        <v>35.137</v>
      </c>
      <c r="T44" s="15">
        <v>35.651000000000003</v>
      </c>
    </row>
    <row r="45" spans="2:20" x14ac:dyDescent="0.25">
      <c r="B45" t="s">
        <v>18</v>
      </c>
      <c r="C45" s="10"/>
      <c r="D45" s="10"/>
      <c r="E45" s="10"/>
      <c r="F45" s="158">
        <v>5.7729999999999997</v>
      </c>
      <c r="G45" s="15">
        <f t="shared" si="46"/>
        <v>5.8780000000000001</v>
      </c>
      <c r="M45" s="10"/>
      <c r="N45" s="10"/>
      <c r="O45" s="10"/>
      <c r="P45" s="10">
        <f>F45</f>
        <v>5.7729999999999997</v>
      </c>
      <c r="Q45" s="10">
        <v>2.88</v>
      </c>
      <c r="R45" s="10">
        <v>2.4489999999999998</v>
      </c>
      <c r="S45" s="158">
        <v>2.339</v>
      </c>
      <c r="T45" s="15">
        <v>5.8780000000000001</v>
      </c>
    </row>
    <row r="46" spans="2:20" x14ac:dyDescent="0.25">
      <c r="B46" s="1" t="s">
        <v>19</v>
      </c>
      <c r="C46" s="11">
        <f>SUM(C43:C45)</f>
        <v>0</v>
      </c>
      <c r="D46" s="11">
        <f>SUM(D43:D45)</f>
        <v>0</v>
      </c>
      <c r="E46" s="11">
        <f>SUM(E43:E45)</f>
        <v>0</v>
      </c>
      <c r="F46" s="159">
        <f>SUM(F43:F45)</f>
        <v>196.29199999999997</v>
      </c>
      <c r="G46" s="14">
        <f>SUM(G43:G45)</f>
        <v>1054.508</v>
      </c>
      <c r="M46" s="11">
        <f t="shared" ref="M46:T46" si="47">SUM(M43:M45)</f>
        <v>0</v>
      </c>
      <c r="N46" s="11">
        <f t="shared" si="47"/>
        <v>0</v>
      </c>
      <c r="O46" s="11">
        <f t="shared" si="47"/>
        <v>0</v>
      </c>
      <c r="P46" s="11">
        <f t="shared" si="47"/>
        <v>196.29199999999997</v>
      </c>
      <c r="Q46" s="11">
        <f t="shared" si="47"/>
        <v>864.90099999999995</v>
      </c>
      <c r="R46" s="11">
        <f t="shared" si="47"/>
        <v>915.51499999999999</v>
      </c>
      <c r="S46" s="159">
        <f t="shared" si="47"/>
        <v>983.06499999999994</v>
      </c>
      <c r="T46" s="14">
        <f t="shared" si="47"/>
        <v>1054.508</v>
      </c>
    </row>
    <row r="47" spans="2:20" x14ac:dyDescent="0.25">
      <c r="B47" t="s">
        <v>21</v>
      </c>
      <c r="C47" s="10"/>
      <c r="D47" s="10"/>
      <c r="E47" s="10"/>
      <c r="F47" s="158">
        <v>6.3369999999999997</v>
      </c>
      <c r="G47" s="15">
        <f t="shared" ref="G47:G48" si="48">T47</f>
        <v>26.917999999999999</v>
      </c>
      <c r="M47" s="10"/>
      <c r="N47" s="10"/>
      <c r="O47" s="10"/>
      <c r="P47" s="10">
        <f>F47</f>
        <v>6.3369999999999997</v>
      </c>
      <c r="Q47" s="10">
        <v>11.465</v>
      </c>
      <c r="R47" s="10">
        <v>14.595000000000001</v>
      </c>
      <c r="S47" s="158">
        <v>18.550999999999998</v>
      </c>
      <c r="T47" s="15">
        <v>26.917999999999999</v>
      </c>
    </row>
    <row r="48" spans="2:20" x14ac:dyDescent="0.25">
      <c r="B48" t="s">
        <v>133</v>
      </c>
      <c r="C48" s="10"/>
      <c r="D48" s="10"/>
      <c r="E48" s="10"/>
      <c r="F48" s="158">
        <v>28.742000000000001</v>
      </c>
      <c r="G48" s="15">
        <f t="shared" si="48"/>
        <v>59.624000000000002</v>
      </c>
      <c r="M48" s="10"/>
      <c r="N48" s="10"/>
      <c r="O48" s="10"/>
      <c r="P48" s="10">
        <f>F48</f>
        <v>28.742000000000001</v>
      </c>
      <c r="Q48" s="10">
        <v>34.122</v>
      </c>
      <c r="R48" s="10">
        <v>49.478000000000002</v>
      </c>
      <c r="S48" s="158">
        <v>69.489000000000004</v>
      </c>
      <c r="T48" s="15">
        <v>59.624000000000002</v>
      </c>
    </row>
    <row r="49" spans="2:20" s="1" customFormat="1" x14ac:dyDescent="0.25">
      <c r="B49" s="1" t="s">
        <v>52</v>
      </c>
      <c r="C49" s="11">
        <f>SUM(C47:C48)</f>
        <v>0</v>
      </c>
      <c r="D49" s="11">
        <f>SUM(D47:D48)</f>
        <v>0</v>
      </c>
      <c r="E49" s="11">
        <f>SUM(E47:E48)</f>
        <v>0</v>
      </c>
      <c r="F49" s="159">
        <f>SUM(F47:F48)</f>
        <v>35.079000000000001</v>
      </c>
      <c r="G49" s="14">
        <f>SUM(G47:G48)</f>
        <v>86.542000000000002</v>
      </c>
      <c r="M49" s="11">
        <f t="shared" ref="M49:T49" si="49">SUM(M47:M48)</f>
        <v>0</v>
      </c>
      <c r="N49" s="11">
        <f t="shared" si="49"/>
        <v>0</v>
      </c>
      <c r="O49" s="11">
        <f t="shared" si="49"/>
        <v>0</v>
      </c>
      <c r="P49" s="11">
        <f t="shared" si="49"/>
        <v>35.079000000000001</v>
      </c>
      <c r="Q49" s="11">
        <f t="shared" si="49"/>
        <v>45.587000000000003</v>
      </c>
      <c r="R49" s="11">
        <f t="shared" si="49"/>
        <v>64.073000000000008</v>
      </c>
      <c r="S49" s="159">
        <f t="shared" si="49"/>
        <v>88.04</v>
      </c>
      <c r="T49" s="14">
        <f t="shared" si="49"/>
        <v>86.542000000000002</v>
      </c>
    </row>
    <row r="50" spans="2:20" x14ac:dyDescent="0.25">
      <c r="B50" t="s">
        <v>18</v>
      </c>
      <c r="C50" s="10"/>
      <c r="D50" s="10"/>
      <c r="E50" s="10"/>
      <c r="F50" s="158">
        <v>3.7869999999999999</v>
      </c>
      <c r="G50" s="15">
        <f>T50</f>
        <v>3.1669999999999998</v>
      </c>
      <c r="M50" s="10"/>
      <c r="N50" s="10"/>
      <c r="O50" s="10"/>
      <c r="P50" s="10">
        <f>F50</f>
        <v>3.7869999999999999</v>
      </c>
      <c r="Q50" s="10">
        <v>10.53</v>
      </c>
      <c r="R50" s="10">
        <v>6.19</v>
      </c>
      <c r="S50" s="158">
        <v>5.4130000000000003</v>
      </c>
      <c r="T50" s="15">
        <v>3.1669999999999998</v>
      </c>
    </row>
    <row r="51" spans="2:20" x14ac:dyDescent="0.25">
      <c r="B51" s="1" t="s">
        <v>20</v>
      </c>
      <c r="C51" s="11">
        <f>SUM(C49:C50)</f>
        <v>0</v>
      </c>
      <c r="D51" s="11">
        <f>SUM(D49:D50)</f>
        <v>0</v>
      </c>
      <c r="E51" s="11">
        <f>SUM(E49:E50)</f>
        <v>0</v>
      </c>
      <c r="F51" s="159">
        <f>SUM(F49:F50)</f>
        <v>38.866</v>
      </c>
      <c r="G51" s="14">
        <f>SUM(G49:G50)</f>
        <v>89.709000000000003</v>
      </c>
      <c r="M51" s="11">
        <f t="shared" ref="M51:T51" si="50">SUM(M49:M50)</f>
        <v>0</v>
      </c>
      <c r="N51" s="11">
        <f t="shared" si="50"/>
        <v>0</v>
      </c>
      <c r="O51" s="11">
        <f t="shared" si="50"/>
        <v>0</v>
      </c>
      <c r="P51" s="11">
        <f t="shared" si="50"/>
        <v>38.866</v>
      </c>
      <c r="Q51" s="11">
        <f t="shared" si="50"/>
        <v>56.117000000000004</v>
      </c>
      <c r="R51" s="11">
        <f t="shared" si="50"/>
        <v>70.263000000000005</v>
      </c>
      <c r="S51" s="159">
        <f t="shared" si="50"/>
        <v>93.453000000000003</v>
      </c>
      <c r="T51" s="14">
        <f t="shared" si="50"/>
        <v>89.709000000000003</v>
      </c>
    </row>
    <row r="52" spans="2:20" x14ac:dyDescent="0.25">
      <c r="B52" t="s">
        <v>67</v>
      </c>
      <c r="C52" s="10">
        <f>C46-C51</f>
        <v>0</v>
      </c>
      <c r="D52" s="10">
        <f>D46-D51</f>
        <v>0</v>
      </c>
      <c r="E52" s="10">
        <f>E46-E51</f>
        <v>0</v>
      </c>
      <c r="F52" s="158">
        <f>F46-F51</f>
        <v>157.42599999999999</v>
      </c>
      <c r="G52" s="15">
        <f>G46-G51</f>
        <v>964.79899999999998</v>
      </c>
      <c r="M52" s="10">
        <f t="shared" ref="M52:T52" si="51">M46-M51</f>
        <v>0</v>
      </c>
      <c r="N52" s="10">
        <f t="shared" si="51"/>
        <v>0</v>
      </c>
      <c r="O52" s="10">
        <f t="shared" si="51"/>
        <v>0</v>
      </c>
      <c r="P52" s="10">
        <f t="shared" si="51"/>
        <v>157.42599999999999</v>
      </c>
      <c r="Q52" s="10">
        <f t="shared" si="51"/>
        <v>808.78399999999999</v>
      </c>
      <c r="R52" s="10">
        <f t="shared" si="51"/>
        <v>845.25199999999995</v>
      </c>
      <c r="S52" s="158">
        <f t="shared" si="51"/>
        <v>889.61199999999997</v>
      </c>
      <c r="T52" s="15">
        <f t="shared" si="51"/>
        <v>964.79899999999998</v>
      </c>
    </row>
    <row r="54" spans="2:20" s="1" customFormat="1" x14ac:dyDescent="0.25">
      <c r="B54" s="1" t="s">
        <v>70</v>
      </c>
      <c r="C54" s="53"/>
      <c r="D54" s="53"/>
      <c r="E54" s="53"/>
      <c r="F54" s="168"/>
      <c r="G54" s="16"/>
      <c r="S54" s="164"/>
      <c r="T54" s="16"/>
    </row>
    <row r="72" spans="6:20" s="9" customFormat="1" x14ac:dyDescent="0.25">
      <c r="F72" s="165"/>
      <c r="G72" s="40"/>
      <c r="S72" s="165"/>
      <c r="T72" s="40"/>
    </row>
    <row r="73" spans="6:20" s="1" customFormat="1" x14ac:dyDescent="0.25">
      <c r="F73" s="164"/>
      <c r="G73" s="16"/>
      <c r="S73" s="164"/>
      <c r="T73" s="16"/>
    </row>
  </sheetData>
  <phoneticPr fontId="3" type="noConversion"/>
  <conditionalFormatting sqref="N26:T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28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0D8C-0004-4ED5-925F-5AD6DCDD8879}">
  <dimension ref="A1:L12"/>
  <sheetViews>
    <sheetView workbookViewId="0">
      <selection activeCell="G13" sqref="G13"/>
    </sheetView>
  </sheetViews>
  <sheetFormatPr defaultRowHeight="15" x14ac:dyDescent="0.25"/>
  <sheetData>
    <row r="1" spans="1:12" x14ac:dyDescent="0.25">
      <c r="B1" s="181">
        <v>45413</v>
      </c>
      <c r="C1" s="181">
        <v>45444</v>
      </c>
      <c r="D1" s="181">
        <v>45474</v>
      </c>
      <c r="E1" s="181">
        <v>45505</v>
      </c>
      <c r="F1" s="181">
        <v>45536</v>
      </c>
      <c r="G1" s="181">
        <v>45566</v>
      </c>
      <c r="H1" s="181">
        <v>45597</v>
      </c>
      <c r="I1" s="181">
        <v>45627</v>
      </c>
      <c r="J1" s="181">
        <v>45658</v>
      </c>
      <c r="K1" s="181">
        <v>45689</v>
      </c>
      <c r="L1" s="181">
        <v>45717</v>
      </c>
    </row>
    <row r="2" spans="1:12" x14ac:dyDescent="0.25">
      <c r="A2" t="s">
        <v>207</v>
      </c>
    </row>
    <row r="3" spans="1:12" x14ac:dyDescent="0.25">
      <c r="A3" t="s">
        <v>208</v>
      </c>
    </row>
    <row r="4" spans="1:12" x14ac:dyDescent="0.25">
      <c r="A4" t="s">
        <v>209</v>
      </c>
      <c r="H4">
        <v>1</v>
      </c>
      <c r="I4">
        <v>1</v>
      </c>
      <c r="J4">
        <v>2</v>
      </c>
      <c r="K4">
        <v>1</v>
      </c>
    </row>
    <row r="5" spans="1:12" x14ac:dyDescent="0.25">
      <c r="A5" t="s">
        <v>210</v>
      </c>
      <c r="H5">
        <v>7</v>
      </c>
      <c r="I5">
        <v>7</v>
      </c>
      <c r="J5">
        <v>7</v>
      </c>
      <c r="K5">
        <v>7</v>
      </c>
    </row>
    <row r="6" spans="1:12" x14ac:dyDescent="0.25">
      <c r="A6" t="s">
        <v>211</v>
      </c>
      <c r="H6">
        <v>5</v>
      </c>
      <c r="I6">
        <v>5</v>
      </c>
      <c r="J6">
        <v>5</v>
      </c>
      <c r="K6">
        <v>6</v>
      </c>
    </row>
    <row r="9" spans="1:12" x14ac:dyDescent="0.25">
      <c r="A9" s="1" t="s">
        <v>212</v>
      </c>
    </row>
    <row r="10" spans="1:12" x14ac:dyDescent="0.25">
      <c r="A10" t="s">
        <v>213</v>
      </c>
      <c r="I10">
        <v>80</v>
      </c>
      <c r="J10">
        <v>80</v>
      </c>
      <c r="K10">
        <v>80</v>
      </c>
    </row>
    <row r="11" spans="1:12" x14ac:dyDescent="0.25">
      <c r="A11" t="s">
        <v>214</v>
      </c>
      <c r="I11">
        <v>90</v>
      </c>
      <c r="J11">
        <v>90</v>
      </c>
      <c r="K11">
        <v>90</v>
      </c>
    </row>
    <row r="12" spans="1:12" x14ac:dyDescent="0.25">
      <c r="A12" t="s">
        <v>215</v>
      </c>
      <c r="I12">
        <v>40</v>
      </c>
      <c r="J12">
        <v>40</v>
      </c>
      <c r="K12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M9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20" sqref="J20"/>
    </sheetView>
  </sheetViews>
  <sheetFormatPr defaultRowHeight="15" x14ac:dyDescent="0.25"/>
  <cols>
    <col min="1" max="1" width="29.28515625" customWidth="1"/>
  </cols>
  <sheetData>
    <row r="1" spans="1:13" x14ac:dyDescent="0.25">
      <c r="A1" s="134" t="s">
        <v>171</v>
      </c>
      <c r="B1">
        <v>2023</v>
      </c>
      <c r="C1">
        <v>2024</v>
      </c>
      <c r="F1" t="s">
        <v>6</v>
      </c>
      <c r="G1" t="s">
        <v>26</v>
      </c>
      <c r="H1" t="s">
        <v>30</v>
      </c>
      <c r="I1" t="s">
        <v>31</v>
      </c>
      <c r="J1" t="s">
        <v>53</v>
      </c>
      <c r="K1" t="s">
        <v>57</v>
      </c>
      <c r="L1" s="13" t="s">
        <v>129</v>
      </c>
      <c r="M1" t="s">
        <v>130</v>
      </c>
    </row>
    <row r="2" spans="1:13" x14ac:dyDescent="0.25">
      <c r="L2" s="13"/>
    </row>
    <row r="3" spans="1:13" x14ac:dyDescent="0.25">
      <c r="A3" t="s">
        <v>172</v>
      </c>
      <c r="F3" s="135"/>
      <c r="G3" s="135">
        <v>0.56899999999999995</v>
      </c>
      <c r="H3" s="135">
        <v>22.251999999999999</v>
      </c>
      <c r="I3" s="135"/>
      <c r="J3" s="135"/>
      <c r="K3" s="135">
        <v>63.954999999999998</v>
      </c>
      <c r="L3" s="136">
        <v>76.900999999999996</v>
      </c>
      <c r="M3" s="135"/>
    </row>
    <row r="4" spans="1:13" x14ac:dyDescent="0.25">
      <c r="A4" t="s">
        <v>202</v>
      </c>
      <c r="F4" s="135"/>
      <c r="G4" s="135"/>
      <c r="H4" s="135">
        <v>2.6389999999999998</v>
      </c>
      <c r="I4" s="135"/>
      <c r="J4" s="135"/>
      <c r="K4" s="135"/>
      <c r="L4" s="136">
        <v>16.507000000000001</v>
      </c>
      <c r="M4" s="135"/>
    </row>
    <row r="5" spans="1:13" x14ac:dyDescent="0.25">
      <c r="A5" t="s">
        <v>173</v>
      </c>
      <c r="F5" s="135"/>
      <c r="G5" s="135">
        <v>6.2220000000000004</v>
      </c>
      <c r="H5" s="135">
        <v>11.441000000000001</v>
      </c>
      <c r="I5" s="135"/>
      <c r="J5" s="135"/>
      <c r="K5" s="135">
        <v>4.4989999999999997</v>
      </c>
      <c r="L5" s="136">
        <v>5.3879999999999999</v>
      </c>
      <c r="M5" s="135"/>
    </row>
    <row r="6" spans="1:13" x14ac:dyDescent="0.25">
      <c r="A6" t="s">
        <v>174</v>
      </c>
      <c r="F6" s="135"/>
      <c r="G6" s="135">
        <v>2.4119999999999999</v>
      </c>
      <c r="H6" s="135"/>
      <c r="I6" s="135"/>
      <c r="J6" s="135"/>
      <c r="K6" s="135"/>
      <c r="L6" s="136"/>
      <c r="M6" s="135"/>
    </row>
    <row r="7" spans="1:13" x14ac:dyDescent="0.25">
      <c r="A7" t="s">
        <v>18</v>
      </c>
      <c r="F7" s="135"/>
      <c r="G7" s="135">
        <v>1.4850000000000001</v>
      </c>
      <c r="H7" s="135">
        <v>0.59599999999999997</v>
      </c>
      <c r="I7" s="135"/>
      <c r="J7" s="135"/>
      <c r="K7" s="135">
        <v>8.3960000000000008</v>
      </c>
      <c r="L7" s="136">
        <f>11.972+2.318</f>
        <v>14.29</v>
      </c>
      <c r="M7" s="135"/>
    </row>
    <row r="8" spans="1:13" x14ac:dyDescent="0.25">
      <c r="A8" t="s">
        <v>175</v>
      </c>
      <c r="F8" s="135">
        <f t="shared" ref="F8:J8" si="0">SUM(F3:F7)</f>
        <v>0</v>
      </c>
      <c r="G8" s="135">
        <f t="shared" si="0"/>
        <v>10.687999999999999</v>
      </c>
      <c r="H8" s="135">
        <f t="shared" si="0"/>
        <v>36.927999999999997</v>
      </c>
      <c r="I8" s="135">
        <f t="shared" si="0"/>
        <v>0</v>
      </c>
      <c r="J8" s="135">
        <f t="shared" si="0"/>
        <v>0</v>
      </c>
      <c r="K8" s="135">
        <f>SUM(K3:K7)</f>
        <v>76.849999999999994</v>
      </c>
      <c r="L8" s="136">
        <f>SUM(L3:L7)</f>
        <v>113.08600000000001</v>
      </c>
      <c r="M8" s="135">
        <f>SUM(M3:M7)</f>
        <v>0</v>
      </c>
    </row>
    <row r="9" spans="1:13" x14ac:dyDescent="0.25">
      <c r="L9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28</v>
      </c>
      <c r="B1" t="s">
        <v>41</v>
      </c>
      <c r="C1" s="17" t="s">
        <v>42</v>
      </c>
    </row>
    <row r="2" spans="1:13" x14ac:dyDescent="0.25">
      <c r="B2" s="12"/>
      <c r="C2" s="18"/>
      <c r="E2" t="s">
        <v>41</v>
      </c>
      <c r="F2" t="s">
        <v>43</v>
      </c>
      <c r="M2" t="s">
        <v>44</v>
      </c>
    </row>
    <row r="3" spans="1:13" x14ac:dyDescent="0.25">
      <c r="B3" s="12"/>
      <c r="C3" s="18"/>
      <c r="E3" s="12">
        <v>45328</v>
      </c>
      <c r="F3" t="s">
        <v>46</v>
      </c>
      <c r="M3" s="12"/>
    </row>
    <row r="4" spans="1:13" x14ac:dyDescent="0.25">
      <c r="B4" s="12"/>
      <c r="C4" s="18"/>
      <c r="E4" s="12">
        <v>45302</v>
      </c>
      <c r="F4" t="s">
        <v>46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28</v>
      </c>
      <c r="B1" s="1" t="s">
        <v>41</v>
      </c>
      <c r="C1" s="1" t="s">
        <v>0</v>
      </c>
      <c r="D1" s="1" t="s">
        <v>83</v>
      </c>
      <c r="H1" s="146" t="s">
        <v>84</v>
      </c>
      <c r="I1" s="147"/>
      <c r="J1" s="147"/>
      <c r="K1" s="147"/>
      <c r="L1" s="147"/>
      <c r="M1" s="148"/>
    </row>
    <row r="2" spans="1:13" ht="15.75" thickBot="1" x14ac:dyDescent="0.3">
      <c r="D2" t="e">
        <f>C2/C3-1</f>
        <v>#DIV/0!</v>
      </c>
      <c r="H2" s="59"/>
      <c r="I2" s="60"/>
      <c r="J2" s="60"/>
      <c r="K2" s="60"/>
      <c r="L2" s="60"/>
      <c r="M2" s="61"/>
    </row>
    <row r="3" spans="1:13" ht="15.75" thickBot="1" x14ac:dyDescent="0.3">
      <c r="D3" t="e">
        <f t="shared" ref="D3:D66" si="0">C3/C4-1</f>
        <v>#DIV/0!</v>
      </c>
      <c r="H3" s="62" t="s">
        <v>85</v>
      </c>
      <c r="I3" s="63" t="s">
        <v>86</v>
      </c>
      <c r="J3" s="64" t="s">
        <v>87</v>
      </c>
      <c r="K3" s="65" t="s">
        <v>88</v>
      </c>
      <c r="L3" s="65" t="s">
        <v>89</v>
      </c>
      <c r="M3" s="66" t="s">
        <v>90</v>
      </c>
    </row>
    <row r="4" spans="1:13" x14ac:dyDescent="0.25">
      <c r="D4" t="e">
        <f t="shared" si="0"/>
        <v>#DIV/0!</v>
      </c>
      <c r="H4" s="67" t="e">
        <f>$I$19-3*$I$23</f>
        <v>#DIV/0!</v>
      </c>
      <c r="I4" s="68" t="e">
        <f>H4</f>
        <v>#DIV/0!</v>
      </c>
      <c r="J4" s="69">
        <f>COUNTIF(D:D,"&lt;="&amp;H4)</f>
        <v>67</v>
      </c>
      <c r="K4" s="69" t="e">
        <f>"Less than "&amp;TEXT(H4,"0,00%")</f>
        <v>#DIV/0!</v>
      </c>
      <c r="L4" s="70" t="e">
        <f>J4/$I$31</f>
        <v>#DIV/0!</v>
      </c>
      <c r="M4" s="71" t="e">
        <f>L4</f>
        <v>#DIV/0!</v>
      </c>
    </row>
    <row r="5" spans="1:13" x14ac:dyDescent="0.25">
      <c r="D5" t="e">
        <f t="shared" si="0"/>
        <v>#DIV/0!</v>
      </c>
      <c r="H5" s="72" t="e">
        <f>$I$19-2.4*$I$23</f>
        <v>#DIV/0!</v>
      </c>
      <c r="I5" s="73" t="e">
        <f>H5</f>
        <v>#DIV/0!</v>
      </c>
      <c r="J5" s="74">
        <f>COUNTIFS(D:D,"&lt;="&amp;H5,D:D,"&gt;"&amp;H4)</f>
        <v>67</v>
      </c>
      <c r="K5" s="75" t="e">
        <f t="shared" ref="K5:K14" si="1">TEXT(H4,"0,00%")&amp;" to "&amp;TEXT(H5,"0,00%")</f>
        <v>#DIV/0!</v>
      </c>
      <c r="L5" s="76" t="e">
        <f>J5/$I$31</f>
        <v>#DIV/0!</v>
      </c>
      <c r="M5" s="77" t="e">
        <f>M4+L5</f>
        <v>#DIV/0!</v>
      </c>
    </row>
    <row r="6" spans="1:13" x14ac:dyDescent="0.25">
      <c r="D6" t="e">
        <f t="shared" si="0"/>
        <v>#DIV/0!</v>
      </c>
      <c r="H6" s="72" t="e">
        <f>$I$19-1.8*$I$23</f>
        <v>#DIV/0!</v>
      </c>
      <c r="I6" s="73" t="e">
        <f t="shared" ref="I6:I14" si="2">H6</f>
        <v>#DIV/0!</v>
      </c>
      <c r="J6" s="74">
        <f t="shared" ref="J6:J14" si="3">COUNTIFS(D:D,"&lt;="&amp;H6,D:D,"&gt;"&amp;H5)</f>
        <v>67</v>
      </c>
      <c r="K6" s="75" t="e">
        <f t="shared" si="1"/>
        <v>#DIV/0!</v>
      </c>
      <c r="L6" s="76" t="e">
        <f t="shared" ref="L6:L15" si="4">J6/$I$31</f>
        <v>#DIV/0!</v>
      </c>
      <c r="M6" s="77" t="e">
        <f t="shared" ref="M6:M15" si="5">M5+L6</f>
        <v>#DIV/0!</v>
      </c>
    </row>
    <row r="7" spans="1:13" x14ac:dyDescent="0.25">
      <c r="D7" t="e">
        <f t="shared" si="0"/>
        <v>#DIV/0!</v>
      </c>
      <c r="H7" s="72" t="e">
        <f>$I$19-1.2*$I$23</f>
        <v>#DIV/0!</v>
      </c>
      <c r="I7" s="73" t="e">
        <f t="shared" si="2"/>
        <v>#DIV/0!</v>
      </c>
      <c r="J7" s="74">
        <f t="shared" si="3"/>
        <v>67</v>
      </c>
      <c r="K7" s="75" t="e">
        <f t="shared" si="1"/>
        <v>#DIV/0!</v>
      </c>
      <c r="L7" s="76" t="e">
        <f t="shared" si="4"/>
        <v>#DIV/0!</v>
      </c>
      <c r="M7" s="77" t="e">
        <f t="shared" si="5"/>
        <v>#DIV/0!</v>
      </c>
    </row>
    <row r="8" spans="1:13" x14ac:dyDescent="0.25">
      <c r="D8" t="e">
        <f t="shared" si="0"/>
        <v>#DIV/0!</v>
      </c>
      <c r="H8" s="72" t="e">
        <f>$I$19-0.6*$I$23</f>
        <v>#DIV/0!</v>
      </c>
      <c r="I8" s="73" t="e">
        <f t="shared" si="2"/>
        <v>#DIV/0!</v>
      </c>
      <c r="J8" s="74">
        <f t="shared" si="3"/>
        <v>67</v>
      </c>
      <c r="K8" s="75" t="e">
        <f t="shared" si="1"/>
        <v>#DIV/0!</v>
      </c>
      <c r="L8" s="76" t="e">
        <f t="shared" si="4"/>
        <v>#DIV/0!</v>
      </c>
      <c r="M8" s="77" t="e">
        <f t="shared" si="5"/>
        <v>#DIV/0!</v>
      </c>
    </row>
    <row r="9" spans="1:13" x14ac:dyDescent="0.25">
      <c r="D9" t="e">
        <f t="shared" si="0"/>
        <v>#DIV/0!</v>
      </c>
      <c r="H9" s="72" t="e">
        <f>$I$19</f>
        <v>#DIV/0!</v>
      </c>
      <c r="I9" s="73" t="e">
        <f t="shared" si="2"/>
        <v>#DIV/0!</v>
      </c>
      <c r="J9" s="74">
        <f t="shared" si="3"/>
        <v>67</v>
      </c>
      <c r="K9" s="75" t="e">
        <f t="shared" si="1"/>
        <v>#DIV/0!</v>
      </c>
      <c r="L9" s="76" t="e">
        <f t="shared" si="4"/>
        <v>#DIV/0!</v>
      </c>
      <c r="M9" s="77" t="e">
        <f t="shared" si="5"/>
        <v>#DIV/0!</v>
      </c>
    </row>
    <row r="10" spans="1:13" x14ac:dyDescent="0.25">
      <c r="D10" t="e">
        <f t="shared" si="0"/>
        <v>#DIV/0!</v>
      </c>
      <c r="H10" s="72" t="e">
        <f>$I$19+0.6*$I$23</f>
        <v>#DIV/0!</v>
      </c>
      <c r="I10" s="73" t="e">
        <f t="shared" si="2"/>
        <v>#DIV/0!</v>
      </c>
      <c r="J10" s="74">
        <f t="shared" si="3"/>
        <v>67</v>
      </c>
      <c r="K10" s="75" t="e">
        <f t="shared" si="1"/>
        <v>#DIV/0!</v>
      </c>
      <c r="L10" s="76" t="e">
        <f t="shared" si="4"/>
        <v>#DIV/0!</v>
      </c>
      <c r="M10" s="77" t="e">
        <f t="shared" si="5"/>
        <v>#DIV/0!</v>
      </c>
    </row>
    <row r="11" spans="1:13" x14ac:dyDescent="0.25">
      <c r="D11" t="e">
        <f t="shared" si="0"/>
        <v>#DIV/0!</v>
      </c>
      <c r="H11" s="72" t="e">
        <f>$I$19+1.2*$I$23</f>
        <v>#DIV/0!</v>
      </c>
      <c r="I11" s="73" t="e">
        <f t="shared" si="2"/>
        <v>#DIV/0!</v>
      </c>
      <c r="J11" s="74">
        <f t="shared" si="3"/>
        <v>67</v>
      </c>
      <c r="K11" s="75" t="e">
        <f t="shared" si="1"/>
        <v>#DIV/0!</v>
      </c>
      <c r="L11" s="76" t="e">
        <f t="shared" si="4"/>
        <v>#DIV/0!</v>
      </c>
      <c r="M11" s="77" t="e">
        <f t="shared" si="5"/>
        <v>#DIV/0!</v>
      </c>
    </row>
    <row r="12" spans="1:13" x14ac:dyDescent="0.25">
      <c r="D12" t="e">
        <f t="shared" si="0"/>
        <v>#DIV/0!</v>
      </c>
      <c r="H12" s="72" t="e">
        <f>$I$19+1.8*$I$23</f>
        <v>#DIV/0!</v>
      </c>
      <c r="I12" s="73" t="e">
        <f t="shared" si="2"/>
        <v>#DIV/0!</v>
      </c>
      <c r="J12" s="74">
        <f t="shared" si="3"/>
        <v>67</v>
      </c>
      <c r="K12" s="75" t="e">
        <f t="shared" si="1"/>
        <v>#DIV/0!</v>
      </c>
      <c r="L12" s="76" t="e">
        <f t="shared" si="4"/>
        <v>#DIV/0!</v>
      </c>
      <c r="M12" s="77" t="e">
        <f t="shared" si="5"/>
        <v>#DIV/0!</v>
      </c>
    </row>
    <row r="13" spans="1:13" x14ac:dyDescent="0.25">
      <c r="D13" t="e">
        <f t="shared" si="0"/>
        <v>#DIV/0!</v>
      </c>
      <c r="H13" s="72" t="e">
        <f>$I$19+2.4*$I$23</f>
        <v>#DIV/0!</v>
      </c>
      <c r="I13" s="73" t="e">
        <f t="shared" si="2"/>
        <v>#DIV/0!</v>
      </c>
      <c r="J13" s="74">
        <f t="shared" si="3"/>
        <v>67</v>
      </c>
      <c r="K13" s="75" t="e">
        <f t="shared" si="1"/>
        <v>#DIV/0!</v>
      </c>
      <c r="L13" s="76" t="e">
        <f t="shared" si="4"/>
        <v>#DIV/0!</v>
      </c>
      <c r="M13" s="77" t="e">
        <f t="shared" si="5"/>
        <v>#DIV/0!</v>
      </c>
    </row>
    <row r="14" spans="1:13" x14ac:dyDescent="0.25">
      <c r="D14" t="e">
        <f t="shared" si="0"/>
        <v>#DIV/0!</v>
      </c>
      <c r="H14" s="72" t="e">
        <f>$I$19+3*$I$23</f>
        <v>#DIV/0!</v>
      </c>
      <c r="I14" s="73" t="e">
        <f t="shared" si="2"/>
        <v>#DIV/0!</v>
      </c>
      <c r="J14" s="74">
        <f t="shared" si="3"/>
        <v>67</v>
      </c>
      <c r="K14" s="75" t="e">
        <f t="shared" si="1"/>
        <v>#DIV/0!</v>
      </c>
      <c r="L14" s="76" t="e">
        <f t="shared" si="4"/>
        <v>#DIV/0!</v>
      </c>
      <c r="M14" s="77" t="e">
        <f t="shared" si="5"/>
        <v>#DIV/0!</v>
      </c>
    </row>
    <row r="15" spans="1:13" ht="15.75" thickBot="1" x14ac:dyDescent="0.3">
      <c r="D15" t="e">
        <f t="shared" si="0"/>
        <v>#DIV/0!</v>
      </c>
      <c r="H15" s="78"/>
      <c r="I15" s="79" t="s">
        <v>91</v>
      </c>
      <c r="J15" s="79">
        <f>COUNTIF(D:D,"&gt;"&amp;H14)</f>
        <v>67</v>
      </c>
      <c r="K15" s="79" t="e">
        <f>"Greater than "&amp;TEXT(H14,"0,00%")</f>
        <v>#DIV/0!</v>
      </c>
      <c r="L15" s="80" t="e">
        <f t="shared" si="4"/>
        <v>#DIV/0!</v>
      </c>
      <c r="M15" s="80" t="e">
        <f t="shared" si="5"/>
        <v>#DIV/0!</v>
      </c>
    </row>
    <row r="16" spans="1:13" ht="15.75" thickBot="1" x14ac:dyDescent="0.3">
      <c r="D16" t="e">
        <f t="shared" si="0"/>
        <v>#DIV/0!</v>
      </c>
      <c r="H16" s="81"/>
      <c r="M16" s="82"/>
    </row>
    <row r="17" spans="4:13" x14ac:dyDescent="0.25">
      <c r="D17" t="e">
        <f t="shared" si="0"/>
        <v>#DIV/0!</v>
      </c>
      <c r="H17" s="149" t="s">
        <v>122</v>
      </c>
      <c r="I17" s="150"/>
      <c r="M17" s="82"/>
    </row>
    <row r="18" spans="4:13" x14ac:dyDescent="0.25">
      <c r="D18" t="e">
        <f t="shared" si="0"/>
        <v>#DIV/0!</v>
      </c>
      <c r="H18" s="151"/>
      <c r="I18" s="152"/>
      <c r="M18" s="82"/>
    </row>
    <row r="19" spans="4:13" x14ac:dyDescent="0.25">
      <c r="D19" t="e">
        <f t="shared" si="0"/>
        <v>#DIV/0!</v>
      </c>
      <c r="H19" s="83" t="s">
        <v>92</v>
      </c>
      <c r="I19" s="119" t="e">
        <f>AVERAGE(D:D)</f>
        <v>#DIV/0!</v>
      </c>
      <c r="M19" s="82"/>
    </row>
    <row r="20" spans="4:13" x14ac:dyDescent="0.25">
      <c r="D20" t="e">
        <f t="shared" si="0"/>
        <v>#DIV/0!</v>
      </c>
      <c r="H20" s="83" t="s">
        <v>93</v>
      </c>
      <c r="I20" s="119" t="e">
        <f>_xlfn.STDEV.S(D:D)/SQRT(COUNT(D:D))</f>
        <v>#DIV/0!</v>
      </c>
      <c r="M20" s="82"/>
    </row>
    <row r="21" spans="4:13" x14ac:dyDescent="0.25">
      <c r="D21" t="e">
        <f t="shared" si="0"/>
        <v>#DIV/0!</v>
      </c>
      <c r="H21" s="83" t="s">
        <v>94</v>
      </c>
      <c r="I21" s="119" t="e">
        <f>MEDIAN(D:D)</f>
        <v>#DIV/0!</v>
      </c>
      <c r="M21" s="82"/>
    </row>
    <row r="22" spans="4:13" x14ac:dyDescent="0.25">
      <c r="D22" t="e">
        <f t="shared" si="0"/>
        <v>#DIV/0!</v>
      </c>
      <c r="H22" s="83" t="s">
        <v>95</v>
      </c>
      <c r="I22" s="119" t="e">
        <f>MODE(D:D)</f>
        <v>#DIV/0!</v>
      </c>
      <c r="M22" s="82"/>
    </row>
    <row r="23" spans="4:13" x14ac:dyDescent="0.25">
      <c r="D23" t="e">
        <f t="shared" si="0"/>
        <v>#DIV/0!</v>
      </c>
      <c r="H23" s="83" t="s">
        <v>96</v>
      </c>
      <c r="I23" s="119" t="e">
        <f>_xlfn.STDEV.S(D:D)</f>
        <v>#DIV/0!</v>
      </c>
      <c r="M23" s="82"/>
    </row>
    <row r="24" spans="4:13" x14ac:dyDescent="0.25">
      <c r="D24" t="e">
        <f t="shared" si="0"/>
        <v>#DIV/0!</v>
      </c>
      <c r="H24" s="83" t="s">
        <v>97</v>
      </c>
      <c r="I24" s="119" t="e">
        <f>_xlfn.VAR.S(D:D)</f>
        <v>#DIV/0!</v>
      </c>
      <c r="M24" s="82"/>
    </row>
    <row r="25" spans="4:13" x14ac:dyDescent="0.25">
      <c r="D25" t="e">
        <f t="shared" si="0"/>
        <v>#DIV/0!</v>
      </c>
      <c r="H25" s="83" t="s">
        <v>98</v>
      </c>
      <c r="I25" s="120" t="e">
        <f>KURT(D:D)</f>
        <v>#DIV/0!</v>
      </c>
      <c r="M25" s="82"/>
    </row>
    <row r="26" spans="4:13" x14ac:dyDescent="0.25">
      <c r="D26" t="e">
        <f t="shared" si="0"/>
        <v>#DIV/0!</v>
      </c>
      <c r="H26" s="83" t="s">
        <v>99</v>
      </c>
      <c r="I26" s="120" t="e">
        <f>SKEW(D:D)</f>
        <v>#DIV/0!</v>
      </c>
      <c r="M26" s="82"/>
    </row>
    <row r="27" spans="4:13" x14ac:dyDescent="0.25">
      <c r="D27" t="e">
        <f t="shared" si="0"/>
        <v>#DIV/0!</v>
      </c>
      <c r="H27" s="83" t="s">
        <v>88</v>
      </c>
      <c r="I27" s="119" t="e">
        <f>I29-I28</f>
        <v>#DIV/0!</v>
      </c>
      <c r="M27" s="82"/>
    </row>
    <row r="28" spans="4:13" x14ac:dyDescent="0.25">
      <c r="D28" t="e">
        <f t="shared" si="0"/>
        <v>#DIV/0!</v>
      </c>
      <c r="H28" s="83" t="s">
        <v>100</v>
      </c>
      <c r="I28" s="119" t="e">
        <f>MIN(D:D)</f>
        <v>#DIV/0!</v>
      </c>
      <c r="M28" s="82"/>
    </row>
    <row r="29" spans="4:13" x14ac:dyDescent="0.25">
      <c r="D29" t="e">
        <f t="shared" si="0"/>
        <v>#DIV/0!</v>
      </c>
      <c r="H29" s="83" t="s">
        <v>101</v>
      </c>
      <c r="I29" s="119" t="e">
        <f>MAX(D:D)</f>
        <v>#DIV/0!</v>
      </c>
      <c r="M29" s="82"/>
    </row>
    <row r="30" spans="4:13" x14ac:dyDescent="0.25">
      <c r="D30" t="e">
        <f t="shared" si="0"/>
        <v>#DIV/0!</v>
      </c>
      <c r="H30" s="83" t="s">
        <v>102</v>
      </c>
      <c r="I30" s="120" t="e">
        <f>SUM(D:D)</f>
        <v>#DIV/0!</v>
      </c>
      <c r="M30" s="82"/>
    </row>
    <row r="31" spans="4:13" ht="15.75" thickBot="1" x14ac:dyDescent="0.3">
      <c r="D31" t="e">
        <f t="shared" si="0"/>
        <v>#DIV/0!</v>
      </c>
      <c r="H31" s="84" t="s">
        <v>103</v>
      </c>
      <c r="I31" s="61">
        <f>COUNT(D:D)</f>
        <v>0</v>
      </c>
      <c r="M31" s="82"/>
    </row>
    <row r="32" spans="4:13" ht="15.75" thickBot="1" x14ac:dyDescent="0.3">
      <c r="D32" t="e">
        <f t="shared" si="0"/>
        <v>#DIV/0!</v>
      </c>
      <c r="H32" s="86"/>
      <c r="M32" s="82"/>
    </row>
    <row r="33" spans="4:13" x14ac:dyDescent="0.25">
      <c r="D33" t="e">
        <f t="shared" si="0"/>
        <v>#DIV/0!</v>
      </c>
      <c r="H33" s="87"/>
      <c r="I33" s="88" t="s">
        <v>104</v>
      </c>
      <c r="J33" s="88" t="s">
        <v>103</v>
      </c>
      <c r="K33" s="88" t="s">
        <v>105</v>
      </c>
      <c r="L33" s="89" t="s">
        <v>106</v>
      </c>
      <c r="M33" s="82"/>
    </row>
    <row r="34" spans="4:13" x14ac:dyDescent="0.25">
      <c r="D34" t="e">
        <f t="shared" si="0"/>
        <v>#DIV/0!</v>
      </c>
      <c r="H34" s="90" t="s">
        <v>107</v>
      </c>
      <c r="I34" s="76" t="e">
        <f>AVERAGEIF(D:D,"&gt;0")</f>
        <v>#DIV/0!</v>
      </c>
      <c r="J34" s="74">
        <f>COUNTIF(D:D,"&gt;0")</f>
        <v>0</v>
      </c>
      <c r="K34" s="76" t="e">
        <f>J34/$I$31</f>
        <v>#DIV/0!</v>
      </c>
      <c r="L34" s="77" t="e">
        <f>K34*I34</f>
        <v>#DIV/0!</v>
      </c>
      <c r="M34" s="82"/>
    </row>
    <row r="35" spans="4:13" x14ac:dyDescent="0.25">
      <c r="D35" t="e">
        <f t="shared" si="0"/>
        <v>#DIV/0!</v>
      </c>
      <c r="H35" s="90" t="s">
        <v>108</v>
      </c>
      <c r="I35" s="76" t="e">
        <f>AVERAGEIF(D:D,"&lt;0")</f>
        <v>#DIV/0!</v>
      </c>
      <c r="J35" s="74">
        <f>COUNTIF(D:D,"&lt;0")</f>
        <v>0</v>
      </c>
      <c r="K35" s="76" t="e">
        <f>J35/$I$31</f>
        <v>#DIV/0!</v>
      </c>
      <c r="L35" s="77" t="e">
        <f t="shared" ref="L35:L36" si="6">K35*I35</f>
        <v>#DIV/0!</v>
      </c>
      <c r="M35" s="82"/>
    </row>
    <row r="36" spans="4:13" ht="15.75" thickBot="1" x14ac:dyDescent="0.3">
      <c r="D36" t="e">
        <f t="shared" si="0"/>
        <v>#DIV/0!</v>
      </c>
      <c r="H36" s="91" t="s">
        <v>109</v>
      </c>
      <c r="I36" s="79">
        <v>0</v>
      </c>
      <c r="J36" s="79">
        <f>COUNTIF(D:D,"0")</f>
        <v>0</v>
      </c>
      <c r="K36" s="92" t="e">
        <f>J36/$I$31</f>
        <v>#DIV/0!</v>
      </c>
      <c r="L36" s="80" t="e">
        <f t="shared" si="6"/>
        <v>#DIV/0!</v>
      </c>
      <c r="M36" s="82"/>
    </row>
    <row r="37" spans="4:13" ht="15.75" thickBot="1" x14ac:dyDescent="0.3">
      <c r="D37" t="e">
        <f t="shared" si="0"/>
        <v>#DIV/0!</v>
      </c>
      <c r="H37" s="86"/>
      <c r="I37" s="93"/>
      <c r="J37" s="93"/>
      <c r="K37" s="93"/>
      <c r="L37" s="93"/>
      <c r="M37" s="82"/>
    </row>
    <row r="38" spans="4:13" x14ac:dyDescent="0.25">
      <c r="D38" t="e">
        <f t="shared" si="0"/>
        <v>#DIV/0!</v>
      </c>
      <c r="H38" s="67" t="s">
        <v>110</v>
      </c>
      <c r="I38" s="88" t="s">
        <v>111</v>
      </c>
      <c r="J38" s="88" t="s">
        <v>112</v>
      </c>
      <c r="K38" s="88" t="s">
        <v>113</v>
      </c>
      <c r="L38" s="88" t="s">
        <v>114</v>
      </c>
      <c r="M38" s="89" t="s">
        <v>115</v>
      </c>
    </row>
    <row r="39" spans="4:13" x14ac:dyDescent="0.25">
      <c r="D39" t="e">
        <f t="shared" si="0"/>
        <v>#DIV/0!</v>
      </c>
      <c r="H39" s="94">
        <v>1</v>
      </c>
      <c r="I39" s="76" t="e">
        <f>$I$19+($H39*$I$23)</f>
        <v>#DIV/0!</v>
      </c>
      <c r="J39" s="76" t="e">
        <f>$I$19-($H39*$I$23)</f>
        <v>#DIV/0!</v>
      </c>
      <c r="K39" s="74">
        <f>COUNTIFS(D:D,"&lt;"&amp;I39,D:D,"&gt;"&amp;J39)</f>
        <v>67</v>
      </c>
      <c r="L39" s="76" t="e">
        <f>K39/$I$31</f>
        <v>#DIV/0!</v>
      </c>
      <c r="M39" s="77">
        <v>0.68269999999999997</v>
      </c>
    </row>
    <row r="40" spans="4:13" x14ac:dyDescent="0.25">
      <c r="D40" t="e">
        <f t="shared" si="0"/>
        <v>#DIV/0!</v>
      </c>
      <c r="H40" s="94">
        <v>2</v>
      </c>
      <c r="I40" s="76" t="e">
        <f>$I$19+($H40*$I$23)</f>
        <v>#DIV/0!</v>
      </c>
      <c r="J40" s="76" t="e">
        <f>$I$19-($H40*$I$23)</f>
        <v>#DIV/0!</v>
      </c>
      <c r="K40" s="74">
        <f>COUNTIFS(D:D,"&lt;"&amp;I40,D:D,"&gt;"&amp;J40)</f>
        <v>67</v>
      </c>
      <c r="L40" s="76" t="e">
        <f>K40/$I$31</f>
        <v>#DIV/0!</v>
      </c>
      <c r="M40" s="77">
        <v>0.95450000000000002</v>
      </c>
    </row>
    <row r="41" spans="4:13" x14ac:dyDescent="0.25">
      <c r="D41" t="e">
        <f t="shared" si="0"/>
        <v>#DIV/0!</v>
      </c>
      <c r="H41" s="94">
        <v>3</v>
      </c>
      <c r="I41" s="76" t="e">
        <f>$I$19+($H41*$I$23)</f>
        <v>#DIV/0!</v>
      </c>
      <c r="J41" s="76" t="e">
        <f>$I$19-($H41*$I$23)</f>
        <v>#DIV/0!</v>
      </c>
      <c r="K41" s="74">
        <f>COUNTIFS(D:D,"&lt;"&amp;I41,D:D,"&gt;"&amp;J41)</f>
        <v>67</v>
      </c>
      <c r="L41" s="76" t="e">
        <f>K41/$I$31</f>
        <v>#DIV/0!</v>
      </c>
      <c r="M41" s="95">
        <v>0.99729999999999996</v>
      </c>
    </row>
    <row r="42" spans="4:13" ht="15.75" thickBot="1" x14ac:dyDescent="0.3">
      <c r="D42" t="e">
        <f t="shared" si="0"/>
        <v>#DIV/0!</v>
      </c>
      <c r="H42" s="72"/>
      <c r="M42" s="95"/>
    </row>
    <row r="43" spans="4:13" ht="15.75" thickBot="1" x14ac:dyDescent="0.3">
      <c r="D43" t="e">
        <f t="shared" si="0"/>
        <v>#DIV/0!</v>
      </c>
      <c r="H43" s="153" t="s">
        <v>116</v>
      </c>
      <c r="I43" s="154"/>
      <c r="J43" s="154"/>
      <c r="K43" s="154"/>
      <c r="L43" s="154"/>
      <c r="M43" s="155"/>
    </row>
    <row r="44" spans="4:13" x14ac:dyDescent="0.25">
      <c r="D44" t="e">
        <f t="shared" si="0"/>
        <v>#DIV/0!</v>
      </c>
      <c r="H44" s="96">
        <v>0.01</v>
      </c>
      <c r="I44" s="97" t="e">
        <f t="shared" ref="I44:I58" si="7">_xlfn.PERCENTILE.INC(D:D,H44)</f>
        <v>#DIV/0!</v>
      </c>
      <c r="J44" s="98">
        <v>0.2</v>
      </c>
      <c r="K44" s="97" t="e">
        <f t="shared" ref="K44:K56" si="8">_xlfn.PERCENTILE.INC(D:D,J44)</f>
        <v>#DIV/0!</v>
      </c>
      <c r="L44" s="98">
        <v>0.85</v>
      </c>
      <c r="M44" s="99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0">
        <v>0.02</v>
      </c>
      <c r="I45" s="101" t="e">
        <f t="shared" si="7"/>
        <v>#DIV/0!</v>
      </c>
      <c r="J45" s="102">
        <v>0.25</v>
      </c>
      <c r="K45" s="101" t="e">
        <f t="shared" si="8"/>
        <v>#DIV/0!</v>
      </c>
      <c r="L45" s="102">
        <v>0.86</v>
      </c>
      <c r="M45" s="103" t="e">
        <f t="shared" si="9"/>
        <v>#DIV/0!</v>
      </c>
    </row>
    <row r="46" spans="4:13" x14ac:dyDescent="0.25">
      <c r="D46" t="e">
        <f t="shared" si="0"/>
        <v>#DIV/0!</v>
      </c>
      <c r="H46" s="100">
        <v>0.03</v>
      </c>
      <c r="I46" s="101" t="e">
        <f t="shared" si="7"/>
        <v>#DIV/0!</v>
      </c>
      <c r="J46" s="102">
        <v>0.3</v>
      </c>
      <c r="K46" s="101" t="e">
        <f t="shared" si="8"/>
        <v>#DIV/0!</v>
      </c>
      <c r="L46" s="102">
        <v>0.87</v>
      </c>
      <c r="M46" s="103" t="e">
        <f t="shared" si="9"/>
        <v>#DIV/0!</v>
      </c>
    </row>
    <row r="47" spans="4:13" x14ac:dyDescent="0.25">
      <c r="D47" t="e">
        <f t="shared" si="0"/>
        <v>#DIV/0!</v>
      </c>
      <c r="H47" s="100">
        <v>0.04</v>
      </c>
      <c r="I47" s="101" t="e">
        <f t="shared" si="7"/>
        <v>#DIV/0!</v>
      </c>
      <c r="J47" s="102">
        <v>0.35</v>
      </c>
      <c r="K47" s="101" t="e">
        <f t="shared" si="8"/>
        <v>#DIV/0!</v>
      </c>
      <c r="L47" s="102">
        <v>0.88</v>
      </c>
      <c r="M47" s="103" t="e">
        <f t="shared" si="9"/>
        <v>#DIV/0!</v>
      </c>
    </row>
    <row r="48" spans="4:13" x14ac:dyDescent="0.25">
      <c r="D48" t="e">
        <f t="shared" si="0"/>
        <v>#DIV/0!</v>
      </c>
      <c r="H48" s="100">
        <v>0.05</v>
      </c>
      <c r="I48" s="101" t="e">
        <f t="shared" si="7"/>
        <v>#DIV/0!</v>
      </c>
      <c r="J48" s="102">
        <v>0.4</v>
      </c>
      <c r="K48" s="101" t="e">
        <f t="shared" si="8"/>
        <v>#DIV/0!</v>
      </c>
      <c r="L48" s="102">
        <v>0.89</v>
      </c>
      <c r="M48" s="103" t="e">
        <f t="shared" si="9"/>
        <v>#DIV/0!</v>
      </c>
    </row>
    <row r="49" spans="4:13" x14ac:dyDescent="0.25">
      <c r="D49" t="e">
        <f t="shared" si="0"/>
        <v>#DIV/0!</v>
      </c>
      <c r="H49" s="100">
        <v>0.06</v>
      </c>
      <c r="I49" s="101" t="e">
        <f t="shared" si="7"/>
        <v>#DIV/0!</v>
      </c>
      <c r="J49" s="102">
        <v>0.45</v>
      </c>
      <c r="K49" s="101" t="e">
        <f t="shared" si="8"/>
        <v>#DIV/0!</v>
      </c>
      <c r="L49" s="102">
        <v>0.9</v>
      </c>
      <c r="M49" s="103" t="e">
        <f t="shared" si="9"/>
        <v>#DIV/0!</v>
      </c>
    </row>
    <row r="50" spans="4:13" x14ac:dyDescent="0.25">
      <c r="D50" t="e">
        <f t="shared" si="0"/>
        <v>#DIV/0!</v>
      </c>
      <c r="H50" s="100">
        <v>7.0000000000000007E-2</v>
      </c>
      <c r="I50" s="101" t="e">
        <f t="shared" si="7"/>
        <v>#DIV/0!</v>
      </c>
      <c r="J50" s="102">
        <v>0.5</v>
      </c>
      <c r="K50" s="101" t="e">
        <f t="shared" si="8"/>
        <v>#DIV/0!</v>
      </c>
      <c r="L50" s="102">
        <v>0.91</v>
      </c>
      <c r="M50" s="103" t="e">
        <f t="shared" si="9"/>
        <v>#DIV/0!</v>
      </c>
    </row>
    <row r="51" spans="4:13" x14ac:dyDescent="0.25">
      <c r="D51" t="e">
        <f t="shared" si="0"/>
        <v>#DIV/0!</v>
      </c>
      <c r="H51" s="100">
        <v>0.08</v>
      </c>
      <c r="I51" s="101" t="e">
        <f t="shared" si="7"/>
        <v>#DIV/0!</v>
      </c>
      <c r="J51" s="102">
        <v>0.55000000000000004</v>
      </c>
      <c r="K51" s="101" t="e">
        <f t="shared" si="8"/>
        <v>#DIV/0!</v>
      </c>
      <c r="L51" s="102">
        <v>0.92</v>
      </c>
      <c r="M51" s="103" t="e">
        <f t="shared" si="9"/>
        <v>#DIV/0!</v>
      </c>
    </row>
    <row r="52" spans="4:13" x14ac:dyDescent="0.25">
      <c r="D52" t="e">
        <f t="shared" si="0"/>
        <v>#DIV/0!</v>
      </c>
      <c r="H52" s="100">
        <v>0.09</v>
      </c>
      <c r="I52" s="101" t="e">
        <f t="shared" si="7"/>
        <v>#DIV/0!</v>
      </c>
      <c r="J52" s="102">
        <v>0.6</v>
      </c>
      <c r="K52" s="101" t="e">
        <f t="shared" si="8"/>
        <v>#DIV/0!</v>
      </c>
      <c r="L52" s="102">
        <v>0.93</v>
      </c>
      <c r="M52" s="103" t="e">
        <f t="shared" si="9"/>
        <v>#DIV/0!</v>
      </c>
    </row>
    <row r="53" spans="4:13" x14ac:dyDescent="0.25">
      <c r="D53" t="e">
        <f t="shared" si="0"/>
        <v>#DIV/0!</v>
      </c>
      <c r="H53" s="100">
        <v>0.1</v>
      </c>
      <c r="I53" s="101" t="e">
        <f t="shared" si="7"/>
        <v>#DIV/0!</v>
      </c>
      <c r="J53" s="102">
        <v>0.65</v>
      </c>
      <c r="K53" s="101" t="e">
        <f t="shared" si="8"/>
        <v>#DIV/0!</v>
      </c>
      <c r="L53" s="102">
        <v>0.94</v>
      </c>
      <c r="M53" s="103" t="e">
        <f t="shared" si="9"/>
        <v>#DIV/0!</v>
      </c>
    </row>
    <row r="54" spans="4:13" x14ac:dyDescent="0.25">
      <c r="D54" t="e">
        <f t="shared" si="0"/>
        <v>#DIV/0!</v>
      </c>
      <c r="H54" s="100">
        <v>0.11</v>
      </c>
      <c r="I54" s="101" t="e">
        <f t="shared" si="7"/>
        <v>#DIV/0!</v>
      </c>
      <c r="J54" s="102">
        <v>0.7</v>
      </c>
      <c r="K54" s="101" t="e">
        <f t="shared" si="8"/>
        <v>#DIV/0!</v>
      </c>
      <c r="L54" s="102">
        <v>0.95</v>
      </c>
      <c r="M54" s="103" t="e">
        <f t="shared" si="9"/>
        <v>#DIV/0!</v>
      </c>
    </row>
    <row r="55" spans="4:13" x14ac:dyDescent="0.25">
      <c r="D55" t="e">
        <f t="shared" si="0"/>
        <v>#DIV/0!</v>
      </c>
      <c r="H55" s="100">
        <v>0.12</v>
      </c>
      <c r="I55" s="101" t="e">
        <f t="shared" si="7"/>
        <v>#DIV/0!</v>
      </c>
      <c r="J55" s="102">
        <v>0.75</v>
      </c>
      <c r="K55" s="101" t="e">
        <f t="shared" si="8"/>
        <v>#DIV/0!</v>
      </c>
      <c r="L55" s="102">
        <v>0.96</v>
      </c>
      <c r="M55" s="103" t="e">
        <f t="shared" si="9"/>
        <v>#DIV/0!</v>
      </c>
    </row>
    <row r="56" spans="4:13" x14ac:dyDescent="0.25">
      <c r="D56" t="e">
        <f t="shared" si="0"/>
        <v>#DIV/0!</v>
      </c>
      <c r="H56" s="100">
        <v>0.13</v>
      </c>
      <c r="I56" s="101" t="e">
        <f t="shared" si="7"/>
        <v>#DIV/0!</v>
      </c>
      <c r="J56" s="102">
        <v>0.8</v>
      </c>
      <c r="K56" s="101" t="e">
        <f t="shared" si="8"/>
        <v>#DIV/0!</v>
      </c>
      <c r="L56" s="102">
        <v>0.97</v>
      </c>
      <c r="M56" s="103" t="e">
        <f t="shared" si="9"/>
        <v>#DIV/0!</v>
      </c>
    </row>
    <row r="57" spans="4:13" x14ac:dyDescent="0.25">
      <c r="D57" t="e">
        <f t="shared" si="0"/>
        <v>#DIV/0!</v>
      </c>
      <c r="H57" s="100">
        <v>0.14000000000000001</v>
      </c>
      <c r="I57" s="101" t="e">
        <f t="shared" si="7"/>
        <v>#DIV/0!</v>
      </c>
      <c r="J57" s="102"/>
      <c r="K57" s="101"/>
      <c r="L57" s="102">
        <v>0.98</v>
      </c>
      <c r="M57" s="103" t="e">
        <f t="shared" si="9"/>
        <v>#DIV/0!</v>
      </c>
    </row>
    <row r="58" spans="4:13" ht="15.75" thickBot="1" x14ac:dyDescent="0.3">
      <c r="D58" t="e">
        <f t="shared" si="0"/>
        <v>#DIV/0!</v>
      </c>
      <c r="H58" s="104">
        <v>0.15</v>
      </c>
      <c r="I58" s="105" t="e">
        <f t="shared" si="7"/>
        <v>#DIV/0!</v>
      </c>
      <c r="J58" s="106"/>
      <c r="K58" s="85"/>
      <c r="L58" s="107">
        <v>0.99</v>
      </c>
      <c r="M58" s="108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09" t="s">
        <v>117</v>
      </c>
      <c r="I60" s="110"/>
    </row>
    <row r="61" spans="4:13" ht="15.75" thickBot="1" x14ac:dyDescent="0.3">
      <c r="D61" t="e">
        <f t="shared" si="0"/>
        <v>#DIV/0!</v>
      </c>
      <c r="H61" s="111" t="s">
        <v>118</v>
      </c>
      <c r="I61" s="112"/>
    </row>
    <row r="62" spans="4:13" ht="15.75" thickBot="1" x14ac:dyDescent="0.3">
      <c r="D62" t="e">
        <f t="shared" si="0"/>
        <v>#DIV/0!</v>
      </c>
      <c r="H62" s="113"/>
    </row>
    <row r="63" spans="4:13" x14ac:dyDescent="0.25">
      <c r="D63" t="e">
        <f t="shared" si="0"/>
        <v>#DIV/0!</v>
      </c>
      <c r="H63" s="109" t="s">
        <v>119</v>
      </c>
      <c r="I63" s="114"/>
    </row>
    <row r="64" spans="4:13" x14ac:dyDescent="0.25">
      <c r="D64" t="e">
        <f t="shared" si="0"/>
        <v>#DIV/0!</v>
      </c>
      <c r="H64" s="115" t="s">
        <v>120</v>
      </c>
      <c r="I64" s="116">
        <f>I63*(1-I60)</f>
        <v>0</v>
      </c>
    </row>
    <row r="65" spans="4:9" ht="15.75" thickBot="1" x14ac:dyDescent="0.3">
      <c r="D65" t="e">
        <f t="shared" si="0"/>
        <v>#DIV/0!</v>
      </c>
      <c r="H65" s="111" t="s">
        <v>121</v>
      </c>
      <c r="I65" s="117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Model-graph</vt:lpstr>
      <vt:lpstr>Analysts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2025-02-19T17:12:29Z</dcterms:modified>
</cp:coreProperties>
</file>