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eine Ablage\02_Long Short Portfolio Management\02_Data\Model\"/>
    </mc:Choice>
  </mc:AlternateContent>
  <xr:revisionPtr revIDLastSave="0" documentId="13_ncr:1_{45078135-CB62-4C05-B524-939778D123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2" l="1"/>
  <c r="Q8" i="1"/>
  <c r="Q7" i="1"/>
  <c r="Q6" i="1"/>
  <c r="E12" i="2" l="1"/>
  <c r="E15" i="2" s="1"/>
  <c r="E17" i="2" s="1"/>
  <c r="E5" i="2"/>
  <c r="E6" i="2"/>
  <c r="E7" i="2"/>
  <c r="E8" i="2"/>
  <c r="E9" i="2"/>
  <c r="E10" i="2"/>
  <c r="E11" i="2"/>
  <c r="E13" i="2"/>
  <c r="E14" i="2"/>
  <c r="E16" i="2"/>
  <c r="E4" i="2"/>
  <c r="I24" i="2"/>
  <c r="V13" i="2"/>
  <c r="V11" i="2"/>
  <c r="W13" i="2"/>
  <c r="T3" i="2"/>
  <c r="T12" i="2" s="1"/>
  <c r="U3" i="2"/>
  <c r="U21" i="2" s="1"/>
  <c r="V3" i="2"/>
  <c r="V21" i="2" s="1"/>
  <c r="W3" i="2"/>
  <c r="W12" i="2" s="1"/>
  <c r="W23" i="2" s="1"/>
  <c r="I13" i="2"/>
  <c r="I14" i="2"/>
  <c r="I16" i="2"/>
  <c r="I5" i="2"/>
  <c r="I6" i="2"/>
  <c r="I7" i="2"/>
  <c r="I8" i="2"/>
  <c r="I9" i="2"/>
  <c r="I10" i="2"/>
  <c r="I11" i="2"/>
  <c r="I4" i="2"/>
  <c r="B3" i="2"/>
  <c r="B12" i="2" s="1"/>
  <c r="B15" i="2" s="1"/>
  <c r="B17" i="2" s="1"/>
  <c r="D21" i="2"/>
  <c r="F24" i="2"/>
  <c r="G24" i="2"/>
  <c r="H24" i="2"/>
  <c r="J24" i="2"/>
  <c r="K24" i="2"/>
  <c r="L24" i="2"/>
  <c r="N24" i="2"/>
  <c r="O24" i="2"/>
  <c r="P24" i="2"/>
  <c r="F25" i="2"/>
  <c r="G25" i="2"/>
  <c r="H25" i="2"/>
  <c r="I25" i="2"/>
  <c r="J25" i="2"/>
  <c r="K25" i="2"/>
  <c r="L25" i="2"/>
  <c r="N25" i="2"/>
  <c r="O25" i="2"/>
  <c r="P25" i="2"/>
  <c r="D12" i="2"/>
  <c r="D23" i="2" s="1"/>
  <c r="D3" i="2"/>
  <c r="E3" i="2"/>
  <c r="M10" i="2"/>
  <c r="M16" i="2"/>
  <c r="M14" i="2"/>
  <c r="M13" i="2"/>
  <c r="M5" i="2"/>
  <c r="M6" i="2"/>
  <c r="M7" i="2"/>
  <c r="M8" i="2"/>
  <c r="M9" i="2"/>
  <c r="M11" i="2"/>
  <c r="M4" i="2"/>
  <c r="Q4" i="2"/>
  <c r="Q5" i="2"/>
  <c r="Q25" i="2" s="1"/>
  <c r="Q6" i="2"/>
  <c r="Q7" i="2"/>
  <c r="Q8" i="2"/>
  <c r="Q9" i="2"/>
  <c r="Q10" i="2"/>
  <c r="Q11" i="2"/>
  <c r="Q13" i="2"/>
  <c r="Q14" i="2"/>
  <c r="Q16" i="2"/>
  <c r="Q19" i="2"/>
  <c r="X32" i="2"/>
  <c r="N32" i="2"/>
  <c r="N44" i="2" s="1"/>
  <c r="O32" i="2"/>
  <c r="O44" i="2" s="1"/>
  <c r="C3" i="2"/>
  <c r="C21" i="2" s="1"/>
  <c r="F3" i="2"/>
  <c r="F12" i="2" s="1"/>
  <c r="G3" i="2"/>
  <c r="G12" i="2" s="1"/>
  <c r="G15" i="2" s="1"/>
  <c r="G17" i="2" s="1"/>
  <c r="G22" i="2" s="1"/>
  <c r="H3" i="2"/>
  <c r="H21" i="2" s="1"/>
  <c r="J3" i="2"/>
  <c r="J21" i="2" s="1"/>
  <c r="K3" i="2"/>
  <c r="K21" i="2" s="1"/>
  <c r="L3" i="2"/>
  <c r="L12" i="2" s="1"/>
  <c r="L23" i="2" s="1"/>
  <c r="N3" i="2"/>
  <c r="N12" i="2" s="1"/>
  <c r="N15" i="2" s="1"/>
  <c r="N17" i="2" s="1"/>
  <c r="N22" i="2" s="1"/>
  <c r="O3" i="2"/>
  <c r="O12" i="2" s="1"/>
  <c r="O15" i="2" s="1"/>
  <c r="O17" i="2" s="1"/>
  <c r="O22" i="2" s="1"/>
  <c r="K12" i="2"/>
  <c r="K15" i="2" s="1"/>
  <c r="K17" i="2" s="1"/>
  <c r="P3" i="2"/>
  <c r="P21" i="2" s="1"/>
  <c r="N60" i="2"/>
  <c r="O60" i="2"/>
  <c r="P60" i="2"/>
  <c r="P32" i="2"/>
  <c r="P44" i="2" s="1"/>
  <c r="M60" i="2"/>
  <c r="M35" i="2"/>
  <c r="M32" i="2"/>
  <c r="M44" i="2" s="1"/>
  <c r="Q60" i="2"/>
  <c r="Q35" i="2"/>
  <c r="Q32" i="2"/>
  <c r="V60" i="2"/>
  <c r="W60" i="2"/>
  <c r="X60" i="2"/>
  <c r="Y60" i="2"/>
  <c r="V44" i="2"/>
  <c r="W35" i="2"/>
  <c r="W44" i="2" s="1"/>
  <c r="X35" i="2"/>
  <c r="Y35" i="2"/>
  <c r="Y44" i="2" s="1"/>
  <c r="Y32" i="2"/>
  <c r="Z60" i="2"/>
  <c r="Z35" i="2"/>
  <c r="Z32" i="2"/>
  <c r="U24" i="2"/>
  <c r="V24" i="2"/>
  <c r="W24" i="2"/>
  <c r="X24" i="2"/>
  <c r="Y24" i="2"/>
  <c r="U25" i="2"/>
  <c r="V25" i="2"/>
  <c r="W25" i="2"/>
  <c r="X25" i="2"/>
  <c r="Y25" i="2"/>
  <c r="Z25" i="2"/>
  <c r="Z24" i="2"/>
  <c r="T21" i="2"/>
  <c r="W21" i="2"/>
  <c r="X3" i="2"/>
  <c r="X12" i="2" s="1"/>
  <c r="X15" i="2" s="1"/>
  <c r="X17" i="2" s="1"/>
  <c r="Y3" i="2"/>
  <c r="Y12" i="2" s="1"/>
  <c r="Y15" i="2" s="1"/>
  <c r="Y17" i="2" s="1"/>
  <c r="Y22" i="2" s="1"/>
  <c r="Z3" i="2"/>
  <c r="Z12" i="2" s="1"/>
  <c r="Z15" i="2" s="1"/>
  <c r="Z17" i="2" s="1"/>
  <c r="Z22" i="2" s="1"/>
  <c r="Q5" i="1"/>
  <c r="E21" i="2" l="1"/>
  <c r="T23" i="2"/>
  <c r="T15" i="2"/>
  <c r="T17" i="2" s="1"/>
  <c r="T22" i="2" s="1"/>
  <c r="G21" i="2"/>
  <c r="O26" i="2"/>
  <c r="Q24" i="2"/>
  <c r="D15" i="2"/>
  <c r="D17" i="2" s="1"/>
  <c r="D22" i="2" s="1"/>
  <c r="K26" i="2"/>
  <c r="N23" i="2"/>
  <c r="G23" i="2"/>
  <c r="N21" i="2"/>
  <c r="F23" i="2"/>
  <c r="F15" i="2"/>
  <c r="F17" i="2" s="1"/>
  <c r="F22" i="2" s="1"/>
  <c r="E23" i="2"/>
  <c r="Q44" i="2"/>
  <c r="Q3" i="2"/>
  <c r="O23" i="2"/>
  <c r="K22" i="2"/>
  <c r="O21" i="2"/>
  <c r="F21" i="2"/>
  <c r="Y23" i="2"/>
  <c r="Z44" i="2"/>
  <c r="X23" i="2"/>
  <c r="L21" i="2"/>
  <c r="M25" i="2"/>
  <c r="V12" i="2"/>
  <c r="K23" i="2"/>
  <c r="M24" i="2"/>
  <c r="U12" i="2"/>
  <c r="W15" i="2"/>
  <c r="W17" i="2" s="1"/>
  <c r="W22" i="2" s="1"/>
  <c r="I3" i="2"/>
  <c r="C12" i="2"/>
  <c r="L15" i="2"/>
  <c r="L17" i="2" s="1"/>
  <c r="M3" i="2"/>
  <c r="M21" i="2" s="1"/>
  <c r="X44" i="2"/>
  <c r="P12" i="2"/>
  <c r="J12" i="2"/>
  <c r="J23" i="2" s="1"/>
  <c r="H12" i="2"/>
  <c r="H23" i="2" s="1"/>
  <c r="Y21" i="2"/>
  <c r="X21" i="2"/>
  <c r="Z21" i="2"/>
  <c r="Z26" i="2"/>
  <c r="X22" i="2"/>
  <c r="Y26" i="2"/>
  <c r="P15" i="2" l="1"/>
  <c r="P17" i="2" s="1"/>
  <c r="P23" i="2"/>
  <c r="V15" i="2"/>
  <c r="V17" i="2" s="1"/>
  <c r="V22" i="2" s="1"/>
  <c r="V23" i="2"/>
  <c r="E22" i="2"/>
  <c r="W26" i="2"/>
  <c r="L26" i="2"/>
  <c r="L22" i="2"/>
  <c r="F26" i="2"/>
  <c r="U15" i="2"/>
  <c r="U17" i="2" s="1"/>
  <c r="V26" i="2" s="1"/>
  <c r="U23" i="2"/>
  <c r="Q21" i="2"/>
  <c r="Q12" i="2"/>
  <c r="I21" i="2"/>
  <c r="I12" i="2"/>
  <c r="X26" i="2"/>
  <c r="C15" i="2"/>
  <c r="C17" i="2" s="1"/>
  <c r="C23" i="2"/>
  <c r="H15" i="2"/>
  <c r="H17" i="2" s="1"/>
  <c r="M12" i="2"/>
  <c r="M23" i="2" s="1"/>
  <c r="J15" i="2"/>
  <c r="J17" i="2" s="1"/>
  <c r="J22" i="2" l="1"/>
  <c r="J26" i="2"/>
  <c r="N26" i="2"/>
  <c r="Q15" i="2"/>
  <c r="Q23" i="2"/>
  <c r="U26" i="2"/>
  <c r="I15" i="2"/>
  <c r="I17" i="2" s="1"/>
  <c r="I26" i="2" s="1"/>
  <c r="I23" i="2"/>
  <c r="H26" i="2"/>
  <c r="H22" i="2"/>
  <c r="U22" i="2"/>
  <c r="P26" i="2"/>
  <c r="P22" i="2"/>
  <c r="Q17" i="2"/>
  <c r="Q22" i="2" s="1"/>
  <c r="C22" i="2"/>
  <c r="G26" i="2"/>
  <c r="M15" i="2"/>
  <c r="M17" i="2" s="1"/>
  <c r="M22" i="2" s="1"/>
  <c r="I22" i="2" l="1"/>
  <c r="M26" i="2"/>
  <c r="Q26" i="2"/>
</calcChain>
</file>

<file path=xl/sharedStrings.xml><?xml version="1.0" encoding="utf-8"?>
<sst xmlns="http://schemas.openxmlformats.org/spreadsheetml/2006/main" count="87" uniqueCount="84">
  <si>
    <t>Price</t>
  </si>
  <si>
    <t>Shares</t>
  </si>
  <si>
    <t>MC</t>
  </si>
  <si>
    <t>Cash</t>
  </si>
  <si>
    <t>Debt</t>
  </si>
  <si>
    <t>EV</t>
  </si>
  <si>
    <t>KEX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</si>
  <si>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</si>
  <si>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</si>
  <si>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</si>
  <si>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</si>
  <si>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</si>
  <si>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</si>
  <si>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</si>
  <si>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</si>
  <si>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</si>
  <si>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</si>
  <si>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</si>
  <si>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</si>
  <si>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</si>
  <si>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</si>
  <si>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</si>
  <si>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</si>
  <si>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</si>
  <si>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</si>
  <si>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</si>
  <si>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</si>
  <si>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</si>
  <si>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</si>
  <si>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</si>
  <si>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</si>
  <si>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</si>
  <si>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REV</t>
  </si>
  <si>
    <t xml:space="preserve"> Marine Transportation</t>
  </si>
  <si>
    <t xml:space="preserve"> Distribution and Services</t>
  </si>
  <si>
    <t>COGS</t>
  </si>
  <si>
    <t>SG&amp;A</t>
  </si>
  <si>
    <t>Other Tax</t>
  </si>
  <si>
    <t>D&amp;A</t>
  </si>
  <si>
    <t>Impairments</t>
  </si>
  <si>
    <t>Gain on disposition of assets</t>
  </si>
  <si>
    <t>Operating Income</t>
  </si>
  <si>
    <t>Other Income</t>
  </si>
  <si>
    <t>Interest Expense</t>
  </si>
  <si>
    <t>EBITDA</t>
  </si>
  <si>
    <t>Income Tax</t>
  </si>
  <si>
    <t>Net Earnings</t>
  </si>
  <si>
    <t>EPS</t>
  </si>
  <si>
    <t>Gross Margin</t>
  </si>
  <si>
    <t>Net Margin</t>
  </si>
  <si>
    <t>Net earnings y/y</t>
  </si>
  <si>
    <t>Marine Transp. y/y</t>
  </si>
  <si>
    <t>D&amp;S y/y</t>
  </si>
  <si>
    <t>AR</t>
  </si>
  <si>
    <t>Inventories</t>
  </si>
  <si>
    <t>Prepraid Exp.</t>
  </si>
  <si>
    <t>P&amp;E</t>
  </si>
  <si>
    <t xml:space="preserve"> Marine Transportation Equipment</t>
  </si>
  <si>
    <t xml:space="preserve"> Land, Buildings, Equ.</t>
  </si>
  <si>
    <t>Acc. Depreciation</t>
  </si>
  <si>
    <t>Operating Lease</t>
  </si>
  <si>
    <t>Investment in Affiliates</t>
  </si>
  <si>
    <t>Goodwill</t>
  </si>
  <si>
    <t>Other Intangibles</t>
  </si>
  <si>
    <t>Other assets</t>
  </si>
  <si>
    <t>Bank notes payable</t>
  </si>
  <si>
    <t>Income Tax payable</t>
  </si>
  <si>
    <t>AP</t>
  </si>
  <si>
    <t>Interest</t>
  </si>
  <si>
    <t>Inscurance</t>
  </si>
  <si>
    <t>Employee comp.</t>
  </si>
  <si>
    <t>Taxes</t>
  </si>
  <si>
    <t>Other</t>
  </si>
  <si>
    <t>Def. Revenues</t>
  </si>
  <si>
    <t>Long-term Dept</t>
  </si>
  <si>
    <t>Deferred income Tax</t>
  </si>
  <si>
    <t>Operating lease liabilities</t>
  </si>
  <si>
    <t>Other Long-term Liabilities</t>
  </si>
  <si>
    <t>Total Assets</t>
  </si>
  <si>
    <t>Total Liabilities</t>
  </si>
  <si>
    <t>Interest Expense / OPINC</t>
  </si>
  <si>
    <t>1037 Tanks</t>
  </si>
  <si>
    <t>23,1 Million Barrel Capacity</t>
  </si>
  <si>
    <t>277 Towboats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</si>
</sst>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9"/>
  <sheetViews>
    <sheetView workbookViewId="0">
      <selection activeCell="C10" sqref="C10"/>
    </sheetView>
  </sheetViews>
  <sheetFormatPr baseColWidth="10" defaultColWidth="9.140625" defaultRowHeight="15" x14ac:dyDescent="0.25"/>
  <sheetData>
    <row r="3" spans="2:17" x14ac:dyDescent="0.25">
      <c r="B3" t="s">
        <v>6</v>
      </c>
      <c r="P3" t="s">
        <v>0</v>
      </c>
      <c r="Q3">
        <v>68.290000000000006</v>
      </c>
    </row>
    <row r="4" spans="2:17" x14ac:dyDescent="0.25">
      <c r="P4" t="s">
        <v>1</v>
      </c>
      <c r="Q4">
        <v>60</v>
      </c>
    </row>
    <row r="5" spans="2:17" x14ac:dyDescent="0.25">
      <c r="P5" t="s">
        <v>2</v>
      </c>
      <c r="Q5">
        <f>Q3*Q4</f>
        <v>4097.4000000000005</v>
      </c>
    </row>
    <row r="6" spans="2:17" x14ac:dyDescent="0.25">
      <c r="P6" t="s">
        <v>3</v>
      </c>
      <c r="Q6">
        <f>Model!Z31</f>
        <v>80</v>
      </c>
    </row>
    <row r="7" spans="2:17" x14ac:dyDescent="0.25">
      <c r="C7" t="s">
        <v>81</v>
      </c>
      <c r="P7" t="s">
        <v>4</v>
      </c>
      <c r="Q7">
        <f>Model!Z56</f>
        <v>1076</v>
      </c>
    </row>
    <row r="8" spans="2:17" x14ac:dyDescent="0.25">
      <c r="C8" t="s">
        <v>82</v>
      </c>
      <c r="P8" t="s">
        <v>5</v>
      </c>
      <c r="Q8">
        <f>Q5-Q6+Q7</f>
        <v>5093.4000000000005</v>
      </c>
    </row>
    <row r="9" spans="2:17" x14ac:dyDescent="0.25">
      <c r="C9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B1E6-F969-470E-8DEA-41635737C3B4}">
  <dimension ref="A2:AB60"/>
  <sheetViews>
    <sheetView tabSelected="1" zoomScaleNormal="100" workbookViewId="0">
      <pane xSplit="1" topLeftCell="I1" activePane="topRight" state="frozen"/>
      <selection pane="topRight" activeCell="Q11" sqref="Q11"/>
    </sheetView>
  </sheetViews>
  <sheetFormatPr baseColWidth="10" defaultRowHeight="15" x14ac:dyDescent="0.25"/>
  <cols>
    <col min="1" max="1" width="23.7109375" bestFit="1" customWidth="1"/>
  </cols>
  <sheetData>
    <row r="2" spans="1:28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</row>
    <row r="3" spans="1:28" s="1" customFormat="1" x14ac:dyDescent="0.25">
      <c r="A3" s="1" t="s">
        <v>32</v>
      </c>
      <c r="B3" s="1">
        <f t="shared" ref="B3:O3" si="0">B4+B5</f>
        <v>643.79999999999995</v>
      </c>
      <c r="C3" s="1">
        <f t="shared" si="0"/>
        <v>770.9</v>
      </c>
      <c r="D3" s="1">
        <f t="shared" ref="D3" si="1">D4+D5</f>
        <v>666.7</v>
      </c>
      <c r="E3" s="1">
        <f t="shared" ref="E3" si="2">E4+E5</f>
        <v>756.90000000000009</v>
      </c>
      <c r="F3" s="1">
        <f t="shared" si="0"/>
        <v>643.20000000000005</v>
      </c>
      <c r="G3" s="1">
        <f t="shared" si="0"/>
        <v>541</v>
      </c>
      <c r="H3" s="1">
        <f t="shared" si="0"/>
        <v>496.5</v>
      </c>
      <c r="I3" s="1">
        <f t="shared" si="0"/>
        <v>490.30000000000013</v>
      </c>
      <c r="J3" s="1">
        <f t="shared" si="0"/>
        <v>496.7</v>
      </c>
      <c r="K3" s="1">
        <f t="shared" si="0"/>
        <v>559.59999999999991</v>
      </c>
      <c r="L3" s="1">
        <f t="shared" si="0"/>
        <v>598.9</v>
      </c>
      <c r="M3" s="1">
        <f t="shared" si="0"/>
        <v>1127.8000000000002</v>
      </c>
      <c r="N3" s="1">
        <f t="shared" si="0"/>
        <v>610.70000000000005</v>
      </c>
      <c r="O3" s="1">
        <f t="shared" si="0"/>
        <v>697.90000000000009</v>
      </c>
      <c r="P3" s="3">
        <f>P4+P5</f>
        <v>745.8</v>
      </c>
      <c r="Q3" s="3">
        <f>Q4+Q5</f>
        <v>728.60000000000014</v>
      </c>
      <c r="T3" s="1">
        <f t="shared" ref="T3" si="3">T4+T5</f>
        <v>1769.7</v>
      </c>
      <c r="U3" s="1">
        <f t="shared" ref="U3" si="4">U4+U5</f>
        <v>2214.3999999999996</v>
      </c>
      <c r="V3" s="1">
        <f t="shared" ref="V3" si="5">V4+V5</f>
        <v>2970.6</v>
      </c>
      <c r="W3" s="1">
        <f t="shared" ref="W3" si="6">W4+W5</f>
        <v>2838.3</v>
      </c>
      <c r="X3" s="1">
        <f t="shared" ref="X3:Y3" si="7">X4+X5</f>
        <v>2171</v>
      </c>
      <c r="Y3" s="1">
        <f t="shared" si="7"/>
        <v>2245</v>
      </c>
      <c r="Z3" s="1">
        <f>Z4+Z5</f>
        <v>2783</v>
      </c>
    </row>
    <row r="4" spans="1:28" x14ac:dyDescent="0.25">
      <c r="A4" t="s">
        <v>33</v>
      </c>
      <c r="B4">
        <v>403.2</v>
      </c>
      <c r="C4">
        <v>404.2</v>
      </c>
      <c r="D4">
        <v>412.6</v>
      </c>
      <c r="E4">
        <f>W4-D4-C4-B4</f>
        <v>367.00000000000006</v>
      </c>
      <c r="F4">
        <v>403.2</v>
      </c>
      <c r="G4">
        <v>380.9</v>
      </c>
      <c r="H4">
        <v>320.60000000000002</v>
      </c>
      <c r="I4">
        <f t="shared" ref="I4:I11" si="8">X4-H4-G4-F4</f>
        <v>299.30000000000013</v>
      </c>
      <c r="J4">
        <v>300.89999999999998</v>
      </c>
      <c r="K4">
        <v>332.9</v>
      </c>
      <c r="L4">
        <v>338.5</v>
      </c>
      <c r="M4">
        <f t="shared" ref="M4:M9" si="9">Z4-L4-K4-J4</f>
        <v>643.70000000000005</v>
      </c>
      <c r="N4">
        <v>355.5</v>
      </c>
      <c r="O4">
        <v>405.6</v>
      </c>
      <c r="P4" s="4">
        <v>433</v>
      </c>
      <c r="Q4" s="4">
        <f t="shared" ref="Q4:Q11" si="10">Z4-P4-O4-N4</f>
        <v>421.9</v>
      </c>
      <c r="T4">
        <v>1471</v>
      </c>
      <c r="U4">
        <v>1324.1</v>
      </c>
      <c r="V4">
        <v>1483.1</v>
      </c>
      <c r="W4">
        <v>1587</v>
      </c>
      <c r="X4">
        <v>1404</v>
      </c>
      <c r="Y4">
        <v>1322</v>
      </c>
      <c r="Z4">
        <v>1616</v>
      </c>
    </row>
    <row r="5" spans="1:28" x14ac:dyDescent="0.25">
      <c r="A5" t="s">
        <v>34</v>
      </c>
      <c r="B5">
        <v>240.6</v>
      </c>
      <c r="C5">
        <v>366.7</v>
      </c>
      <c r="D5">
        <v>254.1</v>
      </c>
      <c r="E5">
        <f t="shared" ref="E5:E16" si="11">W5-D5-C5-B5</f>
        <v>389.9</v>
      </c>
      <c r="F5">
        <v>240</v>
      </c>
      <c r="G5">
        <v>160.1</v>
      </c>
      <c r="H5">
        <v>175.9</v>
      </c>
      <c r="I5">
        <f t="shared" si="8"/>
        <v>191</v>
      </c>
      <c r="J5">
        <v>195.8</v>
      </c>
      <c r="K5">
        <v>226.7</v>
      </c>
      <c r="L5">
        <v>260.39999999999998</v>
      </c>
      <c r="M5">
        <f t="shared" si="9"/>
        <v>484.10000000000008</v>
      </c>
      <c r="N5">
        <v>255.2</v>
      </c>
      <c r="O5">
        <v>292.3</v>
      </c>
      <c r="P5" s="4">
        <v>312.8</v>
      </c>
      <c r="Q5" s="4">
        <f t="shared" si="10"/>
        <v>306.7000000000001</v>
      </c>
      <c r="T5">
        <v>298.7</v>
      </c>
      <c r="U5">
        <v>890.3</v>
      </c>
      <c r="V5">
        <v>1487.5</v>
      </c>
      <c r="W5">
        <v>1251.3</v>
      </c>
      <c r="X5">
        <v>767</v>
      </c>
      <c r="Y5">
        <v>923</v>
      </c>
      <c r="Z5">
        <v>1167</v>
      </c>
    </row>
    <row r="6" spans="1:28" x14ac:dyDescent="0.25">
      <c r="A6" t="s">
        <v>35</v>
      </c>
      <c r="B6">
        <v>453.5</v>
      </c>
      <c r="C6">
        <v>563.5</v>
      </c>
      <c r="D6">
        <v>458.5</v>
      </c>
      <c r="E6">
        <f t="shared" si="11"/>
        <v>554.5</v>
      </c>
      <c r="F6">
        <v>453.5</v>
      </c>
      <c r="G6">
        <v>373.5</v>
      </c>
      <c r="H6">
        <v>340.7</v>
      </c>
      <c r="I6">
        <f t="shared" si="8"/>
        <v>342.29999999999995</v>
      </c>
      <c r="J6">
        <v>363</v>
      </c>
      <c r="K6">
        <v>409.5</v>
      </c>
      <c r="L6">
        <v>446.5</v>
      </c>
      <c r="M6">
        <f t="shared" si="9"/>
        <v>841</v>
      </c>
      <c r="N6">
        <v>450.6</v>
      </c>
      <c r="O6">
        <v>523.79999999999995</v>
      </c>
      <c r="P6" s="4">
        <v>552.4</v>
      </c>
      <c r="Q6" s="4">
        <f t="shared" si="10"/>
        <v>533.19999999999993</v>
      </c>
      <c r="T6">
        <v>1126.9000000000001</v>
      </c>
      <c r="U6">
        <v>1558</v>
      </c>
      <c r="V6">
        <v>2160.9</v>
      </c>
      <c r="W6">
        <v>2030</v>
      </c>
      <c r="X6">
        <v>1510</v>
      </c>
      <c r="Y6">
        <v>1652</v>
      </c>
      <c r="Z6">
        <v>2060</v>
      </c>
    </row>
    <row r="7" spans="1:28" x14ac:dyDescent="0.25">
      <c r="A7" t="s">
        <v>36</v>
      </c>
      <c r="B7">
        <v>72</v>
      </c>
      <c r="C7">
        <v>69.099999999999994</v>
      </c>
      <c r="D7">
        <v>64.599999999999994</v>
      </c>
      <c r="E7">
        <f t="shared" si="11"/>
        <v>107.19999999999999</v>
      </c>
      <c r="F7">
        <v>72</v>
      </c>
      <c r="G7">
        <v>65.599999999999994</v>
      </c>
      <c r="H7">
        <v>61.7</v>
      </c>
      <c r="I7">
        <f t="shared" si="8"/>
        <v>58.700000000000017</v>
      </c>
      <c r="J7">
        <v>69.599999999999994</v>
      </c>
      <c r="K7">
        <v>62.7</v>
      </c>
      <c r="L7">
        <v>66</v>
      </c>
      <c r="M7">
        <f t="shared" si="9"/>
        <v>103.70000000000002</v>
      </c>
      <c r="N7">
        <v>75.7</v>
      </c>
      <c r="O7">
        <v>70.5</v>
      </c>
      <c r="P7" s="4">
        <v>75.400000000000006</v>
      </c>
      <c r="Q7" s="4">
        <f t="shared" si="10"/>
        <v>80.399999999999991</v>
      </c>
      <c r="T7">
        <v>174.5</v>
      </c>
      <c r="U7">
        <v>220.4</v>
      </c>
      <c r="V7">
        <v>304.39999999999998</v>
      </c>
      <c r="W7">
        <v>312.89999999999998</v>
      </c>
      <c r="X7">
        <v>258</v>
      </c>
      <c r="Y7">
        <v>266</v>
      </c>
      <c r="Z7">
        <v>302</v>
      </c>
    </row>
    <row r="8" spans="1:28" x14ac:dyDescent="0.25">
      <c r="A8" t="s">
        <v>37</v>
      </c>
      <c r="B8">
        <v>11.4</v>
      </c>
      <c r="C8">
        <v>10.5</v>
      </c>
      <c r="D8">
        <v>10.9</v>
      </c>
      <c r="E8">
        <f t="shared" si="11"/>
        <v>9.1</v>
      </c>
      <c r="F8">
        <v>11.4</v>
      </c>
      <c r="G8">
        <v>13</v>
      </c>
      <c r="H8">
        <v>9</v>
      </c>
      <c r="I8">
        <f t="shared" si="8"/>
        <v>8.6</v>
      </c>
      <c r="J8">
        <v>8.1999999999999993</v>
      </c>
      <c r="K8">
        <v>10.3</v>
      </c>
      <c r="L8">
        <v>9.9</v>
      </c>
      <c r="M8">
        <f t="shared" si="9"/>
        <v>6.6000000000000014</v>
      </c>
      <c r="N8">
        <v>9.6</v>
      </c>
      <c r="O8">
        <v>9.6</v>
      </c>
      <c r="P8" s="4">
        <v>9.1</v>
      </c>
      <c r="Q8" s="4">
        <f t="shared" si="10"/>
        <v>6.6999999999999975</v>
      </c>
      <c r="T8">
        <v>22.7</v>
      </c>
      <c r="U8">
        <v>29.1</v>
      </c>
      <c r="V8">
        <v>39.200000000000003</v>
      </c>
      <c r="W8">
        <v>41.9</v>
      </c>
      <c r="X8">
        <v>42</v>
      </c>
      <c r="Y8">
        <v>36</v>
      </c>
      <c r="Z8">
        <v>35</v>
      </c>
    </row>
    <row r="9" spans="1:28" x14ac:dyDescent="0.25">
      <c r="A9" t="s">
        <v>38</v>
      </c>
      <c r="B9">
        <v>55.7</v>
      </c>
      <c r="C9">
        <v>55</v>
      </c>
      <c r="D9">
        <v>54.4</v>
      </c>
      <c r="E9">
        <f t="shared" si="11"/>
        <v>54.499999999999986</v>
      </c>
      <c r="F9">
        <v>55.7</v>
      </c>
      <c r="G9">
        <v>54.5</v>
      </c>
      <c r="H9">
        <v>54.7</v>
      </c>
      <c r="I9">
        <f t="shared" si="8"/>
        <v>54.100000000000009</v>
      </c>
      <c r="J9">
        <v>54.9</v>
      </c>
      <c r="K9">
        <v>55.1</v>
      </c>
      <c r="L9">
        <v>53.4</v>
      </c>
      <c r="M9">
        <f t="shared" si="9"/>
        <v>37.6</v>
      </c>
      <c r="N9">
        <v>49.9</v>
      </c>
      <c r="O9">
        <v>50.1</v>
      </c>
      <c r="P9" s="4">
        <v>50.4</v>
      </c>
      <c r="Q9" s="4">
        <f t="shared" si="10"/>
        <v>50.6</v>
      </c>
      <c r="T9">
        <v>200.9</v>
      </c>
      <c r="U9">
        <v>202.8</v>
      </c>
      <c r="V9">
        <v>224.9</v>
      </c>
      <c r="W9">
        <v>219.6</v>
      </c>
      <c r="X9">
        <v>219</v>
      </c>
      <c r="Y9">
        <v>213</v>
      </c>
      <c r="Z9">
        <v>201</v>
      </c>
    </row>
    <row r="10" spans="1:28" x14ac:dyDescent="0.25">
      <c r="A10" t="s">
        <v>39</v>
      </c>
      <c r="B10">
        <v>561.20000000000005</v>
      </c>
      <c r="C10">
        <v>0</v>
      </c>
      <c r="D10">
        <v>0</v>
      </c>
      <c r="E10">
        <f t="shared" si="11"/>
        <v>-561.20000000000005</v>
      </c>
      <c r="F10">
        <v>561.20000000000005</v>
      </c>
      <c r="G10">
        <v>0</v>
      </c>
      <c r="H10">
        <v>0</v>
      </c>
      <c r="I10">
        <f t="shared" si="8"/>
        <v>-0.20000000000004547</v>
      </c>
      <c r="J10">
        <v>0</v>
      </c>
      <c r="K10">
        <v>0</v>
      </c>
      <c r="L10">
        <v>340.7</v>
      </c>
      <c r="M10">
        <f>Y10-L10-K10-J10</f>
        <v>-0.69999999999998863</v>
      </c>
      <c r="N10">
        <v>-4.8</v>
      </c>
      <c r="O10">
        <v>0</v>
      </c>
      <c r="P10" s="4">
        <v>0</v>
      </c>
      <c r="Q10" s="4">
        <f t="shared" si="10"/>
        <v>4.8</v>
      </c>
      <c r="U10">
        <v>105.7</v>
      </c>
      <c r="V10">
        <v>82.7</v>
      </c>
      <c r="W10">
        <v>0</v>
      </c>
      <c r="X10">
        <v>561</v>
      </c>
      <c r="Y10">
        <v>340</v>
      </c>
      <c r="Z10">
        <v>0</v>
      </c>
    </row>
    <row r="11" spans="1:28" x14ac:dyDescent="0.25">
      <c r="A11" t="s">
        <v>40</v>
      </c>
      <c r="B11">
        <v>-0.5</v>
      </c>
      <c r="C11">
        <v>-3.1</v>
      </c>
      <c r="D11">
        <v>0.3</v>
      </c>
      <c r="E11">
        <f t="shared" si="11"/>
        <v>-4.8000000000000007</v>
      </c>
      <c r="F11">
        <v>-0.5</v>
      </c>
      <c r="G11">
        <v>0.2</v>
      </c>
      <c r="H11">
        <v>0.316</v>
      </c>
      <c r="I11">
        <f t="shared" si="8"/>
        <v>-0.1160000000000001</v>
      </c>
      <c r="J11">
        <v>-2.1</v>
      </c>
      <c r="K11">
        <v>-2.1</v>
      </c>
      <c r="L11">
        <v>-0.83</v>
      </c>
      <c r="M11">
        <f>Z11-L11-K11-J11</f>
        <v>-2.97</v>
      </c>
      <c r="N11">
        <v>0</v>
      </c>
      <c r="O11">
        <v>-2.7</v>
      </c>
      <c r="P11" s="4">
        <v>-0.4</v>
      </c>
      <c r="Q11" s="4">
        <f t="shared" si="10"/>
        <v>-4.8999999999999995</v>
      </c>
      <c r="T11">
        <v>0.1</v>
      </c>
      <c r="U11">
        <v>4.5</v>
      </c>
      <c r="V11">
        <f>2.7+2.7-1.9</f>
        <v>3.5000000000000004</v>
      </c>
      <c r="W11">
        <v>-8.1</v>
      </c>
      <c r="X11">
        <v>-0.1</v>
      </c>
      <c r="Y11">
        <v>-5</v>
      </c>
      <c r="Z11">
        <v>-8</v>
      </c>
    </row>
    <row r="12" spans="1:28" s="1" customFormat="1" x14ac:dyDescent="0.25">
      <c r="A12" s="1" t="s">
        <v>41</v>
      </c>
      <c r="B12" s="1">
        <f t="shared" ref="B12:O12" si="12">B3-SUM(B6:B11)</f>
        <v>-509.50000000000023</v>
      </c>
      <c r="C12" s="1">
        <f t="shared" si="12"/>
        <v>75.899999999999977</v>
      </c>
      <c r="D12" s="1">
        <f t="shared" ref="D12" si="13">D3-SUM(D6:D11)</f>
        <v>78.000000000000114</v>
      </c>
      <c r="E12" s="1">
        <f>E3-SUM(E6:E11)</f>
        <v>597.60000000000014</v>
      </c>
      <c r="F12" s="1">
        <f t="shared" ref="F12" si="14">F3-SUM(F6:F11)</f>
        <v>-510.10000000000014</v>
      </c>
      <c r="G12" s="1">
        <f t="shared" si="12"/>
        <v>34.199999999999989</v>
      </c>
      <c r="H12" s="1">
        <f t="shared" si="12"/>
        <v>30.08400000000006</v>
      </c>
      <c r="I12" s="1">
        <f t="shared" si="12"/>
        <v>26.916000000000111</v>
      </c>
      <c r="J12" s="1">
        <f t="shared" si="12"/>
        <v>3.1000000000000227</v>
      </c>
      <c r="K12" s="1">
        <f t="shared" si="12"/>
        <v>24.099999999999909</v>
      </c>
      <c r="L12" s="1">
        <f t="shared" si="12"/>
        <v>-316.77</v>
      </c>
      <c r="M12" s="1">
        <f t="shared" si="12"/>
        <v>142.57000000000016</v>
      </c>
      <c r="N12" s="1">
        <f t="shared" si="12"/>
        <v>29.699999999999932</v>
      </c>
      <c r="O12" s="1">
        <f t="shared" si="12"/>
        <v>46.600000000000136</v>
      </c>
      <c r="P12" s="3">
        <f>P3-SUM(P6:P11)</f>
        <v>58.899999999999977</v>
      </c>
      <c r="Q12" s="3">
        <f>Q3-SUM(Q6:Q11)</f>
        <v>57.800000000000182</v>
      </c>
      <c r="T12" s="1">
        <f t="shared" ref="T12" si="15">T3-SUM(T6:T11)</f>
        <v>244.59999999999991</v>
      </c>
      <c r="U12" s="1">
        <f t="shared" ref="U12" si="16">U3-SUM(U6:U11)</f>
        <v>93.899999999999636</v>
      </c>
      <c r="V12" s="1">
        <f t="shared" ref="V12" si="17">V3-SUM(V6:V11)</f>
        <v>155</v>
      </c>
      <c r="W12" s="1">
        <f t="shared" ref="W12" si="18">W3-SUM(W6:W11)</f>
        <v>242</v>
      </c>
      <c r="X12" s="1">
        <f t="shared" ref="X12:Y12" si="19">X3-SUM(X6:X11)</f>
        <v>-418.90000000000009</v>
      </c>
      <c r="Y12" s="1">
        <f t="shared" si="19"/>
        <v>-257</v>
      </c>
      <c r="Z12" s="1">
        <f>Z3-SUM(Z6:Z11)</f>
        <v>193</v>
      </c>
    </row>
    <row r="13" spans="1:28" x14ac:dyDescent="0.25">
      <c r="A13" t="s">
        <v>42</v>
      </c>
      <c r="B13">
        <v>2.7</v>
      </c>
      <c r="C13">
        <v>2.2999999999999998</v>
      </c>
      <c r="D13">
        <v>0.8</v>
      </c>
      <c r="E13">
        <f t="shared" si="11"/>
        <v>-2.0999999999999996</v>
      </c>
      <c r="F13">
        <v>2.7</v>
      </c>
      <c r="G13">
        <v>2.2999999999999998</v>
      </c>
      <c r="H13">
        <v>1.2</v>
      </c>
      <c r="I13">
        <f>X13-H13-G13-F13</f>
        <v>1.7999999999999998</v>
      </c>
      <c r="J13">
        <v>3.8</v>
      </c>
      <c r="K13">
        <v>2.5</v>
      </c>
      <c r="L13">
        <v>1.8</v>
      </c>
      <c r="M13">
        <f>Z13-L13-K13-J13</f>
        <v>7.8999999999999995</v>
      </c>
      <c r="N13">
        <v>4.3</v>
      </c>
      <c r="O13">
        <v>3.7</v>
      </c>
      <c r="P13" s="4">
        <v>3.8</v>
      </c>
      <c r="Q13" s="4">
        <f>Z13-P13-O13-N13</f>
        <v>4.2</v>
      </c>
      <c r="T13">
        <v>0.2</v>
      </c>
      <c r="U13">
        <v>0.8</v>
      </c>
      <c r="V13">
        <f>5.6</f>
        <v>5.6</v>
      </c>
      <c r="W13">
        <f>3.7</f>
        <v>3.7</v>
      </c>
      <c r="X13">
        <v>8</v>
      </c>
      <c r="Y13">
        <v>10</v>
      </c>
      <c r="Z13">
        <v>16</v>
      </c>
    </row>
    <row r="14" spans="1:28" x14ac:dyDescent="0.25">
      <c r="A14" t="s">
        <v>43</v>
      </c>
      <c r="B14">
        <v>-12.7</v>
      </c>
      <c r="C14">
        <v>-15.5</v>
      </c>
      <c r="D14">
        <v>-14.3</v>
      </c>
      <c r="E14">
        <f t="shared" si="11"/>
        <v>-13.399999999999995</v>
      </c>
      <c r="F14">
        <v>-12.8</v>
      </c>
      <c r="G14">
        <v>-12.7</v>
      </c>
      <c r="H14">
        <v>-11.8</v>
      </c>
      <c r="I14">
        <f>X14-H14-G14-F14</f>
        <v>-10.700000000000003</v>
      </c>
      <c r="J14">
        <v>-10.9</v>
      </c>
      <c r="K14">
        <v>-10.7</v>
      </c>
      <c r="L14">
        <v>-10.5</v>
      </c>
      <c r="M14">
        <f>Z14-L14-K14-J14</f>
        <v>-11.9</v>
      </c>
      <c r="N14">
        <v>-10.199999999999999</v>
      </c>
      <c r="O14">
        <v>-10.6</v>
      </c>
      <c r="P14" s="4">
        <v>-11.7</v>
      </c>
      <c r="Q14" s="4">
        <f>Z14-P14-O14-N14</f>
        <v>-11.499999999999996</v>
      </c>
      <c r="T14">
        <v>-17.600000000000001</v>
      </c>
      <c r="U14">
        <v>-21.4</v>
      </c>
      <c r="V14">
        <v>-46.8</v>
      </c>
      <c r="W14">
        <v>-55.9</v>
      </c>
      <c r="X14">
        <v>-48</v>
      </c>
      <c r="Y14">
        <v>-42</v>
      </c>
      <c r="Z14">
        <v>-44</v>
      </c>
    </row>
    <row r="15" spans="1:28" s="1" customFormat="1" x14ac:dyDescent="0.25">
      <c r="A15" s="1" t="s">
        <v>44</v>
      </c>
      <c r="B15" s="1">
        <f t="shared" ref="B15:O15" si="20">B12+SUM(B13:B14)</f>
        <v>-519.50000000000023</v>
      </c>
      <c r="C15" s="1">
        <f t="shared" si="20"/>
        <v>62.699999999999974</v>
      </c>
      <c r="D15" s="1">
        <f t="shared" ref="D15" si="21">D12+SUM(D13:D14)</f>
        <v>64.500000000000114</v>
      </c>
      <c r="E15" s="1">
        <f t="shared" ref="E15:F15" si="22">E12+SUM(E13:E14)</f>
        <v>582.10000000000014</v>
      </c>
      <c r="F15" s="1">
        <f t="shared" si="22"/>
        <v>-520.20000000000016</v>
      </c>
      <c r="G15" s="1">
        <f t="shared" si="20"/>
        <v>23.79999999999999</v>
      </c>
      <c r="H15" s="1">
        <f t="shared" si="20"/>
        <v>19.484000000000059</v>
      </c>
      <c r="I15" s="1">
        <f t="shared" si="20"/>
        <v>18.016000000000108</v>
      </c>
      <c r="J15" s="1">
        <f t="shared" si="20"/>
        <v>-3.9999999999999778</v>
      </c>
      <c r="K15" s="1">
        <f t="shared" si="20"/>
        <v>15.89999999999991</v>
      </c>
      <c r="L15" s="1">
        <f t="shared" si="20"/>
        <v>-325.46999999999997</v>
      </c>
      <c r="M15" s="1">
        <f t="shared" si="20"/>
        <v>138.57000000000016</v>
      </c>
      <c r="N15" s="1">
        <f t="shared" si="20"/>
        <v>23.799999999999933</v>
      </c>
      <c r="O15" s="1">
        <f t="shared" si="20"/>
        <v>39.700000000000138</v>
      </c>
      <c r="P15" s="3">
        <f>P12+SUM(P13:P14)</f>
        <v>50.999999999999979</v>
      </c>
      <c r="Q15" s="3">
        <f>Q12+SUM(Q13:Q14)</f>
        <v>50.500000000000185</v>
      </c>
      <c r="T15" s="1">
        <f t="shared" ref="T15:U15" si="23">T12+SUM(T13:T14)</f>
        <v>227.1999999999999</v>
      </c>
      <c r="U15" s="1">
        <f t="shared" si="23"/>
        <v>73.299999999999642</v>
      </c>
      <c r="V15" s="1">
        <f t="shared" ref="V15" si="24">V12+SUM(V13:V14)</f>
        <v>113.80000000000001</v>
      </c>
      <c r="W15" s="1">
        <f t="shared" ref="W15" si="25">W12+SUM(W13:W14)</f>
        <v>189.8</v>
      </c>
      <c r="X15" s="1">
        <f t="shared" ref="X15:Y15" si="26">X12+SUM(X13:X14)</f>
        <v>-458.90000000000009</v>
      </c>
      <c r="Y15" s="1">
        <f t="shared" si="26"/>
        <v>-289</v>
      </c>
      <c r="Z15" s="1">
        <f>Z12+SUM(Z13:Z14)</f>
        <v>165</v>
      </c>
    </row>
    <row r="16" spans="1:28" x14ac:dyDescent="0.25">
      <c r="A16" t="s">
        <v>45</v>
      </c>
      <c r="B16">
        <v>172.8</v>
      </c>
      <c r="C16">
        <v>-15.2</v>
      </c>
      <c r="D16">
        <v>-16.3</v>
      </c>
      <c r="E16">
        <f t="shared" si="11"/>
        <v>-188.10000000000002</v>
      </c>
      <c r="F16">
        <v>172.8</v>
      </c>
      <c r="G16">
        <v>1.4</v>
      </c>
      <c r="H16">
        <v>8.4</v>
      </c>
      <c r="I16">
        <f>X16-H16-G16-F16</f>
        <v>6.3999999999999773</v>
      </c>
      <c r="J16">
        <v>0.9</v>
      </c>
      <c r="K16">
        <v>-5.4</v>
      </c>
      <c r="L16">
        <v>60.4</v>
      </c>
      <c r="M16">
        <f>Z16-L16-K16-J16</f>
        <v>-97.9</v>
      </c>
      <c r="N16">
        <v>-6.2</v>
      </c>
      <c r="O16">
        <v>-11</v>
      </c>
      <c r="P16" s="4">
        <v>-11.7</v>
      </c>
      <c r="Q16" s="4">
        <f>Z16-P16-O16-N16</f>
        <v>-13.100000000000001</v>
      </c>
      <c r="T16">
        <v>-84.9</v>
      </c>
      <c r="U16">
        <v>240.8</v>
      </c>
      <c r="V16">
        <v>-35</v>
      </c>
      <c r="W16">
        <v>-46.8</v>
      </c>
      <c r="X16">
        <v>189</v>
      </c>
      <c r="Y16">
        <v>43</v>
      </c>
      <c r="Z16">
        <v>-42</v>
      </c>
    </row>
    <row r="17" spans="1:26" s="1" customFormat="1" x14ac:dyDescent="0.25">
      <c r="A17" s="1" t="s">
        <v>46</v>
      </c>
      <c r="B17" s="1">
        <f t="shared" ref="B17:O17" si="27">B15+B16</f>
        <v>-346.70000000000022</v>
      </c>
      <c r="C17" s="1">
        <f t="shared" si="27"/>
        <v>47.499999999999972</v>
      </c>
      <c r="D17" s="1">
        <f t="shared" ref="D17" si="28">D15+D16</f>
        <v>48.200000000000117</v>
      </c>
      <c r="E17" s="1">
        <f t="shared" ref="E17:F17" si="29">E15+E16</f>
        <v>394.00000000000011</v>
      </c>
      <c r="F17" s="1">
        <f t="shared" si="29"/>
        <v>-347.40000000000015</v>
      </c>
      <c r="G17" s="1">
        <f t="shared" si="27"/>
        <v>25.199999999999989</v>
      </c>
      <c r="H17" s="1">
        <f t="shared" si="27"/>
        <v>27.884000000000057</v>
      </c>
      <c r="I17" s="1">
        <f t="shared" si="27"/>
        <v>24.416000000000086</v>
      </c>
      <c r="J17" s="1">
        <f t="shared" si="27"/>
        <v>-3.0999999999999779</v>
      </c>
      <c r="K17" s="1">
        <f t="shared" si="27"/>
        <v>10.499999999999909</v>
      </c>
      <c r="L17" s="1">
        <f t="shared" si="27"/>
        <v>-265.07</v>
      </c>
      <c r="M17" s="1">
        <f t="shared" si="27"/>
        <v>40.670000000000158</v>
      </c>
      <c r="N17" s="1">
        <f t="shared" si="27"/>
        <v>17.599999999999934</v>
      </c>
      <c r="O17" s="1">
        <f t="shared" si="27"/>
        <v>28.700000000000138</v>
      </c>
      <c r="P17" s="3">
        <f>P15+P16</f>
        <v>39.299999999999983</v>
      </c>
      <c r="Q17" s="3">
        <f>Z17-P17-O17-N17</f>
        <v>37.399999999999949</v>
      </c>
      <c r="T17" s="1">
        <f t="shared" ref="T17:U17" si="30">T15+T16</f>
        <v>142.2999999999999</v>
      </c>
      <c r="U17" s="1">
        <f t="shared" si="30"/>
        <v>314.09999999999968</v>
      </c>
      <c r="V17" s="1">
        <f t="shared" ref="V17" si="31">V15+V16</f>
        <v>78.800000000000011</v>
      </c>
      <c r="W17" s="1">
        <f t="shared" ref="W17" si="32">W15+W16</f>
        <v>143</v>
      </c>
      <c r="X17" s="1">
        <f t="shared" ref="X17:Y17" si="33">X15+X16</f>
        <v>-269.90000000000009</v>
      </c>
      <c r="Y17" s="1">
        <f t="shared" si="33"/>
        <v>-246</v>
      </c>
      <c r="Z17" s="1">
        <f>Z15+Z16</f>
        <v>123</v>
      </c>
    </row>
    <row r="18" spans="1:26" x14ac:dyDescent="0.25">
      <c r="A18" t="s">
        <v>1</v>
      </c>
      <c r="P18" s="4"/>
      <c r="Q18" s="3"/>
    </row>
    <row r="19" spans="1:26" s="1" customFormat="1" x14ac:dyDescent="0.25">
      <c r="A19" s="1" t="s">
        <v>47</v>
      </c>
      <c r="B19" s="1">
        <v>-5.8</v>
      </c>
      <c r="C19" s="1">
        <v>0.79</v>
      </c>
      <c r="D19" s="1">
        <v>0.8</v>
      </c>
      <c r="F19" s="1">
        <v>-5.8</v>
      </c>
      <c r="G19" s="1">
        <v>0.42</v>
      </c>
      <c r="H19" s="1">
        <v>0.46</v>
      </c>
      <c r="J19" s="1">
        <v>-0.06</v>
      </c>
      <c r="K19" s="1">
        <v>0.17</v>
      </c>
      <c r="L19" s="1">
        <v>-4.1100000000000003</v>
      </c>
      <c r="M19" s="1">
        <v>-0.96</v>
      </c>
      <c r="N19" s="1">
        <v>0.28999999999999998</v>
      </c>
      <c r="O19" s="1">
        <v>0.47</v>
      </c>
      <c r="P19" s="5">
        <v>0.65</v>
      </c>
      <c r="Q19" s="3">
        <f>Z19-P19-O19-N19</f>
        <v>0.63000000000000012</v>
      </c>
      <c r="T19" s="1">
        <v>2.63</v>
      </c>
      <c r="U19" s="1">
        <v>5.62</v>
      </c>
      <c r="V19" s="1">
        <v>1.31</v>
      </c>
      <c r="W19" s="1">
        <v>2.38</v>
      </c>
      <c r="X19" s="1">
        <v>-4.55</v>
      </c>
      <c r="Y19" s="1">
        <v>-4.1100000000000003</v>
      </c>
      <c r="Z19" s="1">
        <v>2.04</v>
      </c>
    </row>
    <row r="21" spans="1:26" x14ac:dyDescent="0.25">
      <c r="A21" s="1" t="s">
        <v>48</v>
      </c>
      <c r="C21" s="2">
        <f t="shared" ref="C21:P21" si="34">(C3-C6)/ABS(C3)</f>
        <v>0.26903619146452196</v>
      </c>
      <c r="D21" s="2">
        <f t="shared" si="34"/>
        <v>0.31228438578071099</v>
      </c>
      <c r="E21" s="2">
        <f t="shared" si="34"/>
        <v>0.26740652662174669</v>
      </c>
      <c r="F21" s="2">
        <f t="shared" si="34"/>
        <v>0.29493159203980107</v>
      </c>
      <c r="G21" s="2">
        <f t="shared" si="34"/>
        <v>0.30961182994454711</v>
      </c>
      <c r="H21" s="2">
        <f t="shared" si="34"/>
        <v>0.3137965760322256</v>
      </c>
      <c r="I21" s="2">
        <f t="shared" si="34"/>
        <v>0.30185600652661665</v>
      </c>
      <c r="J21" s="2">
        <f t="shared" si="34"/>
        <v>0.26917656533118584</v>
      </c>
      <c r="K21" s="2">
        <f t="shared" si="34"/>
        <v>0.26822730521801275</v>
      </c>
      <c r="L21" s="2">
        <f t="shared" si="34"/>
        <v>0.25446652195692099</v>
      </c>
      <c r="M21" s="2">
        <f t="shared" si="34"/>
        <v>0.25430040787373659</v>
      </c>
      <c r="N21" s="2">
        <f t="shared" si="34"/>
        <v>0.26215817913869333</v>
      </c>
      <c r="O21" s="2">
        <f t="shared" si="34"/>
        <v>0.24946267373549236</v>
      </c>
      <c r="P21" s="2">
        <f t="shared" si="34"/>
        <v>0.2593188522392062</v>
      </c>
      <c r="Q21" s="2">
        <f>(Q3-Q6)/ABS(Q3)</f>
        <v>0.26818556135053551</v>
      </c>
      <c r="T21" s="2">
        <f t="shared" ref="T21:Y21" si="35">(T3-T6)/ABS(T3)</f>
        <v>0.36322540543594956</v>
      </c>
      <c r="U21" s="2">
        <f t="shared" si="35"/>
        <v>0.29642341040462417</v>
      </c>
      <c r="V21" s="2">
        <f t="shared" si="35"/>
        <v>0.27257119773783067</v>
      </c>
      <c r="W21" s="2">
        <f t="shared" si="35"/>
        <v>0.28478314484022133</v>
      </c>
      <c r="X21" s="2">
        <f t="shared" si="35"/>
        <v>0.30446798710271766</v>
      </c>
      <c r="Y21" s="2">
        <f t="shared" si="35"/>
        <v>0.26414253897550111</v>
      </c>
      <c r="Z21" s="2">
        <f>(Z3-Z6)/ABS(Z3)</f>
        <v>0.25979159180740208</v>
      </c>
    </row>
    <row r="22" spans="1:26" x14ac:dyDescent="0.25">
      <c r="A22" s="1" t="s">
        <v>49</v>
      </c>
      <c r="C22" s="2">
        <f t="shared" ref="C22:P22" si="36">C17/C3</f>
        <v>6.1616292644960401E-2</v>
      </c>
      <c r="D22" s="2">
        <f t="shared" si="36"/>
        <v>7.2296385180741135E-2</v>
      </c>
      <c r="E22" s="2">
        <f t="shared" si="36"/>
        <v>0.52054432553838037</v>
      </c>
      <c r="F22" s="2">
        <f t="shared" si="36"/>
        <v>-0.54011194029850762</v>
      </c>
      <c r="G22" s="2">
        <f t="shared" si="36"/>
        <v>4.6580406654343785E-2</v>
      </c>
      <c r="H22" s="2">
        <f t="shared" si="36"/>
        <v>5.6161127895266984E-2</v>
      </c>
      <c r="I22" s="2">
        <f t="shared" si="36"/>
        <v>4.9798082806445196E-2</v>
      </c>
      <c r="J22" s="2">
        <f t="shared" si="36"/>
        <v>-6.2411918663176523E-3</v>
      </c>
      <c r="K22" s="2">
        <f t="shared" si="36"/>
        <v>1.8763402430307205E-2</v>
      </c>
      <c r="L22" s="2">
        <f t="shared" si="36"/>
        <v>-0.44259475705460011</v>
      </c>
      <c r="M22" s="2">
        <f t="shared" si="36"/>
        <v>3.6061358396879011E-2</v>
      </c>
      <c r="N22" s="2">
        <f t="shared" si="36"/>
        <v>2.8819387588013643E-2</v>
      </c>
      <c r="O22" s="2">
        <f t="shared" si="36"/>
        <v>4.1123370110331188E-2</v>
      </c>
      <c r="P22" s="2">
        <f t="shared" si="36"/>
        <v>5.2695092518101345E-2</v>
      </c>
      <c r="Q22" s="2">
        <f>Q17/Q3</f>
        <v>5.1331320340378732E-2</v>
      </c>
      <c r="T22" s="2">
        <f t="shared" ref="T22:Y22" si="37">T17/T3</f>
        <v>8.0409108888512118E-2</v>
      </c>
      <c r="U22" s="2">
        <f t="shared" si="37"/>
        <v>0.14184429190751432</v>
      </c>
      <c r="V22" s="2">
        <f t="shared" si="37"/>
        <v>2.6526627617316372E-2</v>
      </c>
      <c r="W22" s="2">
        <f t="shared" si="37"/>
        <v>5.0382271077757806E-2</v>
      </c>
      <c r="X22" s="2">
        <f t="shared" si="37"/>
        <v>-0.12432058959005071</v>
      </c>
      <c r="Y22" s="2">
        <f t="shared" si="37"/>
        <v>-0.10957683741648107</v>
      </c>
      <c r="Z22" s="2">
        <f>Z17/Z3</f>
        <v>4.4196909809558031E-2</v>
      </c>
    </row>
    <row r="23" spans="1:26" x14ac:dyDescent="0.25">
      <c r="A23" s="1" t="s">
        <v>80</v>
      </c>
      <c r="C23" s="2">
        <f t="shared" ref="C23:P23" si="38">ABS(C14)/C12</f>
        <v>0.20421607378129122</v>
      </c>
      <c r="D23" s="2">
        <f t="shared" si="38"/>
        <v>0.18333333333333307</v>
      </c>
      <c r="E23" s="2">
        <f t="shared" si="38"/>
        <v>2.2423025435073615E-2</v>
      </c>
      <c r="F23" s="2">
        <f t="shared" si="38"/>
        <v>-2.5093118996275234E-2</v>
      </c>
      <c r="G23" s="2">
        <f t="shared" si="38"/>
        <v>0.3713450292397662</v>
      </c>
      <c r="H23" s="2">
        <f t="shared" si="38"/>
        <v>0.39223507512298822</v>
      </c>
      <c r="I23" s="2">
        <f t="shared" si="38"/>
        <v>0.39753306583444636</v>
      </c>
      <c r="J23" s="2">
        <f t="shared" si="38"/>
        <v>3.5161290322580387</v>
      </c>
      <c r="K23" s="2">
        <f t="shared" si="38"/>
        <v>0.4439834024896282</v>
      </c>
      <c r="L23" s="2">
        <f t="shared" si="38"/>
        <v>-3.3147078321810783E-2</v>
      </c>
      <c r="M23" s="2">
        <f t="shared" si="38"/>
        <v>8.3467770218138365E-2</v>
      </c>
      <c r="N23" s="2">
        <f t="shared" si="38"/>
        <v>0.3434343434343442</v>
      </c>
      <c r="O23" s="2">
        <f t="shared" si="38"/>
        <v>0.22746781115879761</v>
      </c>
      <c r="P23" s="2">
        <f t="shared" si="38"/>
        <v>0.19864176570458411</v>
      </c>
      <c r="Q23" s="2">
        <f>ABS(Q14)/Q12</f>
        <v>0.19896193771626228</v>
      </c>
      <c r="T23" s="2">
        <f t="shared" ref="T23:W23" si="39">ABS(T14)/T12</f>
        <v>7.1954210956663975E-2</v>
      </c>
      <c r="U23" s="2">
        <f t="shared" si="39"/>
        <v>0.22790202342918084</v>
      </c>
      <c r="V23" s="2">
        <f t="shared" si="39"/>
        <v>0.30193548387096775</v>
      </c>
      <c r="W23" s="2">
        <f t="shared" si="39"/>
        <v>0.23099173553719007</v>
      </c>
      <c r="X23" s="2">
        <f t="shared" ref="X23:Y23" si="40">ABS(X14)/X12</f>
        <v>-0.11458582000477438</v>
      </c>
      <c r="Y23" s="2">
        <f t="shared" si="40"/>
        <v>-0.16342412451361868</v>
      </c>
      <c r="Z23" s="2">
        <f>ABS(Z14)/Z12</f>
        <v>0.22797927461139897</v>
      </c>
    </row>
    <row r="24" spans="1:26" x14ac:dyDescent="0.25">
      <c r="A24" s="1" t="s">
        <v>51</v>
      </c>
      <c r="C24" s="2"/>
      <c r="D24" s="2"/>
      <c r="E24" s="2"/>
      <c r="F24" s="2">
        <f t="shared" ref="F24:P24" si="41">(F4-B4)/ABS(B4)</f>
        <v>0</v>
      </c>
      <c r="G24" s="2">
        <f t="shared" si="41"/>
        <v>-5.7644730331519081E-2</v>
      </c>
      <c r="H24" s="2">
        <f t="shared" si="41"/>
        <v>-0.22297624818225883</v>
      </c>
      <c r="I24" s="2">
        <f>(I4-E4)/ABS(E4)</f>
        <v>-0.18446866485013602</v>
      </c>
      <c r="J24" s="2">
        <f t="shared" si="41"/>
        <v>-0.25372023809523814</v>
      </c>
      <c r="K24" s="2">
        <f t="shared" si="41"/>
        <v>-0.12601732738251512</v>
      </c>
      <c r="L24" s="2">
        <f t="shared" si="41"/>
        <v>5.5832813474734795E-2</v>
      </c>
      <c r="M24" s="2">
        <f t="shared" si="41"/>
        <v>1.1506849315068486</v>
      </c>
      <c r="N24" s="2">
        <f t="shared" si="41"/>
        <v>0.18145563310069798</v>
      </c>
      <c r="O24" s="2">
        <f t="shared" si="41"/>
        <v>0.21838389906878958</v>
      </c>
      <c r="P24" s="2">
        <f t="shared" si="41"/>
        <v>0.27917282127031018</v>
      </c>
      <c r="Q24" s="2">
        <f>(Q4-M4)/ABS(M4)</f>
        <v>-0.3445704520739476</v>
      </c>
      <c r="T24" s="2"/>
      <c r="U24" s="2">
        <f t="shared" ref="U24:Y24" si="42">(U4-T4)/ABS(T4)</f>
        <v>-9.9864038069340647E-2</v>
      </c>
      <c r="V24" s="2">
        <f t="shared" si="42"/>
        <v>0.12008156483649272</v>
      </c>
      <c r="W24" s="2">
        <f t="shared" si="42"/>
        <v>7.005596385948358E-2</v>
      </c>
      <c r="X24" s="2">
        <f t="shared" si="42"/>
        <v>-0.11531190926275993</v>
      </c>
      <c r="Y24" s="2">
        <f t="shared" si="42"/>
        <v>-5.8404558404558403E-2</v>
      </c>
      <c r="Z24" s="2">
        <f>(Z4-Y4)/ABS(Y4)</f>
        <v>0.22239031770045387</v>
      </c>
    </row>
    <row r="25" spans="1:26" x14ac:dyDescent="0.25">
      <c r="A25" s="1" t="s">
        <v>52</v>
      </c>
      <c r="C25" s="2"/>
      <c r="D25" s="2"/>
      <c r="E25" s="2"/>
      <c r="F25" s="2">
        <f t="shared" ref="F25:P25" si="43">(F5-B5)/ABS(B5)</f>
        <v>-2.4937655860348892E-3</v>
      </c>
      <c r="G25" s="2">
        <f t="shared" si="43"/>
        <v>-0.5634033269702754</v>
      </c>
      <c r="H25" s="2">
        <f t="shared" si="43"/>
        <v>-0.30775285320739865</v>
      </c>
      <c r="I25" s="2">
        <f t="shared" si="43"/>
        <v>-0.51013080276994094</v>
      </c>
      <c r="J25" s="2">
        <f t="shared" si="43"/>
        <v>-0.18416666666666662</v>
      </c>
      <c r="K25" s="2">
        <f t="shared" si="43"/>
        <v>0.41599000624609617</v>
      </c>
      <c r="L25" s="2">
        <f t="shared" si="43"/>
        <v>0.48038658328595774</v>
      </c>
      <c r="M25" s="2">
        <f t="shared" si="43"/>
        <v>1.5345549738219899</v>
      </c>
      <c r="N25" s="2">
        <f t="shared" si="43"/>
        <v>0.30337078651685379</v>
      </c>
      <c r="O25" s="2">
        <f t="shared" si="43"/>
        <v>0.28936921041023389</v>
      </c>
      <c r="P25" s="2">
        <f t="shared" si="43"/>
        <v>0.20122887864823363</v>
      </c>
      <c r="Q25" s="2">
        <f>(Q5-M5)/ABS(M5)</f>
        <v>-0.36645321214625065</v>
      </c>
      <c r="T25" s="2"/>
      <c r="U25" s="2">
        <f t="shared" ref="U25:Y25" si="44">(U5-T5)/ABS(T5)</f>
        <v>1.9805825242718444</v>
      </c>
      <c r="V25" s="2">
        <f t="shared" si="44"/>
        <v>0.67078512860833439</v>
      </c>
      <c r="W25" s="2">
        <f t="shared" si="44"/>
        <v>-0.15878991596638659</v>
      </c>
      <c r="X25" s="2">
        <f t="shared" si="44"/>
        <v>-0.38703748101973945</v>
      </c>
      <c r="Y25" s="2">
        <f t="shared" si="44"/>
        <v>0.20338983050847459</v>
      </c>
      <c r="Z25" s="2">
        <f>(Z5-Y5)/ABS(Y5)</f>
        <v>0.26435536294691225</v>
      </c>
    </row>
    <row r="26" spans="1:26" x14ac:dyDescent="0.25">
      <c r="A26" s="1" t="s">
        <v>50</v>
      </c>
      <c r="C26" s="2"/>
      <c r="D26" s="2"/>
      <c r="E26" s="2"/>
      <c r="F26" s="2">
        <f t="shared" ref="F26:P26" si="45">(F17-B17)/ABS(B17)</f>
        <v>-2.0190366310929662E-3</v>
      </c>
      <c r="G26" s="2">
        <f t="shared" si="45"/>
        <v>-0.46947368421052627</v>
      </c>
      <c r="H26" s="2">
        <f t="shared" si="45"/>
        <v>-0.42149377593361015</v>
      </c>
      <c r="I26" s="2">
        <f t="shared" si="45"/>
        <v>-0.93803045685279163</v>
      </c>
      <c r="J26" s="2">
        <f t="shared" si="45"/>
        <v>0.99107656879677619</v>
      </c>
      <c r="K26" s="2">
        <f t="shared" si="45"/>
        <v>-0.5833333333333367</v>
      </c>
      <c r="L26" s="2">
        <f t="shared" si="45"/>
        <v>-10.506168411992521</v>
      </c>
      <c r="M26" s="2">
        <f t="shared" si="45"/>
        <v>0.66571100917431258</v>
      </c>
      <c r="N26" s="2">
        <f t="shared" si="45"/>
        <v>6.6774193548387286</v>
      </c>
      <c r="O26" s="2">
        <f t="shared" si="45"/>
        <v>1.7333333333333703</v>
      </c>
      <c r="P26" s="2">
        <f t="shared" si="45"/>
        <v>1.1482627230542877</v>
      </c>
      <c r="Q26" s="2">
        <f>(Q17-M17)/ABS(M17)</f>
        <v>-8.0403245635608467E-2</v>
      </c>
      <c r="T26" s="2"/>
      <c r="U26" s="2">
        <f>U17/T17-1</f>
        <v>1.2073085031623325</v>
      </c>
      <c r="V26" s="2">
        <f>V17/U17-1</f>
        <v>-0.74912448264883769</v>
      </c>
      <c r="W26" s="2">
        <f>W17/V17-1</f>
        <v>0.81472081218274095</v>
      </c>
      <c r="X26" s="2">
        <f>X17/W17-1</f>
        <v>-2.8874125874125882</v>
      </c>
      <c r="Y26" s="2">
        <f>(Y17-X17)/ABS(X17)</f>
        <v>8.8551315301964001E-2</v>
      </c>
      <c r="Z26" s="2">
        <f>(Z17-Y17)/ABS(Y17)</f>
        <v>1.5</v>
      </c>
    </row>
    <row r="31" spans="1:26" x14ac:dyDescent="0.25">
      <c r="A31" t="s">
        <v>3</v>
      </c>
      <c r="M31">
        <v>34</v>
      </c>
      <c r="N31">
        <v>32</v>
      </c>
      <c r="O31">
        <v>25</v>
      </c>
      <c r="P31">
        <v>36</v>
      </c>
      <c r="Q31">
        <v>80</v>
      </c>
      <c r="X31">
        <v>80</v>
      </c>
      <c r="Y31">
        <v>34</v>
      </c>
      <c r="Z31">
        <v>80</v>
      </c>
    </row>
    <row r="32" spans="1:26" x14ac:dyDescent="0.25">
      <c r="A32" t="s">
        <v>53</v>
      </c>
      <c r="M32">
        <f>417+149</f>
        <v>566</v>
      </c>
      <c r="N32">
        <f>420+125</f>
        <v>545</v>
      </c>
      <c r="O32">
        <f>445+127</f>
        <v>572</v>
      </c>
      <c r="P32">
        <f>482+133</f>
        <v>615</v>
      </c>
      <c r="Q32">
        <f>483+114</f>
        <v>597</v>
      </c>
      <c r="X32">
        <f>315+284</f>
        <v>599</v>
      </c>
      <c r="Y32">
        <f>417+149</f>
        <v>566</v>
      </c>
      <c r="Z32">
        <f>483+114</f>
        <v>597</v>
      </c>
    </row>
    <row r="33" spans="1:26" x14ac:dyDescent="0.25">
      <c r="A33" t="s">
        <v>54</v>
      </c>
      <c r="M33">
        <v>331</v>
      </c>
      <c r="N33">
        <v>360</v>
      </c>
      <c r="O33">
        <v>370</v>
      </c>
      <c r="P33">
        <v>392</v>
      </c>
      <c r="Q33">
        <v>461</v>
      </c>
      <c r="X33">
        <v>309</v>
      </c>
      <c r="Y33">
        <v>331</v>
      </c>
      <c r="Z33">
        <v>461</v>
      </c>
    </row>
    <row r="34" spans="1:26" x14ac:dyDescent="0.25">
      <c r="A34" t="s">
        <v>55</v>
      </c>
      <c r="M34">
        <v>69</v>
      </c>
      <c r="N34">
        <v>75</v>
      </c>
      <c r="O34">
        <v>84</v>
      </c>
      <c r="P34">
        <v>80</v>
      </c>
      <c r="Q34">
        <v>71</v>
      </c>
      <c r="X34">
        <v>57</v>
      </c>
      <c r="Y34">
        <v>69</v>
      </c>
      <c r="Z34">
        <v>71</v>
      </c>
    </row>
    <row r="35" spans="1:26" s="1" customFormat="1" x14ac:dyDescent="0.25">
      <c r="A35" s="1" t="s">
        <v>56</v>
      </c>
      <c r="M35" s="1">
        <f t="shared" ref="M35" si="46">M36+M37</f>
        <v>5391</v>
      </c>
      <c r="N35" s="1">
        <v>5391</v>
      </c>
      <c r="O35" s="1">
        <v>5416</v>
      </c>
      <c r="P35" s="1">
        <v>5434</v>
      </c>
      <c r="Q35" s="1">
        <f>Q36+Q37</f>
        <v>5451</v>
      </c>
      <c r="W35" s="1">
        <f t="shared" ref="W35:Y35" si="47">W36+W37</f>
        <v>0</v>
      </c>
      <c r="X35" s="1">
        <f t="shared" si="47"/>
        <v>5614</v>
      </c>
      <c r="Y35" s="1">
        <f t="shared" si="47"/>
        <v>5391</v>
      </c>
      <c r="Z35" s="1">
        <f>Z36+Z37</f>
        <v>5451</v>
      </c>
    </row>
    <row r="36" spans="1:26" x14ac:dyDescent="0.25">
      <c r="A36" t="s">
        <v>57</v>
      </c>
      <c r="M36">
        <v>4789</v>
      </c>
      <c r="Q36">
        <v>4837</v>
      </c>
      <c r="X36">
        <v>4999</v>
      </c>
      <c r="Y36">
        <v>4789</v>
      </c>
      <c r="Z36">
        <v>4837</v>
      </c>
    </row>
    <row r="37" spans="1:26" x14ac:dyDescent="0.25">
      <c r="A37" t="s">
        <v>58</v>
      </c>
      <c r="M37">
        <v>602</v>
      </c>
      <c r="Q37">
        <v>614</v>
      </c>
      <c r="X37">
        <v>615</v>
      </c>
      <c r="Y37">
        <v>602</v>
      </c>
      <c r="Z37">
        <v>614</v>
      </c>
    </row>
    <row r="38" spans="1:26" x14ac:dyDescent="0.25">
      <c r="A38" t="s">
        <v>59</v>
      </c>
      <c r="M38">
        <v>-1714</v>
      </c>
      <c r="N38">
        <v>-1731</v>
      </c>
      <c r="O38">
        <v>-1763</v>
      </c>
      <c r="P38">
        <v>-1794</v>
      </c>
      <c r="Q38">
        <v>-1818</v>
      </c>
      <c r="X38">
        <v>-1698</v>
      </c>
      <c r="Y38">
        <v>-1714</v>
      </c>
      <c r="Z38">
        <v>-1818</v>
      </c>
    </row>
    <row r="39" spans="1:26" x14ac:dyDescent="0.25">
      <c r="A39" t="s">
        <v>60</v>
      </c>
      <c r="M39">
        <v>167</v>
      </c>
      <c r="N39">
        <v>164</v>
      </c>
      <c r="O39">
        <v>159</v>
      </c>
      <c r="P39">
        <v>153</v>
      </c>
      <c r="Q39">
        <v>154</v>
      </c>
      <c r="X39">
        <v>174</v>
      </c>
      <c r="Y39">
        <v>167</v>
      </c>
      <c r="Z39">
        <v>154</v>
      </c>
    </row>
    <row r="40" spans="1:26" x14ac:dyDescent="0.25">
      <c r="A40" t="s">
        <v>61</v>
      </c>
      <c r="M40">
        <v>2</v>
      </c>
      <c r="N40">
        <v>0</v>
      </c>
      <c r="O40">
        <v>0</v>
      </c>
      <c r="P40">
        <v>0</v>
      </c>
      <c r="Q40">
        <v>2</v>
      </c>
      <c r="X40">
        <v>2</v>
      </c>
      <c r="Y40">
        <v>2</v>
      </c>
      <c r="Z40">
        <v>2</v>
      </c>
    </row>
    <row r="41" spans="1:26" x14ac:dyDescent="0.25">
      <c r="A41" t="s">
        <v>62</v>
      </c>
      <c r="M41">
        <v>438</v>
      </c>
      <c r="N41">
        <v>438</v>
      </c>
      <c r="O41">
        <v>438</v>
      </c>
      <c r="P41">
        <v>438</v>
      </c>
      <c r="Q41">
        <v>438</v>
      </c>
      <c r="X41">
        <v>657</v>
      </c>
      <c r="Y41">
        <v>438</v>
      </c>
      <c r="Z41">
        <v>438</v>
      </c>
    </row>
    <row r="42" spans="1:26" x14ac:dyDescent="0.25">
      <c r="A42" t="s">
        <v>63</v>
      </c>
      <c r="M42">
        <v>60</v>
      </c>
      <c r="N42">
        <v>58</v>
      </c>
      <c r="O42">
        <v>55</v>
      </c>
      <c r="P42">
        <v>53</v>
      </c>
      <c r="Q42">
        <v>51</v>
      </c>
      <c r="X42">
        <v>69</v>
      </c>
      <c r="Y42">
        <v>60</v>
      </c>
      <c r="Z42">
        <v>51</v>
      </c>
    </row>
    <row r="43" spans="1:26" x14ac:dyDescent="0.25">
      <c r="A43" t="s">
        <v>64</v>
      </c>
      <c r="M43">
        <v>48</v>
      </c>
      <c r="N43">
        <v>45</v>
      </c>
      <c r="O43">
        <v>45</v>
      </c>
      <c r="P43">
        <v>43</v>
      </c>
      <c r="Q43">
        <v>62</v>
      </c>
      <c r="X43">
        <v>55</v>
      </c>
      <c r="Y43">
        <v>48</v>
      </c>
      <c r="Z43">
        <v>62</v>
      </c>
    </row>
    <row r="44" spans="1:26" s="1" customFormat="1" x14ac:dyDescent="0.25">
      <c r="A44" s="1" t="s">
        <v>78</v>
      </c>
      <c r="M44" s="1">
        <f t="shared" ref="M44:P44" si="48">SUM(M31:M34)+M35+SUM(M38:M43)</f>
        <v>5392</v>
      </c>
      <c r="N44" s="1">
        <f>SUM(N31:N34)+N35+SUM(N38:N43)</f>
        <v>5377</v>
      </c>
      <c r="O44" s="1">
        <f t="shared" si="48"/>
        <v>5401</v>
      </c>
      <c r="P44" s="1">
        <f t="shared" si="48"/>
        <v>5450</v>
      </c>
      <c r="Q44" s="1">
        <f>SUM(Q31:Q34)+Q35+SUM(Q38:Q43)</f>
        <v>5549</v>
      </c>
      <c r="V44" s="1">
        <f t="shared" ref="V44:Y44" si="49">SUM(V31:V34)+V35+SUM(V38:V43)</f>
        <v>0</v>
      </c>
      <c r="W44" s="1">
        <f t="shared" si="49"/>
        <v>0</v>
      </c>
      <c r="X44" s="1">
        <f t="shared" si="49"/>
        <v>5918</v>
      </c>
      <c r="Y44" s="1">
        <f t="shared" si="49"/>
        <v>5392</v>
      </c>
      <c r="Z44" s="1">
        <f>SUM(Z31:Z34)+Z35+SUM(Z38:Z43)</f>
        <v>5549</v>
      </c>
    </row>
    <row r="46" spans="1:26" x14ac:dyDescent="0.25">
      <c r="A46" t="s">
        <v>65</v>
      </c>
      <c r="M46">
        <v>2</v>
      </c>
      <c r="N46">
        <v>3</v>
      </c>
      <c r="O46">
        <v>4.2</v>
      </c>
      <c r="P46">
        <v>3.6</v>
      </c>
      <c r="Q46">
        <v>4</v>
      </c>
      <c r="X46">
        <v>0</v>
      </c>
      <c r="Y46">
        <v>2</v>
      </c>
      <c r="Z46">
        <v>4</v>
      </c>
    </row>
    <row r="47" spans="1:26" x14ac:dyDescent="0.25">
      <c r="A47" t="s">
        <v>66</v>
      </c>
      <c r="M47">
        <v>0</v>
      </c>
      <c r="Q47">
        <v>0</v>
      </c>
      <c r="X47">
        <v>0</v>
      </c>
      <c r="Y47">
        <v>0</v>
      </c>
      <c r="Z47">
        <v>0</v>
      </c>
    </row>
    <row r="48" spans="1:26" x14ac:dyDescent="0.25">
      <c r="A48" t="s">
        <v>67</v>
      </c>
      <c r="M48">
        <v>199</v>
      </c>
      <c r="N48">
        <v>218</v>
      </c>
      <c r="O48">
        <v>234</v>
      </c>
      <c r="P48">
        <v>241</v>
      </c>
      <c r="Q48">
        <v>278</v>
      </c>
      <c r="X48">
        <v>162</v>
      </c>
      <c r="Y48">
        <v>199</v>
      </c>
      <c r="Z48">
        <v>278</v>
      </c>
    </row>
    <row r="49" spans="1:26" x14ac:dyDescent="0.25">
      <c r="A49" t="s">
        <v>68</v>
      </c>
      <c r="M49">
        <v>11</v>
      </c>
      <c r="Q49">
        <v>11</v>
      </c>
      <c r="X49">
        <v>11.2</v>
      </c>
      <c r="Y49">
        <v>11</v>
      </c>
      <c r="Z49">
        <v>11</v>
      </c>
    </row>
    <row r="50" spans="1:26" x14ac:dyDescent="0.25">
      <c r="A50" t="s">
        <v>69</v>
      </c>
      <c r="M50">
        <v>111</v>
      </c>
      <c r="N50">
        <v>188</v>
      </c>
      <c r="O50">
        <v>198</v>
      </c>
      <c r="P50">
        <v>209</v>
      </c>
      <c r="Q50">
        <v>65</v>
      </c>
      <c r="X50">
        <v>111</v>
      </c>
      <c r="Y50">
        <v>111</v>
      </c>
      <c r="Z50">
        <v>65</v>
      </c>
    </row>
    <row r="51" spans="1:26" x14ac:dyDescent="0.25">
      <c r="A51" t="s">
        <v>70</v>
      </c>
      <c r="M51">
        <v>39</v>
      </c>
      <c r="Q51">
        <v>55</v>
      </c>
      <c r="X51">
        <v>32</v>
      </c>
      <c r="Y51">
        <v>39</v>
      </c>
      <c r="Z51">
        <v>55</v>
      </c>
    </row>
    <row r="52" spans="1:26" x14ac:dyDescent="0.25">
      <c r="A52" t="s">
        <v>71</v>
      </c>
      <c r="M52">
        <v>45</v>
      </c>
      <c r="Q52">
        <v>30</v>
      </c>
      <c r="X52">
        <v>44</v>
      </c>
      <c r="Y52">
        <v>45</v>
      </c>
      <c r="Z52">
        <v>30</v>
      </c>
    </row>
    <row r="53" spans="1:26" x14ac:dyDescent="0.25">
      <c r="A53" t="s">
        <v>72</v>
      </c>
      <c r="M53">
        <v>29</v>
      </c>
      <c r="Q53">
        <v>42</v>
      </c>
      <c r="X53">
        <v>25</v>
      </c>
      <c r="Y53">
        <v>29</v>
      </c>
      <c r="Z53">
        <v>42</v>
      </c>
    </row>
    <row r="54" spans="1:26" x14ac:dyDescent="0.25">
      <c r="A54" t="s">
        <v>60</v>
      </c>
      <c r="M54">
        <v>34</v>
      </c>
      <c r="N54">
        <v>34</v>
      </c>
      <c r="O54">
        <v>34</v>
      </c>
      <c r="P54">
        <v>33</v>
      </c>
      <c r="Q54">
        <v>36</v>
      </c>
      <c r="X54">
        <v>32</v>
      </c>
      <c r="Y54">
        <v>34</v>
      </c>
      <c r="Z54">
        <v>36</v>
      </c>
    </row>
    <row r="55" spans="1:26" x14ac:dyDescent="0.25">
      <c r="A55" t="s">
        <v>73</v>
      </c>
      <c r="M55">
        <v>72</v>
      </c>
      <c r="N55">
        <v>68</v>
      </c>
      <c r="O55">
        <v>69</v>
      </c>
      <c r="P55">
        <v>82</v>
      </c>
      <c r="Q55">
        <v>119</v>
      </c>
      <c r="X55">
        <v>45</v>
      </c>
      <c r="Y55">
        <v>72</v>
      </c>
      <c r="Z55">
        <v>119</v>
      </c>
    </row>
    <row r="56" spans="1:26" x14ac:dyDescent="0.25">
      <c r="A56" t="s">
        <v>74</v>
      </c>
      <c r="M56">
        <v>1161</v>
      </c>
      <c r="N56">
        <v>1151</v>
      </c>
      <c r="O56">
        <v>1131</v>
      </c>
      <c r="P56">
        <v>1114</v>
      </c>
      <c r="Q56">
        <v>1076</v>
      </c>
      <c r="X56">
        <v>1468</v>
      </c>
      <c r="Y56">
        <v>1161</v>
      </c>
      <c r="Z56">
        <v>1076</v>
      </c>
    </row>
    <row r="57" spans="1:26" x14ac:dyDescent="0.25">
      <c r="A57" t="s">
        <v>75</v>
      </c>
      <c r="M57">
        <v>574</v>
      </c>
      <c r="N57">
        <v>580</v>
      </c>
      <c r="O57">
        <v>590</v>
      </c>
      <c r="P57">
        <v>604</v>
      </c>
      <c r="Q57">
        <v>625</v>
      </c>
      <c r="X57">
        <v>606</v>
      </c>
      <c r="Y57">
        <v>574</v>
      </c>
      <c r="Z57">
        <v>625</v>
      </c>
    </row>
    <row r="58" spans="1:26" x14ac:dyDescent="0.25">
      <c r="A58" t="s">
        <v>76</v>
      </c>
      <c r="M58">
        <v>159</v>
      </c>
      <c r="N58">
        <v>156</v>
      </c>
      <c r="O58">
        <v>150</v>
      </c>
      <c r="P58">
        <v>114</v>
      </c>
      <c r="Q58">
        <v>142</v>
      </c>
      <c r="X58">
        <v>163</v>
      </c>
      <c r="Y58">
        <v>159</v>
      </c>
      <c r="Z58">
        <v>142</v>
      </c>
    </row>
    <row r="59" spans="1:26" x14ac:dyDescent="0.25">
      <c r="A59" t="s">
        <v>77</v>
      </c>
      <c r="M59">
        <v>71</v>
      </c>
      <c r="N59">
        <v>69</v>
      </c>
      <c r="O59">
        <v>61</v>
      </c>
      <c r="P59">
        <v>46</v>
      </c>
      <c r="Q59">
        <v>23</v>
      </c>
      <c r="X59">
        <v>131</v>
      </c>
      <c r="Y59">
        <v>71</v>
      </c>
      <c r="Z59">
        <v>23</v>
      </c>
    </row>
    <row r="60" spans="1:26" s="1" customFormat="1" x14ac:dyDescent="0.25">
      <c r="A60" s="1" t="s">
        <v>79</v>
      </c>
      <c r="M60" s="1">
        <f t="shared" ref="M60:P60" si="50">SUM(M46:M59)</f>
        <v>2507</v>
      </c>
      <c r="N60" s="1">
        <f t="shared" si="50"/>
        <v>2467</v>
      </c>
      <c r="O60" s="1">
        <f t="shared" si="50"/>
        <v>2471.1999999999998</v>
      </c>
      <c r="P60" s="1">
        <f t="shared" si="50"/>
        <v>2446.6</v>
      </c>
      <c r="Q60" s="1">
        <f>SUM(Q46:Q59)</f>
        <v>2506</v>
      </c>
      <c r="V60" s="1">
        <f t="shared" ref="V60:Y60" si="51">SUM(V46:V59)</f>
        <v>0</v>
      </c>
      <c r="W60" s="1">
        <f t="shared" si="51"/>
        <v>0</v>
      </c>
      <c r="X60" s="1">
        <f t="shared" si="51"/>
        <v>2830.2</v>
      </c>
      <c r="Y60" s="1">
        <f t="shared" si="51"/>
        <v>2507</v>
      </c>
      <c r="Z60" s="1">
        <f>SUM(Z46:Z59)</f>
        <v>2506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2023-04-02T17:52:54Z</dcterms:modified>
</cp:coreProperties>
</file>